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VA" sheetId="1" r:id="rId5"/>
    <sheet state="visible" name="DATOS" sheetId="2" r:id="rId6"/>
    <sheet state="visible" name="GRAFICO" sheetId="3" r:id="rId7"/>
    <sheet state="visible" name="BALANCE" sheetId="4" r:id="rId8"/>
    <sheet state="visible" name="CUENTAS" sheetId="5" r:id="rId9"/>
    <sheet state="visible" name="COLCAP VS VU" sheetId="6" r:id="rId10"/>
    <sheet state="visible" name="FACTURAS" sheetId="7" r:id="rId11"/>
    <sheet state="visible" name="CLIENTES" sheetId="8" r:id="rId12"/>
    <sheet state="visible" name="INVERSIONISTAS" sheetId="9" r:id="rId13"/>
    <sheet state="visible" name="F.graficos" sheetId="10" r:id="rId14"/>
    <sheet state="visible" name="ECO 2"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1">
      <text>
        <t xml:space="preserve">ajuste por error de contabilidad, cada retiro esta contando tanto el capital como la ganancia al capital, cuando solo debería ir el capital retirado. entinedase este valor como las ganacias reales retiradas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M1">
      <text>
        <t xml:space="preserve">275k restante
1.219.700
63800/mes al día</t>
      </text>
    </comment>
    <comment authorId="0" ref="AO1">
      <text>
        <t xml:space="preserve">de aquí falta sumarse en la cuenta de esencia el cerave de amalfi, 62K y pendiente de agregar a inventario
</t>
      </text>
    </comment>
  </commentList>
</comments>
</file>

<file path=xl/sharedStrings.xml><?xml version="1.0" encoding="utf-8"?>
<sst xmlns="http://schemas.openxmlformats.org/spreadsheetml/2006/main" count="428" uniqueCount="198">
  <si>
    <t>FONDO VALOR ACTIVO</t>
  </si>
  <si>
    <t>FECHA</t>
  </si>
  <si>
    <t>DEPOSITO</t>
  </si>
  <si>
    <t>TOTAL</t>
  </si>
  <si>
    <t>UNID</t>
  </si>
  <si>
    <t>VOLUMEN</t>
  </si>
  <si>
    <t>GANANCIA</t>
  </si>
  <si>
    <t>RENTABILIDAD</t>
  </si>
  <si>
    <t>PRODUCTO</t>
  </si>
  <si>
    <t>ACTIVO</t>
  </si>
  <si>
    <t>VARIACION</t>
  </si>
  <si>
    <t>INDICADORES</t>
  </si>
  <si>
    <t>ACTIVO 1</t>
  </si>
  <si>
    <t>TIEMPO</t>
  </si>
  <si>
    <t>TASA</t>
  </si>
  <si>
    <t>EA</t>
  </si>
  <si>
    <t>ACTIVO 2</t>
  </si>
  <si>
    <t/>
  </si>
  <si>
    <t>ACTIVO 3</t>
  </si>
  <si>
    <t>ACTIVO 4</t>
  </si>
  <si>
    <t>INVERSION</t>
  </si>
  <si>
    <t>VALORIZACION</t>
  </si>
  <si>
    <t>ACTIVO 20</t>
  </si>
  <si>
    <t>ACTIVO 6</t>
  </si>
  <si>
    <t>EFECTIVO</t>
  </si>
  <si>
    <t>ACTIVOS</t>
  </si>
  <si>
    <t>COMISION</t>
  </si>
  <si>
    <t>ACTIVO 7</t>
  </si>
  <si>
    <t>ACTIVO 8</t>
  </si>
  <si>
    <t>ACTIVO 9</t>
  </si>
  <si>
    <t>ACTIVO 10</t>
  </si>
  <si>
    <t>ACTIVO 11</t>
  </si>
  <si>
    <t>ACTIVO 12</t>
  </si>
  <si>
    <t>ACTIVO 13</t>
  </si>
  <si>
    <t>ACTIVO 14</t>
  </si>
  <si>
    <t>ACTIVO 15</t>
  </si>
  <si>
    <t>ACTIVO 16</t>
  </si>
  <si>
    <t>ACTIVO 17</t>
  </si>
  <si>
    <t>ACTIVO 18</t>
  </si>
  <si>
    <t>ACTIVO 19</t>
  </si>
  <si>
    <t>CARTERA</t>
  </si>
  <si>
    <t>APALANCAMIENTO</t>
  </si>
  <si>
    <t>GASTOS</t>
  </si>
  <si>
    <t>UNIDADES</t>
  </si>
  <si>
    <t>valor unidad</t>
  </si>
  <si>
    <t>promedio</t>
  </si>
  <si>
    <t>desviacion de la media</t>
  </si>
  <si>
    <t>Pronóstico</t>
  </si>
  <si>
    <t>inferior</t>
  </si>
  <si>
    <t>EMA-50</t>
  </si>
  <si>
    <t>EMA-15</t>
  </si>
  <si>
    <t>EMA-5</t>
  </si>
  <si>
    <t>superior</t>
  </si>
  <si>
    <t>variación % diaria</t>
  </si>
  <si>
    <t>desviación estandar</t>
  </si>
  <si>
    <t>desviacion anualizada</t>
  </si>
  <si>
    <t>var historica</t>
  </si>
  <si>
    <t>var(30d)</t>
  </si>
  <si>
    <t>MDD</t>
  </si>
  <si>
    <t>DIAS OPERACIÓN</t>
  </si>
  <si>
    <t>DEPOSITOS</t>
  </si>
  <si>
    <t>INICIO</t>
  </si>
  <si>
    <t>INVERSIÓN</t>
  </si>
  <si>
    <t>HOY</t>
  </si>
  <si>
    <t>DIAS</t>
  </si>
  <si>
    <t>TOTAL DEPOSITO</t>
  </si>
  <si>
    <t>VALOR DE LA UNIDAD</t>
  </si>
  <si>
    <t>VALORIZACIÓN</t>
  </si>
  <si>
    <t>VU inicial</t>
  </si>
  <si>
    <t>ACTIVO BRUTO</t>
  </si>
  <si>
    <t>VU actual</t>
  </si>
  <si>
    <t>PASIVOS</t>
  </si>
  <si>
    <t>VU futuro (1)</t>
  </si>
  <si>
    <t>max. historico</t>
  </si>
  <si>
    <t>ACTIVO NETO</t>
  </si>
  <si>
    <t>hoy</t>
  </si>
  <si>
    <t>% distancia</t>
  </si>
  <si>
    <t>DISTRIBUCIÓN DE ACTIVOS</t>
  </si>
  <si>
    <t>Renta fija</t>
  </si>
  <si>
    <t>Renta variable</t>
  </si>
  <si>
    <t>U creadas</t>
  </si>
  <si>
    <t>Efectivo</t>
  </si>
  <si>
    <t>U circulantes</t>
  </si>
  <si>
    <t>Total</t>
  </si>
  <si>
    <t>U disponibles</t>
  </si>
  <si>
    <t>ACTIVOS LÍQUIDOS VS ACTIVOS ILÍQUIDOS</t>
  </si>
  <si>
    <t>LÍQUIDOS</t>
  </si>
  <si>
    <t>ILÍQUIDOS</t>
  </si>
  <si>
    <t>DOLAR</t>
  </si>
  <si>
    <t>BVC</t>
  </si>
  <si>
    <t>TES</t>
  </si>
  <si>
    <t>TES2</t>
  </si>
  <si>
    <t>MINEROS</t>
  </si>
  <si>
    <t>ACTIVO 5</t>
  </si>
  <si>
    <t>apalancamiento</t>
  </si>
  <si>
    <t>gastos</t>
  </si>
  <si>
    <t>A BRUTO</t>
  </si>
  <si>
    <t>EFC/ACT</t>
  </si>
  <si>
    <t>Fecha</t>
  </si>
  <si>
    <t>Nemotécnico</t>
  </si>
  <si>
    <t>Precio cierre</t>
  </si>
  <si>
    <t>V UNIDAD</t>
  </si>
  <si>
    <t>escala 1= 02/01</t>
  </si>
  <si>
    <t>diferencia</t>
  </si>
  <si>
    <t>ICOLCAP</t>
  </si>
  <si>
    <t>varianza</t>
  </si>
  <si>
    <t>desviación</t>
  </si>
  <si>
    <t>correlación</t>
  </si>
  <si>
    <t>max diferencia</t>
  </si>
  <si>
    <t>N* comprobante</t>
  </si>
  <si>
    <t>001</t>
  </si>
  <si>
    <t>Datos Cliente:</t>
  </si>
  <si>
    <t>INVER7</t>
  </si>
  <si>
    <t>V.Unidad actual</t>
  </si>
  <si>
    <t>V. UNIDAD</t>
  </si>
  <si>
    <t>CANTIDAD</t>
  </si>
  <si>
    <t>Inversionistas</t>
  </si>
  <si>
    <t>cantidad</t>
  </si>
  <si>
    <t>CProm. Uni</t>
  </si>
  <si>
    <t>Deposito</t>
  </si>
  <si>
    <t>valorización</t>
  </si>
  <si>
    <t>rentabilidad</t>
  </si>
  <si>
    <t>USUARIO</t>
  </si>
  <si>
    <t>TIR</t>
  </si>
  <si>
    <t>FECHA_INGRESO</t>
  </si>
  <si>
    <t>FC</t>
  </si>
  <si>
    <t>INVER1</t>
  </si>
  <si>
    <t>INVER9</t>
  </si>
  <si>
    <t>INVER2</t>
  </si>
  <si>
    <t>INVER3</t>
  </si>
  <si>
    <t>inversión total</t>
  </si>
  <si>
    <t>INVER4</t>
  </si>
  <si>
    <t>INVER5</t>
  </si>
  <si>
    <t>INVER6</t>
  </si>
  <si>
    <t>FECHA FINAL</t>
  </si>
  <si>
    <t>PROM DIAS</t>
  </si>
  <si>
    <t>INVER8</t>
  </si>
  <si>
    <t>N. INVER.</t>
  </si>
  <si>
    <t>PROM INVER.</t>
  </si>
  <si>
    <t>INVER10</t>
  </si>
  <si>
    <t>INVER11</t>
  </si>
  <si>
    <t>Valor Unidad</t>
  </si>
  <si>
    <t>INVER1 c</t>
  </si>
  <si>
    <t>Unidades Usuario</t>
  </si>
  <si>
    <t>INVER13</t>
  </si>
  <si>
    <t>costo Unidad</t>
  </si>
  <si>
    <t>INVER14</t>
  </si>
  <si>
    <t>comisión Adm</t>
  </si>
  <si>
    <t>INVER15</t>
  </si>
  <si>
    <t>disponible</t>
  </si>
  <si>
    <t>INVER16</t>
  </si>
  <si>
    <t>INVER17</t>
  </si>
  <si>
    <t>INVER18</t>
  </si>
  <si>
    <t>FECHA INGRESO</t>
  </si>
  <si>
    <t>RENT %</t>
  </si>
  <si>
    <t>DÍAS EN FONDO</t>
  </si>
  <si>
    <t>RENT ANUAL</t>
  </si>
  <si>
    <t>tania</t>
  </si>
  <si>
    <t>Deposito total</t>
  </si>
  <si>
    <t>Valorización total</t>
  </si>
  <si>
    <t>Rentabilidad total</t>
  </si>
  <si>
    <t>h INVER9</t>
  </si>
  <si>
    <t>yesica</t>
  </si>
  <si>
    <t>omisión</t>
  </si>
  <si>
    <t>histograma</t>
  </si>
  <si>
    <t>hist. rendimientos</t>
  </si>
  <si>
    <t>crecimiento del valor de la unidad con 1/enero = 0</t>
  </si>
  <si>
    <t>ECOPETROL</t>
  </si>
  <si>
    <t>ARGOS</t>
  </si>
  <si>
    <t>NU</t>
  </si>
  <si>
    <t>PFCIBEST</t>
  </si>
  <si>
    <t>SURA</t>
  </si>
  <si>
    <t>DAVIVIENDA</t>
  </si>
  <si>
    <t>PEI</t>
  </si>
  <si>
    <t>CORFI</t>
  </si>
  <si>
    <t>TERPEL</t>
  </si>
  <si>
    <t>AMAZON</t>
  </si>
  <si>
    <t>NIKE</t>
  </si>
  <si>
    <t>BITCOIN</t>
  </si>
  <si>
    <t>TES3 ESENCIA</t>
  </si>
  <si>
    <t>ESENCIA</t>
  </si>
  <si>
    <t>TES4HG</t>
  </si>
  <si>
    <t>EPL</t>
  </si>
  <si>
    <t>A2CENSO</t>
  </si>
  <si>
    <t>DEUDA 2</t>
  </si>
  <si>
    <t>DEUDA</t>
  </si>
  <si>
    <t>rango</t>
  </si>
  <si>
    <t>frecuencia</t>
  </si>
  <si>
    <t>desviacion</t>
  </si>
  <si>
    <t>acumulado dias</t>
  </si>
  <si>
    <t>FECHA 2024</t>
  </si>
  <si>
    <t>VU 2024</t>
  </si>
  <si>
    <t>LN</t>
  </si>
  <si>
    <t>FECHA 2025</t>
  </si>
  <si>
    <t>VU 2025</t>
  </si>
  <si>
    <t xml:space="preserve">FECHA 2026 </t>
  </si>
  <si>
    <t>VU 2026</t>
  </si>
  <si>
    <t>VU</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</si>
</sst>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d/m/yyyy"/>
    <numFmt numFmtId="165" formatCode="&quot;$&quot;#,##0"/>
    <numFmt numFmtId="166" formatCode="0.0%"/>
    <numFmt numFmtId="167" formatCode="dd/mm/yyyy"/>
    <numFmt numFmtId="168" formatCode="&quot;$&quot;#,##0.0000000"/>
    <numFmt numFmtId="169" formatCode="0.0000%"/>
    <numFmt numFmtId="170" formatCode="#,##0.0"/>
    <numFmt numFmtId="171" formatCode="#,##0.000000"/>
    <numFmt numFmtId="172" formatCode="#,##0.000"/>
    <numFmt numFmtId="173" formatCode="&quot;$&quot;#,##0.0"/>
    <numFmt numFmtId="174" formatCode="d/M/yyyy"/>
    <numFmt numFmtId="175" formatCode="&quot;$&quot;#,##0.00"/>
    <numFmt numFmtId="176" formatCode="0.00000%"/>
    <numFmt numFmtId="177" formatCode="dd/mm"/>
    <numFmt numFmtId="178" formatCode="0.000%"/>
    <numFmt numFmtId="179" formatCode="#,##0.0000"/>
    <numFmt numFmtId="180" formatCode="yyyy-mm-dd"/>
    <numFmt numFmtId="181" formatCode="#,##0.00000"/>
    <numFmt numFmtId="182" formatCode="0.0000000"/>
    <numFmt numFmtId="183" formatCode="0.0000000000000000000"/>
  </numFmts>
  <fonts count="37">
    <font>
      <sz val="10.0"/>
      <color rgb="FF000000"/>
      <name val="Roboto"/>
      <scheme val="minor"/>
    </font>
    <font>
      <b/>
      <sz val="17.0"/>
      <color theme="1"/>
      <name val="Roboto"/>
      <scheme val="minor"/>
    </font>
    <font/>
    <font>
      <b/>
      <color theme="1"/>
      <name val="Roboto"/>
      <scheme val="minor"/>
    </font>
    <font>
      <b/>
      <color rgb="FFFFFFFF"/>
      <name val="Roboto"/>
      <scheme val="minor"/>
    </font>
    <font>
      <b/>
      <sz val="10.0"/>
      <color rgb="FFFFFFFF"/>
      <name val="Roboto"/>
      <scheme val="minor"/>
    </font>
    <font>
      <b/>
      <color theme="1"/>
      <name val="Arial"/>
    </font>
    <font>
      <b/>
      <color rgb="FF434343"/>
      <name val="Roboto"/>
      <scheme val="minor"/>
    </font>
    <font>
      <color theme="1"/>
      <name val="Roboto"/>
      <scheme val="minor"/>
    </font>
    <font>
      <b/>
      <sz val="10.0"/>
      <color theme="1"/>
      <name val="Arial"/>
    </font>
    <font>
      <b/>
      <sz val="10.0"/>
      <color theme="1"/>
      <name val="Roboto"/>
      <scheme val="minor"/>
    </font>
    <font>
      <b/>
      <color rgb="FFFFFFFF"/>
      <name val="Arial"/>
    </font>
    <font>
      <b/>
      <sz val="6.0"/>
      <color rgb="FFFFFFFF"/>
      <name val="Arial"/>
    </font>
    <font>
      <b/>
      <sz val="6.0"/>
      <color theme="1"/>
      <name val="Arial"/>
    </font>
    <font>
      <sz val="6.0"/>
      <color theme="1"/>
      <name val="Arial"/>
    </font>
    <font>
      <color theme="1"/>
      <name val="Arial"/>
    </font>
    <font>
      <b/>
      <sz val="9.0"/>
      <color rgb="FFFFFFFF"/>
      <name val="Arial"/>
    </font>
    <font>
      <b/>
      <sz val="9.0"/>
      <color rgb="FFFFFFFF"/>
      <name val="Roboto"/>
      <scheme val="minor"/>
    </font>
    <font>
      <b/>
      <sz val="9.0"/>
      <color rgb="FFFFE599"/>
      <name val="Arial"/>
    </font>
    <font>
      <b/>
      <sz val="9.0"/>
      <color rgb="FFB7B7B7"/>
      <name val="Roboto"/>
      <scheme val="minor"/>
    </font>
    <font>
      <b/>
      <sz val="9.0"/>
      <color theme="1"/>
      <name val="Arial"/>
    </font>
    <font>
      <b/>
      <sz val="9.0"/>
      <color rgb="FF000000"/>
      <name val="Arial"/>
    </font>
    <font>
      <b/>
      <sz val="9.0"/>
      <color rgb="FFB7B7B7"/>
      <name val="Arial"/>
    </font>
    <font>
      <b/>
      <sz val="9.0"/>
      <color rgb="FF000000"/>
      <name val="Roboto"/>
      <scheme val="minor"/>
    </font>
    <font>
      <b/>
      <sz val="9.0"/>
      <color theme="1"/>
      <name val="Roboto"/>
      <scheme val="minor"/>
    </font>
    <font>
      <sz val="9.0"/>
      <color rgb="FFB7B7B7"/>
      <name val="Roboto"/>
      <scheme val="minor"/>
    </font>
    <font>
      <sz val="9.0"/>
      <color theme="1"/>
      <name val="Arial"/>
    </font>
    <font>
      <sz val="9.0"/>
      <color theme="1"/>
      <name val="Roboto"/>
      <scheme val="minor"/>
    </font>
    <font>
      <b/>
      <color rgb="FF000000"/>
      <name val="Helvetica Neue"/>
    </font>
    <font>
      <color rgb="FF000000"/>
      <name val="Helvetica Neue"/>
    </font>
    <font>
      <b/>
      <color rgb="FFFF9900"/>
      <name val="Roboto"/>
      <scheme val="minor"/>
    </font>
    <font>
      <b/>
      <color rgb="FF000000"/>
      <name val="Roboto"/>
      <scheme val="minor"/>
    </font>
    <font>
      <b/>
      <color rgb="FF4A86E8"/>
      <name val="Roboto"/>
      <scheme val="minor"/>
    </font>
    <font>
      <sz val="9.0"/>
      <color rgb="FF000000"/>
      <name val="&quot;Google Sans Mono&quot;"/>
    </font>
    <font>
      <b/>
      <sz val="10.0"/>
      <color rgb="FFFFFFFF"/>
      <name val="Arial"/>
    </font>
    <font>
      <b/>
      <sz val="8.0"/>
      <color rgb="FFFFFFFF"/>
      <name val="Arial"/>
    </font>
    <font>
      <b/>
      <sz val="9.0"/>
      <color rgb="FFFFE599"/>
      <name val="Roboto"/>
      <scheme val="minor"/>
    </font>
  </fonts>
  <fills count="20">
    <fill>
      <patternFill patternType="none"/>
    </fill>
    <fill>
      <patternFill patternType="lightGray"/>
    </fill>
    <fill>
      <patternFill patternType="solid">
        <fgColor rgb="FFFFFF00"/>
        <bgColor rgb="FFFFFF00"/>
      </patternFill>
    </fill>
    <fill>
      <patternFill patternType="solid">
        <fgColor rgb="FF000000"/>
        <bgColor rgb="FF000000"/>
      </patternFill>
    </fill>
    <fill>
      <patternFill patternType="solid">
        <fgColor rgb="FFD9D2E9"/>
        <bgColor rgb="FFD9D2E9"/>
      </patternFill>
    </fill>
    <fill>
      <patternFill patternType="solid">
        <fgColor rgb="FFD0E0E3"/>
        <bgColor rgb="FFD0E0E3"/>
      </patternFill>
    </fill>
    <fill>
      <patternFill patternType="solid">
        <fgColor rgb="FFFCE5CD"/>
        <bgColor rgb="FFFCE5CD"/>
      </patternFill>
    </fill>
    <fill>
      <patternFill patternType="solid">
        <fgColor rgb="FFFF9900"/>
        <bgColor rgb="FFFF9900"/>
      </patternFill>
    </fill>
    <fill>
      <patternFill patternType="solid">
        <fgColor rgb="FFF3F3F3"/>
        <bgColor rgb="FFF3F3F3"/>
      </patternFill>
    </fill>
    <fill>
      <patternFill patternType="solid">
        <fgColor rgb="FFFFFFFF"/>
        <bgColor rgb="FFFFFFFF"/>
      </patternFill>
    </fill>
    <fill>
      <patternFill patternType="solid">
        <fgColor rgb="FFEFEFEF"/>
        <bgColor rgb="FFEFEFEF"/>
      </patternFill>
    </fill>
    <fill>
      <patternFill patternType="solid">
        <fgColor rgb="FFD9D9D9"/>
        <bgColor rgb="FFD9D9D9"/>
      </patternFill>
    </fill>
    <fill>
      <patternFill patternType="solid">
        <fgColor rgb="FFA4C2F4"/>
        <bgColor rgb="FFA4C2F4"/>
      </patternFill>
    </fill>
    <fill>
      <patternFill patternType="solid">
        <fgColor rgb="FFFF6D01"/>
        <bgColor rgb="FFFF6D01"/>
      </patternFill>
    </fill>
    <fill>
      <patternFill patternType="solid">
        <fgColor rgb="FFB7B7B7"/>
        <bgColor rgb="FFB7B7B7"/>
      </patternFill>
    </fill>
    <fill>
      <patternFill patternType="solid">
        <fgColor rgb="FF999999"/>
        <bgColor rgb="FF999999"/>
      </patternFill>
    </fill>
    <fill>
      <patternFill patternType="solid">
        <fgColor rgb="FFCCCCCC"/>
        <bgColor rgb="FFCCCCCC"/>
      </patternFill>
    </fill>
    <fill>
      <patternFill patternType="solid">
        <fgColor rgb="FFB0B3B2"/>
        <bgColor rgb="FFB0B3B2"/>
      </patternFill>
    </fill>
    <fill>
      <patternFill patternType="solid">
        <fgColor rgb="FFD4D4D4"/>
        <bgColor rgb="FFD4D4D4"/>
      </patternFill>
    </fill>
    <fill>
      <patternFill patternType="solid">
        <fgColor rgb="FFF9CB9C"/>
        <bgColor rgb="FFF9CB9C"/>
      </patternFill>
    </fill>
  </fills>
  <borders count="110">
    <border/>
    <border>
      <left style="thick">
        <color rgb="FF000000"/>
      </left>
      <top style="thick">
        <color rgb="FF000000"/>
      </top>
      <bottom style="thin">
        <color rgb="FFFFFFFF"/>
      </bottom>
    </border>
    <border>
      <top style="thick">
        <color rgb="FF000000"/>
      </top>
      <bottom style="thin">
        <color rgb="FFFFFFFF"/>
      </bottom>
    </border>
    <border>
      <right style="medium">
        <color rgb="FF000000"/>
      </right>
      <top style="thick">
        <color rgb="FF000000"/>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ck">
        <color rgb="FF000000"/>
      </left>
      <top style="thin">
        <color rgb="FFFFFFFF"/>
      </top>
      <bottom style="thin">
        <color rgb="FFFFFFFF"/>
      </bottom>
    </border>
    <border>
      <top style="thin">
        <color rgb="FFFFFFFF"/>
      </top>
      <bottom style="thin">
        <color rgb="FFFFFFFF"/>
      </bottom>
    </border>
    <border>
      <right style="medium">
        <color rgb="FF000000"/>
      </right>
      <top style="thin">
        <color rgb="FFFFFFFF"/>
      </top>
      <bottom style="thin">
        <color rgb="FFFFFFFF"/>
      </bottom>
    </border>
    <border>
      <left style="thick">
        <color rgb="FF000000"/>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left style="thin">
        <color rgb="FFFFFFFF"/>
      </left>
      <right style="thin">
        <color rgb="FFFFFFFF"/>
      </right>
    </border>
    <border>
      <left style="thin">
        <color rgb="FFFFFFFF"/>
      </left>
      <right style="thick">
        <color rgb="FF000000"/>
      </right>
      <bottom style="thin">
        <color rgb="FFFFFFFF"/>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right style="thin">
        <color rgb="FF000000"/>
      </right>
      <top style="thin">
        <color rgb="FFFFFFFF"/>
      </top>
      <bottom style="thin">
        <color rgb="FFFFFFFF"/>
      </bottom>
    </border>
    <border>
      <left style="thin">
        <color rgb="FF000000"/>
      </left>
      <top style="thin">
        <color rgb="FF000000"/>
      </top>
      <bottom style="thin">
        <color rgb="FFFFFFFF"/>
      </bottom>
    </border>
    <border>
      <top style="thin">
        <color rgb="FF000000"/>
      </top>
      <bottom style="thin">
        <color rgb="FFFFFFFF"/>
      </bottom>
    </border>
    <border>
      <right style="thin">
        <color rgb="FFFFFFFF"/>
      </right>
      <top style="thin">
        <color rgb="FF000000"/>
      </top>
      <bottom style="thin">
        <color rgb="FFFFFFFF"/>
      </bottom>
    </border>
    <border>
      <right style="thick">
        <color rgb="FF000000"/>
      </right>
      <top style="thin">
        <color rgb="FFFFFFFF"/>
      </top>
      <bottom style="thin">
        <color rgb="FFFFFFFF"/>
      </bottom>
    </border>
    <border>
      <left style="medium">
        <color rgb="FF000000"/>
      </left>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medium">
        <color rgb="FF000000"/>
      </right>
      <bottom style="thin">
        <color rgb="FFFFFFFF"/>
      </bottom>
    </border>
    <border>
      <left style="medium">
        <color rgb="FF000000"/>
      </left>
      <right style="medium">
        <color rgb="FF000000"/>
      </right>
      <top style="thick">
        <color rgb="FFFFFFFF"/>
      </top>
      <bottom style="thick">
        <color rgb="FFFFFFFF"/>
      </bottom>
    </border>
    <border>
      <left style="thin">
        <color rgb="FF000000"/>
      </left>
      <right style="thin">
        <color rgb="FF000000"/>
      </right>
      <bottom style="thin">
        <color rgb="FFFFFFFF"/>
      </bottom>
    </border>
    <border>
      <left style="medium">
        <color rgb="FF000000"/>
      </left>
      <right style="thin">
        <color rgb="FFFFFFFF"/>
      </right>
      <top style="thin">
        <color rgb="FFFFFFFF"/>
      </top>
      <bottom style="medium">
        <color rgb="FF000000"/>
      </bottom>
    </border>
    <border>
      <left style="thin">
        <color rgb="FFFFFFFF"/>
      </left>
      <right style="thin">
        <color rgb="FFFFFFFF"/>
      </right>
      <top style="thin">
        <color rgb="FFFFFFFF"/>
      </top>
      <bottom style="medium">
        <color rgb="FF000000"/>
      </bottom>
    </border>
    <border>
      <left style="thin">
        <color rgb="FFFFFFFF"/>
      </left>
      <right style="medium">
        <color rgb="FF000000"/>
      </right>
      <top style="thin">
        <color rgb="FFFFFFFF"/>
      </top>
      <bottom style="medium">
        <color rgb="FF000000"/>
      </bottom>
    </border>
    <border>
      <left style="thin">
        <color rgb="FF000000"/>
      </left>
      <right style="thin">
        <color rgb="FF000000"/>
      </right>
      <top style="thin">
        <color rgb="FFFFFFFF"/>
      </top>
      <bottom style="thin">
        <color rgb="FF000000"/>
      </bottom>
    </border>
    <border>
      <left style="medium">
        <color rgb="FF000000"/>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thin">
        <color rgb="FF000000"/>
      </left>
      <right style="thin">
        <color rgb="FFFFFFFF"/>
      </right>
      <top style="thin">
        <color rgb="FF000000"/>
      </top>
      <bottom style="thin">
        <color rgb="FFFFFFFF"/>
      </bottom>
    </border>
    <border>
      <left style="thin">
        <color rgb="FFFFFFFF"/>
      </left>
      <right style="thick">
        <color rgb="FF000000"/>
      </right>
      <top style="thin">
        <color rgb="FFFFFFFF"/>
      </top>
      <bottom style="thin">
        <color rgb="FFFFFFFF"/>
      </bottom>
    </border>
    <border>
      <left style="thin">
        <color rgb="FF000000"/>
      </left>
      <right style="thin">
        <color rgb="FF000000"/>
      </right>
      <top style="thin">
        <color rgb="FFFFFFFF"/>
      </top>
      <bottom style="thin">
        <color rgb="FFFFFFFF"/>
      </bottom>
    </border>
    <border>
      <right style="thin">
        <color rgb="FFFFFFFF"/>
      </right>
      <bottom style="thin">
        <color rgb="FFFFFFFF"/>
      </bottom>
    </border>
    <border>
      <right style="thin">
        <color rgb="FFFFFFFF"/>
      </right>
      <top style="thin">
        <color rgb="FFFFFFFF"/>
      </top>
    </border>
    <border>
      <left style="thin">
        <color rgb="FFFFFFFF"/>
      </left>
      <right style="thin">
        <color rgb="FFFFFFFF"/>
      </right>
      <top style="thin">
        <color rgb="FF000000"/>
      </top>
      <bottom style="thin">
        <color rgb="FFFFFFFF"/>
      </bottom>
    </border>
    <border>
      <left style="thin">
        <color rgb="FFFFFFFF"/>
      </left>
      <right style="thin">
        <color rgb="FF000000"/>
      </right>
      <top style="thin">
        <color rgb="FF000000"/>
      </top>
      <bottom style="thin">
        <color rgb="FFFFFFFF"/>
      </bottom>
    </border>
    <border>
      <left style="thin">
        <color rgb="FFFFFFFF"/>
      </left>
      <right style="thin">
        <color rgb="FF000000"/>
      </right>
      <top style="thin">
        <color rgb="FFFFFFFF"/>
      </top>
      <bottom style="thin">
        <color rgb="FFFFFFFF"/>
      </bottom>
    </border>
    <border>
      <left style="thin">
        <color rgb="FF000000"/>
      </left>
      <right style="thin">
        <color rgb="FFFFFFFF"/>
      </right>
      <top style="thin">
        <color rgb="FFFFFFFF"/>
      </top>
      <bottom style="thin">
        <color rgb="FFFFFFFF"/>
      </bottom>
    </border>
    <border>
      <bottom style="thin">
        <color rgb="FFFFFFFF"/>
      </bottom>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
      <left style="thick">
        <color rgb="FF000000"/>
      </left>
      <right style="thin">
        <color rgb="FFFFFFFF"/>
      </right>
      <top style="thin">
        <color rgb="FFFFFFFF"/>
      </top>
      <bottom style="thick">
        <color rgb="FF000000"/>
      </bottom>
    </border>
    <border>
      <left style="thin">
        <color rgb="FFFFFFFF"/>
      </left>
      <right style="thin">
        <color rgb="FFFFFFFF"/>
      </right>
      <bottom style="thick">
        <color rgb="FF000000"/>
      </bottom>
    </border>
    <border>
      <left style="thin">
        <color rgb="FFFFFFFF"/>
      </left>
      <bottom style="thick">
        <color rgb="FF000000"/>
      </bottom>
    </border>
    <border>
      <left style="medium">
        <color rgb="FF000000"/>
      </left>
      <right style="medium">
        <color rgb="FF000000"/>
      </right>
      <top style="thick">
        <color rgb="FFFFFFFF"/>
      </top>
      <bottom style="thick">
        <color rgb="FF000000"/>
      </bottom>
    </border>
    <border>
      <top style="thin">
        <color rgb="FFFFFFFF"/>
      </top>
      <bottom style="thick">
        <color rgb="FF000000"/>
      </bottom>
    </border>
    <border>
      <left style="thin">
        <color rgb="FFFFFFFF"/>
      </left>
      <right style="thick">
        <color rgb="FF000000"/>
      </right>
      <top style="thin">
        <color rgb="FFFFFFFF"/>
      </top>
      <bottom style="thick">
        <color rgb="FF000000"/>
      </bottom>
    </border>
    <border>
      <left style="medium">
        <color rgb="FF000000"/>
      </left>
      <right style="thin">
        <color rgb="FF000000"/>
      </right>
      <top style="thin">
        <color rgb="FFFFFFFF"/>
      </top>
      <bottom style="thin">
        <color rgb="FFFFFFFF"/>
      </bottom>
    </border>
    <border>
      <left style="thin">
        <color rgb="FF000000"/>
      </left>
      <right style="medium">
        <color rgb="FF000000"/>
      </right>
      <top style="thin">
        <color rgb="FFFFFFFF"/>
      </top>
      <bottom style="thin">
        <color rgb="FFFFFFFF"/>
      </bottom>
    </border>
    <border>
      <left style="thin">
        <color rgb="FF000000"/>
      </left>
      <right style="thin">
        <color rgb="FF000000"/>
      </right>
    </border>
    <border>
      <left style="thin">
        <color rgb="FF000000"/>
      </left>
      <right style="medium">
        <color rgb="FF000000"/>
      </right>
    </border>
    <border>
      <left style="thin">
        <color rgb="FF000000"/>
      </left>
      <right style="medium">
        <color rgb="FF000000"/>
      </right>
      <top style="thin">
        <color rgb="FFFFFFFF"/>
      </top>
      <bottom style="thin">
        <color rgb="FF000000"/>
      </bottom>
    </border>
    <border>
      <left style="thin">
        <color rgb="FF000000"/>
      </left>
    </border>
    <border>
      <left style="thin">
        <color rgb="FF000000"/>
      </left>
      <bottom style="thin">
        <color rgb="FFFFFFFF"/>
      </bottom>
    </border>
    <border>
      <left style="thin">
        <color rgb="FF000000"/>
      </left>
      <top style="thin">
        <color rgb="FFFFFFFF"/>
      </top>
      <bottom style="thin">
        <color rgb="FFFFFFFF"/>
      </bottom>
    </border>
    <border>
      <left style="medium">
        <color rgb="FF000000"/>
      </left>
      <right style="thin">
        <color rgb="FF000000"/>
      </right>
      <top style="thin">
        <color rgb="FFFFFFFF"/>
      </top>
      <bottom style="medium">
        <color rgb="FF000000"/>
      </bottom>
    </border>
    <border>
      <left style="thin">
        <color rgb="FF000000"/>
      </left>
      <top style="thin">
        <color rgb="FFFFFFFF"/>
      </top>
      <bottom style="medium">
        <color rgb="FF000000"/>
      </bottom>
    </border>
    <border>
      <left style="thin">
        <color rgb="FF000000"/>
      </left>
      <right style="thin">
        <color rgb="FF000000"/>
      </right>
      <top style="thin">
        <color rgb="FFFFFFFF"/>
      </top>
      <bottom style="medium">
        <color rgb="FF000000"/>
      </bottom>
    </border>
    <border>
      <left style="thin">
        <color rgb="FF000000"/>
      </left>
      <right style="medium">
        <color rgb="FF000000"/>
      </right>
      <top style="thin">
        <color rgb="FFFFFFFF"/>
      </top>
      <bottom style="medium">
        <color rgb="FF000000"/>
      </bottom>
    </border>
    <border>
      <right style="medium">
        <color rgb="FF000000"/>
      </right>
    </border>
    <border>
      <right style="medium">
        <color rgb="FF000000"/>
      </right>
      <top style="thin">
        <color rgb="FFFFFFFF"/>
      </top>
      <bottom style="medium">
        <color rgb="FF000000"/>
      </bottom>
    </border>
    <border>
      <left style="medium">
        <color rgb="FF000000"/>
      </left>
      <right style="thin">
        <color rgb="FFFFFFFF"/>
      </right>
      <bottom style="medium">
        <color rgb="FF000000"/>
      </bottom>
    </border>
    <border>
      <left style="medium">
        <color rgb="FF000000"/>
      </left>
      <right style="medium">
        <color rgb="FF000000"/>
      </right>
      <top style="thin">
        <color rgb="FFFFFFFF"/>
      </top>
      <bottom style="medium">
        <color rgb="FF000000"/>
      </bottom>
    </border>
    <border>
      <right style="thin">
        <color rgb="FFFFFFFF"/>
      </right>
    </border>
    <border>
      <left style="medium">
        <color rgb="FF000000"/>
      </left>
      <right style="thin">
        <color rgb="FFFFFFFF"/>
      </right>
    </border>
    <border>
      <left style="medium">
        <color rgb="FF000000"/>
      </left>
      <right style="thin">
        <color rgb="FFFFFFFF"/>
      </right>
      <top style="thin">
        <color rgb="FFFFFFFF"/>
      </top>
      <bottom style="medium">
        <color rgb="FFFFFFFF"/>
      </bottom>
    </border>
    <border>
      <left style="medium">
        <color rgb="FF000000"/>
      </left>
      <right style="thin">
        <color rgb="FFFFFFFF"/>
      </right>
      <top style="medium">
        <color rgb="FFFFFFFF"/>
      </top>
      <bottom style="medium">
        <color rgb="FFFFFFFF"/>
      </bottom>
    </border>
    <border>
      <left style="medium">
        <color rgb="FFFFFFFF"/>
      </left>
      <right style="thin">
        <color rgb="FFFFFFFF"/>
      </right>
      <top style="thin">
        <color rgb="FFFFFFFF"/>
      </top>
      <bottom style="medium">
        <color rgb="FFFFFFFF"/>
      </bottom>
    </border>
    <border>
      <left style="medium">
        <color rgb="FF000000"/>
      </left>
      <right style="medium">
        <color rgb="FF000000"/>
      </right>
      <top style="thin">
        <color rgb="FFFFFFFF"/>
      </top>
      <bottom style="medium">
        <color rgb="FFFFFFFF"/>
      </bottom>
    </border>
    <border>
      <top style="thin">
        <color rgb="FFFFFFFF"/>
      </top>
    </border>
    <border>
      <left style="medium">
        <color rgb="FFFFFFFF"/>
      </left>
      <right style="thin">
        <color rgb="FFFFFFFF"/>
      </right>
      <top style="medium">
        <color rgb="FFFFFFFF"/>
      </top>
      <bottom style="medium">
        <color rgb="FFFFFFFF"/>
      </bottom>
    </border>
    <border>
      <left style="medium">
        <color rgb="FF000000"/>
      </left>
      <right style="medium">
        <color rgb="FF000000"/>
      </right>
      <top style="medium">
        <color rgb="FFFFFFFF"/>
      </top>
      <bottom style="medium">
        <color rgb="FFFFFFFF"/>
      </bottom>
    </border>
    <border>
      <left style="thin">
        <color rgb="FFFFFFFF"/>
      </left>
      <top style="thin">
        <color rgb="FFFFFFFF"/>
      </top>
      <bottom style="thin">
        <color rgb="FFFFFFFF"/>
      </bottom>
    </border>
    <border>
      <left style="medium">
        <color rgb="FFFFFFFF"/>
      </left>
      <top style="medium">
        <color rgb="FFFFFFFF"/>
      </top>
      <bottom style="medium">
        <color rgb="FFFFFFFF"/>
      </bottom>
    </border>
    <border>
      <left style="medium">
        <color rgb="FFFFFFFF"/>
      </left>
      <right style="medium">
        <color rgb="FFFFFFFF"/>
      </right>
      <top style="thin">
        <color rgb="FFFFFFFF"/>
      </top>
      <bottom style="medium">
        <color rgb="FFFFFFFF"/>
      </bottom>
    </border>
    <border>
      <right style="medium">
        <color rgb="FF000000"/>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style="thin">
        <color rgb="FFFFFFFF"/>
      </left>
      <top style="thin">
        <color rgb="FFFFFFFF"/>
      </top>
      <bottom style="medium">
        <color rgb="FFFFFFFF"/>
      </bottom>
    </border>
    <border>
      <left style="medium">
        <color rgb="FF000000"/>
      </left>
      <right style="medium">
        <color rgb="FF000000"/>
      </right>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border>
    <border>
      <right style="medium">
        <color rgb="FF000000"/>
      </right>
      <bottom style="medium">
        <color rgb="FF000000"/>
      </bottom>
    </border>
    <border>
      <left style="medium">
        <color rgb="FF000000"/>
      </left>
      <top style="medium">
        <color rgb="FF000000"/>
      </top>
    </border>
    <border>
      <left style="medium">
        <color rgb="FF000000"/>
      </left>
    </border>
    <border>
      <top style="medium">
        <color rgb="FF000000"/>
      </top>
    </border>
    <border>
      <left style="medium">
        <color rgb="FF000000"/>
      </left>
      <top style="thin">
        <color rgb="FFFFFFFF"/>
      </top>
      <bottom style="thin">
        <color rgb="FFFFFFFF"/>
      </bottom>
    </border>
    <border>
      <right style="medium">
        <color rgb="FF000000"/>
      </right>
      <bottom style="thin">
        <color rgb="FFFFFFFF"/>
      </bottom>
    </border>
    <border>
      <left style="thin">
        <color rgb="FFFFFFFF"/>
      </left>
      <bottom style="thin">
        <color rgb="FFFFFFFF"/>
      </bottom>
    </border>
    <border>
      <left style="medium">
        <color rgb="FF000000"/>
      </left>
      <top style="thin">
        <color rgb="FFFFFFFF"/>
      </top>
      <bottom style="medium">
        <color rgb="FF000000"/>
      </bottom>
    </border>
    <border>
      <right style="thin">
        <color rgb="FFFFFFFF"/>
      </right>
      <top style="thin">
        <color rgb="FFFFFFFF"/>
      </top>
      <bottom style="medium">
        <color rgb="FF000000"/>
      </bottom>
    </border>
    <border>
      <left style="thin">
        <color rgb="FFFFFFFF"/>
      </left>
      <top style="thin">
        <color rgb="FFFFFFFF"/>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D9D9D9"/>
      </left>
      <right style="thin">
        <color rgb="FFD9D9D9"/>
      </right>
      <bottom style="thin">
        <color rgb="FFFFFFFF"/>
      </bottom>
    </border>
    <border>
      <left style="medium">
        <color rgb="FF000000"/>
      </left>
      <right style="thin">
        <color rgb="FF000000"/>
      </right>
      <top style="medium">
        <color rgb="FF000000"/>
      </top>
      <bottom style="thin">
        <color rgb="FFFFFFFF"/>
      </bottom>
    </border>
    <border>
      <left style="thin">
        <color rgb="FF000000"/>
      </left>
      <right style="thin">
        <color rgb="FF000000"/>
      </right>
      <top style="medium">
        <color rgb="FF000000"/>
      </top>
      <bottom style="thin">
        <color rgb="FFFFFFFF"/>
      </bottom>
    </border>
    <border>
      <left style="thin">
        <color rgb="FF000000"/>
      </left>
      <right style="medium">
        <color rgb="FF000000"/>
      </right>
      <top style="medium">
        <color rgb="FF000000"/>
      </top>
      <bottom style="thin">
        <color rgb="FFFFFFFF"/>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FFFFFF"/>
      </bottom>
    </border>
    <border>
      <left style="thin">
        <color rgb="FF000000"/>
      </left>
      <right style="thin">
        <color rgb="FF000000"/>
      </right>
      <bottom style="thin">
        <color rgb="FF000000"/>
      </bottom>
    </border>
  </borders>
  <cellStyleXfs count="1">
    <xf borderId="0" fillId="0" fontId="0" numFmtId="0" applyAlignment="1" applyFont="1"/>
  </cellStyleXfs>
  <cellXfs count="48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0" fontId="3" numFmtId="0" xfId="0" applyBorder="1" applyFont="1"/>
    <xf borderId="5" fillId="0" fontId="3" numFmtId="0" xfId="0" applyBorder="1" applyFont="1"/>
    <xf borderId="6" fillId="3" fontId="4" numFmtId="164" xfId="0" applyAlignment="1" applyBorder="1" applyFill="1" applyFont="1" applyNumberFormat="1">
      <alignment horizontal="center" readingOrder="0"/>
    </xf>
    <xf borderId="7" fillId="0" fontId="2" numFmtId="0" xfId="0" applyBorder="1" applyFont="1"/>
    <xf borderId="8" fillId="0" fontId="2" numFmtId="0" xfId="0" applyBorder="1" applyFont="1"/>
    <xf borderId="5" fillId="0" fontId="3" numFmtId="0" xfId="0" applyAlignment="1" applyBorder="1" applyFont="1">
      <alignment readingOrder="0"/>
    </xf>
    <xf borderId="9" fillId="0" fontId="3" numFmtId="0" xfId="0" applyBorder="1" applyFont="1"/>
    <xf borderId="10" fillId="0" fontId="3" numFmtId="0" xfId="0" applyBorder="1" applyFont="1"/>
    <xf borderId="10" fillId="0" fontId="3" numFmtId="165" xfId="0" applyBorder="1" applyFont="1" applyNumberFormat="1"/>
    <xf borderId="10" fillId="0" fontId="3" numFmtId="166" xfId="0" applyBorder="1" applyFont="1" applyNumberFormat="1"/>
    <xf borderId="11" fillId="0" fontId="3" numFmtId="0" xfId="0" applyBorder="1" applyFont="1"/>
    <xf borderId="12" fillId="0" fontId="3" numFmtId="0" xfId="0" applyBorder="1" applyFont="1"/>
    <xf borderId="13" fillId="0" fontId="3" numFmtId="0" xfId="0" applyBorder="1" applyFont="1"/>
    <xf borderId="5" fillId="0" fontId="3" numFmtId="164" xfId="0" applyAlignment="1" applyBorder="1" applyFont="1" applyNumberFormat="1">
      <alignment readingOrder="0"/>
    </xf>
    <xf borderId="6" fillId="0" fontId="3" numFmtId="0" xfId="0" applyBorder="1" applyFont="1"/>
    <xf borderId="14" fillId="3" fontId="5" numFmtId="0" xfId="0" applyAlignment="1" applyBorder="1" applyFont="1">
      <alignment readingOrder="0"/>
    </xf>
    <xf borderId="14" fillId="3" fontId="5" numFmtId="165" xfId="0" applyAlignment="1" applyBorder="1" applyFont="1" applyNumberFormat="1">
      <alignment readingOrder="0"/>
    </xf>
    <xf borderId="14" fillId="3" fontId="5" numFmtId="0" xfId="0" applyAlignment="1" applyBorder="1" applyFont="1">
      <alignment readingOrder="0" shrinkToFit="0" wrapText="0"/>
    </xf>
    <xf borderId="7" fillId="0" fontId="3" numFmtId="0" xfId="0" applyAlignment="1" applyBorder="1" applyFont="1">
      <alignment readingOrder="0"/>
    </xf>
    <xf borderId="15" fillId="3" fontId="5" numFmtId="0" xfId="0" applyAlignment="1" applyBorder="1" applyFont="1">
      <alignment readingOrder="0"/>
    </xf>
    <xf borderId="15" fillId="3" fontId="5" numFmtId="165" xfId="0" applyAlignment="1" applyBorder="1" applyFont="1" applyNumberFormat="1">
      <alignment readingOrder="0"/>
    </xf>
    <xf borderId="15" fillId="3" fontId="5" numFmtId="166" xfId="0" applyAlignment="1" applyBorder="1" applyFont="1" applyNumberFormat="1">
      <alignment readingOrder="0"/>
    </xf>
    <xf borderId="16" fillId="0" fontId="3" numFmtId="0" xfId="0" applyBorder="1" applyFont="1"/>
    <xf borderId="17" fillId="3" fontId="5" numFmtId="0" xfId="0" applyAlignment="1" applyBorder="1" applyFont="1">
      <alignment horizontal="center" readingOrder="0"/>
    </xf>
    <xf borderId="18" fillId="0" fontId="2" numFmtId="0" xfId="0" applyBorder="1" applyFont="1"/>
    <xf borderId="19" fillId="0" fontId="2" numFmtId="0" xfId="0" applyBorder="1" applyFont="1"/>
    <xf borderId="20" fillId="0" fontId="3" numFmtId="0" xfId="0" applyBorder="1" applyFont="1"/>
    <xf borderId="21" fillId="0" fontId="6" numFmtId="3" xfId="0" applyAlignment="1" applyBorder="1" applyFont="1" applyNumberFormat="1">
      <alignment horizontal="center" vertical="bottom"/>
    </xf>
    <xf borderId="22" fillId="0" fontId="6" numFmtId="165" xfId="0" applyAlignment="1" applyBorder="1" applyFont="1" applyNumberFormat="1">
      <alignment vertical="bottom"/>
    </xf>
    <xf borderId="22" fillId="0" fontId="6" numFmtId="165" xfId="0" applyAlignment="1" applyBorder="1" applyFont="1" applyNumberFormat="1">
      <alignment horizontal="right" vertical="bottom"/>
    </xf>
    <xf borderId="23" fillId="0" fontId="3" numFmtId="165" xfId="0" applyAlignment="1" applyBorder="1" applyFont="1" applyNumberFormat="1">
      <alignment readingOrder="0"/>
    </xf>
    <xf borderId="7" fillId="0" fontId="3" numFmtId="0" xfId="0" applyBorder="1" applyFont="1"/>
    <xf borderId="24" fillId="4" fontId="3" numFmtId="0" xfId="0" applyAlignment="1" applyBorder="1" applyFill="1" applyFont="1">
      <alignment readingOrder="0"/>
    </xf>
    <xf borderId="24" fillId="0" fontId="3" numFmtId="165" xfId="0" applyAlignment="1" applyBorder="1" applyFont="1" applyNumberFormat="1">
      <alignment readingOrder="0"/>
    </xf>
    <xf borderId="24" fillId="0" fontId="3" numFmtId="166" xfId="0" applyBorder="1" applyFont="1" applyNumberFormat="1"/>
    <xf borderId="25" fillId="0" fontId="3" numFmtId="0" xfId="0" applyAlignment="1" applyBorder="1" applyFont="1">
      <alignment readingOrder="0"/>
    </xf>
    <xf borderId="26" fillId="0" fontId="6" numFmtId="3" xfId="0" applyAlignment="1" applyBorder="1" applyFont="1" applyNumberFormat="1">
      <alignment horizontal="center" vertical="bottom"/>
    </xf>
    <xf borderId="27" fillId="0" fontId="6" numFmtId="165" xfId="0" applyAlignment="1" applyBorder="1" applyFont="1" applyNumberFormat="1">
      <alignment vertical="bottom"/>
    </xf>
    <xf borderId="27" fillId="0" fontId="6" numFmtId="166" xfId="0" applyAlignment="1" applyBorder="1" applyFont="1" applyNumberFormat="1">
      <alignment horizontal="right" vertical="bottom"/>
    </xf>
    <xf borderId="28" fillId="0" fontId="3" numFmtId="166" xfId="0" applyAlignment="1" applyBorder="1" applyFont="1" applyNumberFormat="1">
      <alignment readingOrder="0"/>
    </xf>
    <xf borderId="29" fillId="0" fontId="3" numFmtId="0" xfId="0" applyBorder="1" applyFont="1"/>
    <xf borderId="29" fillId="0" fontId="3" numFmtId="10" xfId="0" applyBorder="1" applyFont="1" applyNumberFormat="1"/>
    <xf borderId="21" fillId="0" fontId="6" numFmtId="164" xfId="0" applyAlignment="1" applyBorder="1" applyFont="1" applyNumberFormat="1">
      <alignment horizontal="right" vertical="bottom"/>
    </xf>
    <xf borderId="24" fillId="0" fontId="3" numFmtId="165" xfId="0" applyBorder="1" applyFont="1" applyNumberFormat="1"/>
    <xf borderId="12" fillId="0" fontId="4" numFmtId="164" xfId="0" applyAlignment="1" applyBorder="1" applyFont="1" applyNumberFormat="1">
      <alignment readingOrder="0"/>
    </xf>
    <xf borderId="30" fillId="0" fontId="6" numFmtId="164" xfId="0" applyAlignment="1" applyBorder="1" applyFont="1" applyNumberFormat="1">
      <alignment horizontal="right" vertical="bottom"/>
    </xf>
    <xf borderId="5" fillId="0" fontId="6" numFmtId="165" xfId="0" applyAlignment="1" applyBorder="1" applyFont="1" applyNumberFormat="1">
      <alignment vertical="bottom"/>
    </xf>
    <xf borderId="5" fillId="0" fontId="6" numFmtId="165" xfId="0" applyAlignment="1" applyBorder="1" applyFont="1" applyNumberFormat="1">
      <alignment horizontal="right" vertical="bottom"/>
    </xf>
    <xf borderId="31" fillId="0" fontId="3" numFmtId="165" xfId="0" applyAlignment="1" applyBorder="1" applyFont="1" applyNumberFormat="1">
      <alignment readingOrder="0"/>
    </xf>
    <xf borderId="32" fillId="3" fontId="5" numFmtId="0" xfId="0" applyAlignment="1" applyBorder="1" applyFont="1">
      <alignment readingOrder="0"/>
    </xf>
    <xf borderId="33" fillId="0" fontId="3" numFmtId="0" xfId="0" applyBorder="1" applyFont="1"/>
    <xf borderId="30" fillId="0" fontId="6" numFmtId="167" xfId="0" applyAlignment="1" applyBorder="1" applyFont="1" applyNumberFormat="1">
      <alignment horizontal="right" vertical="bottom"/>
    </xf>
    <xf borderId="34" fillId="0" fontId="3" numFmtId="165" xfId="0" applyBorder="1" applyFont="1" applyNumberFormat="1"/>
    <xf borderId="29" fillId="0" fontId="3" numFmtId="165" xfId="0" applyBorder="1" applyFont="1" applyNumberFormat="1"/>
    <xf borderId="29" fillId="0" fontId="3" numFmtId="165" xfId="0" applyAlignment="1" applyBorder="1" applyFont="1" applyNumberFormat="1">
      <alignment readingOrder="0"/>
    </xf>
    <xf borderId="22" fillId="0" fontId="3" numFmtId="165" xfId="0" applyBorder="1" applyFont="1" applyNumberFormat="1"/>
    <xf borderId="22" fillId="0" fontId="3" numFmtId="0" xfId="0" applyBorder="1" applyFont="1"/>
    <xf borderId="35" fillId="0" fontId="3" numFmtId="0" xfId="0" applyBorder="1" applyFont="1"/>
    <xf borderId="12" fillId="0" fontId="3" numFmtId="10" xfId="0" applyAlignment="1" applyBorder="1" applyFont="1" applyNumberFormat="1">
      <alignment readingOrder="0"/>
    </xf>
    <xf borderId="30" fillId="0" fontId="3" numFmtId="164" xfId="0" applyAlignment="1" applyBorder="1" applyFont="1" applyNumberFormat="1">
      <alignment readingOrder="0"/>
    </xf>
    <xf borderId="5" fillId="0" fontId="3" numFmtId="165" xfId="0" applyBorder="1" applyFont="1" applyNumberFormat="1"/>
    <xf borderId="5" fillId="0" fontId="3" numFmtId="165" xfId="0" applyAlignment="1" applyBorder="1" applyFont="1" applyNumberFormat="1">
      <alignment readingOrder="0"/>
    </xf>
    <xf borderId="36" fillId="0" fontId="3" numFmtId="0" xfId="0" applyBorder="1" applyFont="1"/>
    <xf borderId="10" fillId="0" fontId="3" numFmtId="10" xfId="0" applyBorder="1" applyFont="1" applyNumberFormat="1"/>
    <xf borderId="19" fillId="0" fontId="3" numFmtId="0" xfId="0" applyBorder="1" applyFont="1"/>
    <xf borderId="37" fillId="0" fontId="3" numFmtId="0" xfId="0" applyBorder="1" applyFont="1"/>
    <xf borderId="38" fillId="0" fontId="3" numFmtId="0" xfId="0" applyBorder="1" applyFont="1"/>
    <xf borderId="39" fillId="0" fontId="3" numFmtId="0" xfId="0" applyBorder="1" applyFont="1"/>
    <xf borderId="30" fillId="0" fontId="3" numFmtId="167" xfId="0" applyAlignment="1" applyBorder="1" applyFont="1" applyNumberFormat="1">
      <alignment readingOrder="0"/>
    </xf>
    <xf borderId="24" fillId="0" fontId="7" numFmtId="165" xfId="0" applyBorder="1" applyFont="1" applyNumberFormat="1"/>
    <xf borderId="24" fillId="5" fontId="7" numFmtId="0" xfId="0" applyAlignment="1" applyBorder="1" applyFill="1" applyFont="1">
      <alignment readingOrder="0"/>
    </xf>
    <xf borderId="40" fillId="0" fontId="3" numFmtId="0" xfId="0" applyBorder="1" applyFont="1"/>
    <xf borderId="26" fillId="0" fontId="3" numFmtId="167" xfId="0" applyAlignment="1" applyBorder="1" applyFont="1" applyNumberFormat="1">
      <alignment readingOrder="0"/>
    </xf>
    <xf borderId="27" fillId="0" fontId="3" numFmtId="165" xfId="0" applyBorder="1" applyFont="1" applyNumberFormat="1"/>
    <xf borderId="27" fillId="0" fontId="3" numFmtId="165" xfId="0" applyAlignment="1" applyBorder="1" applyFont="1" applyNumberFormat="1">
      <alignment readingOrder="0"/>
    </xf>
    <xf borderId="28" fillId="0" fontId="3" numFmtId="165" xfId="0" applyAlignment="1" applyBorder="1" applyFont="1" applyNumberFormat="1">
      <alignment readingOrder="0"/>
    </xf>
    <xf borderId="24" fillId="6" fontId="3" numFmtId="0" xfId="0" applyAlignment="1" applyBorder="1" applyFill="1" applyFont="1">
      <alignment readingOrder="0"/>
    </xf>
    <xf borderId="41" fillId="0" fontId="3" numFmtId="0" xfId="0" applyBorder="1" applyFont="1"/>
    <xf borderId="42" fillId="0" fontId="3" numFmtId="0" xfId="0" applyBorder="1" applyFont="1"/>
    <xf borderId="43" fillId="0" fontId="3" numFmtId="0" xfId="0" applyBorder="1" applyFont="1"/>
    <xf borderId="44" fillId="0" fontId="3" numFmtId="0" xfId="0" applyBorder="1" applyFont="1"/>
    <xf borderId="45" fillId="0" fontId="3" numFmtId="0" xfId="0" applyBorder="1" applyFont="1"/>
    <xf borderId="46" fillId="0" fontId="3" numFmtId="0" xfId="0" applyBorder="1" applyFont="1"/>
    <xf borderId="46" fillId="0" fontId="3" numFmtId="165" xfId="0" applyBorder="1" applyFont="1" applyNumberFormat="1"/>
    <xf borderId="47" fillId="0" fontId="3" numFmtId="0" xfId="0" applyBorder="1" applyFont="1"/>
    <xf borderId="48" fillId="6" fontId="3" numFmtId="0" xfId="0" applyAlignment="1" applyBorder="1" applyFont="1">
      <alignment readingOrder="0"/>
    </xf>
    <xf borderId="48" fillId="0" fontId="3" numFmtId="165" xfId="0" applyBorder="1" applyFont="1" applyNumberFormat="1"/>
    <xf borderId="48" fillId="0" fontId="3" numFmtId="165" xfId="0" applyAlignment="1" applyBorder="1" applyFont="1" applyNumberFormat="1">
      <alignment readingOrder="0"/>
    </xf>
    <xf borderId="48" fillId="0" fontId="3" numFmtId="166" xfId="0" applyBorder="1" applyFont="1" applyNumberFormat="1"/>
    <xf borderId="49" fillId="0" fontId="3" numFmtId="0" xfId="0" applyBorder="1" applyFont="1"/>
    <xf borderId="50" fillId="0" fontId="3" numFmtId="0" xfId="0" applyBorder="1" applyFont="1"/>
    <xf borderId="22" fillId="0" fontId="3" numFmtId="166" xfId="0" applyBorder="1" applyFont="1" applyNumberFormat="1"/>
    <xf borderId="5" fillId="0" fontId="3" numFmtId="166" xfId="0" applyBorder="1" applyFont="1" applyNumberFormat="1"/>
    <xf borderId="0" fillId="0" fontId="3" numFmtId="0" xfId="0" applyFont="1"/>
    <xf borderId="0" fillId="0" fontId="8" numFmtId="165" xfId="0" applyFont="1" applyNumberFormat="1"/>
    <xf borderId="0" fillId="0" fontId="3" numFmtId="165" xfId="0" applyFont="1" applyNumberFormat="1"/>
    <xf borderId="0" fillId="0" fontId="3" numFmtId="166" xfId="0" applyFont="1" applyNumberFormat="1"/>
    <xf borderId="51" fillId="3" fontId="5" numFmtId="0" xfId="0" applyAlignment="1" applyBorder="1" applyFont="1">
      <alignment readingOrder="0"/>
    </xf>
    <xf borderId="34" fillId="3" fontId="5" numFmtId="165" xfId="0" applyAlignment="1" applyBorder="1" applyFont="1" applyNumberFormat="1">
      <alignment readingOrder="0"/>
    </xf>
    <xf borderId="52" fillId="3" fontId="5" numFmtId="165" xfId="0" applyAlignment="1" applyBorder="1" applyFont="1" applyNumberFormat="1">
      <alignment readingOrder="0" shrinkToFit="0" wrapText="0"/>
    </xf>
    <xf borderId="53" fillId="7" fontId="9" numFmtId="0" xfId="0" applyAlignment="1" applyBorder="1" applyFill="1" applyFont="1">
      <alignment horizontal="center" readingOrder="0" vertical="bottom"/>
    </xf>
    <xf borderId="53" fillId="8" fontId="9" numFmtId="165" xfId="0" applyAlignment="1" applyBorder="1" applyFill="1" applyFont="1" applyNumberFormat="1">
      <alignment horizontal="center" vertical="bottom"/>
    </xf>
    <xf borderId="53" fillId="8" fontId="9" numFmtId="168" xfId="0" applyAlignment="1" applyBorder="1" applyFont="1" applyNumberFormat="1">
      <alignment horizontal="center" vertical="bottom"/>
    </xf>
    <xf borderId="54" fillId="8" fontId="9" numFmtId="165" xfId="0" applyAlignment="1" applyBorder="1" applyFont="1" applyNumberFormat="1">
      <alignment horizontal="center" vertical="bottom"/>
    </xf>
    <xf borderId="4" fillId="0" fontId="10" numFmtId="0" xfId="0" applyBorder="1" applyFont="1"/>
    <xf borderId="5" fillId="0" fontId="10" numFmtId="0" xfId="0" applyBorder="1" applyFont="1"/>
    <xf borderId="29" fillId="0" fontId="3" numFmtId="3" xfId="0" applyAlignment="1" applyBorder="1" applyFont="1" applyNumberFormat="1">
      <alignment horizontal="center" readingOrder="0"/>
    </xf>
    <xf borderId="29" fillId="0" fontId="3" numFmtId="169" xfId="0" applyBorder="1" applyFont="1" applyNumberFormat="1"/>
    <xf borderId="55" fillId="0" fontId="3" numFmtId="169" xfId="0" applyBorder="1" applyFont="1" applyNumberFormat="1"/>
    <xf borderId="55" fillId="0" fontId="3" numFmtId="10" xfId="0" applyBorder="1" applyFont="1" applyNumberFormat="1"/>
    <xf borderId="51" fillId="0" fontId="3" numFmtId="164" xfId="0" applyAlignment="1" applyBorder="1" applyFont="1" applyNumberFormat="1">
      <alignment readingOrder="0"/>
    </xf>
    <xf borderId="56" fillId="0" fontId="3" numFmtId="165" xfId="0" applyBorder="1" applyFont="1" applyNumberFormat="1"/>
    <xf borderId="16" fillId="9" fontId="3" numFmtId="170" xfId="0" applyAlignment="1" applyBorder="1" applyFill="1" applyFont="1" applyNumberFormat="1">
      <alignment readingOrder="0"/>
    </xf>
    <xf borderId="16" fillId="9" fontId="3" numFmtId="171" xfId="0" applyAlignment="1" applyBorder="1" applyFont="1" applyNumberFormat="1">
      <alignment readingOrder="0"/>
    </xf>
    <xf borderId="34" fillId="9" fontId="3" numFmtId="165" xfId="0" applyBorder="1" applyFont="1" applyNumberFormat="1"/>
    <xf borderId="52" fillId="8" fontId="3" numFmtId="165" xfId="0" applyBorder="1" applyFont="1" applyNumberFormat="1"/>
    <xf borderId="8" fillId="0" fontId="3" numFmtId="10" xfId="0" applyAlignment="1" applyBorder="1" applyFont="1" applyNumberFormat="1">
      <alignment readingOrder="0"/>
    </xf>
    <xf borderId="56" fillId="0" fontId="3" numFmtId="165" xfId="0" applyAlignment="1" applyBorder="1" applyFont="1" applyNumberFormat="1">
      <alignment readingOrder="0"/>
    </xf>
    <xf borderId="4" fillId="0" fontId="3" numFmtId="10" xfId="0" applyBorder="1" applyFont="1" applyNumberFormat="1"/>
    <xf borderId="5" fillId="0" fontId="3" numFmtId="10" xfId="0" applyBorder="1" applyFont="1" applyNumberFormat="1"/>
    <xf borderId="5" fillId="0" fontId="3" numFmtId="172" xfId="0" applyBorder="1" applyFont="1" applyNumberFormat="1"/>
    <xf borderId="4" fillId="0" fontId="3" numFmtId="0" xfId="0" applyAlignment="1" applyBorder="1" applyFont="1">
      <alignment readingOrder="0"/>
    </xf>
    <xf borderId="57" fillId="0" fontId="3" numFmtId="165" xfId="0" applyBorder="1" applyFont="1" applyNumberFormat="1"/>
    <xf borderId="58" fillId="0" fontId="3" numFmtId="165" xfId="0" applyBorder="1" applyFont="1" applyNumberFormat="1"/>
    <xf borderId="58" fillId="0" fontId="3" numFmtId="165" xfId="0" applyAlignment="1" applyBorder="1" applyFont="1" applyNumberFormat="1">
      <alignment readingOrder="0"/>
    </xf>
    <xf borderId="34" fillId="9" fontId="3" numFmtId="165" xfId="0" applyAlignment="1" applyBorder="1" applyFont="1" applyNumberFormat="1">
      <alignment readingOrder="0"/>
    </xf>
    <xf borderId="34" fillId="8" fontId="3" numFmtId="165" xfId="0" applyBorder="1" applyFont="1" applyNumberFormat="1"/>
    <xf borderId="16" fillId="8" fontId="3" numFmtId="170" xfId="0" applyAlignment="1" applyBorder="1" applyFont="1" applyNumberFormat="1">
      <alignment readingOrder="0"/>
    </xf>
    <xf borderId="34" fillId="0" fontId="3" numFmtId="165" xfId="0" applyAlignment="1" applyBorder="1" applyFont="1" applyNumberFormat="1">
      <alignment readingOrder="0"/>
    </xf>
    <xf borderId="51" fillId="10" fontId="3" numFmtId="164" xfId="0" applyAlignment="1" applyBorder="1" applyFill="1" applyFont="1" applyNumberFormat="1">
      <alignment readingOrder="0"/>
    </xf>
    <xf borderId="51" fillId="11" fontId="3" numFmtId="164" xfId="0" applyAlignment="1" applyBorder="1" applyFill="1" applyFont="1" applyNumberFormat="1">
      <alignment readingOrder="0"/>
    </xf>
    <xf borderId="58" fillId="8" fontId="3" numFmtId="165" xfId="0" applyBorder="1" applyFont="1" applyNumberFormat="1"/>
    <xf borderId="16" fillId="0" fontId="3" numFmtId="170" xfId="0" applyAlignment="1" applyBorder="1" applyFont="1" applyNumberFormat="1">
      <alignment readingOrder="0"/>
    </xf>
    <xf borderId="52" fillId="0" fontId="3" numFmtId="165" xfId="0" applyBorder="1" applyFont="1" applyNumberFormat="1"/>
    <xf borderId="16" fillId="0" fontId="3" numFmtId="165" xfId="0" applyBorder="1" applyFont="1" applyNumberFormat="1"/>
    <xf borderId="34" fillId="8" fontId="3" numFmtId="165" xfId="0" applyAlignment="1" applyBorder="1" applyFont="1" applyNumberFormat="1">
      <alignment readingOrder="0"/>
    </xf>
    <xf borderId="51" fillId="8" fontId="3" numFmtId="164" xfId="0" applyAlignment="1" applyBorder="1" applyFont="1" applyNumberFormat="1">
      <alignment readingOrder="0"/>
    </xf>
    <xf borderId="52" fillId="0" fontId="3" numFmtId="165" xfId="0" applyAlignment="1" applyBorder="1" applyFont="1" applyNumberFormat="1">
      <alignment readingOrder="0"/>
    </xf>
    <xf borderId="59" fillId="8" fontId="3" numFmtId="164" xfId="0" applyAlignment="1" applyBorder="1" applyFont="1" applyNumberFormat="1">
      <alignment readingOrder="0"/>
    </xf>
    <xf borderId="60" fillId="8" fontId="3" numFmtId="165" xfId="0" applyBorder="1" applyFont="1" applyNumberFormat="1"/>
    <xf borderId="61" fillId="8" fontId="3" numFmtId="165" xfId="0" applyBorder="1" applyFont="1" applyNumberFormat="1"/>
    <xf borderId="61" fillId="8" fontId="3" numFmtId="165" xfId="0" applyAlignment="1" applyBorder="1" applyFont="1" applyNumberFormat="1">
      <alignment readingOrder="0"/>
    </xf>
    <xf borderId="62" fillId="8" fontId="3" numFmtId="165" xfId="0" applyBorder="1" applyFont="1" applyNumberFormat="1"/>
    <xf borderId="23" fillId="0" fontId="3" numFmtId="165" xfId="0" applyBorder="1" applyFont="1" applyNumberFormat="1"/>
    <xf borderId="8" fillId="0" fontId="3" numFmtId="10" xfId="0" applyBorder="1" applyFont="1" applyNumberFormat="1"/>
    <xf borderId="31" fillId="0" fontId="3" numFmtId="165" xfId="0" applyBorder="1" applyFont="1" applyNumberFormat="1"/>
    <xf borderId="63" fillId="0" fontId="3" numFmtId="10" xfId="0" applyBorder="1" applyFont="1" applyNumberFormat="1"/>
    <xf borderId="63" fillId="0" fontId="3" numFmtId="165" xfId="0" applyBorder="1" applyFont="1" applyNumberFormat="1"/>
    <xf borderId="30" fillId="3" fontId="11" numFmtId="0" xfId="0" applyAlignment="1" applyBorder="1" applyFont="1">
      <alignment readingOrder="0"/>
    </xf>
    <xf borderId="5" fillId="3" fontId="11" numFmtId="173" xfId="0" applyAlignment="1" applyBorder="1" applyFont="1" applyNumberFormat="1">
      <alignment horizontal="center" readingOrder="0"/>
    </xf>
    <xf borderId="5" fillId="3" fontId="12" numFmtId="173" xfId="0" applyAlignment="1" applyBorder="1" applyFont="1" applyNumberFormat="1">
      <alignment readingOrder="0"/>
    </xf>
    <xf borderId="31" fillId="3" fontId="12" numFmtId="173" xfId="0" applyAlignment="1" applyBorder="1" applyFont="1" applyNumberFormat="1">
      <alignment readingOrder="0"/>
    </xf>
    <xf borderId="5" fillId="3" fontId="12" numFmtId="0" xfId="0" applyAlignment="1" applyBorder="1" applyFont="1">
      <alignment readingOrder="0"/>
    </xf>
    <xf borderId="0" fillId="0" fontId="8" numFmtId="0" xfId="0" applyAlignment="1" applyFont="1">
      <alignment readingOrder="0"/>
    </xf>
    <xf borderId="64" fillId="0" fontId="6" numFmtId="174" xfId="0" applyAlignment="1" applyBorder="1" applyFont="1" applyNumberFormat="1">
      <alignment readingOrder="0"/>
    </xf>
    <xf borderId="36" fillId="0" fontId="6" numFmtId="175" xfId="0" applyAlignment="1" applyBorder="1" applyFont="1" applyNumberFormat="1">
      <alignment horizontal="center"/>
    </xf>
    <xf borderId="65" fillId="0" fontId="13" numFmtId="173" xfId="0" applyBorder="1" applyFont="1" applyNumberFormat="1"/>
    <xf borderId="26" fillId="0" fontId="13" numFmtId="173" xfId="0" applyBorder="1" applyFont="1" applyNumberFormat="1"/>
    <xf borderId="66" fillId="0" fontId="13" numFmtId="173" xfId="0" applyBorder="1" applyFont="1" applyNumberFormat="1"/>
    <xf borderId="67" fillId="0" fontId="13" numFmtId="10" xfId="0" applyBorder="1" applyFont="1" applyNumberFormat="1"/>
    <xf borderId="63" fillId="0" fontId="13" numFmtId="10" xfId="0" applyBorder="1" applyFont="1" applyNumberFormat="1"/>
    <xf borderId="0" fillId="0" fontId="8" numFmtId="175" xfId="0" applyFont="1" applyNumberFormat="1"/>
    <xf borderId="0" fillId="0" fontId="8" numFmtId="176" xfId="0" applyAlignment="1" applyFont="1" applyNumberFormat="1">
      <alignment readingOrder="0"/>
    </xf>
    <xf borderId="36" fillId="0" fontId="6" numFmtId="173" xfId="0" applyAlignment="1" applyBorder="1" applyFont="1" applyNumberFormat="1">
      <alignment horizontal="center"/>
    </xf>
    <xf borderId="0" fillId="0" fontId="8" numFmtId="173" xfId="0" applyFont="1" applyNumberFormat="1"/>
    <xf borderId="66" fillId="0" fontId="6" numFmtId="174" xfId="0" applyAlignment="1" applyBorder="1" applyFont="1" applyNumberFormat="1">
      <alignment readingOrder="0"/>
    </xf>
    <xf borderId="67" fillId="0" fontId="6" numFmtId="173" xfId="0" applyAlignment="1" applyBorder="1" applyFont="1" applyNumberFormat="1">
      <alignment horizontal="center"/>
    </xf>
    <xf borderId="68" fillId="0" fontId="6" numFmtId="173" xfId="0" applyAlignment="1" applyBorder="1" applyFont="1" applyNumberFormat="1">
      <alignment horizontal="center"/>
    </xf>
    <xf borderId="68" fillId="0" fontId="6" numFmtId="173" xfId="0" applyAlignment="1" applyBorder="1" applyFont="1" applyNumberFormat="1">
      <alignment horizontal="center" readingOrder="0"/>
    </xf>
    <xf borderId="0" fillId="0" fontId="8" numFmtId="10" xfId="0" applyFont="1" applyNumberFormat="1"/>
    <xf borderId="69" fillId="0" fontId="13" numFmtId="173" xfId="0" applyBorder="1" applyFont="1" applyNumberFormat="1"/>
    <xf borderId="70" fillId="0" fontId="13" numFmtId="173" xfId="0" applyBorder="1" applyFont="1" applyNumberFormat="1"/>
    <xf borderId="66" fillId="0" fontId="6" numFmtId="174" xfId="0" applyBorder="1" applyFont="1" applyNumberFormat="1"/>
    <xf borderId="63" fillId="0" fontId="13" numFmtId="173" xfId="0" applyBorder="1" applyFont="1" applyNumberFormat="1"/>
    <xf borderId="0" fillId="0" fontId="13" numFmtId="173" xfId="0" applyFont="1" applyNumberFormat="1"/>
    <xf borderId="71" fillId="0" fontId="13" numFmtId="173" xfId="0" applyBorder="1" applyFont="1" applyNumberFormat="1"/>
    <xf borderId="72" fillId="0" fontId="13" numFmtId="173" xfId="0" applyBorder="1" applyFont="1" applyNumberFormat="1"/>
    <xf borderId="73" fillId="0" fontId="13" numFmtId="173" xfId="0" applyBorder="1" applyFont="1" applyNumberFormat="1"/>
    <xf borderId="74" fillId="0" fontId="13" numFmtId="173" xfId="0" applyBorder="1" applyFont="1" applyNumberFormat="1"/>
    <xf borderId="75" fillId="0" fontId="13" numFmtId="173" xfId="0" applyBorder="1" applyFont="1" applyNumberFormat="1"/>
    <xf borderId="76" fillId="0" fontId="13" numFmtId="173" xfId="0" applyBorder="1" applyFont="1" applyNumberFormat="1"/>
    <xf borderId="77" fillId="0" fontId="13" numFmtId="173" xfId="0" applyBorder="1" applyFont="1" applyNumberFormat="1"/>
    <xf borderId="78" fillId="0" fontId="13" numFmtId="173" xfId="0" applyBorder="1" applyFont="1" applyNumberFormat="1"/>
    <xf borderId="79" fillId="0" fontId="13" numFmtId="173" xfId="0" applyBorder="1" applyFont="1" applyNumberFormat="1"/>
    <xf borderId="80" fillId="0" fontId="13" numFmtId="173" xfId="0" applyBorder="1" applyFont="1" applyNumberFormat="1"/>
    <xf borderId="65" fillId="0" fontId="6" numFmtId="173" xfId="0" applyAlignment="1" applyBorder="1" applyFont="1" applyNumberFormat="1">
      <alignment horizontal="center"/>
    </xf>
    <xf borderId="81" fillId="0" fontId="13" numFmtId="173" xfId="0" applyBorder="1" applyFont="1" applyNumberFormat="1"/>
    <xf borderId="67" fillId="0" fontId="13" numFmtId="173" xfId="0" applyBorder="1" applyFont="1" applyNumberFormat="1"/>
    <xf borderId="82" fillId="0" fontId="13" numFmtId="173" xfId="0" applyBorder="1" applyFont="1" applyNumberFormat="1"/>
    <xf borderId="0" fillId="0" fontId="6" numFmtId="175" xfId="0" applyAlignment="1" applyFont="1" applyNumberFormat="1">
      <alignment horizontal="center"/>
    </xf>
    <xf borderId="0" fillId="0" fontId="14" numFmtId="0" xfId="0" applyFont="1"/>
    <xf borderId="63" fillId="0" fontId="14" numFmtId="0" xfId="0" applyBorder="1" applyFont="1"/>
    <xf borderId="0" fillId="0" fontId="3" numFmtId="175" xfId="0" applyAlignment="1" applyFont="1" applyNumberFormat="1">
      <alignment horizontal="center"/>
    </xf>
    <xf borderId="0" fillId="0" fontId="3" numFmtId="175" xfId="0" applyAlignment="1" applyFont="1" applyNumberFormat="1">
      <alignment horizontal="center" readingOrder="0"/>
    </xf>
    <xf borderId="0" fillId="0" fontId="6" numFmtId="175" xfId="0" applyAlignment="1" applyFont="1" applyNumberFormat="1">
      <alignment horizontal="center" readingOrder="0"/>
    </xf>
    <xf borderId="0" fillId="0" fontId="15" numFmtId="174" xfId="0" applyFont="1" applyNumberFormat="1"/>
    <xf borderId="0" fillId="0" fontId="15" numFmtId="0" xfId="0" applyFont="1"/>
    <xf borderId="0" fillId="0" fontId="14" numFmtId="10" xfId="0" applyFont="1" applyNumberFormat="1"/>
    <xf borderId="0" fillId="0" fontId="4" numFmtId="0" xfId="0" applyAlignment="1" applyFont="1">
      <alignment readingOrder="0"/>
    </xf>
    <xf borderId="83" fillId="0" fontId="3" numFmtId="0" xfId="0" applyAlignment="1" applyBorder="1" applyFont="1">
      <alignment horizontal="center" readingOrder="0"/>
    </xf>
    <xf borderId="84" fillId="0" fontId="2" numFmtId="0" xfId="0" applyBorder="1" applyFont="1"/>
    <xf borderId="85" fillId="0" fontId="2" numFmtId="0" xfId="0" applyBorder="1" applyFont="1"/>
    <xf borderId="0" fillId="0" fontId="9" numFmtId="0" xfId="0" applyAlignment="1" applyFont="1">
      <alignment horizontal="center" readingOrder="0" vertical="bottom"/>
    </xf>
    <xf borderId="86" fillId="0" fontId="9" numFmtId="165" xfId="0" applyAlignment="1" applyBorder="1" applyFont="1" applyNumberFormat="1">
      <alignment horizontal="center" readingOrder="0" vertical="bottom"/>
    </xf>
    <xf borderId="15" fillId="0" fontId="3" numFmtId="164" xfId="0" applyAlignment="1" applyBorder="1" applyFont="1" applyNumberFormat="1">
      <alignment readingOrder="0"/>
    </xf>
    <xf borderId="0" fillId="0" fontId="9" numFmtId="165" xfId="0" applyAlignment="1" applyFont="1" applyNumberFormat="1">
      <alignment horizontal="center" vertical="bottom"/>
    </xf>
    <xf borderId="15" fillId="0" fontId="3" numFmtId="165" xfId="0" applyAlignment="1" applyBorder="1" applyFont="1" applyNumberFormat="1">
      <alignment readingOrder="0"/>
    </xf>
    <xf borderId="63" fillId="12" fontId="3" numFmtId="10" xfId="0" applyBorder="1" applyFill="1" applyFont="1" applyNumberFormat="1"/>
    <xf borderId="0" fillId="0" fontId="3" numFmtId="3" xfId="0" applyAlignment="1" applyFont="1" applyNumberFormat="1">
      <alignment horizontal="center" readingOrder="0"/>
    </xf>
    <xf borderId="86" fillId="0" fontId="3" numFmtId="0" xfId="0" applyAlignment="1" applyBorder="1" applyFont="1">
      <alignment horizontal="center" readingOrder="0"/>
    </xf>
    <xf borderId="86" fillId="0" fontId="3" numFmtId="174" xfId="0" applyBorder="1" applyFont="1" applyNumberFormat="1"/>
    <xf borderId="0" fillId="0" fontId="3" numFmtId="10" xfId="0" applyFont="1" applyNumberFormat="1"/>
    <xf borderId="86" fillId="0" fontId="3" numFmtId="165" xfId="0" applyBorder="1" applyFont="1" applyNumberFormat="1"/>
    <xf borderId="82" fillId="0" fontId="3" numFmtId="0" xfId="0" applyAlignment="1" applyBorder="1" applyFont="1">
      <alignment horizontal="center" readingOrder="0"/>
    </xf>
    <xf borderId="82" fillId="0" fontId="3" numFmtId="0" xfId="0" applyBorder="1" applyFont="1"/>
    <xf borderId="82" fillId="0" fontId="3" numFmtId="165" xfId="0" applyBorder="1" applyFont="1" applyNumberFormat="1"/>
    <xf borderId="87" fillId="0" fontId="3" numFmtId="0" xfId="0" applyBorder="1" applyFont="1"/>
    <xf borderId="0" fillId="0" fontId="8" numFmtId="177" xfId="0" applyAlignment="1" applyFont="1" applyNumberFormat="1">
      <alignment readingOrder="0"/>
    </xf>
    <xf borderId="86" fillId="0" fontId="3" numFmtId="0" xfId="0" applyAlignment="1" applyBorder="1" applyFont="1">
      <alignment readingOrder="0"/>
    </xf>
    <xf borderId="88" fillId="0" fontId="3" numFmtId="165" xfId="0" applyAlignment="1" applyBorder="1" applyFont="1" applyNumberFormat="1">
      <alignment readingOrder="0"/>
    </xf>
    <xf borderId="86" fillId="0" fontId="3" numFmtId="10" xfId="0" applyBorder="1" applyFont="1" applyNumberFormat="1"/>
    <xf borderId="82" fillId="0" fontId="3" numFmtId="0" xfId="0" applyAlignment="1" applyBorder="1" applyFont="1">
      <alignment readingOrder="0"/>
    </xf>
    <xf borderId="82" fillId="12" fontId="3" numFmtId="173" xfId="0" applyBorder="1" applyFont="1" applyNumberFormat="1"/>
    <xf borderId="89" fillId="0" fontId="3" numFmtId="165" xfId="0" applyBorder="1" applyFont="1" applyNumberFormat="1"/>
    <xf borderId="86" fillId="12" fontId="3" numFmtId="10" xfId="0" applyBorder="1" applyFont="1" applyNumberFormat="1"/>
    <xf borderId="86" fillId="0" fontId="6" numFmtId="0" xfId="0" applyAlignment="1" applyBorder="1" applyFont="1">
      <alignment readingOrder="0"/>
    </xf>
    <xf borderId="86" fillId="0" fontId="3" numFmtId="175" xfId="0" applyAlignment="1" applyBorder="1" applyFont="1" applyNumberFormat="1">
      <alignment horizontal="center"/>
    </xf>
    <xf borderId="15" fillId="0" fontId="6" numFmtId="0" xfId="0" applyAlignment="1" applyBorder="1" applyFont="1">
      <alignment readingOrder="0"/>
    </xf>
    <xf borderId="15" fillId="0" fontId="6" numFmtId="175" xfId="0" applyAlignment="1" applyBorder="1" applyFont="1" applyNumberFormat="1">
      <alignment horizontal="center"/>
    </xf>
    <xf borderId="87" fillId="12" fontId="3" numFmtId="10" xfId="0" applyBorder="1" applyFont="1" applyNumberFormat="1"/>
    <xf borderId="82" fillId="0" fontId="6" numFmtId="0" xfId="0" applyAlignment="1" applyBorder="1" applyFont="1">
      <alignment readingOrder="0"/>
    </xf>
    <xf borderId="82" fillId="12" fontId="6" numFmtId="178" xfId="0" applyAlignment="1" applyBorder="1" applyFont="1" applyNumberFormat="1">
      <alignment horizontal="center"/>
    </xf>
    <xf borderId="15" fillId="0" fontId="3" numFmtId="0" xfId="0" applyAlignment="1" applyBorder="1" applyFont="1">
      <alignment readingOrder="0"/>
    </xf>
    <xf borderId="15" fillId="0" fontId="3" numFmtId="4" xfId="0" applyAlignment="1" applyBorder="1" applyFont="1" applyNumberFormat="1">
      <alignment readingOrder="0"/>
    </xf>
    <xf borderId="82" fillId="12" fontId="3" numFmtId="10" xfId="0" applyBorder="1" applyFont="1" applyNumberFormat="1"/>
    <xf borderId="86" fillId="12" fontId="3" numFmtId="179" xfId="0" applyBorder="1" applyFont="1" applyNumberFormat="1"/>
    <xf borderId="83" fillId="0" fontId="3" numFmtId="0" xfId="0" applyAlignment="1" applyBorder="1" applyFont="1">
      <alignment readingOrder="0"/>
    </xf>
    <xf borderId="85" fillId="0" fontId="3" numFmtId="165" xfId="0" applyBorder="1" applyFont="1" applyNumberFormat="1"/>
    <xf borderId="84" fillId="0" fontId="3" numFmtId="0" xfId="0" applyBorder="1" applyFont="1"/>
    <xf borderId="82" fillId="0" fontId="3" numFmtId="179" xfId="0" applyBorder="1" applyFont="1" applyNumberFormat="1"/>
    <xf borderId="90" fillId="0" fontId="3" numFmtId="0" xfId="0" applyAlignment="1" applyBorder="1" applyFont="1">
      <alignment horizontal="center" readingOrder="0"/>
    </xf>
    <xf borderId="90" fillId="0" fontId="3" numFmtId="165" xfId="0" applyBorder="1" applyFont="1" applyNumberFormat="1"/>
    <xf borderId="90" fillId="0" fontId="3" numFmtId="0" xfId="0" applyBorder="1" applyFont="1"/>
    <xf borderId="83" fillId="3" fontId="16" numFmtId="0" xfId="0" applyAlignment="1" applyBorder="1" applyFont="1">
      <alignment horizontal="center" readingOrder="0" vertical="bottom"/>
    </xf>
    <xf borderId="0" fillId="3" fontId="17" numFmtId="165" xfId="0" applyAlignment="1" applyFont="1" applyNumberFormat="1">
      <alignment horizontal="center" readingOrder="0"/>
    </xf>
    <xf borderId="14" fillId="3" fontId="16" numFmtId="165" xfId="0" applyAlignment="1" applyBorder="1" applyFont="1" applyNumberFormat="1">
      <alignment horizontal="center" readingOrder="0" vertical="bottom"/>
    </xf>
    <xf borderId="83" fillId="3" fontId="16" numFmtId="165" xfId="0" applyAlignment="1" applyBorder="1" applyFont="1" applyNumberFormat="1">
      <alignment horizontal="center" vertical="bottom"/>
    </xf>
    <xf borderId="0" fillId="3" fontId="16" numFmtId="165" xfId="0" applyAlignment="1" applyFont="1" applyNumberFormat="1">
      <alignment horizontal="center" readingOrder="0" vertical="bottom"/>
    </xf>
    <xf borderId="0" fillId="3" fontId="16" numFmtId="165" xfId="0" applyAlignment="1" applyFont="1" applyNumberFormat="1">
      <alignment horizontal="center" vertical="bottom"/>
    </xf>
    <xf borderId="0" fillId="3" fontId="18" numFmtId="165" xfId="0" applyAlignment="1" applyFont="1" applyNumberFormat="1">
      <alignment horizontal="center" readingOrder="0" vertical="bottom"/>
    </xf>
    <xf borderId="4" fillId="3" fontId="17" numFmtId="165" xfId="0" applyAlignment="1" applyBorder="1" applyFont="1" applyNumberFormat="1">
      <alignment horizontal="center" readingOrder="0"/>
    </xf>
    <xf borderId="4" fillId="3" fontId="19" numFmtId="10" xfId="0" applyAlignment="1" applyBorder="1" applyFont="1" applyNumberFormat="1">
      <alignment horizontal="center" readingOrder="0"/>
    </xf>
    <xf borderId="0" fillId="3" fontId="19" numFmtId="165" xfId="0" applyAlignment="1" applyFont="1" applyNumberFormat="1">
      <alignment horizontal="center" readingOrder="0"/>
    </xf>
    <xf borderId="89" fillId="7" fontId="20" numFmtId="0" xfId="0" applyAlignment="1" applyBorder="1" applyFont="1">
      <alignment horizontal="center" readingOrder="0" vertical="bottom"/>
    </xf>
    <xf borderId="0" fillId="8" fontId="21" numFmtId="165" xfId="0" applyAlignment="1" applyFont="1" applyNumberFormat="1">
      <alignment horizontal="center" vertical="bottom"/>
    </xf>
    <xf borderId="0" fillId="8" fontId="20" numFmtId="165" xfId="0" applyAlignment="1" applyFont="1" applyNumberFormat="1">
      <alignment horizontal="center" vertical="bottom"/>
    </xf>
    <xf borderId="0" fillId="8" fontId="22" numFmtId="10" xfId="0" applyAlignment="1" applyFont="1" applyNumberFormat="1">
      <alignment horizontal="center" vertical="bottom"/>
    </xf>
    <xf borderId="0" fillId="8" fontId="22" numFmtId="3" xfId="0" applyAlignment="1" applyFont="1" applyNumberFormat="1">
      <alignment horizontal="center" vertical="bottom"/>
    </xf>
    <xf borderId="0" fillId="8" fontId="21" numFmtId="10" xfId="0" applyAlignment="1" applyFont="1" applyNumberFormat="1">
      <alignment horizontal="center" vertical="bottom"/>
    </xf>
    <xf borderId="0" fillId="8" fontId="20" numFmtId="10" xfId="0" applyAlignment="1" applyFont="1" applyNumberFormat="1">
      <alignment horizontal="center" vertical="bottom"/>
    </xf>
    <xf borderId="91" fillId="0" fontId="20" numFmtId="177" xfId="0" applyAlignment="1" applyBorder="1" applyFont="1" applyNumberFormat="1">
      <alignment horizontal="center" vertical="bottom"/>
    </xf>
    <xf borderId="0" fillId="0" fontId="23" numFmtId="165" xfId="0" applyAlignment="1" applyFont="1" applyNumberFormat="1">
      <alignment horizontal="center" readingOrder="0"/>
    </xf>
    <xf borderId="0" fillId="0" fontId="20" numFmtId="165" xfId="0" applyAlignment="1" applyFont="1" applyNumberFormat="1">
      <alignment horizontal="center" vertical="bottom"/>
    </xf>
    <xf borderId="0" fillId="8" fontId="20" numFmtId="165" xfId="0" applyAlignment="1" applyFont="1" applyNumberFormat="1">
      <alignment horizontal="center" readingOrder="0" vertical="bottom"/>
    </xf>
    <xf borderId="0" fillId="9" fontId="20" numFmtId="165" xfId="0" applyAlignment="1" applyFont="1" applyNumberFormat="1">
      <alignment horizontal="center" vertical="bottom"/>
    </xf>
    <xf borderId="0" fillId="0" fontId="23" numFmtId="165" xfId="0" applyAlignment="1" applyFont="1" applyNumberFormat="1">
      <alignment horizontal="center"/>
    </xf>
    <xf borderId="0" fillId="0" fontId="20" numFmtId="165" xfId="0" applyAlignment="1" applyFont="1" applyNumberFormat="1">
      <alignment horizontal="center" readingOrder="0" vertical="bottom"/>
    </xf>
    <xf borderId="0" fillId="13" fontId="20" numFmtId="165" xfId="0" applyAlignment="1" applyFill="1" applyFont="1" applyNumberFormat="1">
      <alignment horizontal="center" vertical="bottom"/>
    </xf>
    <xf borderId="0" fillId="0" fontId="24" numFmtId="165" xfId="0" applyAlignment="1" applyFont="1" applyNumberFormat="1">
      <alignment horizontal="center"/>
    </xf>
    <xf borderId="0" fillId="0" fontId="25" numFmtId="10" xfId="0" applyFont="1" applyNumberFormat="1"/>
    <xf borderId="0" fillId="0" fontId="25" numFmtId="165" xfId="0" applyFont="1" applyNumberFormat="1"/>
    <xf borderId="91" fillId="14" fontId="20" numFmtId="177" xfId="0" applyAlignment="1" applyBorder="1" applyFill="1" applyFont="1" applyNumberFormat="1">
      <alignment horizontal="center" vertical="bottom"/>
    </xf>
    <xf borderId="91" fillId="9" fontId="20" numFmtId="177" xfId="0" applyAlignment="1" applyBorder="1" applyFont="1" applyNumberFormat="1">
      <alignment horizontal="center" vertical="bottom"/>
    </xf>
    <xf borderId="23" fillId="0" fontId="20" numFmtId="165" xfId="0" applyAlignment="1" applyBorder="1" applyFont="1" applyNumberFormat="1">
      <alignment horizontal="center" vertical="bottom"/>
    </xf>
    <xf borderId="22" fillId="9" fontId="20" numFmtId="165" xfId="0" applyAlignment="1" applyBorder="1" applyFont="1" applyNumberFormat="1">
      <alignment horizontal="center" vertical="bottom"/>
    </xf>
    <xf borderId="22" fillId="0" fontId="20" numFmtId="165" xfId="0" applyAlignment="1" applyBorder="1" applyFont="1" applyNumberFormat="1">
      <alignment horizontal="center" vertical="bottom"/>
    </xf>
    <xf borderId="92" fillId="13" fontId="20" numFmtId="165" xfId="0" applyAlignment="1" applyBorder="1" applyFont="1" applyNumberFormat="1">
      <alignment horizontal="center" vertical="bottom"/>
    </xf>
    <xf borderId="5" fillId="8" fontId="20" numFmtId="165" xfId="0" applyAlignment="1" applyBorder="1" applyFont="1" applyNumberFormat="1">
      <alignment horizontal="center" vertical="bottom"/>
    </xf>
    <xf borderId="0" fillId="9" fontId="20" numFmtId="165" xfId="0" applyAlignment="1" applyFont="1" applyNumberFormat="1">
      <alignment horizontal="center" readingOrder="0" vertical="bottom"/>
    </xf>
    <xf borderId="4" fillId="0" fontId="24" numFmtId="165" xfId="0" applyAlignment="1" applyBorder="1" applyFont="1" applyNumberFormat="1">
      <alignment horizontal="center"/>
    </xf>
    <xf borderId="91" fillId="15" fontId="20" numFmtId="177" xfId="0" applyAlignment="1" applyBorder="1" applyFill="1" applyFont="1" applyNumberFormat="1">
      <alignment horizontal="center" vertical="bottom"/>
    </xf>
    <xf borderId="91" fillId="16" fontId="20" numFmtId="177" xfId="0" applyAlignment="1" applyBorder="1" applyFill="1" applyFont="1" applyNumberFormat="1">
      <alignment horizontal="center" vertical="bottom"/>
    </xf>
    <xf borderId="5" fillId="0" fontId="20" numFmtId="165" xfId="0" applyAlignment="1" applyBorder="1" applyFont="1" applyNumberFormat="1">
      <alignment horizontal="center" vertical="bottom"/>
    </xf>
    <xf borderId="5" fillId="8" fontId="20" numFmtId="165" xfId="0" applyAlignment="1" applyBorder="1" applyFont="1" applyNumberFormat="1">
      <alignment horizontal="center" readingOrder="0" vertical="bottom"/>
    </xf>
    <xf borderId="0" fillId="0" fontId="20" numFmtId="10" xfId="0" applyAlignment="1" applyFont="1" applyNumberFormat="1">
      <alignment horizontal="center" vertical="bottom"/>
    </xf>
    <xf borderId="22" fillId="0" fontId="20" numFmtId="165" xfId="0" applyAlignment="1" applyBorder="1" applyFont="1" applyNumberFormat="1">
      <alignment horizontal="center" readingOrder="0" vertical="bottom"/>
    </xf>
    <xf borderId="22" fillId="0" fontId="26" numFmtId="165" xfId="0" applyAlignment="1" applyBorder="1" applyFont="1" applyNumberFormat="1">
      <alignment horizontal="center" readingOrder="0" vertical="bottom"/>
    </xf>
    <xf borderId="5" fillId="8" fontId="26" numFmtId="165" xfId="0" applyAlignment="1" applyBorder="1" applyFont="1" applyNumberFormat="1">
      <alignment vertical="bottom"/>
    </xf>
    <xf borderId="27" fillId="0" fontId="20" numFmtId="165" xfId="0" applyAlignment="1" applyBorder="1" applyFont="1" applyNumberFormat="1">
      <alignment horizontal="center" vertical="bottom"/>
    </xf>
    <xf borderId="27" fillId="0" fontId="26" numFmtId="165" xfId="0" applyAlignment="1" applyBorder="1" applyFont="1" applyNumberFormat="1">
      <alignment vertical="bottom"/>
    </xf>
    <xf borderId="27" fillId="8" fontId="26" numFmtId="165" xfId="0" applyAlignment="1" applyBorder="1" applyFont="1" applyNumberFormat="1">
      <alignment vertical="bottom"/>
    </xf>
    <xf borderId="22" fillId="0" fontId="27" numFmtId="0" xfId="0" applyBorder="1" applyFont="1"/>
    <xf borderId="5" fillId="0" fontId="27" numFmtId="0" xfId="0" applyBorder="1" applyFont="1"/>
    <xf borderId="4" fillId="8" fontId="20" numFmtId="165" xfId="0" applyAlignment="1" applyBorder="1" applyFont="1" applyNumberFormat="1">
      <alignment horizontal="center" vertical="bottom"/>
    </xf>
    <xf borderId="93" fillId="0" fontId="20" numFmtId="165" xfId="0" applyAlignment="1" applyBorder="1" applyFont="1" applyNumberFormat="1">
      <alignment horizontal="center" vertical="bottom"/>
    </xf>
    <xf borderId="76" fillId="0" fontId="20" numFmtId="165" xfId="0" applyAlignment="1" applyBorder="1" applyFont="1" applyNumberFormat="1">
      <alignment horizontal="center" vertical="bottom"/>
    </xf>
    <xf borderId="31" fillId="0" fontId="20" numFmtId="165" xfId="0" applyAlignment="1" applyBorder="1" applyFont="1" applyNumberFormat="1">
      <alignment horizontal="center" vertical="bottom"/>
    </xf>
    <xf borderId="94" fillId="0" fontId="26" numFmtId="177" xfId="0" applyAlignment="1" applyBorder="1" applyFont="1" applyNumberFormat="1">
      <alignment horizontal="center" readingOrder="0" vertical="bottom"/>
    </xf>
    <xf borderId="95" fillId="8" fontId="20" numFmtId="165" xfId="0" applyAlignment="1" applyBorder="1" applyFont="1" applyNumberFormat="1">
      <alignment horizontal="center" vertical="bottom"/>
    </xf>
    <xf borderId="27" fillId="8" fontId="20" numFmtId="165" xfId="0" applyAlignment="1" applyBorder="1" applyFont="1" applyNumberFormat="1">
      <alignment horizontal="center" vertical="bottom"/>
    </xf>
    <xf borderId="27" fillId="0" fontId="27" numFmtId="0" xfId="0" applyBorder="1" applyFont="1"/>
    <xf borderId="96" fillId="0" fontId="20" numFmtId="165" xfId="0" applyAlignment="1" applyBorder="1" applyFont="1" applyNumberFormat="1">
      <alignment horizontal="center" vertical="bottom"/>
    </xf>
    <xf borderId="28" fillId="0" fontId="20" numFmtId="165" xfId="0" applyAlignment="1" applyBorder="1" applyFont="1" applyNumberFormat="1">
      <alignment horizontal="center" vertical="bottom"/>
    </xf>
    <xf borderId="5" fillId="0" fontId="24" numFmtId="165" xfId="0" applyAlignment="1" applyBorder="1" applyFont="1" applyNumberFormat="1">
      <alignment horizontal="center"/>
    </xf>
    <xf borderId="0" fillId="0" fontId="27" numFmtId="0" xfId="0" applyFont="1"/>
    <xf borderId="97" fillId="17" fontId="28" numFmtId="0" xfId="0" applyAlignment="1" applyBorder="1" applyFill="1" applyFont="1">
      <alignment readingOrder="0" vertical="top"/>
    </xf>
    <xf borderId="97" fillId="17" fontId="28" numFmtId="4" xfId="0" applyAlignment="1" applyBorder="1" applyFont="1" applyNumberFormat="1">
      <alignment readingOrder="0" vertical="top"/>
    </xf>
    <xf borderId="97" fillId="18" fontId="28" numFmtId="180" xfId="0" applyAlignment="1" applyBorder="1" applyFill="1" applyFont="1" applyNumberFormat="1">
      <alignment readingOrder="0" vertical="top"/>
    </xf>
    <xf borderId="97" fillId="0" fontId="29" numFmtId="0" xfId="0" applyAlignment="1" applyBorder="1" applyFont="1">
      <alignment readingOrder="0" vertical="top"/>
    </xf>
    <xf borderId="97" fillId="0" fontId="29" numFmtId="4" xfId="0" applyAlignment="1" applyBorder="1" applyFont="1" applyNumberFormat="1">
      <alignment readingOrder="0" vertical="top"/>
    </xf>
    <xf borderId="98" fillId="0" fontId="8" numFmtId="0" xfId="0" applyAlignment="1" applyBorder="1" applyFont="1">
      <alignment horizontal="center" readingOrder="0"/>
    </xf>
    <xf borderId="99" fillId="0" fontId="2" numFmtId="0" xfId="0" applyBorder="1" applyFont="1"/>
    <xf borderId="56" fillId="0" fontId="8" numFmtId="0" xfId="0" applyBorder="1" applyFont="1"/>
    <xf borderId="100" fillId="0" fontId="8" numFmtId="0" xfId="0" applyBorder="1" applyFont="1"/>
    <xf borderId="56" fillId="0" fontId="8" numFmtId="0" xfId="0" applyAlignment="1" applyBorder="1" applyFont="1">
      <alignment horizontal="center" readingOrder="0"/>
    </xf>
    <xf borderId="100" fillId="0" fontId="2" numFmtId="0" xfId="0" applyBorder="1" applyFont="1"/>
    <xf borderId="100" fillId="0" fontId="8" numFmtId="0" xfId="0" applyAlignment="1" applyBorder="1" applyFont="1">
      <alignment horizontal="center" readingOrder="0"/>
    </xf>
    <xf borderId="101" fillId="0" fontId="8" numFmtId="0" xfId="0" applyBorder="1" applyFont="1"/>
    <xf borderId="102" fillId="0" fontId="8" numFmtId="4" xfId="0" applyBorder="1" applyFont="1" applyNumberFormat="1"/>
    <xf borderId="97" fillId="0" fontId="8" numFmtId="4" xfId="0" applyAlignment="1" applyBorder="1" applyFont="1" applyNumberFormat="1">
      <alignment vertical="top"/>
    </xf>
    <xf borderId="0" fillId="0" fontId="8" numFmtId="4" xfId="0" applyFont="1" applyNumberFormat="1"/>
    <xf borderId="5" fillId="0" fontId="30" numFmtId="0" xfId="0" applyAlignment="1" applyBorder="1" applyFont="1">
      <alignment readingOrder="0"/>
    </xf>
    <xf borderId="5" fillId="0" fontId="3" numFmtId="49" xfId="0" applyAlignment="1" applyBorder="1" applyFont="1" applyNumberFormat="1">
      <alignment horizontal="center" readingOrder="0"/>
    </xf>
    <xf borderId="5" fillId="0" fontId="3" numFmtId="14" xfId="0" applyBorder="1" applyFont="1" applyNumberFormat="1"/>
    <xf borderId="5" fillId="0" fontId="3" numFmtId="173" xfId="0" applyBorder="1" applyFont="1" applyNumberFormat="1"/>
    <xf borderId="76" fillId="0" fontId="3" numFmtId="0" xfId="0" applyBorder="1" applyFont="1"/>
    <xf borderId="97" fillId="3" fontId="4" numFmtId="0" xfId="0" applyAlignment="1" applyBorder="1" applyFont="1">
      <alignment horizontal="center" readingOrder="0"/>
    </xf>
    <xf borderId="97" fillId="3" fontId="4" numFmtId="165" xfId="0" applyAlignment="1" applyBorder="1" applyFont="1" applyNumberFormat="1">
      <alignment horizontal="center" readingOrder="0"/>
    </xf>
    <xf borderId="97" fillId="3" fontId="4" numFmtId="181" xfId="0" applyAlignment="1" applyBorder="1" applyFont="1" applyNumberFormat="1">
      <alignment horizontal="center" readingOrder="0"/>
    </xf>
    <xf borderId="97" fillId="3" fontId="4" numFmtId="173" xfId="0" applyAlignment="1" applyBorder="1" applyFont="1" applyNumberFormat="1">
      <alignment horizontal="center" readingOrder="0"/>
    </xf>
    <xf borderId="103" fillId="11" fontId="4" numFmtId="0" xfId="0" applyAlignment="1" applyBorder="1" applyFont="1">
      <alignment horizontal="center" readingOrder="0"/>
    </xf>
    <xf borderId="103" fillId="11" fontId="4" numFmtId="165" xfId="0" applyAlignment="1" applyBorder="1" applyFont="1" applyNumberFormat="1">
      <alignment horizontal="center" readingOrder="0"/>
    </xf>
    <xf borderId="103" fillId="11" fontId="31" numFmtId="181" xfId="0" applyAlignment="1" applyBorder="1" applyFont="1" applyNumberFormat="1">
      <alignment horizontal="center" readingOrder="0"/>
    </xf>
    <xf borderId="103" fillId="11" fontId="31" numFmtId="170" xfId="0" applyAlignment="1" applyBorder="1" applyFont="1" applyNumberFormat="1">
      <alignment horizontal="center" readingOrder="0"/>
    </xf>
    <xf borderId="103" fillId="11" fontId="32" numFmtId="170" xfId="0" applyAlignment="1" applyBorder="1" applyFont="1" applyNumberFormat="1">
      <alignment horizontal="center" readingOrder="0"/>
    </xf>
    <xf borderId="5" fillId="0" fontId="3" numFmtId="167" xfId="0" applyBorder="1" applyFont="1" applyNumberFormat="1"/>
    <xf borderId="5" fillId="0" fontId="3" numFmtId="175" xfId="0" applyBorder="1" applyFont="1" applyNumberFormat="1"/>
    <xf borderId="5" fillId="0" fontId="3" numFmtId="171" xfId="0" applyBorder="1" applyFont="1" applyNumberFormat="1"/>
    <xf borderId="76" fillId="0" fontId="8" numFmtId="0" xfId="0" applyBorder="1" applyFont="1"/>
    <xf borderId="104" fillId="3" fontId="4" numFmtId="3" xfId="0" applyAlignment="1" applyBorder="1" applyFont="1" applyNumberFormat="1">
      <alignment horizontal="center" readingOrder="0"/>
    </xf>
    <xf borderId="105" fillId="3" fontId="4" numFmtId="182" xfId="0" applyAlignment="1" applyBorder="1" applyFont="1" applyNumberFormat="1">
      <alignment horizontal="center" readingOrder="0"/>
    </xf>
    <xf borderId="105" fillId="3" fontId="4" numFmtId="0" xfId="0" applyAlignment="1" applyBorder="1" applyFont="1">
      <alignment horizontal="center" readingOrder="0"/>
    </xf>
    <xf borderId="105" fillId="3" fontId="4" numFmtId="3" xfId="0" applyAlignment="1" applyBorder="1" applyFont="1" applyNumberFormat="1">
      <alignment horizontal="center" readingOrder="0"/>
    </xf>
    <xf borderId="106" fillId="3" fontId="4" numFmtId="0" xfId="0" applyAlignment="1" applyBorder="1" applyFont="1">
      <alignment horizontal="center" readingOrder="0"/>
    </xf>
    <xf borderId="4" fillId="0" fontId="8" numFmtId="0" xfId="0" applyBorder="1" applyFont="1"/>
    <xf borderId="5" fillId="0" fontId="8" numFmtId="0" xfId="0" applyBorder="1" applyFont="1"/>
    <xf borderId="107" fillId="3" fontId="11" numFmtId="0" xfId="0" applyAlignment="1" applyBorder="1" applyFont="1">
      <alignment horizontal="center" readingOrder="0" shrinkToFit="0" vertical="bottom" wrapText="0"/>
    </xf>
    <xf borderId="7" fillId="0" fontId="8" numFmtId="0" xfId="0" applyBorder="1" applyFont="1"/>
    <xf borderId="34" fillId="3" fontId="11" numFmtId="0" xfId="0" applyAlignment="1" applyBorder="1" applyFont="1">
      <alignment readingOrder="0" shrinkToFit="0" vertical="bottom" wrapText="0"/>
    </xf>
    <xf borderId="16" fillId="3" fontId="11" numFmtId="0" xfId="0" applyAlignment="1" applyBorder="1" applyFont="1">
      <alignment readingOrder="0" shrinkToFit="0" vertical="bottom" wrapText="0"/>
    </xf>
    <xf borderId="100" fillId="3" fontId="11" numFmtId="0" xfId="0" applyAlignment="1" applyBorder="1" applyFont="1">
      <alignment horizontal="center" readingOrder="0" shrinkToFit="0" vertical="bottom" wrapText="0"/>
    </xf>
    <xf borderId="76" fillId="0" fontId="8" numFmtId="0" xfId="0" applyAlignment="1" applyBorder="1" applyFont="1">
      <alignment readingOrder="0"/>
    </xf>
    <xf borderId="51" fillId="0" fontId="3" numFmtId="49" xfId="0" applyAlignment="1" applyBorder="1" applyFont="1" applyNumberFormat="1">
      <alignment readingOrder="0"/>
    </xf>
    <xf borderId="34" fillId="0" fontId="3" numFmtId="182" xfId="0" applyBorder="1" applyFont="1" applyNumberFormat="1"/>
    <xf borderId="34" fillId="0" fontId="3" numFmtId="175" xfId="0" applyBorder="1" applyFont="1" applyNumberFormat="1"/>
    <xf borderId="34" fillId="0" fontId="3" numFmtId="3" xfId="0" applyBorder="1" applyFont="1" applyNumberFormat="1"/>
    <xf borderId="52" fillId="0" fontId="3" numFmtId="10" xfId="0" applyBorder="1" applyFont="1" applyNumberFormat="1"/>
    <xf borderId="101" fillId="0" fontId="8" numFmtId="0" xfId="0" applyAlignment="1" applyBorder="1" applyFont="1">
      <alignment horizontal="center" readingOrder="0"/>
    </xf>
    <xf borderId="102" fillId="0" fontId="8" numFmtId="10" xfId="0" applyAlignment="1" applyBorder="1" applyFont="1" applyNumberFormat="1">
      <alignment horizontal="center"/>
    </xf>
    <xf borderId="5" fillId="0" fontId="8" numFmtId="174" xfId="0" applyBorder="1" applyFont="1" applyNumberFormat="1"/>
    <xf borderId="5" fillId="0" fontId="8" numFmtId="165" xfId="0" applyBorder="1" applyFont="1" applyNumberFormat="1"/>
    <xf borderId="22" fillId="0" fontId="8" numFmtId="0" xfId="0" applyBorder="1" applyFont="1"/>
    <xf borderId="108" fillId="3" fontId="11" numFmtId="0" xfId="0" applyAlignment="1" applyBorder="1" applyFont="1">
      <alignment horizontal="center" readingOrder="0" shrinkToFit="0" vertical="bottom" wrapText="0"/>
    </xf>
    <xf borderId="29" fillId="7" fontId="3" numFmtId="175" xfId="0" applyAlignment="1" applyBorder="1" applyFont="1" applyNumberFormat="1">
      <alignment horizontal="center" readingOrder="0"/>
    </xf>
    <xf borderId="29" fillId="0" fontId="8" numFmtId="175" xfId="0" applyAlignment="1" applyBorder="1" applyFont="1" applyNumberFormat="1">
      <alignment horizontal="center" readingOrder="0"/>
    </xf>
    <xf borderId="29" fillId="0" fontId="8" numFmtId="174" xfId="0" applyAlignment="1" applyBorder="1" applyFont="1" applyNumberFormat="1">
      <alignment horizontal="center" readingOrder="0"/>
    </xf>
    <xf borderId="29" fillId="0" fontId="8" numFmtId="3" xfId="0" applyAlignment="1" applyBorder="1" applyFont="1" applyNumberFormat="1">
      <alignment horizontal="center" readingOrder="0"/>
    </xf>
    <xf borderId="5" fillId="0" fontId="8" numFmtId="0" xfId="0" applyAlignment="1" applyBorder="1" applyFont="1">
      <alignment readingOrder="0"/>
    </xf>
    <xf borderId="10" fillId="0" fontId="8" numFmtId="0" xfId="0" applyBorder="1" applyFont="1"/>
    <xf borderId="32" fillId="3" fontId="4" numFmtId="0" xfId="0" applyAlignment="1" applyBorder="1" applyFont="1">
      <alignment readingOrder="0"/>
    </xf>
    <xf borderId="38" fillId="0" fontId="3" numFmtId="175" xfId="0" applyBorder="1" applyFont="1" applyNumberFormat="1"/>
    <xf borderId="89" fillId="0" fontId="3" numFmtId="49" xfId="0" applyAlignment="1" applyBorder="1" applyFont="1" applyNumberFormat="1">
      <alignment readingOrder="0"/>
    </xf>
    <xf borderId="40" fillId="3" fontId="4" numFmtId="0" xfId="0" applyAlignment="1" applyBorder="1" applyFont="1">
      <alignment readingOrder="0"/>
    </xf>
    <xf borderId="39" fillId="0" fontId="3" numFmtId="183" xfId="0" applyBorder="1" applyFont="1" applyNumberFormat="1"/>
    <xf borderId="39" fillId="0" fontId="3" numFmtId="175" xfId="0" applyBorder="1" applyFont="1" applyNumberFormat="1"/>
    <xf borderId="39" fillId="19" fontId="3" numFmtId="175" xfId="0" applyBorder="1" applyFill="1" applyFont="1" applyNumberFormat="1"/>
    <xf borderId="42" fillId="3" fontId="4" numFmtId="0" xfId="0" applyAlignment="1" applyBorder="1" applyFont="1">
      <alignment readingOrder="0"/>
    </xf>
    <xf borderId="44" fillId="7" fontId="3" numFmtId="175" xfId="0" applyBorder="1" applyFont="1" applyNumberFormat="1"/>
    <xf borderId="51" fillId="0" fontId="3" numFmtId="0" xfId="0" applyAlignment="1" applyBorder="1" applyFont="1">
      <alignment readingOrder="0"/>
    </xf>
    <xf borderId="5" fillId="0" fontId="8" numFmtId="10" xfId="0" applyBorder="1" applyFont="1" applyNumberFormat="1"/>
    <xf borderId="51" fillId="0" fontId="3" numFmtId="49" xfId="0" applyBorder="1" applyFont="1" applyNumberFormat="1"/>
    <xf borderId="34" fillId="0" fontId="3" numFmtId="0" xfId="0" applyBorder="1" applyFont="1"/>
    <xf borderId="52" fillId="0" fontId="3" numFmtId="0" xfId="0" applyBorder="1" applyFont="1"/>
    <xf borderId="59" fillId="0" fontId="3" numFmtId="49" xfId="0" applyBorder="1" applyFont="1" applyNumberFormat="1"/>
    <xf borderId="61" fillId="0" fontId="3" numFmtId="182" xfId="0" applyBorder="1" applyFont="1" applyNumberFormat="1"/>
    <xf borderId="61" fillId="0" fontId="3" numFmtId="175" xfId="0" applyBorder="1" applyFont="1" applyNumberFormat="1"/>
    <xf borderId="61" fillId="0" fontId="3" numFmtId="0" xfId="0" applyBorder="1" applyFont="1"/>
    <xf borderId="61" fillId="0" fontId="3" numFmtId="3" xfId="0" applyBorder="1" applyFont="1" applyNumberFormat="1"/>
    <xf borderId="62" fillId="0" fontId="3" numFmtId="0" xfId="0" applyBorder="1" applyFont="1"/>
    <xf borderId="22" fillId="0" fontId="8" numFmtId="182" xfId="0" applyBorder="1" applyFont="1" applyNumberFormat="1"/>
    <xf borderId="22" fillId="0" fontId="8" numFmtId="3" xfId="0" applyBorder="1" applyFont="1" applyNumberFormat="1"/>
    <xf borderId="5" fillId="0" fontId="8" numFmtId="182" xfId="0" applyBorder="1" applyFont="1" applyNumberFormat="1"/>
    <xf borderId="5" fillId="0" fontId="8" numFmtId="3" xfId="0" applyBorder="1" applyFont="1" applyNumberFormat="1"/>
    <xf borderId="34" fillId="3" fontId="4" numFmtId="0" xfId="0" applyAlignment="1" applyBorder="1" applyFont="1">
      <alignment horizontal="center" readingOrder="0"/>
    </xf>
    <xf borderId="34" fillId="3" fontId="4" numFmtId="175" xfId="0" applyAlignment="1" applyBorder="1" applyFont="1" applyNumberFormat="1">
      <alignment horizontal="center" readingOrder="0"/>
    </xf>
    <xf borderId="34" fillId="3" fontId="4" numFmtId="181" xfId="0" applyAlignment="1" applyBorder="1" applyFont="1" applyNumberFormat="1">
      <alignment horizontal="center" readingOrder="0"/>
    </xf>
    <xf borderId="34" fillId="3" fontId="4" numFmtId="165" xfId="0" applyAlignment="1" applyBorder="1" applyFont="1" applyNumberFormat="1">
      <alignment horizontal="center" readingOrder="0"/>
    </xf>
    <xf borderId="34" fillId="3" fontId="4" numFmtId="173" xfId="0" applyAlignment="1" applyBorder="1" applyFont="1" applyNumberFormat="1">
      <alignment horizontal="center" readingOrder="0"/>
    </xf>
    <xf borderId="108" fillId="3" fontId="4" numFmtId="173" xfId="0" applyAlignment="1" applyBorder="1" applyFont="1" applyNumberFormat="1">
      <alignment horizontal="center" readingOrder="0"/>
    </xf>
    <xf borderId="5" fillId="0" fontId="3" numFmtId="0" xfId="0" applyAlignment="1" applyBorder="1" applyFont="1">
      <alignment horizontal="center"/>
    </xf>
    <xf borderId="5" fillId="0" fontId="3" numFmtId="174" xfId="0" applyAlignment="1" applyBorder="1" applyFont="1" applyNumberFormat="1">
      <alignment horizontal="center"/>
    </xf>
    <xf borderId="5" fillId="0" fontId="3" numFmtId="173" xfId="0" applyAlignment="1" applyBorder="1" applyFont="1" applyNumberFormat="1">
      <alignment horizontal="center"/>
    </xf>
    <xf borderId="5" fillId="0" fontId="3" numFmtId="4" xfId="0" applyAlignment="1" applyBorder="1" applyFont="1" applyNumberFormat="1">
      <alignment horizontal="center"/>
    </xf>
    <xf borderId="5" fillId="0" fontId="3" numFmtId="10" xfId="0" applyAlignment="1" applyBorder="1" applyFont="1" applyNumberFormat="1">
      <alignment horizontal="center"/>
    </xf>
    <xf borderId="34" fillId="0" fontId="3" numFmtId="0" xfId="0" applyAlignment="1" applyBorder="1" applyFont="1">
      <alignment horizontal="center" readingOrder="0"/>
    </xf>
    <xf borderId="34" fillId="0" fontId="3" numFmtId="174" xfId="0" applyAlignment="1" applyBorder="1" applyFont="1" applyNumberFormat="1">
      <alignment horizontal="center" readingOrder="0"/>
    </xf>
    <xf borderId="34" fillId="0" fontId="3" numFmtId="175" xfId="0" applyAlignment="1" applyBorder="1" applyFont="1" applyNumberFormat="1">
      <alignment horizontal="center"/>
    </xf>
    <xf borderId="34" fillId="0" fontId="3" numFmtId="181" xfId="0" applyAlignment="1" applyBorder="1" applyFont="1" applyNumberFormat="1">
      <alignment horizontal="center" readingOrder="0"/>
    </xf>
    <xf borderId="34" fillId="0" fontId="3" numFmtId="165" xfId="0" applyAlignment="1" applyBorder="1" applyFont="1" applyNumberFormat="1">
      <alignment horizontal="center" readingOrder="0"/>
    </xf>
    <xf borderId="34" fillId="0" fontId="3" numFmtId="173" xfId="0" applyAlignment="1" applyBorder="1" applyFont="1" applyNumberFormat="1">
      <alignment horizontal="center"/>
    </xf>
    <xf borderId="34" fillId="0" fontId="3" numFmtId="10" xfId="0" applyAlignment="1" applyBorder="1" applyFont="1" applyNumberFormat="1">
      <alignment horizontal="center"/>
    </xf>
    <xf borderId="34" fillId="0" fontId="3" numFmtId="0" xfId="0" applyAlignment="1" applyBorder="1" applyFont="1">
      <alignment horizontal="center"/>
    </xf>
    <xf borderId="34" fillId="0" fontId="3" numFmtId="165" xfId="0" applyAlignment="1" applyBorder="1" applyFont="1" applyNumberFormat="1">
      <alignment horizontal="center"/>
    </xf>
    <xf borderId="4" fillId="0" fontId="3" numFmtId="0" xfId="0" applyAlignment="1" applyBorder="1" applyFont="1">
      <alignment horizontal="center"/>
    </xf>
    <xf borderId="0" fillId="0" fontId="8" numFmtId="0" xfId="0" applyAlignment="1" applyFont="1">
      <alignment horizontal="center"/>
    </xf>
    <xf borderId="10" fillId="0" fontId="3" numFmtId="0" xfId="0" applyAlignment="1" applyBorder="1" applyFont="1">
      <alignment horizontal="center"/>
    </xf>
    <xf borderId="5" fillId="0" fontId="8" numFmtId="0" xfId="0" applyAlignment="1" applyBorder="1" applyFont="1">
      <alignment horizontal="center"/>
    </xf>
    <xf borderId="108" fillId="0" fontId="3" numFmtId="173" xfId="0" applyAlignment="1" applyBorder="1" applyFont="1" applyNumberFormat="1">
      <alignment horizontal="center"/>
    </xf>
    <xf borderId="35" fillId="0" fontId="3" numFmtId="0" xfId="0" applyAlignment="1" applyBorder="1" applyFont="1">
      <alignment horizontal="center"/>
    </xf>
    <xf borderId="22" fillId="0" fontId="3" numFmtId="0" xfId="0" applyAlignment="1" applyBorder="1" applyFont="1">
      <alignment horizontal="center"/>
    </xf>
    <xf borderId="29" fillId="3" fontId="4" numFmtId="173" xfId="0" applyAlignment="1" applyBorder="1" applyFont="1" applyNumberFormat="1">
      <alignment horizontal="center" readingOrder="0"/>
    </xf>
    <xf borderId="29" fillId="0" fontId="3" numFmtId="173" xfId="0" applyAlignment="1" applyBorder="1" applyFont="1" applyNumberFormat="1">
      <alignment horizontal="center"/>
    </xf>
    <xf borderId="4" fillId="0" fontId="3" numFmtId="0" xfId="0" applyAlignment="1" applyBorder="1" applyFont="1">
      <alignment horizontal="center" readingOrder="0"/>
    </xf>
    <xf borderId="34" fillId="0" fontId="3" numFmtId="173" xfId="0" applyAlignment="1" applyBorder="1" applyFont="1" applyNumberFormat="1">
      <alignment horizontal="center" readingOrder="0"/>
    </xf>
    <xf borderId="4" fillId="0" fontId="3" numFmtId="165" xfId="0" applyAlignment="1" applyBorder="1" applyFont="1" applyNumberFormat="1">
      <alignment horizontal="center" readingOrder="0"/>
    </xf>
    <xf borderId="34" fillId="0" fontId="3" numFmtId="181" xfId="0" applyAlignment="1" applyBorder="1" applyFont="1" applyNumberFormat="1">
      <alignment horizontal="center"/>
    </xf>
    <xf borderId="5" fillId="0" fontId="3" numFmtId="0" xfId="0" applyAlignment="1" applyBorder="1" applyFont="1">
      <alignment horizontal="center" readingOrder="0"/>
    </xf>
    <xf borderId="36" fillId="0" fontId="3" numFmtId="175" xfId="0" applyAlignment="1" applyBorder="1" applyFont="1" applyNumberFormat="1">
      <alignment horizontal="center"/>
    </xf>
    <xf borderId="34" fillId="0" fontId="3" numFmtId="171" xfId="0" applyAlignment="1" applyBorder="1" applyFont="1" applyNumberFormat="1">
      <alignment horizontal="center"/>
    </xf>
    <xf borderId="34" fillId="6" fontId="3" numFmtId="0" xfId="0" applyAlignment="1" applyBorder="1" applyFont="1">
      <alignment horizontal="center" readingOrder="0"/>
    </xf>
    <xf borderId="34" fillId="6" fontId="3" numFmtId="0" xfId="0" applyAlignment="1" applyBorder="1" applyFont="1">
      <alignment horizontal="center"/>
    </xf>
    <xf borderId="34" fillId="6" fontId="3" numFmtId="175" xfId="0" applyAlignment="1" applyBorder="1" applyFont="1" applyNumberFormat="1">
      <alignment horizontal="center"/>
    </xf>
    <xf borderId="34" fillId="6" fontId="3" numFmtId="181" xfId="0" applyAlignment="1" applyBorder="1" applyFont="1" applyNumberFormat="1">
      <alignment horizontal="center" readingOrder="0"/>
    </xf>
    <xf borderId="34" fillId="6" fontId="3" numFmtId="165" xfId="0" applyAlignment="1" applyBorder="1" applyFont="1" applyNumberFormat="1">
      <alignment horizontal="center" readingOrder="0"/>
    </xf>
    <xf borderId="34" fillId="6" fontId="3" numFmtId="173" xfId="0" applyAlignment="1" applyBorder="1" applyFont="1" applyNumberFormat="1">
      <alignment horizontal="center" readingOrder="0"/>
    </xf>
    <xf borderId="34" fillId="0" fontId="3" numFmtId="164" xfId="0" applyAlignment="1" applyBorder="1" applyFont="1" applyNumberFormat="1">
      <alignment horizontal="center" readingOrder="0"/>
    </xf>
    <xf borderId="34" fillId="0" fontId="3" numFmtId="167" xfId="0" applyAlignment="1" applyBorder="1" applyFont="1" applyNumberFormat="1">
      <alignment horizontal="center" readingOrder="0"/>
    </xf>
    <xf borderId="5" fillId="9" fontId="33" numFmtId="0" xfId="0" applyAlignment="1" applyBorder="1" applyFont="1">
      <alignment horizontal="center"/>
    </xf>
    <xf borderId="5" fillId="0" fontId="8" numFmtId="173" xfId="0" applyAlignment="1" applyBorder="1" applyFont="1" applyNumberFormat="1">
      <alignment horizontal="center"/>
    </xf>
    <xf borderId="29" fillId="0" fontId="3" numFmtId="0" xfId="0" applyAlignment="1" applyBorder="1" applyFont="1">
      <alignment horizontal="center"/>
    </xf>
    <xf borderId="29" fillId="0" fontId="3" numFmtId="175" xfId="0" applyAlignment="1" applyBorder="1" applyFont="1" applyNumberFormat="1">
      <alignment horizontal="center"/>
    </xf>
    <xf borderId="29" fillId="0" fontId="3" numFmtId="181" xfId="0" applyAlignment="1" applyBorder="1" applyFont="1" applyNumberFormat="1">
      <alignment horizontal="center"/>
    </xf>
    <xf borderId="29" fillId="0" fontId="3" numFmtId="165" xfId="0" applyAlignment="1" applyBorder="1" applyFont="1" applyNumberFormat="1">
      <alignment horizontal="center"/>
    </xf>
    <xf borderId="56" fillId="3" fontId="34" numFmtId="165" xfId="0" applyAlignment="1" applyBorder="1" applyFont="1" applyNumberFormat="1">
      <alignment horizontal="center" readingOrder="0"/>
    </xf>
    <xf borderId="56" fillId="3" fontId="35" numFmtId="173" xfId="0" applyAlignment="1" applyBorder="1" applyFont="1" applyNumberFormat="1">
      <alignment readingOrder="0"/>
    </xf>
    <xf borderId="56" fillId="3" fontId="4" numFmtId="0" xfId="0" applyAlignment="1" applyBorder="1" applyFont="1">
      <alignment readingOrder="0"/>
    </xf>
    <xf borderId="0" fillId="3" fontId="18" numFmtId="165" xfId="0" applyAlignment="1" applyFont="1" applyNumberFormat="1">
      <alignment horizontal="center" vertical="bottom"/>
    </xf>
    <xf borderId="0" fillId="3" fontId="36" numFmtId="165" xfId="0" applyAlignment="1" applyFont="1" applyNumberFormat="1">
      <alignment horizontal="center" readingOrder="0"/>
    </xf>
    <xf borderId="34" fillId="3" fontId="35" numFmtId="165" xfId="0" applyAlignment="1" applyBorder="1" applyFont="1" applyNumberFormat="1">
      <alignment readingOrder="0"/>
    </xf>
    <xf borderId="34" fillId="3" fontId="35" numFmtId="173" xfId="0" applyAlignment="1" applyBorder="1" applyFont="1" applyNumberFormat="1">
      <alignment readingOrder="0"/>
    </xf>
    <xf borderId="34" fillId="3" fontId="12" numFmtId="173" xfId="0" applyAlignment="1" applyBorder="1" applyFont="1" applyNumberFormat="1">
      <alignment readingOrder="0"/>
    </xf>
    <xf borderId="53" fillId="3" fontId="4" numFmtId="0" xfId="0" applyAlignment="1" applyBorder="1" applyFont="1">
      <alignment readingOrder="0"/>
    </xf>
    <xf borderId="53" fillId="3" fontId="11" numFmtId="173" xfId="0" applyAlignment="1" applyBorder="1" applyFont="1" applyNumberFormat="1">
      <alignment horizontal="center" readingOrder="0"/>
    </xf>
    <xf borderId="53" fillId="3" fontId="4" numFmtId="2" xfId="0" applyAlignment="1" applyBorder="1" applyFont="1" applyNumberFormat="1">
      <alignment readingOrder="0"/>
    </xf>
    <xf borderId="53" fillId="3" fontId="4" numFmtId="0" xfId="0" applyAlignment="1" applyBorder="1" applyFont="1">
      <alignment horizontal="center" readingOrder="0"/>
    </xf>
    <xf borderId="0" fillId="0" fontId="8" numFmtId="0" xfId="0" applyFont="1"/>
    <xf borderId="53" fillId="0" fontId="15" numFmtId="165" xfId="0" applyAlignment="1" applyBorder="1" applyFont="1" applyNumberFormat="1">
      <alignment readingOrder="0"/>
    </xf>
    <xf borderId="53" fillId="0" fontId="15" numFmtId="0" xfId="0" applyBorder="1" applyFont="1"/>
    <xf borderId="53" fillId="0" fontId="15" numFmtId="175" xfId="0" applyBorder="1" applyFont="1" applyNumberFormat="1"/>
    <xf borderId="53" fillId="0" fontId="8" numFmtId="0" xfId="0" applyBorder="1" applyFont="1"/>
    <xf borderId="53" fillId="0" fontId="15" numFmtId="0" xfId="0" applyAlignment="1" applyBorder="1" applyFont="1">
      <alignment readingOrder="0"/>
    </xf>
    <xf borderId="53" fillId="0" fontId="8" numFmtId="174" xfId="0" applyAlignment="1" applyBorder="1" applyFont="1" applyNumberFormat="1">
      <alignment readingOrder="0"/>
    </xf>
    <xf borderId="53" fillId="0" fontId="6" numFmtId="175" xfId="0" applyAlignment="1" applyBorder="1" applyFont="1" applyNumberFormat="1">
      <alignment horizontal="center"/>
    </xf>
    <xf borderId="53" fillId="0" fontId="8" numFmtId="2" xfId="0" applyBorder="1" applyFont="1" applyNumberFormat="1"/>
    <xf borderId="53" fillId="0" fontId="8" numFmtId="164" xfId="0" applyAlignment="1" applyBorder="1" applyFont="1" applyNumberFormat="1">
      <alignment readingOrder="0"/>
    </xf>
    <xf borderId="53" fillId="0" fontId="3" numFmtId="4" xfId="0" applyAlignment="1" applyBorder="1" applyFont="1" applyNumberFormat="1">
      <alignment horizontal="center" readingOrder="0"/>
    </xf>
    <xf borderId="53" fillId="0" fontId="8" numFmtId="174" xfId="0" applyBorder="1" applyFont="1" applyNumberFormat="1"/>
    <xf borderId="0" fillId="0" fontId="8" numFmtId="177" xfId="0" applyFont="1" applyNumberFormat="1"/>
    <xf borderId="0" fillId="0" fontId="15" numFmtId="0" xfId="0" applyAlignment="1" applyFont="1">
      <alignment readingOrder="0"/>
    </xf>
    <xf borderId="53" fillId="0" fontId="15" numFmtId="165" xfId="0" applyBorder="1" applyFont="1" applyNumberFormat="1"/>
    <xf borderId="0" fillId="0" fontId="15" numFmtId="165" xfId="0" applyFont="1" applyNumberFormat="1"/>
    <xf borderId="109" fillId="0" fontId="8" numFmtId="174" xfId="0" applyBorder="1" applyFont="1" applyNumberFormat="1"/>
    <xf borderId="109" fillId="0" fontId="6" numFmtId="175" xfId="0" applyAlignment="1" applyBorder="1" applyFont="1" applyNumberFormat="1">
      <alignment horizontal="center"/>
    </xf>
    <xf borderId="109" fillId="0" fontId="8" numFmtId="2" xfId="0" applyBorder="1" applyFont="1" applyNumberFormat="1"/>
    <xf borderId="109" fillId="0" fontId="8" numFmtId="164" xfId="0" applyAlignment="1" applyBorder="1" applyFont="1" applyNumberFormat="1">
      <alignment readingOrder="0"/>
    </xf>
    <xf borderId="109" fillId="0" fontId="3" numFmtId="4" xfId="0" applyAlignment="1" applyBorder="1" applyFont="1" applyNumberFormat="1">
      <alignment horizontal="center" readingOrder="0"/>
    </xf>
    <xf borderId="109" fillId="0" fontId="8" numFmtId="0" xfId="0" applyBorder="1" applyFont="1"/>
    <xf borderId="0" fillId="0" fontId="8" numFmtId="2" xfId="0" applyFont="1" applyNumberFormat="1"/>
    <xf borderId="0" fillId="0" fontId="3" numFmtId="0" xfId="0" applyAlignment="1" applyFont="1">
      <alignment horizontal="center"/>
    </xf>
    <xf borderId="0" fillId="0" fontId="8" numFmtId="175" xfId="0" applyAlignment="1" applyFont="1" applyNumberFormat="1">
      <alignment readingOrder="0"/>
    </xf>
    <xf borderId="0" fillId="0" fontId="15" numFmtId="164" xfId="0" applyAlignment="1" applyFont="1" applyNumberFormat="1">
      <alignment horizontal="right" vertical="bottom"/>
    </xf>
    <xf borderId="0" fillId="0" fontId="8" numFmtId="175" xfId="0" applyFont="1" applyNumberFormat="1"/>
    <xf borderId="0" fillId="0" fontId="15" numFmtId="0" xfId="0" applyAlignment="1" applyFont="1">
      <alignment vertical="bottom"/>
    </xf>
  </cellXfs>
  <cellStyles count="1">
    <cellStyle xfId="0" name="Normal" builtinId="0"/>
  </cellStyles>
  <dxfs count="5">
    <dxf>
      <font/>
      <fill>
        <patternFill patternType="solid">
          <fgColor rgb="FFF4CCCC"/>
          <bgColor rgb="FFF4CCCC"/>
        </patternFill>
      </fill>
      <border/>
    </dxf>
    <dxf>
      <font/>
      <fill>
        <patternFill patternType="solid">
          <fgColor rgb="FFB7E1CD"/>
          <bgColor rgb="FFB7E1CD"/>
        </patternFill>
      </fill>
      <border/>
    </dxf>
    <dxf>
      <font/>
      <fill>
        <patternFill patternType="solid">
          <fgColor rgb="FF7EEA8D"/>
          <bgColor rgb="FF7EEA8D"/>
        </patternFill>
      </fill>
      <border/>
    </dxf>
    <dxf>
      <font/>
      <fill>
        <patternFill patternType="solid">
          <fgColor theme="5"/>
          <bgColor theme="5"/>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porción de la ganancia en el activo neto</a:t>
            </a:r>
          </a:p>
        </c:rich>
      </c:tx>
      <c:overlay val="0"/>
    </c:title>
    <c:plotArea>
      <c:layout/>
      <c:lineChart>
        <c:varyColors val="0"/>
        <c:ser>
          <c:idx val="0"/>
          <c:order val="0"/>
          <c:tx>
            <c:strRef>
              <c:f>DATOS!$H$1</c:f>
            </c:strRef>
          </c:tx>
          <c:spPr>
            <a:ln cmpd="sng">
              <a:solidFill>
                <a:srgbClr val="006391"/>
              </a:solidFill>
            </a:ln>
          </c:spPr>
          <c:marker>
            <c:symbol val="none"/>
          </c:marker>
          <c:cat>
            <c:strRef>
              <c:f>DATOS!$A$2:$A$1377</c:f>
            </c:strRef>
          </c:cat>
          <c:val>
            <c:numRef>
              <c:f>DATOS!$H$2:$H$385</c:f>
              <c:numCache/>
            </c:numRef>
          </c:val>
          <c:smooth val="0"/>
        </c:ser>
        <c:axId val="469602305"/>
        <c:axId val="1713632932"/>
      </c:lineChart>
      <c:catAx>
        <c:axId val="469602305"/>
        <c:scaling>
          <c:orientation val="minMax"/>
        </c:scaling>
        <c:delete val="0"/>
        <c:axPos val="b"/>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spPr/>
        <c:txPr>
          <a:bodyPr/>
          <a:lstStyle/>
          <a:p>
            <a:pPr lvl="0">
              <a:defRPr b="0">
                <a:solidFill>
                  <a:srgbClr val="314C59"/>
                </a:solidFill>
                <a:latin typeface="+mn-lt"/>
              </a:defRPr>
            </a:pPr>
          </a:p>
        </c:txPr>
        <c:crossAx val="1713632932"/>
      </c:catAx>
      <c:valAx>
        <c:axId val="1713632932"/>
        <c:scaling>
          <c:orientation val="minMax"/>
          <c:max val="0.4"/>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314C59"/>
                </a:solidFill>
                <a:latin typeface="+mn-lt"/>
              </a:defRPr>
            </a:pPr>
          </a:p>
        </c:txPr>
        <c:crossAx val="469602305"/>
      </c:valAx>
    </c:plotArea>
    <c:legend>
      <c:legendPos val="r"/>
      <c:overlay val="0"/>
      <c:txPr>
        <a:bodyPr/>
        <a:lstStyle/>
        <a:p>
          <a:pPr lvl="0">
            <a:defRPr b="0">
              <a:solidFill>
                <a:srgbClr val="465E6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HISTORICO VALOR UNIDAD</a:t>
            </a:r>
          </a:p>
        </c:rich>
      </c:tx>
      <c:overlay val="0"/>
    </c:title>
    <c:plotArea>
      <c:layout/>
      <c:lineChart>
        <c:varyColors val="0"/>
        <c:ser>
          <c:idx val="0"/>
          <c:order val="0"/>
          <c:tx>
            <c:strRef>
              <c:f>GRAFICO!$B$1</c:f>
            </c:strRef>
          </c:tx>
          <c:spPr>
            <a:ln cmpd="sng" w="38100">
              <a:solidFill>
                <a:srgbClr val="006391"/>
              </a:solidFill>
            </a:ln>
          </c:spPr>
          <c:marker>
            <c:symbol val="none"/>
          </c:marker>
          <c:trendline>
            <c:name/>
            <c:spPr>
              <a:ln w="19050">
                <a:solidFill>
                  <a:srgbClr val="000000"/>
                </a:solidFill>
              </a:ln>
            </c:spPr>
            <c:trendlineType val="linear"/>
            <c:dispRSqr val="0"/>
            <c:dispEq val="0"/>
          </c:trendline>
          <c:cat>
            <c:strRef>
              <c:f>GRAFICO!$A$2:$A$826</c:f>
            </c:strRef>
          </c:cat>
          <c:val>
            <c:numRef>
              <c:f>GRAFICO!$B$2:$B$1377</c:f>
              <c:numCache/>
            </c:numRef>
          </c:val>
          <c:smooth val="0"/>
        </c:ser>
        <c:axId val="1594745152"/>
        <c:axId val="1254329077"/>
      </c:lineChart>
      <c:catAx>
        <c:axId val="1594745152"/>
        <c:scaling>
          <c:orientation val="minMax"/>
        </c:scaling>
        <c:delete val="0"/>
        <c:axPos val="b"/>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spPr/>
        <c:txPr>
          <a:bodyPr/>
          <a:lstStyle/>
          <a:p>
            <a:pPr lvl="0">
              <a:defRPr b="0">
                <a:solidFill>
                  <a:srgbClr val="314C59"/>
                </a:solidFill>
                <a:latin typeface="+mn-lt"/>
              </a:defRPr>
            </a:pPr>
          </a:p>
        </c:txPr>
        <c:crossAx val="1254329077"/>
      </c:catAx>
      <c:valAx>
        <c:axId val="1254329077"/>
        <c:scaling>
          <c:orientation val="minMax"/>
          <c:min val="1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fecha</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1594745152"/>
      </c:valAx>
    </c:plotArea>
    <c:legend>
      <c:legendPos val="r"/>
      <c:overlay val="0"/>
      <c:txPr>
        <a:bodyPr/>
        <a:lstStyle/>
        <a:p>
          <a:pPr lvl="0">
            <a:defRPr b="0">
              <a:solidFill>
                <a:srgbClr val="465E6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Análisis de varianza y caida máxima</a:t>
            </a:r>
          </a:p>
        </c:rich>
      </c:tx>
      <c:overlay val="0"/>
    </c:title>
    <c:plotArea>
      <c:layout/>
      <c:lineChart>
        <c:ser>
          <c:idx val="0"/>
          <c:order val="0"/>
          <c:tx>
            <c:strRef>
              <c:f>GRAFICO!$N$1</c:f>
            </c:strRef>
          </c:tx>
          <c:spPr>
            <a:ln cmpd="sng">
              <a:solidFill>
                <a:srgbClr val="006391"/>
              </a:solidFill>
            </a:ln>
          </c:spPr>
          <c:marker>
            <c:symbol val="none"/>
          </c:marker>
          <c:cat>
            <c:strRef>
              <c:f>GRAFICO!$A$2:$A$254</c:f>
            </c:strRef>
          </c:cat>
          <c:val>
            <c:numRef>
              <c:f>GRAFICO!$N$2:$N$254</c:f>
              <c:numCache/>
            </c:numRef>
          </c:val>
          <c:smooth val="0"/>
        </c:ser>
        <c:ser>
          <c:idx val="1"/>
          <c:order val="1"/>
          <c:tx>
            <c:strRef>
              <c:f>GRAFICO!$O$1</c:f>
            </c:strRef>
          </c:tx>
          <c:spPr>
            <a:ln cmpd="sng">
              <a:solidFill>
                <a:srgbClr val="E24A38"/>
              </a:solidFill>
            </a:ln>
          </c:spPr>
          <c:marker>
            <c:symbol val="none"/>
          </c:marker>
          <c:cat>
            <c:strRef>
              <c:f>GRAFICO!$A$2:$A$254</c:f>
            </c:strRef>
          </c:cat>
          <c:val>
            <c:numRef>
              <c:f>GRAFICO!$O$2:$O$254</c:f>
              <c:numCache/>
            </c:numRef>
          </c:val>
          <c:smooth val="0"/>
        </c:ser>
        <c:axId val="525635397"/>
        <c:axId val="33657150"/>
      </c:lineChart>
      <c:catAx>
        <c:axId val="525635397"/>
        <c:scaling>
          <c:orientation val="minMax"/>
        </c:scaling>
        <c:delete val="0"/>
        <c:axPos val="b"/>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spPr/>
        <c:txPr>
          <a:bodyPr/>
          <a:lstStyle/>
          <a:p>
            <a:pPr lvl="0">
              <a:defRPr b="0">
                <a:solidFill>
                  <a:srgbClr val="314C59"/>
                </a:solidFill>
                <a:latin typeface="+mn-lt"/>
              </a:defRPr>
            </a:pPr>
          </a:p>
        </c:txPr>
        <c:crossAx val="33657150"/>
      </c:catAx>
      <c:valAx>
        <c:axId val="336571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525635397"/>
      </c:valAx>
    </c:plotArea>
    <c:legend>
      <c:legendPos val="r"/>
      <c:overlay val="0"/>
      <c:txPr>
        <a:bodyPr/>
        <a:lstStyle/>
        <a:p>
          <a:pPr lvl="0">
            <a:defRPr b="0">
              <a:solidFill>
                <a:srgbClr val="465E6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GRAFICO!$K$1</c:f>
            </c:strRef>
          </c:tx>
          <c:spPr>
            <a:ln cmpd="sng">
              <a:solidFill>
                <a:srgbClr val="006391"/>
              </a:solidFill>
            </a:ln>
          </c:spPr>
          <c:marker>
            <c:symbol val="none"/>
          </c:marker>
          <c:cat>
            <c:strRef>
              <c:f>GRAFICO!$A$2:$A$1389</c:f>
            </c:strRef>
          </c:cat>
          <c:val>
            <c:numRef>
              <c:f>GRAFICO!$K$2:$K$751</c:f>
              <c:numCache/>
            </c:numRef>
          </c:val>
          <c:smooth val="0"/>
        </c:ser>
        <c:ser>
          <c:idx val="1"/>
          <c:order val="1"/>
          <c:tx>
            <c:strRef>
              <c:f>GRAFICO!$L$1</c:f>
            </c:strRef>
          </c:tx>
          <c:spPr>
            <a:ln cmpd="sng">
              <a:solidFill>
                <a:srgbClr val="E24A38"/>
              </a:solidFill>
            </a:ln>
          </c:spPr>
          <c:marker>
            <c:symbol val="none"/>
          </c:marker>
          <c:cat>
            <c:strRef>
              <c:f>GRAFICO!$A$2:$A$1389</c:f>
            </c:strRef>
          </c:cat>
          <c:val>
            <c:numRef>
              <c:f>GRAFICO!$L$2:$L$1389</c:f>
              <c:numCache/>
            </c:numRef>
          </c:val>
          <c:smooth val="0"/>
        </c:ser>
        <c:axId val="1337776164"/>
        <c:axId val="145878078"/>
      </c:lineChart>
      <c:catAx>
        <c:axId val="1337776164"/>
        <c:scaling>
          <c:orientation val="minMax"/>
        </c:scaling>
        <c:delete val="0"/>
        <c:axPos val="b"/>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spPr/>
        <c:txPr>
          <a:bodyPr/>
          <a:lstStyle/>
          <a:p>
            <a:pPr lvl="0">
              <a:defRPr b="0">
                <a:solidFill>
                  <a:srgbClr val="314C59"/>
                </a:solidFill>
                <a:latin typeface="+mn-lt"/>
              </a:defRPr>
            </a:pPr>
          </a:p>
        </c:txPr>
        <c:crossAx val="145878078"/>
      </c:catAx>
      <c:valAx>
        <c:axId val="1458780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1337776164"/>
      </c:valAx>
    </c:plotArea>
    <c:legend>
      <c:legendPos val="r"/>
      <c:overlay val="0"/>
      <c:txPr>
        <a:bodyPr/>
        <a:lstStyle/>
        <a:p>
          <a:pPr lvl="0">
            <a:defRPr b="0">
              <a:solidFill>
                <a:srgbClr val="465E6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VU 2026</a:t>
            </a:r>
          </a:p>
        </c:rich>
      </c:tx>
      <c:overlay val="0"/>
    </c:title>
    <c:plotArea>
      <c:layout/>
      <c:lineChart>
        <c:ser>
          <c:idx val="0"/>
          <c:order val="0"/>
          <c:tx>
            <c:strRef>
              <c:f>GRAFICO!$J$53</c:f>
            </c:strRef>
          </c:tx>
          <c:spPr>
            <a:ln cmpd="sng">
              <a:solidFill>
                <a:schemeClr val="accent4"/>
              </a:solidFill>
            </a:ln>
          </c:spPr>
          <c:marker>
            <c:symbol val="none"/>
          </c:marker>
          <c:cat>
            <c:strRef>
              <c:f>GRAFICO!$A$54:$A$65</c:f>
            </c:strRef>
          </c:cat>
          <c:val>
            <c:numRef>
              <c:f>GRAFICO!$J$54:$J$65</c:f>
              <c:numCache/>
            </c:numRef>
          </c:val>
          <c:smooth val="0"/>
        </c:ser>
        <c:ser>
          <c:idx val="1"/>
          <c:order val="1"/>
          <c:tx>
            <c:strRef>
              <c:f>GRAFICO!$F$53</c:f>
            </c:strRef>
          </c:tx>
          <c:spPr>
            <a:ln cmpd="sng">
              <a:solidFill>
                <a:schemeClr val="accent2"/>
              </a:solidFill>
            </a:ln>
          </c:spPr>
          <c:marker>
            <c:symbol val="none"/>
          </c:marker>
          <c:cat>
            <c:strRef>
              <c:f>GRAFICO!$A$54:$A$65</c:f>
            </c:strRef>
          </c:cat>
          <c:val>
            <c:numRef>
              <c:f>GRAFICO!$F$54:$F$65</c:f>
              <c:numCache/>
            </c:numRef>
          </c:val>
          <c:smooth val="0"/>
        </c:ser>
        <c:ser>
          <c:idx val="2"/>
          <c:order val="2"/>
          <c:tx>
            <c:strRef>
              <c:f>GRAFICO!$H$53</c:f>
            </c:strRef>
          </c:tx>
          <c:spPr>
            <a:ln cmpd="sng">
              <a:solidFill>
                <a:schemeClr val="accent3"/>
              </a:solidFill>
            </a:ln>
          </c:spPr>
          <c:marker>
            <c:symbol val="none"/>
          </c:marker>
          <c:cat>
            <c:strRef>
              <c:f>GRAFICO!$A$54:$A$65</c:f>
            </c:strRef>
          </c:cat>
          <c:val>
            <c:numRef>
              <c:f>GRAFICO!$H$54:$H$65</c:f>
              <c:numCache/>
            </c:numRef>
          </c:val>
          <c:smooth val="0"/>
        </c:ser>
        <c:ser>
          <c:idx val="4"/>
          <c:order val="4"/>
          <c:tx>
            <c:strRef>
              <c:f>GRAFICO!$B$53</c:f>
            </c:strRef>
          </c:tx>
          <c:spPr>
            <a:ln cmpd="sng" w="76200">
              <a:solidFill>
                <a:schemeClr val="accent1"/>
              </a:solidFill>
            </a:ln>
          </c:spPr>
          <c:marker>
            <c:symbol val="none"/>
          </c:marker>
          <c:dPt>
            <c:idx val="4"/>
            <c:marker>
              <c:symbol val="none"/>
            </c:marker>
          </c:dPt>
          <c:dPt>
            <c:idx val="13"/>
            <c:marker>
              <c:symbol val="none"/>
            </c:marker>
          </c:dPt>
          <c:cat>
            <c:strRef>
              <c:f>GRAFICO!$A$54:$A$65</c:f>
            </c:strRef>
          </c:cat>
          <c:val>
            <c:numRef>
              <c:f>GRAFICO!$B$54:$B$65</c:f>
              <c:numCache/>
            </c:numRef>
          </c:val>
          <c:smooth val="0"/>
        </c:ser>
        <c:axId val="896775749"/>
        <c:axId val="1712749756"/>
      </c:lineChart>
      <c:catAx>
        <c:axId val="896775749"/>
        <c:scaling>
          <c:orientation val="minMax"/>
        </c:scaling>
        <c:delete val="0"/>
        <c:axPos val="b"/>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spPr/>
        <c:txPr>
          <a:bodyPr/>
          <a:lstStyle/>
          <a:p>
            <a:pPr lvl="0">
              <a:defRPr b="0">
                <a:solidFill>
                  <a:srgbClr val="314C59"/>
                </a:solidFill>
                <a:latin typeface="+mn-lt"/>
              </a:defRPr>
            </a:pPr>
          </a:p>
        </c:txPr>
        <c:crossAx val="1712749756"/>
      </c:catAx>
      <c:valAx>
        <c:axId val="1712749756"/>
        <c:scaling>
          <c:orientation val="minMax"/>
          <c:min val="2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FECHA</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896775749"/>
      </c:valAx>
      <c:lineChart>
        <c:varyColors val="0"/>
        <c:ser>
          <c:idx val="3"/>
          <c:order val="3"/>
          <c:tx>
            <c:strRef>
              <c:f>GRAFICO!$K$53</c:f>
            </c:strRef>
          </c:tx>
          <c:spPr>
            <a:ln cmpd="sng">
              <a:solidFill>
                <a:srgbClr val="999999">
                  <a:alpha val="100000"/>
                </a:srgbClr>
              </a:solidFill>
            </a:ln>
          </c:spPr>
          <c:marker>
            <c:symbol val="none"/>
          </c:marker>
          <c:cat>
            <c:strRef>
              <c:f>GRAFICO!$A$54:$A$65</c:f>
            </c:strRef>
          </c:cat>
          <c:val>
            <c:numRef>
              <c:f>GRAFICO!$K$54:$K$65</c:f>
              <c:numCache/>
            </c:numRef>
          </c:val>
          <c:smooth val="0"/>
        </c:ser>
        <c:axId val="1297432971"/>
        <c:axId val="821372931"/>
      </c:lineChart>
      <c:catAx>
        <c:axId val="1297432971"/>
        <c:scaling>
          <c:orientation val="minMax"/>
        </c:scaling>
        <c:delete val="1"/>
        <c:axPos val="b"/>
        <c:numFmt formatCode="General" sourceLinked="1"/>
        <c:majorTickMark val="none"/>
        <c:minorTickMark val="none"/>
        <c:spPr/>
        <c:txPr>
          <a:bodyPr/>
          <a:lstStyle/>
          <a:p>
            <a:pPr lvl="0">
              <a:defRPr b="0">
                <a:solidFill>
                  <a:srgbClr val="314C59"/>
                </a:solidFill>
                <a:latin typeface="+mn-lt"/>
              </a:defRPr>
            </a:pPr>
          </a:p>
        </c:txPr>
        <c:crossAx val="821372931"/>
      </c:catAx>
      <c:valAx>
        <c:axId val="821372931"/>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1297432971"/>
        <c:crosses val="max"/>
      </c:valAx>
    </c:plotArea>
    <c:legend>
      <c:legendPos val="r"/>
      <c:overlay val="0"/>
      <c:txPr>
        <a:bodyPr/>
        <a:lstStyle/>
        <a:p>
          <a:pPr lvl="0">
            <a:defRPr b="0">
              <a:solidFill>
                <a:srgbClr val="465E6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Caída desde ultimo máximo a la fecha</a:t>
            </a:r>
          </a:p>
        </c:rich>
      </c:tx>
      <c:overlay val="0"/>
    </c:title>
    <c:plotArea>
      <c:layout/>
      <c:lineChart>
        <c:varyColors val="0"/>
        <c:ser>
          <c:idx val="0"/>
          <c:order val="0"/>
          <c:tx>
            <c:strRef>
              <c:f>GRAFICO!$P$1</c:f>
            </c:strRef>
          </c:tx>
          <c:spPr>
            <a:ln cmpd="sng">
              <a:solidFill>
                <a:srgbClr val="006391">
                  <a:alpha val="100000"/>
                </a:srgbClr>
              </a:solidFill>
            </a:ln>
          </c:spPr>
          <c:marker>
            <c:symbol val="none"/>
          </c:marker>
          <c:cat>
            <c:strRef>
              <c:f>GRAFICO!$A$2:$A$1389</c:f>
            </c:strRef>
          </c:cat>
          <c:val>
            <c:numRef>
              <c:f>GRAFICO!$P$2:$P$1389</c:f>
              <c:numCache/>
            </c:numRef>
          </c:val>
          <c:smooth val="0"/>
        </c:ser>
        <c:axId val="586085966"/>
        <c:axId val="511629167"/>
      </c:lineChart>
      <c:catAx>
        <c:axId val="586085966"/>
        <c:scaling>
          <c:orientation val="minMax"/>
        </c:scaling>
        <c:delete val="0"/>
        <c:axPos val="b"/>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spPr/>
        <c:txPr>
          <a:bodyPr/>
          <a:lstStyle/>
          <a:p>
            <a:pPr lvl="0">
              <a:defRPr b="0">
                <a:solidFill>
                  <a:srgbClr val="314C59"/>
                </a:solidFill>
                <a:latin typeface="+mn-lt"/>
              </a:defRPr>
            </a:pPr>
          </a:p>
        </c:txPr>
        <c:crossAx val="511629167"/>
      </c:catAx>
      <c:valAx>
        <c:axId val="511629167"/>
        <c:scaling>
          <c:orientation val="minMax"/>
          <c:max val="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586085966"/>
      </c:valAx>
    </c:plotArea>
    <c:legend>
      <c:legendPos val="r"/>
      <c:overlay val="0"/>
      <c:txPr>
        <a:bodyPr/>
        <a:lstStyle/>
        <a:p>
          <a:pPr lvl="0">
            <a:defRPr b="0">
              <a:solidFill>
                <a:srgbClr val="465E6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Análisis de varianza y caida máxima</a:t>
            </a:r>
          </a:p>
        </c:rich>
      </c:tx>
      <c:overlay val="0"/>
    </c:title>
    <c:plotArea>
      <c:layout/>
      <c:lineChart>
        <c:ser>
          <c:idx val="0"/>
          <c:order val="0"/>
          <c:tx>
            <c:strRef>
              <c:f>GRAFICO!$N$1</c:f>
            </c:strRef>
          </c:tx>
          <c:spPr>
            <a:ln cmpd="sng">
              <a:solidFill>
                <a:srgbClr val="006391"/>
              </a:solidFill>
            </a:ln>
          </c:spPr>
          <c:marker>
            <c:symbol val="none"/>
          </c:marker>
          <c:cat>
            <c:strRef>
              <c:f>GRAFICO!$A$2:$A$254</c:f>
            </c:strRef>
          </c:cat>
          <c:val>
            <c:numRef>
              <c:f>GRAFICO!$N$2:$N$254</c:f>
              <c:numCache/>
            </c:numRef>
          </c:val>
          <c:smooth val="0"/>
        </c:ser>
        <c:ser>
          <c:idx val="1"/>
          <c:order val="1"/>
          <c:tx>
            <c:strRef>
              <c:f>GRAFICO!$O$1</c:f>
            </c:strRef>
          </c:tx>
          <c:spPr>
            <a:ln cmpd="sng">
              <a:solidFill>
                <a:srgbClr val="E24A38"/>
              </a:solidFill>
            </a:ln>
          </c:spPr>
          <c:marker>
            <c:symbol val="none"/>
          </c:marker>
          <c:cat>
            <c:strRef>
              <c:f>GRAFICO!$A$2:$A$254</c:f>
            </c:strRef>
          </c:cat>
          <c:val>
            <c:numRef>
              <c:f>GRAFICO!$O$2:$O$254</c:f>
              <c:numCache/>
            </c:numRef>
          </c:val>
          <c:smooth val="0"/>
        </c:ser>
        <c:axId val="1401655281"/>
        <c:axId val="1808117075"/>
      </c:lineChart>
      <c:catAx>
        <c:axId val="1401655281"/>
        <c:scaling>
          <c:orientation val="minMax"/>
        </c:scaling>
        <c:delete val="0"/>
        <c:axPos val="b"/>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spPr/>
        <c:txPr>
          <a:bodyPr/>
          <a:lstStyle/>
          <a:p>
            <a:pPr lvl="0">
              <a:defRPr b="0">
                <a:solidFill>
                  <a:srgbClr val="314C59"/>
                </a:solidFill>
                <a:latin typeface="+mn-lt"/>
              </a:defRPr>
            </a:pPr>
          </a:p>
        </c:txPr>
        <c:crossAx val="1808117075"/>
      </c:catAx>
      <c:valAx>
        <c:axId val="18081170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1401655281"/>
      </c:valAx>
    </c:plotArea>
    <c:legend>
      <c:legendPos val="r"/>
      <c:overlay val="0"/>
      <c:txPr>
        <a:bodyPr/>
        <a:lstStyle/>
        <a:p>
          <a:pPr lvl="0">
            <a:defRPr b="0">
              <a:solidFill>
                <a:srgbClr val="465E6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HISTORICO VALOR UNIDAD</a:t>
            </a:r>
          </a:p>
        </c:rich>
      </c:tx>
      <c:overlay val="0"/>
    </c:title>
    <c:plotArea>
      <c:layout/>
      <c:lineChart>
        <c:varyColors val="0"/>
        <c:ser>
          <c:idx val="0"/>
          <c:order val="0"/>
          <c:tx>
            <c:strRef>
              <c:f>GRAFICO!$B$1</c:f>
            </c:strRef>
          </c:tx>
          <c:spPr>
            <a:ln cmpd="sng" w="38100">
              <a:solidFill>
                <a:srgbClr val="006391"/>
              </a:solidFill>
            </a:ln>
          </c:spPr>
          <c:marker>
            <c:symbol val="none"/>
          </c:marker>
          <c:trendline>
            <c:name/>
            <c:spPr>
              <a:ln w="19050">
                <a:solidFill>
                  <a:srgbClr val="000000"/>
                </a:solidFill>
              </a:ln>
            </c:spPr>
            <c:trendlineType val="linear"/>
            <c:dispRSqr val="0"/>
            <c:dispEq val="0"/>
          </c:trendline>
          <c:cat>
            <c:strRef>
              <c:f>GRAFICO!$A$2:$A$826</c:f>
            </c:strRef>
          </c:cat>
          <c:val>
            <c:numRef>
              <c:f>GRAFICO!$B$2:$B$1377</c:f>
              <c:numCache/>
            </c:numRef>
          </c:val>
          <c:smooth val="0"/>
        </c:ser>
        <c:axId val="1469572968"/>
        <c:axId val="728362671"/>
      </c:lineChart>
      <c:catAx>
        <c:axId val="1469572968"/>
        <c:scaling>
          <c:orientation val="minMax"/>
        </c:scaling>
        <c:delete val="0"/>
        <c:axPos val="b"/>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spPr/>
        <c:txPr>
          <a:bodyPr/>
          <a:lstStyle/>
          <a:p>
            <a:pPr lvl="0">
              <a:defRPr b="0">
                <a:solidFill>
                  <a:srgbClr val="314C59"/>
                </a:solidFill>
                <a:latin typeface="+mn-lt"/>
              </a:defRPr>
            </a:pPr>
          </a:p>
        </c:txPr>
        <c:crossAx val="728362671"/>
      </c:catAx>
      <c:valAx>
        <c:axId val="728362671"/>
        <c:scaling>
          <c:orientation val="minMax"/>
          <c:min val="1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fecha</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1469572968"/>
      </c:valAx>
    </c:plotArea>
    <c:legend>
      <c:legendPos val="r"/>
      <c:overlay val="0"/>
      <c:txPr>
        <a:bodyPr/>
        <a:lstStyle/>
        <a:p>
          <a:pPr lvl="0">
            <a:defRPr b="0">
              <a:solidFill>
                <a:srgbClr val="465E6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GRAFICO!$K$1</c:f>
            </c:strRef>
          </c:tx>
          <c:spPr>
            <a:ln cmpd="sng">
              <a:solidFill>
                <a:srgbClr val="006391"/>
              </a:solidFill>
            </a:ln>
          </c:spPr>
          <c:marker>
            <c:symbol val="none"/>
          </c:marker>
          <c:cat>
            <c:strRef>
              <c:f>GRAFICO!$A$2:$A$1389</c:f>
            </c:strRef>
          </c:cat>
          <c:val>
            <c:numRef>
              <c:f>GRAFICO!$K$2:$K$751</c:f>
              <c:numCache/>
            </c:numRef>
          </c:val>
          <c:smooth val="0"/>
        </c:ser>
        <c:ser>
          <c:idx val="1"/>
          <c:order val="1"/>
          <c:tx>
            <c:strRef>
              <c:f>GRAFICO!$L$1</c:f>
            </c:strRef>
          </c:tx>
          <c:spPr>
            <a:ln cmpd="sng">
              <a:solidFill>
                <a:srgbClr val="E24A38"/>
              </a:solidFill>
            </a:ln>
          </c:spPr>
          <c:marker>
            <c:symbol val="none"/>
          </c:marker>
          <c:cat>
            <c:strRef>
              <c:f>GRAFICO!$A$2:$A$1389</c:f>
            </c:strRef>
          </c:cat>
          <c:val>
            <c:numRef>
              <c:f>GRAFICO!$L$2:$L$1389</c:f>
              <c:numCache/>
            </c:numRef>
          </c:val>
          <c:smooth val="0"/>
        </c:ser>
        <c:axId val="557852034"/>
        <c:axId val="50765058"/>
      </c:lineChart>
      <c:catAx>
        <c:axId val="557852034"/>
        <c:scaling>
          <c:orientation val="minMax"/>
        </c:scaling>
        <c:delete val="0"/>
        <c:axPos val="b"/>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spPr/>
        <c:txPr>
          <a:bodyPr/>
          <a:lstStyle/>
          <a:p>
            <a:pPr lvl="0">
              <a:defRPr b="0">
                <a:solidFill>
                  <a:srgbClr val="314C59"/>
                </a:solidFill>
                <a:latin typeface="+mn-lt"/>
              </a:defRPr>
            </a:pPr>
          </a:p>
        </c:txPr>
        <c:crossAx val="50765058"/>
      </c:catAx>
      <c:valAx>
        <c:axId val="507650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557852034"/>
      </c:valAx>
    </c:plotArea>
    <c:legend>
      <c:legendPos val="r"/>
      <c:overlay val="0"/>
      <c:txPr>
        <a:bodyPr/>
        <a:lstStyle/>
        <a:p>
          <a:pPr lvl="0">
            <a:defRPr b="0">
              <a:solidFill>
                <a:srgbClr val="465E6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Deposito y valorización</a:t>
            </a:r>
          </a:p>
        </c:rich>
      </c:tx>
      <c:overlay val="0"/>
    </c:title>
    <c:plotArea>
      <c:layout/>
      <c:barChart>
        <c:barDir val="col"/>
        <c:ser>
          <c:idx val="0"/>
          <c:order val="0"/>
          <c:tx>
            <c:strRef>
              <c:f>CLIENTES!$E$1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CLIENTES!$B$2:$B$999</c:f>
            </c:strRef>
          </c:cat>
          <c:val>
            <c:numRef>
              <c:f>CLIENTES!$E$2:$E$999</c:f>
              <c:numCache/>
            </c:numRef>
          </c:val>
        </c:ser>
        <c:ser>
          <c:idx val="1"/>
          <c:order val="1"/>
          <c:tx>
            <c:strRef>
              <c:f>CLIENTES!$F$1</c:f>
            </c:strRef>
          </c:tx>
          <c:spPr>
            <a:solidFill>
              <a:schemeClr val="accent2"/>
            </a:solidFill>
            <a:ln cmpd="sng">
              <a:solidFill>
                <a:srgbClr val="000000"/>
              </a:solidFill>
            </a:ln>
          </c:spPr>
          <c:trendline>
            <c:name/>
            <c:spPr>
              <a:ln w="19050">
                <a:solidFill>
                  <a:srgbClr val="000000"/>
                </a:solidFill>
              </a:ln>
            </c:spPr>
            <c:trendlineType val="linear"/>
            <c:dispRSqr val="0"/>
            <c:dispEq val="0"/>
          </c:trendline>
          <c:cat>
            <c:strRef>
              <c:f>CLIENTES!$B$2:$B$999</c:f>
            </c:strRef>
          </c:cat>
          <c:val>
            <c:numRef>
              <c:f>CLIENTES!$F$2:$F$999</c:f>
              <c:numCache/>
            </c:numRef>
          </c:val>
        </c:ser>
        <c:axId val="699077482"/>
        <c:axId val="369774196"/>
      </c:barChart>
      <c:catAx>
        <c:axId val="699077482"/>
        <c:scaling>
          <c:orientation val="minMax"/>
        </c:scaling>
        <c:delete val="0"/>
        <c:axPos val="b"/>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spPr/>
        <c:txPr>
          <a:bodyPr/>
          <a:lstStyle/>
          <a:p>
            <a:pPr lvl="0">
              <a:defRPr b="0">
                <a:solidFill>
                  <a:srgbClr val="314C59"/>
                </a:solidFill>
                <a:latin typeface="+mn-lt"/>
              </a:defRPr>
            </a:pPr>
          </a:p>
        </c:txPr>
        <c:crossAx val="369774196"/>
      </c:catAx>
      <c:valAx>
        <c:axId val="3697741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699077482"/>
      </c:valAx>
    </c:plotArea>
    <c:legend>
      <c:legendPos val="r"/>
      <c:overlay val="0"/>
      <c:txPr>
        <a:bodyPr/>
        <a:lstStyle/>
        <a:p>
          <a:pPr lvl="0">
            <a:defRPr b="0">
              <a:solidFill>
                <a:srgbClr val="465E6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tx>
            <c:strRef>
              <c:f>CLIENTES!$C$1</c:f>
            </c:strRef>
          </c:tx>
          <c:dPt>
            <c:idx val="0"/>
            <c:spPr>
              <a:solidFill>
                <a:srgbClr val="006391"/>
              </a:solidFill>
            </c:spPr>
          </c:dPt>
          <c:dPt>
            <c:idx val="1"/>
            <c:spPr>
              <a:solidFill>
                <a:srgbClr val="E24A38"/>
              </a:solidFill>
            </c:spPr>
          </c:dPt>
          <c:dPt>
            <c:idx val="2"/>
            <c:spPr>
              <a:solidFill>
                <a:srgbClr val="FEB929"/>
              </a:solidFill>
            </c:spPr>
          </c:dPt>
          <c:dPt>
            <c:idx val="3"/>
            <c:spPr>
              <a:solidFill>
                <a:srgbClr val="28998B"/>
              </a:solidFill>
            </c:spPr>
          </c:dPt>
          <c:dPt>
            <c:idx val="4"/>
            <c:spPr>
              <a:solidFill>
                <a:srgbClr val="C0DE00"/>
              </a:solidFill>
            </c:spPr>
          </c:dPt>
          <c:dPt>
            <c:idx val="5"/>
            <c:spPr>
              <a:solidFill>
                <a:srgbClr val="F5959C"/>
              </a:solidFill>
            </c:spPr>
          </c:dPt>
          <c:dPt>
            <c:idx val="6"/>
            <c:spPr>
              <a:solidFill>
                <a:srgbClr val="4D92B2"/>
              </a:solidFill>
            </c:spPr>
          </c:dPt>
          <c:dPt>
            <c:idx val="7"/>
            <c:spPr>
              <a:solidFill>
                <a:srgbClr val="EB8074"/>
              </a:solidFill>
            </c:spPr>
          </c:dPt>
          <c:dPt>
            <c:idx val="8"/>
            <c:spPr>
              <a:solidFill>
                <a:srgbClr val="FECE69"/>
              </a:solidFill>
            </c:spPr>
          </c:dPt>
          <c:dPt>
            <c:idx val="9"/>
            <c:spPr>
              <a:solidFill>
                <a:srgbClr val="69B8AE"/>
              </a:solidFill>
            </c:spPr>
          </c:dPt>
          <c:dPt>
            <c:idx val="10"/>
            <c:spPr>
              <a:solidFill>
                <a:srgbClr val="D3E84D"/>
              </a:solidFill>
            </c:spPr>
          </c:dPt>
          <c:dPt>
            <c:idx val="11"/>
            <c:spPr>
              <a:solidFill>
                <a:srgbClr val="F8B5BA"/>
              </a:solidFill>
            </c:spPr>
          </c:dPt>
          <c:dPt>
            <c:idx val="12"/>
            <c:spPr>
              <a:solidFill>
                <a:srgbClr val="99C1D3"/>
              </a:solidFill>
            </c:spPr>
          </c:dPt>
          <c:dPt>
            <c:idx val="13"/>
            <c:spPr>
              <a:solidFill>
                <a:srgbClr val="F3B7AF"/>
              </a:solidFill>
            </c:spPr>
          </c:dPt>
          <c:dPt>
            <c:idx val="14"/>
            <c:spPr>
              <a:solidFill>
                <a:srgbClr val="FFE3A9"/>
              </a:solidFill>
            </c:spPr>
          </c:dPt>
          <c:dPt>
            <c:idx val="15"/>
            <c:spPr>
              <a:solidFill>
                <a:srgbClr val="A9D6D1"/>
              </a:solidFill>
            </c:spPr>
          </c:dPt>
          <c:dPt>
            <c:idx val="16"/>
            <c:spPr>
              <a:solidFill>
                <a:srgbClr val="E6F299"/>
              </a:solidFill>
            </c:spPr>
          </c:dPt>
          <c:dPt>
            <c:idx val="17"/>
            <c:spPr>
              <a:solidFill>
                <a:srgbClr val="FBD5D7"/>
              </a:solidFill>
            </c:spPr>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Lbls>
            <c:showLegendKey val="0"/>
            <c:showVal val="0"/>
            <c:showCatName val="0"/>
            <c:showSerName val="0"/>
            <c:showPercent val="0"/>
            <c:showBubbleSize val="0"/>
            <c:showLeaderLines val="1"/>
          </c:dLbls>
          <c:cat>
            <c:strRef>
              <c:f>CLIENTES!$B$2:$B$999</c:f>
            </c:strRef>
          </c:cat>
          <c:val>
            <c:numRef>
              <c:f>CLIENTES!$C$2:$C$999</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465E6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CUENTAS!$AF$1</c:f>
            </c:strRef>
          </c:tx>
          <c:spPr>
            <a:ln cmpd="sng">
              <a:solidFill>
                <a:srgbClr val="006391"/>
              </a:solidFill>
            </a:ln>
          </c:spPr>
          <c:marker>
            <c:symbol val="none"/>
          </c:marker>
          <c:trendline>
            <c:name>Línea de tendencia para serie 1</c:name>
            <c:spPr>
              <a:ln w="19050">
                <a:solidFill>
                  <a:srgbClr val="EA4335"/>
                </a:solidFill>
              </a:ln>
            </c:spPr>
            <c:trendlineType val="exp"/>
            <c:dispRSqr val="1"/>
            <c:dispEq val="0"/>
          </c:trendline>
          <c:cat>
            <c:strRef>
              <c:f>CUENTAS!$A$2:$A$1388</c:f>
            </c:strRef>
          </c:cat>
          <c:val>
            <c:numRef>
              <c:f>CUENTAS!$AF$2:$AF$399</c:f>
              <c:numCache/>
            </c:numRef>
          </c:val>
          <c:smooth val="0"/>
        </c:ser>
        <c:axId val="7473008"/>
        <c:axId val="1710659008"/>
      </c:lineChart>
      <c:catAx>
        <c:axId val="7473008"/>
        <c:scaling>
          <c:orientation val="minMax"/>
        </c:scaling>
        <c:delete val="0"/>
        <c:axPos val="b"/>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spPr/>
        <c:txPr>
          <a:bodyPr/>
          <a:lstStyle/>
          <a:p>
            <a:pPr lvl="0">
              <a:defRPr b="0">
                <a:solidFill>
                  <a:srgbClr val="314C59"/>
                </a:solidFill>
                <a:latin typeface="+mn-lt"/>
              </a:defRPr>
            </a:pPr>
          </a:p>
        </c:txPr>
        <c:crossAx val="1710659008"/>
      </c:catAx>
      <c:valAx>
        <c:axId val="1710659008"/>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7473008"/>
      </c:valAx>
    </c:plotArea>
    <c:legend>
      <c:legendPos val="r"/>
      <c:overlay val="0"/>
      <c:txPr>
        <a:bodyPr/>
        <a:lstStyle/>
        <a:p>
          <a:pPr lvl="0">
            <a:defRPr b="0">
              <a:solidFill>
                <a:srgbClr val="465E6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ACTIVOS NETOS Y ACTIVOS</a:t>
            </a:r>
          </a:p>
        </c:rich>
      </c:tx>
      <c:overlay val="0"/>
    </c:title>
    <c:plotArea>
      <c:layout/>
      <c:lineChart>
        <c:ser>
          <c:idx val="0"/>
          <c:order val="0"/>
          <c:tx>
            <c:strRef>
              <c:f>CUENTAS!$AB$1</c:f>
            </c:strRef>
          </c:tx>
          <c:spPr>
            <a:ln cmpd="sng">
              <a:solidFill>
                <a:srgbClr val="006391"/>
              </a:solidFill>
            </a:ln>
          </c:spPr>
          <c:marker>
            <c:symbol val="none"/>
          </c:marker>
          <c:cat>
            <c:strRef>
              <c:f>CUENTAS!$A$2:$A$150</c:f>
            </c:strRef>
          </c:cat>
          <c:val>
            <c:numRef>
              <c:f>CUENTAS!$AB$2:$AB$150</c:f>
              <c:numCache/>
            </c:numRef>
          </c:val>
          <c:smooth val="0"/>
        </c:ser>
        <c:ser>
          <c:idx val="1"/>
          <c:order val="1"/>
          <c:tx>
            <c:strRef>
              <c:f>CUENTAS!$AE$1</c:f>
            </c:strRef>
          </c:tx>
          <c:spPr>
            <a:ln cmpd="sng">
              <a:solidFill>
                <a:srgbClr val="E24A38"/>
              </a:solidFill>
            </a:ln>
          </c:spPr>
          <c:marker>
            <c:symbol val="none"/>
          </c:marker>
          <c:cat>
            <c:strRef>
              <c:f>CUENTAS!$A$2:$A$150</c:f>
            </c:strRef>
          </c:cat>
          <c:val>
            <c:numRef>
              <c:f>CUENTAS!$AE$2:$AE$150</c:f>
              <c:numCache/>
            </c:numRef>
          </c:val>
          <c:smooth val="0"/>
        </c:ser>
        <c:axId val="1136740355"/>
        <c:axId val="1958445224"/>
      </c:lineChart>
      <c:catAx>
        <c:axId val="1136740355"/>
        <c:scaling>
          <c:orientation val="minMax"/>
        </c:scaling>
        <c:delete val="0"/>
        <c:axPos val="b"/>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spPr/>
        <c:txPr>
          <a:bodyPr/>
          <a:lstStyle/>
          <a:p>
            <a:pPr lvl="0">
              <a:defRPr b="0">
                <a:solidFill>
                  <a:srgbClr val="314C59"/>
                </a:solidFill>
                <a:latin typeface="+mn-lt"/>
              </a:defRPr>
            </a:pPr>
          </a:p>
        </c:txPr>
        <c:crossAx val="1958445224"/>
      </c:catAx>
      <c:valAx>
        <c:axId val="1958445224"/>
        <c:scaling>
          <c:orientation val="minMax"/>
          <c:min val="1.5E7"/>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ACTIVOS</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1136740355"/>
      </c:valAx>
    </c:plotArea>
    <c:legend>
      <c:legendPos val="r"/>
      <c:overlay val="0"/>
      <c:txPr>
        <a:bodyPr/>
        <a:lstStyle/>
        <a:p>
          <a:pPr lvl="0">
            <a:defRPr b="0">
              <a:solidFill>
                <a:srgbClr val="465E6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frecuencia y desviacion</a:t>
            </a:r>
          </a:p>
        </c:rich>
      </c:tx>
      <c:overlay val="0"/>
    </c:title>
    <c:plotArea>
      <c:layout/>
      <c:barChart>
        <c:barDir val="col"/>
        <c:ser>
          <c:idx val="0"/>
          <c:order val="0"/>
          <c:tx>
            <c:strRef>
              <c:f>F.graficos!$B$2</c:f>
            </c:strRef>
          </c:tx>
          <c:spPr>
            <a:solidFill>
              <a:schemeClr val="accent1"/>
            </a:solidFill>
            <a:ln cmpd="sng">
              <a:solidFill>
                <a:srgbClr val="000000"/>
              </a:solidFill>
            </a:ln>
          </c:spPr>
          <c:cat>
            <c:strRef>
              <c:f>F.graficos!$A$3:$A$52</c:f>
            </c:strRef>
          </c:cat>
          <c:val>
            <c:numRef>
              <c:f>F.graficos!$B$3:$B$52</c:f>
              <c:numCache/>
            </c:numRef>
          </c:val>
        </c:ser>
        <c:axId val="528530901"/>
        <c:axId val="1942911180"/>
      </c:barChart>
      <c:catAx>
        <c:axId val="528530901"/>
        <c:scaling>
          <c:orientation val="minMax"/>
        </c:scaling>
        <c:delete val="0"/>
        <c:axPos val="b"/>
        <c:title>
          <c:tx>
            <c:rich>
              <a:bodyPr/>
              <a:lstStyle/>
              <a:p>
                <a:pPr lvl="0">
                  <a:defRPr b="0">
                    <a:solidFill>
                      <a:srgbClr val="314C59"/>
                    </a:solidFill>
                    <a:latin typeface="+mn-lt"/>
                  </a:defRPr>
                </a:pPr>
                <a:r>
                  <a:rPr b="0">
                    <a:solidFill>
                      <a:srgbClr val="314C59"/>
                    </a:solidFill>
                    <a:latin typeface="+mn-lt"/>
                  </a:rPr>
                  <a:t>rango</a:t>
                </a:r>
              </a:p>
            </c:rich>
          </c:tx>
          <c:overlay val="0"/>
        </c:title>
        <c:numFmt formatCode="General" sourceLinked="1"/>
        <c:majorTickMark val="none"/>
        <c:minorTickMark val="none"/>
        <c:spPr/>
        <c:txPr>
          <a:bodyPr/>
          <a:lstStyle/>
          <a:p>
            <a:pPr lvl="0">
              <a:defRPr b="0">
                <a:solidFill>
                  <a:srgbClr val="314C59"/>
                </a:solidFill>
                <a:latin typeface="+mn-lt"/>
              </a:defRPr>
            </a:pPr>
          </a:p>
        </c:txPr>
        <c:crossAx val="1942911180"/>
      </c:catAx>
      <c:valAx>
        <c:axId val="19429111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528530901"/>
      </c:valAx>
      <c:lineChart>
        <c:varyColors val="0"/>
        <c:ser>
          <c:idx val="1"/>
          <c:order val="1"/>
          <c:tx>
            <c:strRef>
              <c:f>F.graficos!$C$2</c:f>
            </c:strRef>
          </c:tx>
          <c:spPr>
            <a:ln cmpd="sng">
              <a:solidFill>
                <a:srgbClr val="E24A38"/>
              </a:solidFill>
            </a:ln>
          </c:spPr>
          <c:marker>
            <c:symbol val="none"/>
          </c:marker>
          <c:cat>
            <c:strRef>
              <c:f>F.graficos!$A$3:$A$52</c:f>
            </c:strRef>
          </c:cat>
          <c:val>
            <c:numRef>
              <c:f>F.graficos!$C$3:$C$52</c:f>
              <c:numCache/>
            </c:numRef>
          </c:val>
          <c:smooth val="0"/>
        </c:ser>
        <c:axId val="1873047771"/>
        <c:axId val="1114867943"/>
      </c:lineChart>
      <c:catAx>
        <c:axId val="1873047771"/>
        <c:scaling>
          <c:orientation val="minMax"/>
        </c:scaling>
        <c:delete val="1"/>
        <c:axPos val="b"/>
        <c:numFmt formatCode="General" sourceLinked="1"/>
        <c:majorTickMark val="none"/>
        <c:minorTickMark val="none"/>
        <c:spPr/>
        <c:txPr>
          <a:bodyPr/>
          <a:lstStyle/>
          <a:p>
            <a:pPr lvl="0">
              <a:defRPr b="0">
                <a:solidFill>
                  <a:srgbClr val="314C59"/>
                </a:solidFill>
                <a:latin typeface="+mn-lt"/>
              </a:defRPr>
            </a:pPr>
          </a:p>
        </c:txPr>
        <c:crossAx val="1114867943"/>
      </c:catAx>
      <c:valAx>
        <c:axId val="111486794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1873047771"/>
        <c:crosses val="max"/>
      </c:valAx>
    </c:plotArea>
    <c:legend>
      <c:legendPos val="r"/>
      <c:overlay val="0"/>
      <c:txPr>
        <a:bodyPr/>
        <a:lstStyle/>
        <a:p>
          <a:pPr lvl="0">
            <a:defRPr b="0">
              <a:solidFill>
                <a:srgbClr val="465E6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frecuencia frente a rango de retornos en logaritmos</a:t>
            </a:r>
          </a:p>
        </c:rich>
      </c:tx>
      <c:overlay val="0"/>
    </c:title>
    <c:plotArea>
      <c:layout/>
      <c:barChart>
        <c:barDir val="col"/>
        <c:ser>
          <c:idx val="0"/>
          <c:order val="0"/>
          <c:tx>
            <c:strRef>
              <c:f>F.graficos!$G$2</c:f>
            </c:strRef>
          </c:tx>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F.graficos!$F$3:$F$22</c:f>
            </c:strRef>
          </c:cat>
          <c:val>
            <c:numRef>
              <c:f>F.graficos!$G$3:$G$22</c:f>
              <c:numCache/>
            </c:numRef>
          </c:val>
        </c:ser>
        <c:axId val="1348275712"/>
        <c:axId val="853809502"/>
      </c:barChart>
      <c:catAx>
        <c:axId val="1348275712"/>
        <c:scaling>
          <c:orientation val="minMax"/>
        </c:scaling>
        <c:delete val="0"/>
        <c:axPos val="b"/>
        <c:title>
          <c:tx>
            <c:rich>
              <a:bodyPr/>
              <a:lstStyle/>
              <a:p>
                <a:pPr lvl="0">
                  <a:defRPr b="0">
                    <a:solidFill>
                      <a:srgbClr val="314C59"/>
                    </a:solidFill>
                    <a:latin typeface="+mn-lt"/>
                  </a:defRPr>
                </a:pPr>
                <a:r>
                  <a:rPr b="0">
                    <a:solidFill>
                      <a:srgbClr val="314C59"/>
                    </a:solidFill>
                    <a:latin typeface="+mn-lt"/>
                  </a:rPr>
                  <a:t>rango</a:t>
                </a:r>
              </a:p>
            </c:rich>
          </c:tx>
          <c:overlay val="0"/>
        </c:title>
        <c:numFmt formatCode="General" sourceLinked="1"/>
        <c:majorTickMark val="none"/>
        <c:minorTickMark val="none"/>
        <c:spPr/>
        <c:txPr>
          <a:bodyPr/>
          <a:lstStyle/>
          <a:p>
            <a:pPr lvl="0">
              <a:defRPr b="0">
                <a:solidFill>
                  <a:srgbClr val="314C59"/>
                </a:solidFill>
                <a:latin typeface="+mn-lt"/>
              </a:defRPr>
            </a:pPr>
          </a:p>
        </c:txPr>
        <c:crossAx val="853809502"/>
      </c:catAx>
      <c:valAx>
        <c:axId val="8538095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frecuencia</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1348275712"/>
      </c:valAx>
    </c:plotArea>
    <c:legend>
      <c:legendPos val="r"/>
      <c:overlay val="0"/>
      <c:txPr>
        <a:bodyPr/>
        <a:lstStyle/>
        <a:p>
          <a:pPr lvl="0">
            <a:defRPr b="0">
              <a:solidFill>
                <a:srgbClr val="465E6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2024 vs 2025 (1/Enero=0)</a:t>
            </a:r>
          </a:p>
        </c:rich>
      </c:tx>
      <c:overlay val="0"/>
    </c:title>
    <c:plotArea>
      <c:layout/>
      <c:lineChart>
        <c:ser>
          <c:idx val="0"/>
          <c:order val="0"/>
          <c:spPr>
            <a:ln cmpd="sng">
              <a:solidFill>
                <a:schemeClr val="accent3"/>
              </a:solidFill>
            </a:ln>
          </c:spPr>
          <c:marker>
            <c:symbol val="none"/>
          </c:marker>
          <c:cat>
            <c:strRef>
              <c:f>F.graficos!$J$8:$J$1185</c:f>
            </c:strRef>
          </c:cat>
          <c:val>
            <c:numRef>
              <c:f>F.graficos!$L$8:$L$1185</c:f>
              <c:numCache/>
            </c:numRef>
          </c:val>
          <c:smooth val="0"/>
        </c:ser>
        <c:ser>
          <c:idx val="1"/>
          <c:order val="1"/>
          <c:spPr>
            <a:ln cmpd="sng">
              <a:solidFill>
                <a:srgbClr val="FF0000">
                  <a:alpha val="50196"/>
                </a:srgbClr>
              </a:solidFill>
            </a:ln>
          </c:spPr>
          <c:marker>
            <c:symbol val="none"/>
          </c:marker>
          <c:cat>
            <c:strRef>
              <c:f>F.graficos!$J$8:$J$1185</c:f>
            </c:strRef>
          </c:cat>
          <c:val>
            <c:numRef>
              <c:f>F.graficos!$O$8:$O$1185</c:f>
              <c:numCache/>
            </c:numRef>
          </c:val>
          <c:smooth val="0"/>
        </c:ser>
        <c:ser>
          <c:idx val="2"/>
          <c:order val="2"/>
          <c:spPr>
            <a:ln cmpd="sng" w="38100">
              <a:solidFill>
                <a:schemeClr val="accent1"/>
              </a:solidFill>
              <a:prstDash val="solid"/>
            </a:ln>
          </c:spPr>
          <c:marker>
            <c:symbol val="none"/>
          </c:marker>
          <c:cat>
            <c:strRef>
              <c:f>F.graficos!$J$8:$J$1185</c:f>
            </c:strRef>
          </c:cat>
          <c:val>
            <c:numRef>
              <c:f>F.graficos!$R$8:$R$1185</c:f>
              <c:numCache/>
            </c:numRef>
          </c:val>
          <c:smooth val="0"/>
        </c:ser>
        <c:axId val="1439578708"/>
        <c:axId val="841967338"/>
      </c:lineChart>
      <c:catAx>
        <c:axId val="1439578708"/>
        <c:scaling>
          <c:orientation val="minMax"/>
        </c:scaling>
        <c:delete val="0"/>
        <c:axPos val="b"/>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spPr/>
        <c:txPr>
          <a:bodyPr/>
          <a:lstStyle/>
          <a:p>
            <a:pPr lvl="0">
              <a:defRPr b="0">
                <a:solidFill>
                  <a:srgbClr val="314C59"/>
                </a:solidFill>
                <a:latin typeface="+mn-lt"/>
              </a:defRPr>
            </a:pPr>
          </a:p>
        </c:txPr>
        <c:crossAx val="841967338"/>
      </c:catAx>
      <c:valAx>
        <c:axId val="841967338"/>
        <c:scaling>
          <c:orientation val="minMax"/>
          <c:min val="-0.1"/>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1439578708"/>
      </c:valAx>
    </c:plotArea>
    <c:legend>
      <c:legendPos val="r"/>
      <c:overlay val="0"/>
      <c:txPr>
        <a:bodyPr/>
        <a:lstStyle/>
        <a:p>
          <a:pPr lvl="0">
            <a:defRPr b="0">
              <a:solidFill>
                <a:srgbClr val="465E6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porción de la ganancia en el activo neto</a:t>
            </a:r>
          </a:p>
        </c:rich>
      </c:tx>
      <c:overlay val="0"/>
    </c:title>
    <c:plotArea>
      <c:layout/>
      <c:lineChart>
        <c:varyColors val="0"/>
        <c:ser>
          <c:idx val="0"/>
          <c:order val="0"/>
          <c:tx>
            <c:strRef>
              <c:f>DATOS!$H$1</c:f>
            </c:strRef>
          </c:tx>
          <c:spPr>
            <a:ln cmpd="sng">
              <a:solidFill>
                <a:srgbClr val="006391"/>
              </a:solidFill>
            </a:ln>
          </c:spPr>
          <c:marker>
            <c:symbol val="none"/>
          </c:marker>
          <c:cat>
            <c:strRef>
              <c:f>DATOS!$A$2:$A$1377</c:f>
            </c:strRef>
          </c:cat>
          <c:val>
            <c:numRef>
              <c:f>DATOS!$H$2:$H$385</c:f>
              <c:numCache/>
            </c:numRef>
          </c:val>
          <c:smooth val="0"/>
        </c:ser>
        <c:axId val="1694499678"/>
        <c:axId val="963337195"/>
      </c:lineChart>
      <c:catAx>
        <c:axId val="1694499678"/>
        <c:scaling>
          <c:orientation val="minMax"/>
        </c:scaling>
        <c:delete val="0"/>
        <c:axPos val="b"/>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spPr/>
        <c:txPr>
          <a:bodyPr/>
          <a:lstStyle/>
          <a:p>
            <a:pPr lvl="0">
              <a:defRPr b="0">
                <a:solidFill>
                  <a:srgbClr val="314C59"/>
                </a:solidFill>
                <a:latin typeface="+mn-lt"/>
              </a:defRPr>
            </a:pPr>
          </a:p>
        </c:txPr>
        <c:crossAx val="963337195"/>
      </c:catAx>
      <c:valAx>
        <c:axId val="963337195"/>
        <c:scaling>
          <c:orientation val="minMax"/>
          <c:max val="0.4"/>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314C59"/>
                </a:solidFill>
                <a:latin typeface="+mn-lt"/>
              </a:defRPr>
            </a:pPr>
          </a:p>
        </c:txPr>
        <c:crossAx val="1694499678"/>
      </c:valAx>
    </c:plotArea>
    <c:legend>
      <c:legendPos val="r"/>
      <c:overlay val="0"/>
      <c:txPr>
        <a:bodyPr/>
        <a:lstStyle/>
        <a:p>
          <a:pPr lvl="0">
            <a:defRPr b="0">
              <a:solidFill>
                <a:srgbClr val="465E6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Caída desde ultimo máximo a la fecha</a:t>
            </a:r>
          </a:p>
        </c:rich>
      </c:tx>
      <c:overlay val="0"/>
    </c:title>
    <c:plotArea>
      <c:layout/>
      <c:lineChart>
        <c:varyColors val="0"/>
        <c:ser>
          <c:idx val="0"/>
          <c:order val="0"/>
          <c:tx>
            <c:strRef>
              <c:f>GRAFICO!$P$1</c:f>
            </c:strRef>
          </c:tx>
          <c:spPr>
            <a:ln cmpd="sng">
              <a:solidFill>
                <a:srgbClr val="006391">
                  <a:alpha val="100000"/>
                </a:srgbClr>
              </a:solidFill>
            </a:ln>
          </c:spPr>
          <c:marker>
            <c:symbol val="none"/>
          </c:marker>
          <c:cat>
            <c:strRef>
              <c:f>GRAFICO!$A$2:$A$1389</c:f>
            </c:strRef>
          </c:cat>
          <c:val>
            <c:numRef>
              <c:f>GRAFICO!$P$2:$P$1389</c:f>
              <c:numCache/>
            </c:numRef>
          </c:val>
          <c:smooth val="0"/>
        </c:ser>
        <c:axId val="531617566"/>
        <c:axId val="644593954"/>
      </c:lineChart>
      <c:catAx>
        <c:axId val="531617566"/>
        <c:scaling>
          <c:orientation val="minMax"/>
        </c:scaling>
        <c:delete val="0"/>
        <c:axPos val="b"/>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spPr/>
        <c:txPr>
          <a:bodyPr/>
          <a:lstStyle/>
          <a:p>
            <a:pPr lvl="0">
              <a:defRPr b="0">
                <a:solidFill>
                  <a:srgbClr val="314C59"/>
                </a:solidFill>
                <a:latin typeface="+mn-lt"/>
              </a:defRPr>
            </a:pPr>
          </a:p>
        </c:txPr>
        <c:crossAx val="644593954"/>
      </c:catAx>
      <c:valAx>
        <c:axId val="644593954"/>
        <c:scaling>
          <c:orientation val="minMax"/>
          <c:max val="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531617566"/>
      </c:valAx>
    </c:plotArea>
    <c:legend>
      <c:legendPos val="r"/>
      <c:overlay val="0"/>
      <c:txPr>
        <a:bodyPr/>
        <a:lstStyle/>
        <a:p>
          <a:pPr lvl="0">
            <a:defRPr b="0">
              <a:solidFill>
                <a:srgbClr val="465E6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ECOPETROL, BVC, TES, TES2, MINEROS…</a:t>
            </a:r>
          </a:p>
        </c:rich>
      </c:tx>
      <c:overlay val="0"/>
    </c:title>
    <c:plotArea>
      <c:layout/>
      <c:areaChart>
        <c:grouping val="percentStacked"/>
        <c:ser>
          <c:idx val="0"/>
          <c:order val="0"/>
          <c:tx>
            <c:strRef>
              <c:f>F.graficos!$T$1:$T$2</c:f>
            </c:strRef>
          </c:tx>
          <c:spPr>
            <a:solidFill>
              <a:srgbClr val="FF6D01">
                <a:alpha val="30000"/>
              </a:srgbClr>
            </a:solidFill>
            <a:ln cmpd="sng">
              <a:solidFill>
                <a:srgbClr val="FF6D01">
                  <a:alpha val="100000"/>
                </a:srgbClr>
              </a:solidFill>
            </a:ln>
          </c:spPr>
          <c:cat>
            <c:strRef>
              <c:f>F.graficos!$S$3:$S$1186</c:f>
            </c:strRef>
          </c:cat>
          <c:val>
            <c:numRef>
              <c:f>F.graficos!$T$3:$T$1186</c:f>
              <c:numCache/>
            </c:numRef>
          </c:val>
        </c:ser>
        <c:ser>
          <c:idx val="1"/>
          <c:order val="1"/>
          <c:tx>
            <c:strRef>
              <c:f>F.graficos!$U$1:$U$2</c:f>
            </c:strRef>
          </c:tx>
          <c:spPr>
            <a:solidFill>
              <a:srgbClr val="FF6D01">
                <a:alpha val="30000"/>
              </a:srgbClr>
            </a:solidFill>
            <a:ln cmpd="sng">
              <a:solidFill>
                <a:srgbClr val="FF6D01">
                  <a:alpha val="100000"/>
                </a:srgbClr>
              </a:solidFill>
            </a:ln>
          </c:spPr>
          <c:cat>
            <c:strRef>
              <c:f>F.graficos!$S$3:$S$1186</c:f>
            </c:strRef>
          </c:cat>
          <c:val>
            <c:numRef>
              <c:f>F.graficos!$U$3:$U$1186</c:f>
              <c:numCache/>
            </c:numRef>
          </c:val>
        </c:ser>
        <c:ser>
          <c:idx val="2"/>
          <c:order val="2"/>
          <c:tx>
            <c:strRef>
              <c:f>F.graficos!$V$1:$V$2</c:f>
            </c:strRef>
          </c:tx>
          <c:spPr>
            <a:solidFill>
              <a:schemeClr val="accent1">
                <a:alpha val="30000"/>
              </a:schemeClr>
            </a:solidFill>
            <a:ln cmpd="sng">
              <a:solidFill>
                <a:schemeClr val="accent1"/>
              </a:solidFill>
            </a:ln>
          </c:spPr>
          <c:cat>
            <c:strRef>
              <c:f>F.graficos!$S$3:$S$1186</c:f>
            </c:strRef>
          </c:cat>
          <c:val>
            <c:numRef>
              <c:f>F.graficos!$V$3:$V$1186</c:f>
              <c:numCache/>
            </c:numRef>
          </c:val>
        </c:ser>
        <c:ser>
          <c:idx val="3"/>
          <c:order val="3"/>
          <c:tx>
            <c:strRef>
              <c:f>F.graficos!$W$1:$W$2</c:f>
            </c:strRef>
          </c:tx>
          <c:spPr>
            <a:solidFill>
              <a:schemeClr val="accent1">
                <a:alpha val="30000"/>
              </a:schemeClr>
            </a:solidFill>
            <a:ln cmpd="sng">
              <a:solidFill>
                <a:schemeClr val="accent1"/>
              </a:solidFill>
            </a:ln>
          </c:spPr>
          <c:cat>
            <c:strRef>
              <c:f>F.graficos!$S$3:$S$1186</c:f>
            </c:strRef>
          </c:cat>
          <c:val>
            <c:numRef>
              <c:f>F.graficos!$W$3:$W$1186</c:f>
              <c:numCache/>
            </c:numRef>
          </c:val>
        </c:ser>
        <c:ser>
          <c:idx val="4"/>
          <c:order val="4"/>
          <c:tx>
            <c:strRef>
              <c:f>F.graficos!$X$1:$X$2</c:f>
            </c:strRef>
          </c:tx>
          <c:spPr>
            <a:solidFill>
              <a:srgbClr val="FF6D01">
                <a:alpha val="30000"/>
              </a:srgbClr>
            </a:solidFill>
            <a:ln cmpd="sng">
              <a:solidFill>
                <a:srgbClr val="FF6D01">
                  <a:alpha val="100000"/>
                </a:srgbClr>
              </a:solidFill>
            </a:ln>
          </c:spPr>
          <c:cat>
            <c:strRef>
              <c:f>F.graficos!$S$3:$S$1186</c:f>
            </c:strRef>
          </c:cat>
          <c:val>
            <c:numRef>
              <c:f>F.graficos!$X$3:$X$1186</c:f>
              <c:numCache/>
            </c:numRef>
          </c:val>
        </c:ser>
        <c:ser>
          <c:idx val="5"/>
          <c:order val="5"/>
          <c:tx>
            <c:strRef>
              <c:f>F.graficos!$Y$1:$Y$2</c:f>
            </c:strRef>
          </c:tx>
          <c:spPr>
            <a:solidFill>
              <a:srgbClr val="FF6D01">
                <a:alpha val="30000"/>
              </a:srgbClr>
            </a:solidFill>
            <a:ln cmpd="sng">
              <a:solidFill>
                <a:srgbClr val="FF6D01">
                  <a:alpha val="100000"/>
                </a:srgbClr>
              </a:solidFill>
            </a:ln>
          </c:spPr>
          <c:cat>
            <c:strRef>
              <c:f>F.graficos!$S$3:$S$1186</c:f>
            </c:strRef>
          </c:cat>
          <c:val>
            <c:numRef>
              <c:f>F.graficos!$Y$3:$Y$1186</c:f>
              <c:numCache/>
            </c:numRef>
          </c:val>
        </c:ser>
        <c:ser>
          <c:idx val="6"/>
          <c:order val="6"/>
          <c:tx>
            <c:strRef>
              <c:f>F.graficos!$Z$1:$Z$2</c:f>
            </c:strRef>
          </c:tx>
          <c:spPr>
            <a:solidFill>
              <a:srgbClr val="FF6D01">
                <a:alpha val="30000"/>
              </a:srgbClr>
            </a:solidFill>
            <a:ln cmpd="sng">
              <a:solidFill>
                <a:srgbClr val="FF6D01">
                  <a:alpha val="100000"/>
                </a:srgbClr>
              </a:solidFill>
            </a:ln>
          </c:spPr>
          <c:cat>
            <c:strRef>
              <c:f>F.graficos!$S$3:$S$1186</c:f>
            </c:strRef>
          </c:cat>
          <c:val>
            <c:numRef>
              <c:f>F.graficos!$Z$3:$Z$1186</c:f>
              <c:numCache/>
            </c:numRef>
          </c:val>
        </c:ser>
        <c:ser>
          <c:idx val="7"/>
          <c:order val="7"/>
          <c:tx>
            <c:strRef>
              <c:f>F.graficos!$AA$1:$AA$2</c:f>
            </c:strRef>
          </c:tx>
          <c:spPr>
            <a:solidFill>
              <a:srgbClr val="FF6D01">
                <a:alpha val="30000"/>
              </a:srgbClr>
            </a:solidFill>
            <a:ln cmpd="sng">
              <a:solidFill>
                <a:srgbClr val="FF6D01">
                  <a:alpha val="100000"/>
                </a:srgbClr>
              </a:solidFill>
            </a:ln>
          </c:spPr>
          <c:cat>
            <c:strRef>
              <c:f>F.graficos!$S$3:$S$1186</c:f>
            </c:strRef>
          </c:cat>
          <c:val>
            <c:numRef>
              <c:f>F.graficos!$AA$3:$AA$1186</c:f>
              <c:numCache/>
            </c:numRef>
          </c:val>
        </c:ser>
        <c:ser>
          <c:idx val="8"/>
          <c:order val="8"/>
          <c:tx>
            <c:strRef>
              <c:f>F.graficos!$AB$1:$AB$2</c:f>
            </c:strRef>
          </c:tx>
          <c:spPr>
            <a:solidFill>
              <a:srgbClr val="FF6D01">
                <a:alpha val="30000"/>
              </a:srgbClr>
            </a:solidFill>
            <a:ln cmpd="sng">
              <a:solidFill>
                <a:srgbClr val="FF6D01">
                  <a:alpha val="100000"/>
                </a:srgbClr>
              </a:solidFill>
            </a:ln>
          </c:spPr>
          <c:cat>
            <c:strRef>
              <c:f>F.graficos!$S$3:$S$1186</c:f>
            </c:strRef>
          </c:cat>
          <c:val>
            <c:numRef>
              <c:f>F.graficos!$AB$3:$AB$1186</c:f>
              <c:numCache/>
            </c:numRef>
          </c:val>
        </c:ser>
        <c:ser>
          <c:idx val="9"/>
          <c:order val="9"/>
          <c:tx>
            <c:strRef>
              <c:f>F.graficos!$AC$1:$AC$2</c:f>
            </c:strRef>
          </c:tx>
          <c:spPr>
            <a:solidFill>
              <a:srgbClr val="FF6D01">
                <a:alpha val="30000"/>
              </a:srgbClr>
            </a:solidFill>
            <a:ln cmpd="sng">
              <a:solidFill>
                <a:srgbClr val="FF6D01">
                  <a:alpha val="100000"/>
                </a:srgbClr>
              </a:solidFill>
            </a:ln>
          </c:spPr>
          <c:cat>
            <c:strRef>
              <c:f>F.graficos!$S$3:$S$1186</c:f>
            </c:strRef>
          </c:cat>
          <c:val>
            <c:numRef>
              <c:f>F.graficos!$AC$3:$AC$1186</c:f>
              <c:numCache/>
            </c:numRef>
          </c:val>
        </c:ser>
        <c:ser>
          <c:idx val="10"/>
          <c:order val="10"/>
          <c:tx>
            <c:strRef>
              <c:f>F.graficos!$AD$1:$AD$2</c:f>
            </c:strRef>
          </c:tx>
          <c:spPr>
            <a:solidFill>
              <a:srgbClr val="FF6D01">
                <a:alpha val="30000"/>
              </a:srgbClr>
            </a:solidFill>
            <a:ln cmpd="sng">
              <a:solidFill>
                <a:srgbClr val="FF6D01">
                  <a:alpha val="100000"/>
                </a:srgbClr>
              </a:solidFill>
            </a:ln>
          </c:spPr>
          <c:cat>
            <c:strRef>
              <c:f>F.graficos!$S$3:$S$1186</c:f>
            </c:strRef>
          </c:cat>
          <c:val>
            <c:numRef>
              <c:f>F.graficos!$AD$3:$AD$1186</c:f>
              <c:numCache/>
            </c:numRef>
          </c:val>
        </c:ser>
        <c:ser>
          <c:idx val="11"/>
          <c:order val="11"/>
          <c:tx>
            <c:strRef>
              <c:f>F.graficos!$AE$1:$AE$2</c:f>
            </c:strRef>
          </c:tx>
          <c:spPr>
            <a:solidFill>
              <a:srgbClr val="FF6D01">
                <a:alpha val="30000"/>
              </a:srgbClr>
            </a:solidFill>
            <a:ln cmpd="sng">
              <a:solidFill>
                <a:srgbClr val="FF6D01">
                  <a:alpha val="100000"/>
                </a:srgbClr>
              </a:solidFill>
            </a:ln>
          </c:spPr>
          <c:cat>
            <c:strRef>
              <c:f>F.graficos!$S$3:$S$1186</c:f>
            </c:strRef>
          </c:cat>
          <c:val>
            <c:numRef>
              <c:f>F.graficos!$AE$3:$AE$1186</c:f>
              <c:numCache/>
            </c:numRef>
          </c:val>
        </c:ser>
        <c:ser>
          <c:idx val="12"/>
          <c:order val="12"/>
          <c:tx>
            <c:strRef>
              <c:f>F.graficos!$AF$1:$AF$2</c:f>
            </c:strRef>
          </c:tx>
          <c:spPr>
            <a:solidFill>
              <a:srgbClr val="FF6D01">
                <a:alpha val="30000"/>
              </a:srgbClr>
            </a:solidFill>
            <a:ln cmpd="sng">
              <a:solidFill>
                <a:srgbClr val="FF6D01">
                  <a:alpha val="100000"/>
                </a:srgbClr>
              </a:solidFill>
            </a:ln>
          </c:spPr>
          <c:cat>
            <c:strRef>
              <c:f>F.graficos!$S$3:$S$1186</c:f>
            </c:strRef>
          </c:cat>
          <c:val>
            <c:numRef>
              <c:f>F.graficos!$AF$3:$AF$1186</c:f>
              <c:numCache/>
            </c:numRef>
          </c:val>
        </c:ser>
        <c:ser>
          <c:idx val="13"/>
          <c:order val="13"/>
          <c:tx>
            <c:strRef>
              <c:f>F.graficos!$AG$1:$AG$2</c:f>
            </c:strRef>
          </c:tx>
          <c:spPr>
            <a:solidFill>
              <a:srgbClr val="FF6D01">
                <a:alpha val="30000"/>
              </a:srgbClr>
            </a:solidFill>
            <a:ln cmpd="sng">
              <a:solidFill>
                <a:srgbClr val="FF6D01">
                  <a:alpha val="100000"/>
                </a:srgbClr>
              </a:solidFill>
            </a:ln>
          </c:spPr>
          <c:cat>
            <c:strRef>
              <c:f>F.graficos!$S$3:$S$1186</c:f>
            </c:strRef>
          </c:cat>
          <c:val>
            <c:numRef>
              <c:f>F.graficos!$AG$3:$AG$1186</c:f>
              <c:numCache/>
            </c:numRef>
          </c:val>
        </c:ser>
        <c:ser>
          <c:idx val="14"/>
          <c:order val="14"/>
          <c:tx>
            <c:strRef>
              <c:f>F.graficos!$AH$1:$AH$2</c:f>
            </c:strRef>
          </c:tx>
          <c:spPr>
            <a:solidFill>
              <a:srgbClr val="FF6D01">
                <a:alpha val="30000"/>
              </a:srgbClr>
            </a:solidFill>
            <a:ln cmpd="sng">
              <a:solidFill>
                <a:srgbClr val="FF6D01">
                  <a:alpha val="100000"/>
                </a:srgbClr>
              </a:solidFill>
            </a:ln>
          </c:spPr>
          <c:cat>
            <c:strRef>
              <c:f>F.graficos!$S$3:$S$1186</c:f>
            </c:strRef>
          </c:cat>
          <c:val>
            <c:numRef>
              <c:f>F.graficos!$AH$3:$AH$1186</c:f>
              <c:numCache/>
            </c:numRef>
          </c:val>
        </c:ser>
        <c:ser>
          <c:idx val="15"/>
          <c:order val="15"/>
          <c:tx>
            <c:strRef>
              <c:f>F.graficos!$AI$1:$AI$2</c:f>
            </c:strRef>
          </c:tx>
          <c:spPr>
            <a:solidFill>
              <a:schemeClr val="accent4">
                <a:alpha val="30000"/>
              </a:schemeClr>
            </a:solidFill>
            <a:ln cmpd="sng">
              <a:solidFill>
                <a:schemeClr val="accent4"/>
              </a:solidFill>
            </a:ln>
          </c:spPr>
          <c:cat>
            <c:strRef>
              <c:f>F.graficos!$S$3:$S$1186</c:f>
            </c:strRef>
          </c:cat>
          <c:val>
            <c:numRef>
              <c:f>F.graficos!$AI$3:$AI$1186</c:f>
              <c:numCache/>
            </c:numRef>
          </c:val>
        </c:ser>
        <c:ser>
          <c:idx val="16"/>
          <c:order val="16"/>
          <c:tx>
            <c:strRef>
              <c:f>F.graficos!$AJ$1:$AJ$2</c:f>
            </c:strRef>
          </c:tx>
          <c:spPr>
            <a:solidFill>
              <a:schemeClr val="accent1">
                <a:alpha val="30000"/>
              </a:schemeClr>
            </a:solidFill>
            <a:ln cmpd="sng">
              <a:solidFill>
                <a:schemeClr val="accent1"/>
              </a:solidFill>
            </a:ln>
          </c:spPr>
          <c:cat>
            <c:strRef>
              <c:f>F.graficos!$S$3:$S$1186</c:f>
            </c:strRef>
          </c:cat>
          <c:val>
            <c:numRef>
              <c:f>F.graficos!$AJ$3:$AJ$1186</c:f>
              <c:numCache/>
            </c:numRef>
          </c:val>
        </c:ser>
        <c:ser>
          <c:idx val="17"/>
          <c:order val="17"/>
          <c:tx>
            <c:strRef>
              <c:f>F.graficos!$AK$1:$AK$2</c:f>
            </c:strRef>
          </c:tx>
          <c:spPr>
            <a:solidFill>
              <a:schemeClr val="accent1">
                <a:alpha val="30000"/>
              </a:schemeClr>
            </a:solidFill>
            <a:ln cmpd="sng">
              <a:solidFill>
                <a:schemeClr val="accent1"/>
              </a:solidFill>
            </a:ln>
          </c:spPr>
          <c:cat>
            <c:strRef>
              <c:f>F.graficos!$S$3:$S$1186</c:f>
            </c:strRef>
          </c:cat>
          <c:val>
            <c:numRef>
              <c:f>F.graficos!$AK$3:$AK$1186</c:f>
              <c:numCache/>
            </c:numRef>
          </c:val>
        </c:ser>
        <c:ser>
          <c:idx val="18"/>
          <c:order val="18"/>
          <c:tx>
            <c:strRef>
              <c:f>F.graficos!$AL$1:$AL$2</c:f>
            </c:strRef>
          </c:tx>
          <c:spPr>
            <a:solidFill>
              <a:schemeClr val="accent1">
                <a:alpha val="30000"/>
              </a:schemeClr>
            </a:solidFill>
            <a:ln cmpd="sng">
              <a:solidFill>
                <a:schemeClr val="accent1"/>
              </a:solidFill>
            </a:ln>
          </c:spPr>
          <c:cat>
            <c:strRef>
              <c:f>F.graficos!$S$3:$S$1186</c:f>
            </c:strRef>
          </c:cat>
          <c:val>
            <c:numRef>
              <c:f>F.graficos!$AL$3:$AL$1186</c:f>
              <c:numCache/>
            </c:numRef>
          </c:val>
        </c:ser>
        <c:ser>
          <c:idx val="19"/>
          <c:order val="19"/>
          <c:tx>
            <c:strRef>
              <c:f>F.graficos!$AM$1:$AM$2</c:f>
            </c:strRef>
          </c:tx>
          <c:spPr>
            <a:solidFill>
              <a:schemeClr val="accent1">
                <a:alpha val="30000"/>
              </a:schemeClr>
            </a:solidFill>
            <a:ln cmpd="sng">
              <a:solidFill>
                <a:schemeClr val="accent1"/>
              </a:solidFill>
            </a:ln>
          </c:spPr>
          <c:cat>
            <c:strRef>
              <c:f>F.graficos!$S$3:$S$1186</c:f>
            </c:strRef>
          </c:cat>
          <c:val>
            <c:numRef>
              <c:f>F.graficos!$AM$3:$AM$1186</c:f>
              <c:numCache/>
            </c:numRef>
          </c:val>
        </c:ser>
        <c:ser>
          <c:idx val="20"/>
          <c:order val="20"/>
          <c:tx>
            <c:strRef>
              <c:f>F.graficos!$AN$1:$AN$2</c:f>
            </c:strRef>
          </c:tx>
          <c:spPr>
            <a:solidFill>
              <a:schemeClr val="accent1">
                <a:alpha val="30000"/>
              </a:schemeClr>
            </a:solidFill>
            <a:ln cmpd="sng">
              <a:solidFill>
                <a:schemeClr val="accent1"/>
              </a:solidFill>
            </a:ln>
          </c:spPr>
          <c:cat>
            <c:strRef>
              <c:f>F.graficos!$S$3:$S$1186</c:f>
            </c:strRef>
          </c:cat>
          <c:val>
            <c:numRef>
              <c:f>F.graficos!$AN$3:$AN$1186</c:f>
              <c:numCache/>
            </c:numRef>
          </c:val>
        </c:ser>
        <c:ser>
          <c:idx val="21"/>
          <c:order val="21"/>
          <c:tx>
            <c:strRef>
              <c:f>F.graficos!$AO$1:$AO$2</c:f>
            </c:strRef>
          </c:tx>
          <c:spPr>
            <a:solidFill>
              <a:schemeClr val="accent1">
                <a:alpha val="30000"/>
              </a:schemeClr>
            </a:solidFill>
            <a:ln cmpd="sng">
              <a:solidFill>
                <a:schemeClr val="accent1"/>
              </a:solidFill>
            </a:ln>
          </c:spPr>
          <c:cat>
            <c:strRef>
              <c:f>F.graficos!$S$3:$S$1186</c:f>
            </c:strRef>
          </c:cat>
          <c:val>
            <c:numRef>
              <c:f>F.graficos!$AO$3:$AO$1186</c:f>
              <c:numCache/>
            </c:numRef>
          </c:val>
        </c:ser>
        <c:ser>
          <c:idx val="22"/>
          <c:order val="22"/>
          <c:tx>
            <c:strRef>
              <c:f>F.graficos!$AP$1:$AP$2</c:f>
            </c:strRef>
          </c:tx>
          <c:spPr>
            <a:solidFill>
              <a:schemeClr val="accent1">
                <a:alpha val="30000"/>
              </a:schemeClr>
            </a:solidFill>
            <a:ln cmpd="sng">
              <a:solidFill>
                <a:schemeClr val="accent1"/>
              </a:solidFill>
            </a:ln>
          </c:spPr>
          <c:cat>
            <c:strRef>
              <c:f>F.graficos!$S$3:$S$1186</c:f>
            </c:strRef>
          </c:cat>
          <c:val>
            <c:numRef>
              <c:f>F.graficos!$AP$3:$AP$1186</c:f>
              <c:numCache/>
            </c:numRef>
          </c:val>
        </c:ser>
        <c:ser>
          <c:idx val="23"/>
          <c:order val="23"/>
          <c:tx>
            <c:strRef>
              <c:f>F.graficos!$AQ$1:$AQ$2</c:f>
            </c:strRef>
          </c:tx>
          <c:spPr>
            <a:solidFill>
              <a:schemeClr val="accent1">
                <a:alpha val="30000"/>
              </a:schemeClr>
            </a:solidFill>
            <a:ln cmpd="sng">
              <a:solidFill>
                <a:schemeClr val="accent1"/>
              </a:solidFill>
            </a:ln>
          </c:spPr>
          <c:cat>
            <c:strRef>
              <c:f>F.graficos!$S$3:$S$1186</c:f>
            </c:strRef>
          </c:cat>
          <c:val>
            <c:numRef>
              <c:f>F.graficos!$AQ$3:$AQ$1186</c:f>
              <c:numCache/>
            </c:numRef>
          </c:val>
        </c:ser>
        <c:ser>
          <c:idx val="24"/>
          <c:order val="24"/>
          <c:tx>
            <c:strRef>
              <c:f>F.graficos!$AR$1:$AR$2</c:f>
            </c:strRef>
          </c:tx>
          <c:spPr>
            <a:solidFill>
              <a:srgbClr val="FF0000">
                <a:alpha val="30000"/>
              </a:srgbClr>
            </a:solidFill>
            <a:ln cmpd="sng">
              <a:solidFill>
                <a:srgbClr val="FF0000">
                  <a:alpha val="100000"/>
                </a:srgbClr>
              </a:solidFill>
            </a:ln>
          </c:spPr>
          <c:cat>
            <c:strRef>
              <c:f>F.graficos!$S$3:$S$1186</c:f>
            </c:strRef>
          </c:cat>
          <c:val>
            <c:numRef>
              <c:f>F.graficos!$AR$3:$AR$1186</c:f>
              <c:numCache/>
            </c:numRef>
          </c:val>
        </c:ser>
        <c:axId val="1142530165"/>
        <c:axId val="98900179"/>
      </c:areaChart>
      <c:catAx>
        <c:axId val="1142530165"/>
        <c:scaling>
          <c:orientation val="minMax"/>
        </c:scaling>
        <c:delete val="0"/>
        <c:axPos val="b"/>
        <c:title>
          <c:tx>
            <c:rich>
              <a:bodyPr/>
              <a:lstStyle/>
              <a:p>
                <a:pPr lvl="0">
                  <a:defRPr b="0">
                    <a:solidFill>
                      <a:srgbClr val="314C59"/>
                    </a:solidFill>
                    <a:latin typeface="+mn-lt"/>
                  </a:defRPr>
                </a:pPr>
                <a:r>
                  <a:rPr b="0">
                    <a:solidFill>
                      <a:srgbClr val="314C59"/>
                    </a:solidFill>
                    <a:latin typeface="+mn-lt"/>
                  </a:rPr>
                  <a:t>FECHA/20/01</a:t>
                </a:r>
              </a:p>
            </c:rich>
          </c:tx>
          <c:overlay val="0"/>
        </c:title>
        <c:numFmt formatCode="General" sourceLinked="1"/>
        <c:majorTickMark val="none"/>
        <c:minorTickMark val="none"/>
        <c:spPr/>
        <c:txPr>
          <a:bodyPr/>
          <a:lstStyle/>
          <a:p>
            <a:pPr lvl="0">
              <a:defRPr b="0">
                <a:solidFill>
                  <a:srgbClr val="314C59"/>
                </a:solidFill>
                <a:latin typeface="+mn-lt"/>
              </a:defRPr>
            </a:pPr>
          </a:p>
        </c:txPr>
        <c:crossAx val="98900179"/>
      </c:catAx>
      <c:valAx>
        <c:axId val="989001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1142530165"/>
      </c:valAx>
    </c:plotArea>
    <c:legend>
      <c:legendPos val="r"/>
      <c:overlay val="0"/>
      <c:txPr>
        <a:bodyPr/>
        <a:lstStyle/>
        <a:p>
          <a:pPr lvl="0">
            <a:defRPr b="0">
              <a:solidFill>
                <a:srgbClr val="465E6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ACTIVOS NETOS Y ACTIVOS</a:t>
            </a:r>
          </a:p>
        </c:rich>
      </c:tx>
      <c:overlay val="0"/>
    </c:title>
    <c:plotArea>
      <c:layout/>
      <c:lineChart>
        <c:ser>
          <c:idx val="0"/>
          <c:order val="0"/>
          <c:tx>
            <c:strRef>
              <c:f>CUENTAS!$AB$1</c:f>
            </c:strRef>
          </c:tx>
          <c:spPr>
            <a:ln cmpd="sng">
              <a:solidFill>
                <a:srgbClr val="006391"/>
              </a:solidFill>
            </a:ln>
          </c:spPr>
          <c:marker>
            <c:symbol val="none"/>
          </c:marker>
          <c:cat>
            <c:strRef>
              <c:f>CUENTAS!$A$2:$A$1388</c:f>
            </c:strRef>
          </c:cat>
          <c:val>
            <c:numRef>
              <c:f>CUENTAS!$AB$2:$AB$399</c:f>
              <c:numCache/>
            </c:numRef>
          </c:val>
          <c:smooth val="0"/>
        </c:ser>
        <c:ser>
          <c:idx val="1"/>
          <c:order val="1"/>
          <c:tx>
            <c:strRef>
              <c:f>CUENTAS!$AE$1</c:f>
            </c:strRef>
          </c:tx>
          <c:spPr>
            <a:ln cmpd="sng">
              <a:solidFill>
                <a:srgbClr val="E24A38"/>
              </a:solidFill>
            </a:ln>
          </c:spPr>
          <c:marker>
            <c:symbol val="none"/>
          </c:marker>
          <c:cat>
            <c:strRef>
              <c:f>CUENTAS!$A$2:$A$1388</c:f>
            </c:strRef>
          </c:cat>
          <c:val>
            <c:numRef>
              <c:f>CUENTAS!$AE$2:$AE$1388</c:f>
              <c:numCache/>
            </c:numRef>
          </c:val>
          <c:smooth val="0"/>
        </c:ser>
        <c:axId val="1673645285"/>
        <c:axId val="1365507952"/>
      </c:lineChart>
      <c:catAx>
        <c:axId val="1673645285"/>
        <c:scaling>
          <c:orientation val="minMax"/>
        </c:scaling>
        <c:delete val="0"/>
        <c:axPos val="b"/>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spPr/>
        <c:txPr>
          <a:bodyPr/>
          <a:lstStyle/>
          <a:p>
            <a:pPr lvl="0">
              <a:defRPr b="0">
                <a:solidFill>
                  <a:srgbClr val="314C59"/>
                </a:solidFill>
                <a:latin typeface="+mn-lt"/>
              </a:defRPr>
            </a:pPr>
          </a:p>
        </c:txPr>
        <c:crossAx val="1365507952"/>
      </c:catAx>
      <c:valAx>
        <c:axId val="1365507952"/>
        <c:scaling>
          <c:orientation val="minMax"/>
          <c:min val="10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ACTIVOS</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1673645285"/>
      </c:valAx>
    </c:plotArea>
    <c:legend>
      <c:legendPos val="r"/>
      <c:overlay val="0"/>
      <c:txPr>
        <a:bodyPr/>
        <a:lstStyle/>
        <a:p>
          <a:pPr lvl="0">
            <a:defRPr b="0">
              <a:solidFill>
                <a:srgbClr val="465E6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ICOLAP vs FVA</a:t>
            </a:r>
          </a:p>
        </c:rich>
      </c:tx>
      <c:overlay val="0"/>
    </c:title>
    <c:plotArea>
      <c:layout/>
      <c:lineChart>
        <c:ser>
          <c:idx val="0"/>
          <c:order val="0"/>
          <c:tx>
            <c:strRef>
              <c:f>'COLCAP VS VU'!$F$1</c:f>
            </c:strRef>
          </c:tx>
          <c:spPr>
            <a:ln cmpd="sng">
              <a:solidFill>
                <a:srgbClr val="006391"/>
              </a:solidFill>
            </a:ln>
          </c:spPr>
          <c:marker>
            <c:symbol val="none"/>
          </c:marker>
          <c:cat>
            <c:strRef>
              <c:f>'COLCAP VS VU'!$A$2:$A$1000</c:f>
            </c:strRef>
          </c:cat>
          <c:val>
            <c:numRef>
              <c:f>'COLCAP VS VU'!$F$2:$F$1000</c:f>
              <c:numCache/>
            </c:numRef>
          </c:val>
          <c:smooth val="0"/>
        </c:ser>
        <c:ser>
          <c:idx val="1"/>
          <c:order val="1"/>
          <c:tx>
            <c:strRef>
              <c:f>'COLCAP VS VU'!$E$1</c:f>
            </c:strRef>
          </c:tx>
          <c:spPr>
            <a:ln cmpd="sng">
              <a:solidFill>
                <a:srgbClr val="E24A38"/>
              </a:solidFill>
            </a:ln>
          </c:spPr>
          <c:marker>
            <c:symbol val="none"/>
          </c:marker>
          <c:dPt>
            <c:idx val="17"/>
            <c:marker>
              <c:symbol val="circle"/>
              <c:size val="7"/>
              <c:spPr>
                <a:solidFill>
                  <a:schemeClr val="accent4"/>
                </a:solidFill>
                <a:ln cmpd="sng">
                  <a:solidFill>
                    <a:schemeClr val="accent4"/>
                  </a:solidFill>
                </a:ln>
              </c:spPr>
            </c:marker>
          </c:dPt>
          <c:cat>
            <c:strRef>
              <c:f>'COLCAP VS VU'!$A$2:$A$1000</c:f>
            </c:strRef>
          </c:cat>
          <c:val>
            <c:numRef>
              <c:f>'COLCAP VS VU'!$E$2:$E$1000</c:f>
              <c:numCache/>
            </c:numRef>
          </c:val>
          <c:smooth val="0"/>
        </c:ser>
        <c:axId val="368466195"/>
        <c:axId val="1597015889"/>
      </c:lineChart>
      <c:catAx>
        <c:axId val="368466195"/>
        <c:scaling>
          <c:orientation val="minMax"/>
        </c:scaling>
        <c:delete val="0"/>
        <c:axPos val="b"/>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spPr/>
        <c:txPr>
          <a:bodyPr/>
          <a:lstStyle/>
          <a:p>
            <a:pPr lvl="0">
              <a:defRPr b="0">
                <a:solidFill>
                  <a:srgbClr val="314C59"/>
                </a:solidFill>
                <a:latin typeface="+mn-lt"/>
              </a:defRPr>
            </a:pPr>
          </a:p>
        </c:txPr>
        <c:crossAx val="1597015889"/>
      </c:catAx>
      <c:valAx>
        <c:axId val="1597015889"/>
        <c:scaling>
          <c:orientation val="minMax"/>
          <c:min val="0.9"/>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368466195"/>
      </c:valAx>
    </c:plotArea>
    <c:legend>
      <c:legendPos val="r"/>
      <c:overlay val="0"/>
      <c:txPr>
        <a:bodyPr/>
        <a:lstStyle/>
        <a:p>
          <a:pPr lvl="0">
            <a:defRPr b="0">
              <a:solidFill>
                <a:srgbClr val="465E6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Deposito y valorización</a:t>
            </a:r>
          </a:p>
        </c:rich>
      </c:tx>
      <c:overlay val="0"/>
    </c:title>
    <c:plotArea>
      <c:layout/>
      <c:barChart>
        <c:barDir val="col"/>
        <c:ser>
          <c:idx val="0"/>
          <c:order val="0"/>
          <c:tx>
            <c:strRef>
              <c:f>CLIENTES!$E$1</c:f>
            </c:strRef>
          </c:tx>
          <c:spPr>
            <a:solidFill>
              <a:schemeClr val="accent1"/>
            </a:solidFill>
            <a:ln cmpd="sng">
              <a:solidFill>
                <a:srgbClr val="000000"/>
              </a:solidFill>
            </a:ln>
          </c:spPr>
          <c:trendline>
            <c:name/>
            <c:spPr>
              <a:ln w="19050">
                <a:solidFill>
                  <a:srgbClr val="000000"/>
                </a:solidFill>
              </a:ln>
            </c:spPr>
            <c:trendlineType val="linear"/>
            <c:dispRSqr val="0"/>
            <c:dispEq val="0"/>
          </c:trendline>
          <c:cat>
            <c:strRef>
              <c:f>CLIENTES!$B$2:$B$999</c:f>
            </c:strRef>
          </c:cat>
          <c:val>
            <c:numRef>
              <c:f>CLIENTES!$E$2:$E$999</c:f>
              <c:numCache/>
            </c:numRef>
          </c:val>
        </c:ser>
        <c:ser>
          <c:idx val="1"/>
          <c:order val="1"/>
          <c:tx>
            <c:strRef>
              <c:f>CLIENTES!$F$1</c:f>
            </c:strRef>
          </c:tx>
          <c:spPr>
            <a:solidFill>
              <a:schemeClr val="accent2"/>
            </a:solidFill>
            <a:ln cmpd="sng">
              <a:solidFill>
                <a:srgbClr val="000000"/>
              </a:solidFill>
            </a:ln>
          </c:spPr>
          <c:trendline>
            <c:name/>
            <c:spPr>
              <a:ln w="19050">
                <a:solidFill>
                  <a:srgbClr val="000000"/>
                </a:solidFill>
              </a:ln>
            </c:spPr>
            <c:trendlineType val="linear"/>
            <c:dispRSqr val="0"/>
            <c:dispEq val="0"/>
          </c:trendline>
          <c:cat>
            <c:strRef>
              <c:f>CLIENTES!$B$2:$B$999</c:f>
            </c:strRef>
          </c:cat>
          <c:val>
            <c:numRef>
              <c:f>CLIENTES!$F$2:$F$999</c:f>
              <c:numCache/>
            </c:numRef>
          </c:val>
        </c:ser>
        <c:axId val="714811444"/>
        <c:axId val="248321414"/>
      </c:barChart>
      <c:catAx>
        <c:axId val="714811444"/>
        <c:scaling>
          <c:orientation val="minMax"/>
        </c:scaling>
        <c:delete val="0"/>
        <c:axPos val="b"/>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spPr/>
        <c:txPr>
          <a:bodyPr/>
          <a:lstStyle/>
          <a:p>
            <a:pPr lvl="0">
              <a:defRPr b="0">
                <a:solidFill>
                  <a:srgbClr val="314C59"/>
                </a:solidFill>
                <a:latin typeface="+mn-lt"/>
              </a:defRPr>
            </a:pPr>
          </a:p>
        </c:txPr>
        <c:crossAx val="248321414"/>
      </c:catAx>
      <c:valAx>
        <c:axId val="2483214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714811444"/>
      </c:valAx>
    </c:plotArea>
    <c:legend>
      <c:legendPos val="r"/>
      <c:overlay val="0"/>
      <c:txPr>
        <a:bodyPr/>
        <a:lstStyle/>
        <a:p>
          <a:pPr lvl="0">
            <a:defRPr b="0">
              <a:solidFill>
                <a:srgbClr val="465E6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tx>
            <c:strRef>
              <c:f>CLIENTES!$C$1</c:f>
            </c:strRef>
          </c:tx>
          <c:dPt>
            <c:idx val="0"/>
            <c:spPr>
              <a:solidFill>
                <a:srgbClr val="006391"/>
              </a:solidFill>
            </c:spPr>
          </c:dPt>
          <c:dPt>
            <c:idx val="1"/>
            <c:spPr>
              <a:solidFill>
                <a:srgbClr val="E24A38"/>
              </a:solidFill>
            </c:spPr>
          </c:dPt>
          <c:dPt>
            <c:idx val="2"/>
            <c:spPr>
              <a:solidFill>
                <a:srgbClr val="FEB929"/>
              </a:solidFill>
            </c:spPr>
          </c:dPt>
          <c:dPt>
            <c:idx val="3"/>
            <c:spPr>
              <a:solidFill>
                <a:srgbClr val="28998B"/>
              </a:solidFill>
            </c:spPr>
          </c:dPt>
          <c:dPt>
            <c:idx val="4"/>
            <c:spPr>
              <a:solidFill>
                <a:srgbClr val="C0DE00"/>
              </a:solidFill>
            </c:spPr>
          </c:dPt>
          <c:dPt>
            <c:idx val="5"/>
            <c:spPr>
              <a:solidFill>
                <a:srgbClr val="F5959C"/>
              </a:solidFill>
            </c:spPr>
          </c:dPt>
          <c:dPt>
            <c:idx val="6"/>
            <c:spPr>
              <a:solidFill>
                <a:srgbClr val="4D92B2"/>
              </a:solidFill>
            </c:spPr>
          </c:dPt>
          <c:dPt>
            <c:idx val="7"/>
            <c:spPr>
              <a:solidFill>
                <a:srgbClr val="EB8074"/>
              </a:solidFill>
            </c:spPr>
          </c:dPt>
          <c:dPt>
            <c:idx val="8"/>
            <c:spPr>
              <a:solidFill>
                <a:srgbClr val="FECE69"/>
              </a:solidFill>
            </c:spPr>
          </c:dPt>
          <c:dPt>
            <c:idx val="9"/>
            <c:spPr>
              <a:solidFill>
                <a:srgbClr val="69B8AE"/>
              </a:solidFill>
            </c:spPr>
          </c:dPt>
          <c:dPt>
            <c:idx val="10"/>
            <c:spPr>
              <a:solidFill>
                <a:srgbClr val="D3E84D"/>
              </a:solidFill>
            </c:spPr>
          </c:dPt>
          <c:dPt>
            <c:idx val="11"/>
            <c:spPr>
              <a:solidFill>
                <a:srgbClr val="F8B5BA"/>
              </a:solidFill>
            </c:spPr>
          </c:dPt>
          <c:dPt>
            <c:idx val="12"/>
            <c:spPr>
              <a:solidFill>
                <a:srgbClr val="99C1D3"/>
              </a:solidFill>
            </c:spPr>
          </c:dPt>
          <c:dPt>
            <c:idx val="13"/>
            <c:spPr>
              <a:solidFill>
                <a:srgbClr val="F3B7AF"/>
              </a:solidFill>
            </c:spPr>
          </c:dPt>
          <c:dPt>
            <c:idx val="14"/>
            <c:spPr>
              <a:solidFill>
                <a:srgbClr val="FFE3A9"/>
              </a:solidFill>
            </c:spPr>
          </c:dPt>
          <c:dPt>
            <c:idx val="15"/>
            <c:spPr>
              <a:solidFill>
                <a:srgbClr val="A9D6D1"/>
              </a:solidFill>
            </c:spPr>
          </c:dPt>
          <c:dPt>
            <c:idx val="16"/>
            <c:spPr>
              <a:solidFill>
                <a:srgbClr val="E6F299"/>
              </a:solidFill>
            </c:spPr>
          </c:dPt>
          <c:dPt>
            <c:idx val="17"/>
            <c:spPr>
              <a:solidFill>
                <a:srgbClr val="FBD5D7"/>
              </a:solidFill>
            </c:spPr>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Lbls>
            <c:showLegendKey val="0"/>
            <c:showVal val="0"/>
            <c:showCatName val="0"/>
            <c:showSerName val="0"/>
            <c:showPercent val="0"/>
            <c:showBubbleSize val="0"/>
            <c:showLeaderLines val="1"/>
          </c:dLbls>
          <c:cat>
            <c:strRef>
              <c:f>CLIENTES!$B$2:$B$999</c:f>
            </c:strRef>
          </c:cat>
          <c:val>
            <c:numRef>
              <c:f>CLIENTES!$C$2:$C$999</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465E6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relación depósitos - Cprom. unidad</a:t>
            </a:r>
          </a:p>
        </c:rich>
      </c:tx>
      <c:overlay val="0"/>
    </c:title>
    <c:plotArea>
      <c:layout/>
      <c:bubbleChart>
        <c:ser>
          <c:idx val="0"/>
          <c:order val="0"/>
          <c:tx>
            <c:strRef>
              <c:f>CLIENTES!$B$2</c:f>
            </c:strRef>
          </c:tx>
          <c:dLbls>
            <c:dLblPos val="ctr"/>
            <c:showLegendKey val="0"/>
            <c:showVal val="0"/>
            <c:showCatName val="0"/>
            <c:showSerName val="1"/>
            <c:showPercent val="0"/>
            <c:showBubbleSize val="0"/>
          </c:dLbls>
          <c:xVal>
            <c:strRef>
              <c:f>CLIENTES!$D$2</c:f>
            </c:strRef>
          </c:xVal>
          <c:yVal>
            <c:numRef>
              <c:f>CLIENTES!$E$2</c:f>
              <c:numCache/>
            </c:numRef>
          </c:yVal>
          <c:bubbleSize>
            <c:numLit>
              <c:ptCount val="1"/>
              <c:pt idx="0">
                <c:v>1</c:v>
              </c:pt>
            </c:numLit>
          </c:bubbleSize>
        </c:ser>
        <c:ser>
          <c:idx val="1"/>
          <c:order val="1"/>
          <c:tx>
            <c:strRef>
              <c:f>CLIENTES!$B$3</c:f>
            </c:strRef>
          </c:tx>
          <c:dLbls>
            <c:dLblPos val="ctr"/>
            <c:showLegendKey val="0"/>
            <c:showVal val="0"/>
            <c:showCatName val="0"/>
            <c:showSerName val="1"/>
            <c:showPercent val="0"/>
            <c:showBubbleSize val="0"/>
          </c:dLbls>
          <c:xVal>
            <c:strRef>
              <c:f>CLIENTES!$D$3</c:f>
            </c:strRef>
          </c:xVal>
          <c:yVal>
            <c:numRef>
              <c:f>CLIENTES!$E$3</c:f>
              <c:numCache/>
            </c:numRef>
          </c:yVal>
          <c:bubbleSize>
            <c:numLit>
              <c:ptCount val="1"/>
              <c:pt idx="0">
                <c:v>1</c:v>
              </c:pt>
            </c:numLit>
          </c:bubbleSize>
        </c:ser>
        <c:ser>
          <c:idx val="2"/>
          <c:order val="2"/>
          <c:tx>
            <c:strRef>
              <c:f>CLIENTES!$B$4</c:f>
            </c:strRef>
          </c:tx>
          <c:dLbls>
            <c:dLblPos val="ctr"/>
            <c:showLegendKey val="0"/>
            <c:showVal val="0"/>
            <c:showCatName val="0"/>
            <c:showSerName val="1"/>
            <c:showPercent val="0"/>
            <c:showBubbleSize val="0"/>
          </c:dLbls>
          <c:xVal>
            <c:strRef>
              <c:f>CLIENTES!$D$4</c:f>
            </c:strRef>
          </c:xVal>
          <c:yVal>
            <c:numRef>
              <c:f>CLIENTES!$E$4</c:f>
              <c:numCache/>
            </c:numRef>
          </c:yVal>
          <c:bubbleSize>
            <c:numLit>
              <c:ptCount val="1"/>
              <c:pt idx="0">
                <c:v>1</c:v>
              </c:pt>
            </c:numLit>
          </c:bubbleSize>
        </c:ser>
        <c:ser>
          <c:idx val="3"/>
          <c:order val="3"/>
          <c:tx>
            <c:strRef>
              <c:f>CLIENTES!$B$5</c:f>
            </c:strRef>
          </c:tx>
          <c:dLbls>
            <c:dLblPos val="ctr"/>
            <c:showLegendKey val="0"/>
            <c:showVal val="0"/>
            <c:showCatName val="0"/>
            <c:showSerName val="1"/>
            <c:showPercent val="0"/>
            <c:showBubbleSize val="0"/>
          </c:dLbls>
          <c:xVal>
            <c:strRef>
              <c:f>CLIENTES!$D$5</c:f>
            </c:strRef>
          </c:xVal>
          <c:yVal>
            <c:numRef>
              <c:f>CLIENTES!$E$5</c:f>
              <c:numCache/>
            </c:numRef>
          </c:yVal>
          <c:bubbleSize>
            <c:numLit>
              <c:ptCount val="1"/>
              <c:pt idx="0">
                <c:v>1</c:v>
              </c:pt>
            </c:numLit>
          </c:bubbleSize>
        </c:ser>
        <c:ser>
          <c:idx val="4"/>
          <c:order val="4"/>
          <c:tx>
            <c:strRef>
              <c:f>CLIENTES!$B$6</c:f>
            </c:strRef>
          </c:tx>
          <c:dLbls>
            <c:dLblPos val="ctr"/>
            <c:showLegendKey val="0"/>
            <c:showVal val="0"/>
            <c:showCatName val="0"/>
            <c:showSerName val="1"/>
            <c:showPercent val="0"/>
            <c:showBubbleSize val="0"/>
          </c:dLbls>
          <c:xVal>
            <c:strRef>
              <c:f>CLIENTES!$D$6</c:f>
            </c:strRef>
          </c:xVal>
          <c:yVal>
            <c:numRef>
              <c:f>CLIENTES!$E$6</c:f>
              <c:numCache/>
            </c:numRef>
          </c:yVal>
          <c:bubbleSize>
            <c:numLit>
              <c:ptCount val="1"/>
              <c:pt idx="0">
                <c:v>1</c:v>
              </c:pt>
            </c:numLit>
          </c:bubbleSize>
        </c:ser>
        <c:ser>
          <c:idx val="5"/>
          <c:order val="5"/>
          <c:tx>
            <c:strRef>
              <c:f>CLIENTES!$B$7</c:f>
            </c:strRef>
          </c:tx>
          <c:dLbls>
            <c:dLblPos val="ctr"/>
            <c:showLegendKey val="0"/>
            <c:showVal val="0"/>
            <c:showCatName val="0"/>
            <c:showSerName val="1"/>
            <c:showPercent val="0"/>
            <c:showBubbleSize val="0"/>
          </c:dLbls>
          <c:xVal>
            <c:strRef>
              <c:f>CLIENTES!$D$7</c:f>
            </c:strRef>
          </c:xVal>
          <c:yVal>
            <c:numRef>
              <c:f>CLIENTES!$E$7</c:f>
              <c:numCache/>
            </c:numRef>
          </c:yVal>
          <c:bubbleSize>
            <c:numLit>
              <c:ptCount val="1"/>
              <c:pt idx="0">
                <c:v>1</c:v>
              </c:pt>
            </c:numLit>
          </c:bubbleSize>
        </c:ser>
        <c:ser>
          <c:idx val="6"/>
          <c:order val="6"/>
          <c:tx>
            <c:strRef>
              <c:f>CLIENTES!$B$8</c:f>
            </c:strRef>
          </c:tx>
          <c:dLbls>
            <c:dLblPos val="ctr"/>
            <c:showLegendKey val="0"/>
            <c:showVal val="0"/>
            <c:showCatName val="0"/>
            <c:showSerName val="1"/>
            <c:showPercent val="0"/>
            <c:showBubbleSize val="0"/>
          </c:dLbls>
          <c:xVal>
            <c:strRef>
              <c:f>CLIENTES!$D$8</c:f>
            </c:strRef>
          </c:xVal>
          <c:yVal>
            <c:numRef>
              <c:f>CLIENTES!$E$8</c:f>
              <c:numCache/>
            </c:numRef>
          </c:yVal>
          <c:bubbleSize>
            <c:numLit>
              <c:ptCount val="1"/>
              <c:pt idx="0">
                <c:v>1</c:v>
              </c:pt>
            </c:numLit>
          </c:bubbleSize>
        </c:ser>
        <c:ser>
          <c:idx val="7"/>
          <c:order val="7"/>
          <c:tx>
            <c:strRef>
              <c:f>CLIENTES!$B$9</c:f>
            </c:strRef>
          </c:tx>
          <c:dLbls>
            <c:dLblPos val="ctr"/>
            <c:showLegendKey val="0"/>
            <c:showVal val="0"/>
            <c:showCatName val="0"/>
            <c:showSerName val="1"/>
            <c:showPercent val="0"/>
            <c:showBubbleSize val="0"/>
          </c:dLbls>
          <c:xVal>
            <c:strRef>
              <c:f>CLIENTES!$D$9</c:f>
            </c:strRef>
          </c:xVal>
          <c:yVal>
            <c:numRef>
              <c:f>CLIENTES!$E$9</c:f>
              <c:numCache/>
            </c:numRef>
          </c:yVal>
          <c:bubbleSize>
            <c:numLit>
              <c:ptCount val="1"/>
              <c:pt idx="0">
                <c:v>1</c:v>
              </c:pt>
            </c:numLit>
          </c:bubbleSize>
        </c:ser>
        <c:ser>
          <c:idx val="8"/>
          <c:order val="8"/>
          <c:tx>
            <c:strRef>
              <c:f>CLIENTES!$B$10</c:f>
            </c:strRef>
          </c:tx>
          <c:dLbls>
            <c:dLblPos val="ctr"/>
            <c:showLegendKey val="0"/>
            <c:showVal val="0"/>
            <c:showCatName val="0"/>
            <c:showSerName val="1"/>
            <c:showPercent val="0"/>
            <c:showBubbleSize val="0"/>
          </c:dLbls>
          <c:xVal>
            <c:strRef>
              <c:f>CLIENTES!$D$10</c:f>
            </c:strRef>
          </c:xVal>
          <c:yVal>
            <c:numRef>
              <c:f>CLIENTES!$E$10</c:f>
              <c:numCache/>
            </c:numRef>
          </c:yVal>
          <c:bubbleSize>
            <c:numLit>
              <c:ptCount val="1"/>
              <c:pt idx="0">
                <c:v>1</c:v>
              </c:pt>
            </c:numLit>
          </c:bubbleSize>
        </c:ser>
        <c:ser>
          <c:idx val="9"/>
          <c:order val="9"/>
          <c:tx>
            <c:strRef>
              <c:f>CLIENTES!$B$11</c:f>
            </c:strRef>
          </c:tx>
          <c:dLbls>
            <c:dLblPos val="ctr"/>
            <c:showLegendKey val="0"/>
            <c:showVal val="0"/>
            <c:showCatName val="0"/>
            <c:showSerName val="1"/>
            <c:showPercent val="0"/>
            <c:showBubbleSize val="0"/>
          </c:dLbls>
          <c:xVal>
            <c:strRef>
              <c:f>CLIENTES!$D$11</c:f>
            </c:strRef>
          </c:xVal>
          <c:yVal>
            <c:numRef>
              <c:f>CLIENTES!$E$11</c:f>
              <c:numCache/>
            </c:numRef>
          </c:yVal>
          <c:bubbleSize>
            <c:numLit>
              <c:ptCount val="1"/>
              <c:pt idx="0">
                <c:v>1</c:v>
              </c:pt>
            </c:numLit>
          </c:bubbleSize>
        </c:ser>
        <c:ser>
          <c:idx val="10"/>
          <c:order val="10"/>
          <c:tx>
            <c:strRef>
              <c:f>CLIENTES!$B$12</c:f>
            </c:strRef>
          </c:tx>
          <c:dLbls>
            <c:dLblPos val="ctr"/>
            <c:showLegendKey val="0"/>
            <c:showVal val="0"/>
            <c:showCatName val="0"/>
            <c:showSerName val="1"/>
            <c:showPercent val="0"/>
            <c:showBubbleSize val="0"/>
          </c:dLbls>
          <c:xVal>
            <c:strRef>
              <c:f>CLIENTES!$D$12</c:f>
            </c:strRef>
          </c:xVal>
          <c:yVal>
            <c:numRef>
              <c:f>CLIENTES!$E$12</c:f>
              <c:numCache/>
            </c:numRef>
          </c:yVal>
          <c:bubbleSize>
            <c:numLit>
              <c:ptCount val="1"/>
              <c:pt idx="0">
                <c:v>1</c:v>
              </c:pt>
            </c:numLit>
          </c:bubbleSize>
        </c:ser>
        <c:ser>
          <c:idx val="11"/>
          <c:order val="11"/>
          <c:tx>
            <c:strRef>
              <c:f>CLIENTES!$B$13</c:f>
            </c:strRef>
          </c:tx>
          <c:dLbls>
            <c:dLblPos val="ctr"/>
            <c:showLegendKey val="0"/>
            <c:showVal val="0"/>
            <c:showCatName val="0"/>
            <c:showSerName val="1"/>
            <c:showPercent val="0"/>
            <c:showBubbleSize val="0"/>
          </c:dLbls>
          <c:xVal>
            <c:strRef>
              <c:f>CLIENTES!$D$13</c:f>
            </c:strRef>
          </c:xVal>
          <c:yVal>
            <c:numRef>
              <c:f>CLIENTES!$E$13</c:f>
              <c:numCache/>
            </c:numRef>
          </c:yVal>
          <c:bubbleSize>
            <c:numLit>
              <c:ptCount val="1"/>
              <c:pt idx="0">
                <c:v>1</c:v>
              </c:pt>
            </c:numLit>
          </c:bubbleSize>
        </c:ser>
        <c:ser>
          <c:idx val="12"/>
          <c:order val="12"/>
          <c:tx>
            <c:strRef>
              <c:f>CLIENTES!$B$14</c:f>
            </c:strRef>
          </c:tx>
          <c:dLbls>
            <c:dLblPos val="ctr"/>
            <c:showLegendKey val="0"/>
            <c:showVal val="0"/>
            <c:showCatName val="0"/>
            <c:showSerName val="1"/>
            <c:showPercent val="0"/>
            <c:showBubbleSize val="0"/>
          </c:dLbls>
          <c:xVal>
            <c:strRef>
              <c:f>CLIENTES!$D$14</c:f>
            </c:strRef>
          </c:xVal>
          <c:yVal>
            <c:numRef>
              <c:f>CLIENTES!$E$14</c:f>
              <c:numCache/>
            </c:numRef>
          </c:yVal>
          <c:bubbleSize>
            <c:numLit>
              <c:ptCount val="1"/>
              <c:pt idx="0">
                <c:v>1</c:v>
              </c:pt>
            </c:numLit>
          </c:bubbleSize>
        </c:ser>
        <c:ser>
          <c:idx val="13"/>
          <c:order val="13"/>
          <c:tx>
            <c:strRef>
              <c:f>CLIENTES!$B$15</c:f>
            </c:strRef>
          </c:tx>
          <c:dLbls>
            <c:dLblPos val="ctr"/>
            <c:showLegendKey val="0"/>
            <c:showVal val="0"/>
            <c:showCatName val="0"/>
            <c:showSerName val="1"/>
            <c:showPercent val="0"/>
            <c:showBubbleSize val="0"/>
          </c:dLbls>
          <c:xVal>
            <c:strRef>
              <c:f>CLIENTES!$D$15</c:f>
            </c:strRef>
          </c:xVal>
          <c:yVal>
            <c:numRef>
              <c:f>CLIENTES!$E$15</c:f>
              <c:numCache/>
            </c:numRef>
          </c:yVal>
          <c:bubbleSize>
            <c:numLit>
              <c:ptCount val="1"/>
              <c:pt idx="0">
                <c:v>1</c:v>
              </c:pt>
            </c:numLit>
          </c:bubbleSize>
        </c:ser>
        <c:ser>
          <c:idx val="14"/>
          <c:order val="14"/>
          <c:tx>
            <c:strRef>
              <c:f>CLIENTES!$B$16</c:f>
            </c:strRef>
          </c:tx>
          <c:dLbls>
            <c:dLblPos val="ctr"/>
            <c:showLegendKey val="0"/>
            <c:showVal val="0"/>
            <c:showCatName val="0"/>
            <c:showSerName val="1"/>
            <c:showPercent val="0"/>
            <c:showBubbleSize val="0"/>
          </c:dLbls>
          <c:xVal>
            <c:strRef>
              <c:f>CLIENTES!$D$16</c:f>
            </c:strRef>
          </c:xVal>
          <c:yVal>
            <c:numRef>
              <c:f>CLIENTES!$E$16</c:f>
              <c:numCache/>
            </c:numRef>
          </c:yVal>
          <c:bubbleSize>
            <c:numLit>
              <c:ptCount val="1"/>
              <c:pt idx="0">
                <c:v>1</c:v>
              </c:pt>
            </c:numLit>
          </c:bubbleSize>
        </c:ser>
        <c:ser>
          <c:idx val="15"/>
          <c:order val="15"/>
          <c:tx>
            <c:strRef>
              <c:f>CLIENTES!$B$17</c:f>
            </c:strRef>
          </c:tx>
          <c:dLbls>
            <c:dLblPos val="ctr"/>
            <c:showLegendKey val="0"/>
            <c:showVal val="0"/>
            <c:showCatName val="0"/>
            <c:showSerName val="1"/>
            <c:showPercent val="0"/>
            <c:showBubbleSize val="0"/>
          </c:dLbls>
          <c:xVal>
            <c:strRef>
              <c:f>CLIENTES!$D$17</c:f>
            </c:strRef>
          </c:xVal>
          <c:yVal>
            <c:numRef>
              <c:f>CLIENTES!$E$17</c:f>
              <c:numCache/>
            </c:numRef>
          </c:yVal>
          <c:bubbleSize>
            <c:numLit>
              <c:ptCount val="1"/>
              <c:pt idx="0">
                <c:v>1</c:v>
              </c:pt>
            </c:numLit>
          </c:bubbleSize>
        </c:ser>
        <c:ser>
          <c:idx val="16"/>
          <c:order val="16"/>
          <c:tx>
            <c:strRef>
              <c:f>CLIENTES!$B$18</c:f>
            </c:strRef>
          </c:tx>
          <c:dLbls>
            <c:dLblPos val="ctr"/>
            <c:showLegendKey val="0"/>
            <c:showVal val="0"/>
            <c:showCatName val="0"/>
            <c:showSerName val="1"/>
            <c:showPercent val="0"/>
            <c:showBubbleSize val="0"/>
          </c:dLbls>
          <c:xVal>
            <c:strRef>
              <c:f>CLIENTES!$D$18</c:f>
            </c:strRef>
          </c:xVal>
          <c:yVal>
            <c:numRef>
              <c:f>CLIENTES!$E$18</c:f>
              <c:numCache/>
            </c:numRef>
          </c:yVal>
          <c:bubbleSize>
            <c:numLit>
              <c:ptCount val="1"/>
              <c:pt idx="0">
                <c:v>1</c:v>
              </c:pt>
            </c:numLit>
          </c:bubbleSize>
        </c:ser>
        <c:ser>
          <c:idx val="17"/>
          <c:order val="17"/>
          <c:tx>
            <c:strRef>
              <c:f>CLIENTES!$B$19</c:f>
            </c:strRef>
          </c:tx>
          <c:dLbls>
            <c:dLblPos val="ctr"/>
            <c:showLegendKey val="0"/>
            <c:showVal val="0"/>
            <c:showCatName val="0"/>
            <c:showSerName val="1"/>
            <c:showPercent val="0"/>
            <c:showBubbleSize val="0"/>
          </c:dLbls>
          <c:xVal>
            <c:strRef>
              <c:f>CLIENTES!$D$19</c:f>
            </c:strRef>
          </c:xVal>
          <c:yVal>
            <c:numRef>
              <c:f>CLIENTES!$E$19</c:f>
              <c:numCache/>
            </c:numRef>
          </c:yVal>
          <c:bubbleSize>
            <c:numLit>
              <c:ptCount val="1"/>
              <c:pt idx="0">
                <c:v>1</c:v>
              </c:pt>
            </c:numLit>
          </c:bubbleSize>
        </c:ser>
        <c:axId val="455246910"/>
        <c:axId val="1087063694"/>
      </c:bubbleChart>
      <c:valAx>
        <c:axId val="45524691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1087063694"/>
      </c:valAx>
      <c:valAx>
        <c:axId val="10870636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cross"/>
        <c:minorTickMark val="none"/>
        <c:tickLblPos val="nextTo"/>
        <c:spPr>
          <a:ln/>
        </c:spPr>
        <c:txPr>
          <a:bodyPr/>
          <a:lstStyle/>
          <a:p>
            <a:pPr lvl="0">
              <a:defRPr b="0">
                <a:solidFill>
                  <a:srgbClr val="314C59"/>
                </a:solidFill>
                <a:latin typeface="+mn-lt"/>
              </a:defRPr>
            </a:pPr>
          </a:p>
        </c:txPr>
        <c:crossAx val="455246910"/>
      </c:valAx>
    </c:plotArea>
    <c:legend>
      <c:legendPos val="r"/>
      <c:overlay val="0"/>
      <c:txPr>
        <a:bodyPr/>
        <a:lstStyle/>
        <a:p>
          <a:pPr lvl="0">
            <a:defRPr b="0">
              <a:solidFill>
                <a:srgbClr val="465E6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909EA5"/>
                </a:solidFill>
                <a:latin typeface="+mn-lt"/>
              </a:defRPr>
            </a:pPr>
            <a:r>
              <a:rPr b="0">
                <a:solidFill>
                  <a:srgbClr val="909EA5"/>
                </a:solidFill>
                <a:latin typeface="+mn-lt"/>
              </a:rPr>
              <a:t>ECOPETROL, BVC, TES, TES2, MINEROS…</a:t>
            </a:r>
          </a:p>
        </c:rich>
      </c:tx>
      <c:overlay val="0"/>
    </c:title>
    <c:plotArea>
      <c:layout/>
      <c:areaChart>
        <c:grouping val="percentStacked"/>
        <c:ser>
          <c:idx val="0"/>
          <c:order val="0"/>
          <c:tx>
            <c:strRef>
              <c:f>F.graficos!$T$1:$T$2</c:f>
            </c:strRef>
          </c:tx>
          <c:spPr>
            <a:solidFill>
              <a:srgbClr val="FF6D01">
                <a:alpha val="30000"/>
              </a:srgbClr>
            </a:solidFill>
            <a:ln cmpd="sng">
              <a:solidFill>
                <a:srgbClr val="FF6D01">
                  <a:alpha val="100000"/>
                </a:srgbClr>
              </a:solidFill>
            </a:ln>
          </c:spPr>
          <c:cat>
            <c:strRef>
              <c:f>F.graficos!$S$3:$S$1186</c:f>
            </c:strRef>
          </c:cat>
          <c:val>
            <c:numRef>
              <c:f>F.graficos!$T$3:$T$1186</c:f>
              <c:numCache/>
            </c:numRef>
          </c:val>
        </c:ser>
        <c:ser>
          <c:idx val="1"/>
          <c:order val="1"/>
          <c:tx>
            <c:strRef>
              <c:f>F.graficos!$U$1:$U$2</c:f>
            </c:strRef>
          </c:tx>
          <c:spPr>
            <a:solidFill>
              <a:srgbClr val="FF6D01">
                <a:alpha val="30000"/>
              </a:srgbClr>
            </a:solidFill>
            <a:ln cmpd="sng">
              <a:solidFill>
                <a:srgbClr val="FF6D01">
                  <a:alpha val="100000"/>
                </a:srgbClr>
              </a:solidFill>
            </a:ln>
          </c:spPr>
          <c:cat>
            <c:strRef>
              <c:f>F.graficos!$S$3:$S$1186</c:f>
            </c:strRef>
          </c:cat>
          <c:val>
            <c:numRef>
              <c:f>F.graficos!$U$3:$U$1186</c:f>
              <c:numCache/>
            </c:numRef>
          </c:val>
        </c:ser>
        <c:ser>
          <c:idx val="2"/>
          <c:order val="2"/>
          <c:tx>
            <c:strRef>
              <c:f>F.graficos!$V$1:$V$2</c:f>
            </c:strRef>
          </c:tx>
          <c:spPr>
            <a:solidFill>
              <a:schemeClr val="accent1">
                <a:alpha val="30000"/>
              </a:schemeClr>
            </a:solidFill>
            <a:ln cmpd="sng">
              <a:solidFill>
                <a:schemeClr val="accent1"/>
              </a:solidFill>
            </a:ln>
          </c:spPr>
          <c:cat>
            <c:strRef>
              <c:f>F.graficos!$S$3:$S$1186</c:f>
            </c:strRef>
          </c:cat>
          <c:val>
            <c:numRef>
              <c:f>F.graficos!$V$3:$V$1186</c:f>
              <c:numCache/>
            </c:numRef>
          </c:val>
        </c:ser>
        <c:ser>
          <c:idx val="3"/>
          <c:order val="3"/>
          <c:tx>
            <c:strRef>
              <c:f>F.graficos!$W$1:$W$2</c:f>
            </c:strRef>
          </c:tx>
          <c:spPr>
            <a:solidFill>
              <a:schemeClr val="accent1">
                <a:alpha val="30000"/>
              </a:schemeClr>
            </a:solidFill>
            <a:ln cmpd="sng">
              <a:solidFill>
                <a:schemeClr val="accent1"/>
              </a:solidFill>
            </a:ln>
          </c:spPr>
          <c:cat>
            <c:strRef>
              <c:f>F.graficos!$S$3:$S$1186</c:f>
            </c:strRef>
          </c:cat>
          <c:val>
            <c:numRef>
              <c:f>F.graficos!$W$3:$W$1186</c:f>
              <c:numCache/>
            </c:numRef>
          </c:val>
        </c:ser>
        <c:ser>
          <c:idx val="4"/>
          <c:order val="4"/>
          <c:tx>
            <c:strRef>
              <c:f>F.graficos!$X$1:$X$2</c:f>
            </c:strRef>
          </c:tx>
          <c:spPr>
            <a:solidFill>
              <a:srgbClr val="FF6D01">
                <a:alpha val="30000"/>
              </a:srgbClr>
            </a:solidFill>
            <a:ln cmpd="sng">
              <a:solidFill>
                <a:srgbClr val="FF6D01">
                  <a:alpha val="100000"/>
                </a:srgbClr>
              </a:solidFill>
            </a:ln>
          </c:spPr>
          <c:cat>
            <c:strRef>
              <c:f>F.graficos!$S$3:$S$1186</c:f>
            </c:strRef>
          </c:cat>
          <c:val>
            <c:numRef>
              <c:f>F.graficos!$X$3:$X$1186</c:f>
              <c:numCache/>
            </c:numRef>
          </c:val>
        </c:ser>
        <c:ser>
          <c:idx val="5"/>
          <c:order val="5"/>
          <c:tx>
            <c:strRef>
              <c:f>F.graficos!$Y$1:$Y$2</c:f>
            </c:strRef>
          </c:tx>
          <c:spPr>
            <a:solidFill>
              <a:srgbClr val="FF6D01">
                <a:alpha val="30000"/>
              </a:srgbClr>
            </a:solidFill>
            <a:ln cmpd="sng">
              <a:solidFill>
                <a:srgbClr val="FF6D01">
                  <a:alpha val="100000"/>
                </a:srgbClr>
              </a:solidFill>
            </a:ln>
          </c:spPr>
          <c:cat>
            <c:strRef>
              <c:f>F.graficos!$S$3:$S$1186</c:f>
            </c:strRef>
          </c:cat>
          <c:val>
            <c:numRef>
              <c:f>F.graficos!$Y$3:$Y$1186</c:f>
              <c:numCache/>
            </c:numRef>
          </c:val>
        </c:ser>
        <c:ser>
          <c:idx val="6"/>
          <c:order val="6"/>
          <c:tx>
            <c:strRef>
              <c:f>F.graficos!$Z$1:$Z$2</c:f>
            </c:strRef>
          </c:tx>
          <c:spPr>
            <a:solidFill>
              <a:srgbClr val="FF6D01">
                <a:alpha val="30000"/>
              </a:srgbClr>
            </a:solidFill>
            <a:ln cmpd="sng">
              <a:solidFill>
                <a:srgbClr val="FF6D01">
                  <a:alpha val="100000"/>
                </a:srgbClr>
              </a:solidFill>
            </a:ln>
          </c:spPr>
          <c:cat>
            <c:strRef>
              <c:f>F.graficos!$S$3:$S$1186</c:f>
            </c:strRef>
          </c:cat>
          <c:val>
            <c:numRef>
              <c:f>F.graficos!$Z$3:$Z$1186</c:f>
              <c:numCache/>
            </c:numRef>
          </c:val>
        </c:ser>
        <c:ser>
          <c:idx val="7"/>
          <c:order val="7"/>
          <c:tx>
            <c:strRef>
              <c:f>F.graficos!$AA$1:$AA$2</c:f>
            </c:strRef>
          </c:tx>
          <c:spPr>
            <a:solidFill>
              <a:srgbClr val="FF6D01">
                <a:alpha val="30000"/>
              </a:srgbClr>
            </a:solidFill>
            <a:ln cmpd="sng">
              <a:solidFill>
                <a:srgbClr val="FF6D01">
                  <a:alpha val="100000"/>
                </a:srgbClr>
              </a:solidFill>
            </a:ln>
          </c:spPr>
          <c:cat>
            <c:strRef>
              <c:f>F.graficos!$S$3:$S$1186</c:f>
            </c:strRef>
          </c:cat>
          <c:val>
            <c:numRef>
              <c:f>F.graficos!$AA$3:$AA$1186</c:f>
              <c:numCache/>
            </c:numRef>
          </c:val>
        </c:ser>
        <c:ser>
          <c:idx val="8"/>
          <c:order val="8"/>
          <c:tx>
            <c:strRef>
              <c:f>F.graficos!$AB$1:$AB$2</c:f>
            </c:strRef>
          </c:tx>
          <c:spPr>
            <a:solidFill>
              <a:srgbClr val="FF6D01">
                <a:alpha val="30000"/>
              </a:srgbClr>
            </a:solidFill>
            <a:ln cmpd="sng">
              <a:solidFill>
                <a:srgbClr val="FF6D01">
                  <a:alpha val="100000"/>
                </a:srgbClr>
              </a:solidFill>
            </a:ln>
          </c:spPr>
          <c:cat>
            <c:strRef>
              <c:f>F.graficos!$S$3:$S$1186</c:f>
            </c:strRef>
          </c:cat>
          <c:val>
            <c:numRef>
              <c:f>F.graficos!$AB$3:$AB$1186</c:f>
              <c:numCache/>
            </c:numRef>
          </c:val>
        </c:ser>
        <c:ser>
          <c:idx val="9"/>
          <c:order val="9"/>
          <c:tx>
            <c:strRef>
              <c:f>F.graficos!$AC$1:$AC$2</c:f>
            </c:strRef>
          </c:tx>
          <c:spPr>
            <a:solidFill>
              <a:srgbClr val="FF6D01">
                <a:alpha val="30000"/>
              </a:srgbClr>
            </a:solidFill>
            <a:ln cmpd="sng">
              <a:solidFill>
                <a:srgbClr val="FF6D01">
                  <a:alpha val="100000"/>
                </a:srgbClr>
              </a:solidFill>
            </a:ln>
          </c:spPr>
          <c:cat>
            <c:strRef>
              <c:f>F.graficos!$S$3:$S$1186</c:f>
            </c:strRef>
          </c:cat>
          <c:val>
            <c:numRef>
              <c:f>F.graficos!$AC$3:$AC$1186</c:f>
              <c:numCache/>
            </c:numRef>
          </c:val>
        </c:ser>
        <c:ser>
          <c:idx val="10"/>
          <c:order val="10"/>
          <c:tx>
            <c:strRef>
              <c:f>F.graficos!$AD$1:$AD$2</c:f>
            </c:strRef>
          </c:tx>
          <c:spPr>
            <a:solidFill>
              <a:srgbClr val="FF6D01">
                <a:alpha val="30000"/>
              </a:srgbClr>
            </a:solidFill>
            <a:ln cmpd="sng">
              <a:solidFill>
                <a:srgbClr val="FF6D01">
                  <a:alpha val="100000"/>
                </a:srgbClr>
              </a:solidFill>
            </a:ln>
          </c:spPr>
          <c:cat>
            <c:strRef>
              <c:f>F.graficos!$S$3:$S$1186</c:f>
            </c:strRef>
          </c:cat>
          <c:val>
            <c:numRef>
              <c:f>F.graficos!$AD$3:$AD$1186</c:f>
              <c:numCache/>
            </c:numRef>
          </c:val>
        </c:ser>
        <c:ser>
          <c:idx val="11"/>
          <c:order val="11"/>
          <c:tx>
            <c:strRef>
              <c:f>F.graficos!$AE$1:$AE$2</c:f>
            </c:strRef>
          </c:tx>
          <c:spPr>
            <a:solidFill>
              <a:srgbClr val="FF6D01">
                <a:alpha val="30000"/>
              </a:srgbClr>
            </a:solidFill>
            <a:ln cmpd="sng">
              <a:solidFill>
                <a:srgbClr val="FF6D01">
                  <a:alpha val="100000"/>
                </a:srgbClr>
              </a:solidFill>
            </a:ln>
          </c:spPr>
          <c:cat>
            <c:strRef>
              <c:f>F.graficos!$S$3:$S$1186</c:f>
            </c:strRef>
          </c:cat>
          <c:val>
            <c:numRef>
              <c:f>F.graficos!$AE$3:$AE$1186</c:f>
              <c:numCache/>
            </c:numRef>
          </c:val>
        </c:ser>
        <c:ser>
          <c:idx val="12"/>
          <c:order val="12"/>
          <c:tx>
            <c:strRef>
              <c:f>F.graficos!$AF$1:$AF$2</c:f>
            </c:strRef>
          </c:tx>
          <c:spPr>
            <a:solidFill>
              <a:srgbClr val="FF6D01">
                <a:alpha val="30000"/>
              </a:srgbClr>
            </a:solidFill>
            <a:ln cmpd="sng">
              <a:solidFill>
                <a:srgbClr val="FF6D01">
                  <a:alpha val="100000"/>
                </a:srgbClr>
              </a:solidFill>
            </a:ln>
          </c:spPr>
          <c:cat>
            <c:strRef>
              <c:f>F.graficos!$S$3:$S$1186</c:f>
            </c:strRef>
          </c:cat>
          <c:val>
            <c:numRef>
              <c:f>F.graficos!$AF$3:$AF$1186</c:f>
              <c:numCache/>
            </c:numRef>
          </c:val>
        </c:ser>
        <c:ser>
          <c:idx val="13"/>
          <c:order val="13"/>
          <c:tx>
            <c:strRef>
              <c:f>F.graficos!$AG$1:$AG$2</c:f>
            </c:strRef>
          </c:tx>
          <c:spPr>
            <a:solidFill>
              <a:srgbClr val="FF6D01">
                <a:alpha val="30000"/>
              </a:srgbClr>
            </a:solidFill>
            <a:ln cmpd="sng">
              <a:solidFill>
                <a:srgbClr val="FF6D01">
                  <a:alpha val="100000"/>
                </a:srgbClr>
              </a:solidFill>
            </a:ln>
          </c:spPr>
          <c:cat>
            <c:strRef>
              <c:f>F.graficos!$S$3:$S$1186</c:f>
            </c:strRef>
          </c:cat>
          <c:val>
            <c:numRef>
              <c:f>F.graficos!$AG$3:$AG$1186</c:f>
              <c:numCache/>
            </c:numRef>
          </c:val>
        </c:ser>
        <c:ser>
          <c:idx val="14"/>
          <c:order val="14"/>
          <c:tx>
            <c:strRef>
              <c:f>F.graficos!$AH$1:$AH$2</c:f>
            </c:strRef>
          </c:tx>
          <c:spPr>
            <a:solidFill>
              <a:srgbClr val="FF6D01">
                <a:alpha val="30000"/>
              </a:srgbClr>
            </a:solidFill>
            <a:ln cmpd="sng">
              <a:solidFill>
                <a:srgbClr val="FF6D01">
                  <a:alpha val="100000"/>
                </a:srgbClr>
              </a:solidFill>
            </a:ln>
          </c:spPr>
          <c:cat>
            <c:strRef>
              <c:f>F.graficos!$S$3:$S$1186</c:f>
            </c:strRef>
          </c:cat>
          <c:val>
            <c:numRef>
              <c:f>F.graficos!$AH$3:$AH$1186</c:f>
              <c:numCache/>
            </c:numRef>
          </c:val>
        </c:ser>
        <c:ser>
          <c:idx val="15"/>
          <c:order val="15"/>
          <c:tx>
            <c:strRef>
              <c:f>F.graficos!$AI$1:$AI$2</c:f>
            </c:strRef>
          </c:tx>
          <c:spPr>
            <a:solidFill>
              <a:schemeClr val="accent1">
                <a:alpha val="30000"/>
              </a:schemeClr>
            </a:solidFill>
            <a:ln cmpd="sng">
              <a:solidFill>
                <a:schemeClr val="accent1"/>
              </a:solidFill>
            </a:ln>
          </c:spPr>
          <c:cat>
            <c:strRef>
              <c:f>F.graficos!$S$3:$S$1186</c:f>
            </c:strRef>
          </c:cat>
          <c:val>
            <c:numRef>
              <c:f>F.graficos!$AI$3:$AI$1186</c:f>
              <c:numCache/>
            </c:numRef>
          </c:val>
        </c:ser>
        <c:ser>
          <c:idx val="16"/>
          <c:order val="16"/>
          <c:tx>
            <c:strRef>
              <c:f>F.graficos!$AJ$1:$AJ$2</c:f>
            </c:strRef>
          </c:tx>
          <c:spPr>
            <a:solidFill>
              <a:schemeClr val="accent1">
                <a:alpha val="30000"/>
              </a:schemeClr>
            </a:solidFill>
            <a:ln cmpd="sng">
              <a:solidFill>
                <a:schemeClr val="accent1"/>
              </a:solidFill>
            </a:ln>
          </c:spPr>
          <c:cat>
            <c:strRef>
              <c:f>F.graficos!$S$3:$S$1186</c:f>
            </c:strRef>
          </c:cat>
          <c:val>
            <c:numRef>
              <c:f>F.graficos!$AJ$3:$AJ$1186</c:f>
              <c:numCache/>
            </c:numRef>
          </c:val>
        </c:ser>
        <c:ser>
          <c:idx val="17"/>
          <c:order val="17"/>
          <c:tx>
            <c:strRef>
              <c:f>F.graficos!$AK$1:$AK$2</c:f>
            </c:strRef>
          </c:tx>
          <c:spPr>
            <a:solidFill>
              <a:schemeClr val="accent1">
                <a:alpha val="30000"/>
              </a:schemeClr>
            </a:solidFill>
            <a:ln cmpd="sng">
              <a:solidFill>
                <a:schemeClr val="accent1"/>
              </a:solidFill>
            </a:ln>
          </c:spPr>
          <c:cat>
            <c:strRef>
              <c:f>F.graficos!$S$3:$S$1186</c:f>
            </c:strRef>
          </c:cat>
          <c:val>
            <c:numRef>
              <c:f>F.graficos!$AK$3:$AK$1186</c:f>
              <c:numCache/>
            </c:numRef>
          </c:val>
        </c:ser>
        <c:ser>
          <c:idx val="18"/>
          <c:order val="18"/>
          <c:tx>
            <c:strRef>
              <c:f>F.graficos!$AL$1:$AL$2</c:f>
            </c:strRef>
          </c:tx>
          <c:spPr>
            <a:solidFill>
              <a:schemeClr val="accent1">
                <a:alpha val="30000"/>
              </a:schemeClr>
            </a:solidFill>
            <a:ln cmpd="sng">
              <a:solidFill>
                <a:schemeClr val="accent1"/>
              </a:solidFill>
            </a:ln>
          </c:spPr>
          <c:cat>
            <c:strRef>
              <c:f>F.graficos!$S$3:$S$1186</c:f>
            </c:strRef>
          </c:cat>
          <c:val>
            <c:numRef>
              <c:f>F.graficos!$AL$3:$AL$1186</c:f>
              <c:numCache/>
            </c:numRef>
          </c:val>
        </c:ser>
        <c:ser>
          <c:idx val="19"/>
          <c:order val="19"/>
          <c:tx>
            <c:strRef>
              <c:f>F.graficos!$AM$1:$AM$2</c:f>
            </c:strRef>
          </c:tx>
          <c:spPr>
            <a:solidFill>
              <a:schemeClr val="accent4">
                <a:alpha val="30000"/>
              </a:schemeClr>
            </a:solidFill>
            <a:ln cmpd="sng">
              <a:solidFill>
                <a:schemeClr val="accent4"/>
              </a:solidFill>
            </a:ln>
          </c:spPr>
          <c:cat>
            <c:strRef>
              <c:f>F.graficos!$S$3:$S$1186</c:f>
            </c:strRef>
          </c:cat>
          <c:val>
            <c:numRef>
              <c:f>F.graficos!$AM$3:$AM$1186</c:f>
              <c:numCache/>
            </c:numRef>
          </c:val>
        </c:ser>
        <c:ser>
          <c:idx val="20"/>
          <c:order val="20"/>
          <c:tx>
            <c:strRef>
              <c:f>F.graficos!$AN$1:$AN$2</c:f>
            </c:strRef>
          </c:tx>
          <c:spPr>
            <a:solidFill>
              <a:schemeClr val="accent1">
                <a:alpha val="30000"/>
              </a:schemeClr>
            </a:solidFill>
            <a:ln cmpd="sng">
              <a:solidFill>
                <a:schemeClr val="accent1"/>
              </a:solidFill>
            </a:ln>
          </c:spPr>
          <c:cat>
            <c:strRef>
              <c:f>F.graficos!$S$3:$S$1186</c:f>
            </c:strRef>
          </c:cat>
          <c:val>
            <c:numRef>
              <c:f>F.graficos!$AN$3:$AN$1186</c:f>
              <c:numCache/>
            </c:numRef>
          </c:val>
        </c:ser>
        <c:ser>
          <c:idx val="21"/>
          <c:order val="21"/>
          <c:tx>
            <c:strRef>
              <c:f>F.graficos!$AO$1:$AO$2</c:f>
            </c:strRef>
          </c:tx>
          <c:spPr>
            <a:solidFill>
              <a:schemeClr val="accent1">
                <a:alpha val="30000"/>
              </a:schemeClr>
            </a:solidFill>
            <a:ln cmpd="sng">
              <a:solidFill>
                <a:schemeClr val="accent1"/>
              </a:solidFill>
            </a:ln>
          </c:spPr>
          <c:cat>
            <c:strRef>
              <c:f>F.graficos!$S$3:$S$1186</c:f>
            </c:strRef>
          </c:cat>
          <c:val>
            <c:numRef>
              <c:f>F.graficos!$AO$3:$AO$1186</c:f>
              <c:numCache/>
            </c:numRef>
          </c:val>
        </c:ser>
        <c:ser>
          <c:idx val="22"/>
          <c:order val="22"/>
          <c:tx>
            <c:strRef>
              <c:f>F.graficos!$AP$1:$AP$2</c:f>
            </c:strRef>
          </c:tx>
          <c:spPr>
            <a:solidFill>
              <a:schemeClr val="accent1">
                <a:alpha val="30000"/>
              </a:schemeClr>
            </a:solidFill>
            <a:ln cmpd="sng">
              <a:solidFill>
                <a:schemeClr val="accent1"/>
              </a:solidFill>
            </a:ln>
          </c:spPr>
          <c:cat>
            <c:strRef>
              <c:f>F.graficos!$S$3:$S$1186</c:f>
            </c:strRef>
          </c:cat>
          <c:val>
            <c:numRef>
              <c:f>F.graficos!$AP$3:$AP$1186</c:f>
              <c:numCache/>
            </c:numRef>
          </c:val>
        </c:ser>
        <c:ser>
          <c:idx val="23"/>
          <c:order val="23"/>
          <c:tx>
            <c:strRef>
              <c:f>F.graficos!$AQ$1:$AQ$2</c:f>
            </c:strRef>
          </c:tx>
          <c:spPr>
            <a:solidFill>
              <a:schemeClr val="accent1">
                <a:alpha val="30000"/>
              </a:schemeClr>
            </a:solidFill>
            <a:ln cmpd="sng">
              <a:solidFill>
                <a:schemeClr val="accent1"/>
              </a:solidFill>
            </a:ln>
          </c:spPr>
          <c:cat>
            <c:strRef>
              <c:f>F.graficos!$S$3:$S$1186</c:f>
            </c:strRef>
          </c:cat>
          <c:val>
            <c:numRef>
              <c:f>F.graficos!$AQ$3:$AQ$1186</c:f>
              <c:numCache/>
            </c:numRef>
          </c:val>
        </c:ser>
        <c:ser>
          <c:idx val="24"/>
          <c:order val="24"/>
          <c:tx>
            <c:strRef>
              <c:f>F.graficos!$AR$1:$AR$2</c:f>
            </c:strRef>
          </c:tx>
          <c:spPr>
            <a:solidFill>
              <a:srgbClr val="FF0000">
                <a:alpha val="30000"/>
              </a:srgbClr>
            </a:solidFill>
            <a:ln cmpd="sng">
              <a:solidFill>
                <a:srgbClr val="FF0000">
                  <a:alpha val="100000"/>
                </a:srgbClr>
              </a:solidFill>
            </a:ln>
          </c:spPr>
          <c:cat>
            <c:strRef>
              <c:f>F.graficos!$S$3:$S$1186</c:f>
            </c:strRef>
          </c:cat>
          <c:val>
            <c:numRef>
              <c:f>F.graficos!$AR$3:$AR$1186</c:f>
              <c:numCache/>
            </c:numRef>
          </c:val>
        </c:ser>
        <c:axId val="2141961724"/>
        <c:axId val="517806940"/>
      </c:areaChart>
      <c:catAx>
        <c:axId val="2141961724"/>
        <c:scaling>
          <c:orientation val="minMax"/>
        </c:scaling>
        <c:delete val="0"/>
        <c:axPos val="b"/>
        <c:title>
          <c:tx>
            <c:rich>
              <a:bodyPr/>
              <a:lstStyle/>
              <a:p>
                <a:pPr lvl="0">
                  <a:defRPr b="0">
                    <a:solidFill>
                      <a:srgbClr val="314C59"/>
                    </a:solidFill>
                    <a:latin typeface="+mn-lt"/>
                  </a:defRPr>
                </a:pPr>
                <a:r>
                  <a:rPr b="0">
                    <a:solidFill>
                      <a:srgbClr val="314C59"/>
                    </a:solidFill>
                    <a:latin typeface="+mn-lt"/>
                  </a:rPr>
                  <a:t>FECHA/20/01</a:t>
                </a:r>
              </a:p>
            </c:rich>
          </c:tx>
          <c:overlay val="0"/>
        </c:title>
        <c:numFmt formatCode="General" sourceLinked="1"/>
        <c:majorTickMark val="none"/>
        <c:minorTickMark val="none"/>
        <c:spPr/>
        <c:txPr>
          <a:bodyPr/>
          <a:lstStyle/>
          <a:p>
            <a:pPr lvl="0">
              <a:defRPr b="0">
                <a:solidFill>
                  <a:srgbClr val="314C59"/>
                </a:solidFill>
                <a:latin typeface="+mn-lt"/>
              </a:defRPr>
            </a:pPr>
          </a:p>
        </c:txPr>
        <c:crossAx val="517806940"/>
      </c:catAx>
      <c:valAx>
        <c:axId val="5178069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314C59"/>
                    </a:solidFill>
                    <a:latin typeface="+mn-lt"/>
                  </a:defRPr>
                </a:pPr>
                <a:r>
                  <a:rPr b="0">
                    <a:solidFill>
                      <a:srgbClr val="314C59"/>
                    </a:solidFill>
                    <a:latin typeface="+mn-lt"/>
                  </a:rPr>
                  <a:t/>
                </a:r>
              </a:p>
            </c:rich>
          </c:tx>
          <c:overlay val="0"/>
        </c:title>
        <c:numFmt formatCode="General" sourceLinked="1"/>
        <c:majorTickMark val="none"/>
        <c:minorTickMark val="none"/>
        <c:tickLblPos val="nextTo"/>
        <c:spPr>
          <a:ln/>
        </c:spPr>
        <c:txPr>
          <a:bodyPr/>
          <a:lstStyle/>
          <a:p>
            <a:pPr lvl="0">
              <a:defRPr b="0">
                <a:solidFill>
                  <a:srgbClr val="314C59"/>
                </a:solidFill>
                <a:latin typeface="+mn-lt"/>
              </a:defRPr>
            </a:pPr>
          </a:p>
        </c:txPr>
        <c:crossAx val="2141961724"/>
      </c:valAx>
    </c:plotArea>
    <c:legend>
      <c:legendPos val="r"/>
      <c:overlay val="0"/>
      <c:txPr>
        <a:bodyPr/>
        <a:lstStyle/>
        <a:p>
          <a:pPr lvl="0">
            <a:defRPr b="0">
              <a:solidFill>
                <a:srgbClr val="465E6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image" Target="../media/Chart8.png"/></Relationships>
</file>

<file path=xl/drawings/_rels/drawing4.xml.rels><?xml version="1.0" encoding="UTF-8" standalone="yes"?><Relationships xmlns="http://schemas.openxmlformats.org/package/2006/relationships"><Relationship Id="rId11" Type="http://schemas.openxmlformats.org/officeDocument/2006/relationships/chart" Target="../charts/chart17.xml"/><Relationship Id="rId10" Type="http://schemas.openxmlformats.org/officeDocument/2006/relationships/chart" Target="../charts/chart16.xml"/><Relationship Id="rId13" Type="http://schemas.openxmlformats.org/officeDocument/2006/relationships/image" Target="../media/Chart22.png"/><Relationship Id="rId12" Type="http://schemas.openxmlformats.org/officeDocument/2006/relationships/chart" Target="../charts/chart18.xml"/><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chart" Target="../charts/chart19.xml"/><Relationship Id="rId5" Type="http://schemas.openxmlformats.org/officeDocument/2006/relationships/chart" Target="../charts/chart11.xml"/><Relationship Id="rId6" Type="http://schemas.openxmlformats.org/officeDocument/2006/relationships/chart" Target="../charts/chart12.xml"/><Relationship Id="rId7" Type="http://schemas.openxmlformats.org/officeDocument/2006/relationships/chart" Target="../charts/chart13.xml"/><Relationship Id="rId8"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2.xml"/><Relationship Id="rId2" Type="http://schemas.openxmlformats.org/officeDocument/2006/relationships/chart" Target="../charts/chart23.xml"/><Relationship Id="rId3" Type="http://schemas.openxmlformats.org/officeDocument/2006/relationships/chart" Target="../charts/chart2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19050</xdr:colOff>
      <xdr:row>14</xdr:row>
      <xdr:rowOff>19050</xdr:rowOff>
    </xdr:from>
    <xdr:ext cx="2057400" cy="2371725"/>
    <xdr:pic>
      <xdr:nvPicPr>
        <xdr:cNvPr id="839050188"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285750</xdr:colOff>
      <xdr:row>0</xdr:row>
      <xdr:rowOff>114300</xdr:rowOff>
    </xdr:from>
    <xdr:ext cx="2838450" cy="18573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9525</xdr:colOff>
      <xdr:row>74</xdr:row>
      <xdr:rowOff>123825</xdr:rowOff>
    </xdr:from>
    <xdr:ext cx="3762375" cy="17526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9525</xdr:colOff>
      <xdr:row>93</xdr:row>
      <xdr:rowOff>171450</xdr:rowOff>
    </xdr:from>
    <xdr:ext cx="3762375" cy="1438275"/>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16</xdr:col>
      <xdr:colOff>9525</xdr:colOff>
      <xdr:row>83</xdr:row>
      <xdr:rowOff>19050</xdr:rowOff>
    </xdr:from>
    <xdr:ext cx="3762375" cy="2219325"/>
    <xdr:graphicFrame>
      <xdr:nvGraphicFramePr>
        <xdr:cNvPr id="5" name="Chart 5"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15</xdr:col>
      <xdr:colOff>9525</xdr:colOff>
      <xdr:row>0</xdr:row>
      <xdr:rowOff>0</xdr:rowOff>
    </xdr:from>
    <xdr:ext cx="4105275" cy="2552700"/>
    <xdr:graphicFrame>
      <xdr:nvGraphicFramePr>
        <xdr:cNvPr id="6" name="Chart 6"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15</xdr:col>
      <xdr:colOff>304800</xdr:colOff>
      <xdr:row>65</xdr:row>
      <xdr:rowOff>171450</xdr:rowOff>
    </xdr:from>
    <xdr:ext cx="3810000" cy="1800225"/>
    <xdr:graphicFrame>
      <xdr:nvGraphicFramePr>
        <xdr:cNvPr id="7" name="Chart 7"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15</xdr:col>
      <xdr:colOff>9525</xdr:colOff>
      <xdr:row>57</xdr:row>
      <xdr:rowOff>66675</xdr:rowOff>
    </xdr:from>
    <xdr:ext cx="4105275" cy="1752600"/>
    <xdr:pic>
      <xdr:nvPicPr>
        <xdr:cNvPr id="1159339857" name="Chart8" title="Gráfico">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276225</xdr:colOff>
      <xdr:row>0</xdr:row>
      <xdr:rowOff>57150</xdr:rowOff>
    </xdr:from>
    <xdr:ext cx="4095750" cy="2352675"/>
    <xdr:pic>
      <xdr:nvPicPr>
        <xdr:cNvPr id="485504518" name="Chart9" title="Gráfico">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7</xdr:col>
      <xdr:colOff>276225</xdr:colOff>
      <xdr:row>11</xdr:row>
      <xdr:rowOff>190500</xdr:rowOff>
    </xdr:from>
    <xdr:ext cx="4095750" cy="1771650"/>
    <xdr:graphicFrame>
      <xdr:nvGraphicFramePr>
        <xdr:cNvPr id="10" name="Chart 10"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828675</xdr:colOff>
      <xdr:row>0</xdr:row>
      <xdr:rowOff>57150</xdr:rowOff>
    </xdr:from>
    <xdr:ext cx="4095750" cy="2352675"/>
    <xdr:graphicFrame>
      <xdr:nvGraphicFramePr>
        <xdr:cNvPr id="11" name="Chart 11"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828675</xdr:colOff>
      <xdr:row>11</xdr:row>
      <xdr:rowOff>190500</xdr:rowOff>
    </xdr:from>
    <xdr:ext cx="4095750" cy="1771650"/>
    <xdr:graphicFrame>
      <xdr:nvGraphicFramePr>
        <xdr:cNvPr id="12" name="Chart 12"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32</xdr:col>
      <xdr:colOff>114300</xdr:colOff>
      <xdr:row>11</xdr:row>
      <xdr:rowOff>190500</xdr:rowOff>
    </xdr:from>
    <xdr:ext cx="3867150" cy="1771650"/>
    <xdr:graphicFrame>
      <xdr:nvGraphicFramePr>
        <xdr:cNvPr id="13" name="Chart 13"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32</xdr:col>
      <xdr:colOff>104775</xdr:colOff>
      <xdr:row>0</xdr:row>
      <xdr:rowOff>57150</xdr:rowOff>
    </xdr:from>
    <xdr:ext cx="3867150" cy="2352675"/>
    <xdr:graphicFrame>
      <xdr:nvGraphicFramePr>
        <xdr:cNvPr id="14" name="Chart 14"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16</xdr:col>
      <xdr:colOff>123825</xdr:colOff>
      <xdr:row>12</xdr:row>
      <xdr:rowOff>0</xdr:rowOff>
    </xdr:from>
    <xdr:ext cx="3867150" cy="1771650"/>
    <xdr:graphicFrame>
      <xdr:nvGraphicFramePr>
        <xdr:cNvPr id="15" name="Chart 15"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16</xdr:col>
      <xdr:colOff>123825</xdr:colOff>
      <xdr:row>0</xdr:row>
      <xdr:rowOff>57150</xdr:rowOff>
    </xdr:from>
    <xdr:ext cx="3867150" cy="2371725"/>
    <xdr:graphicFrame>
      <xdr:nvGraphicFramePr>
        <xdr:cNvPr id="16" name="Chart 16"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20</xdr:col>
      <xdr:colOff>142875</xdr:colOff>
      <xdr:row>12</xdr:row>
      <xdr:rowOff>0</xdr:rowOff>
    </xdr:from>
    <xdr:ext cx="3838575" cy="1771650"/>
    <xdr:graphicFrame>
      <xdr:nvGraphicFramePr>
        <xdr:cNvPr id="17" name="Chart 17"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20</xdr:col>
      <xdr:colOff>152400</xdr:colOff>
      <xdr:row>0</xdr:row>
      <xdr:rowOff>57150</xdr:rowOff>
    </xdr:from>
    <xdr:ext cx="3838575" cy="2352675"/>
    <xdr:graphicFrame>
      <xdr:nvGraphicFramePr>
        <xdr:cNvPr id="18" name="Chart 18" title="Gráfico"/>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24</xdr:col>
      <xdr:colOff>247650</xdr:colOff>
      <xdr:row>0</xdr:row>
      <xdr:rowOff>57150</xdr:rowOff>
    </xdr:from>
    <xdr:ext cx="3762375" cy="2314575"/>
    <xdr:graphicFrame>
      <xdr:nvGraphicFramePr>
        <xdr:cNvPr id="19" name="Chart 19" title="Gráfico"/>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24</xdr:col>
      <xdr:colOff>161925</xdr:colOff>
      <xdr:row>11</xdr:row>
      <xdr:rowOff>190500</xdr:rowOff>
    </xdr:from>
    <xdr:ext cx="3867150" cy="1771650"/>
    <xdr:graphicFrame>
      <xdr:nvGraphicFramePr>
        <xdr:cNvPr id="20" name="Chart 20" title="Gráfico"/>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28</xdr:col>
      <xdr:colOff>209550</xdr:colOff>
      <xdr:row>0</xdr:row>
      <xdr:rowOff>0</xdr:rowOff>
    </xdr:from>
    <xdr:ext cx="3676650" cy="2314575"/>
    <xdr:graphicFrame>
      <xdr:nvGraphicFramePr>
        <xdr:cNvPr id="21" name="Chart 21" title="Gráfico"/>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28</xdr:col>
      <xdr:colOff>180975</xdr:colOff>
      <xdr:row>11</xdr:row>
      <xdr:rowOff>171450</xdr:rowOff>
    </xdr:from>
    <xdr:ext cx="3762375" cy="1771650"/>
    <xdr:pic>
      <xdr:nvPicPr>
        <xdr:cNvPr id="1269588944" name="Chart22" title="Gráfico">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36</xdr:col>
      <xdr:colOff>190500</xdr:colOff>
      <xdr:row>0</xdr:row>
      <xdr:rowOff>57150</xdr:rowOff>
    </xdr:from>
    <xdr:ext cx="6762750" cy="4152900"/>
    <xdr:graphicFrame>
      <xdr:nvGraphicFramePr>
        <xdr:cNvPr id="23" name="Chart 23" title="Gráfico"/>
        <xdr:cNvGraphicFramePr/>
      </xdr:nvGraphicFramePr>
      <xdr:xfrm>
        <a:off x="0" y="0"/>
        <a:ext cx="0" cy="0"/>
      </xdr:xfrm>
      <a:graphic>
        <a:graphicData uri="http://schemas.openxmlformats.org/drawingml/2006/chart">
          <c:chart r:id="rId1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133350</xdr:colOff>
      <xdr:row>131</xdr:row>
      <xdr:rowOff>161925</xdr:rowOff>
    </xdr:from>
    <xdr:ext cx="4619625" cy="2667000"/>
    <xdr:graphicFrame>
      <xdr:nvGraphicFramePr>
        <xdr:cNvPr id="24" name="Chart 24"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3</xdr:row>
      <xdr:rowOff>85725</xdr:rowOff>
    </xdr:from>
    <xdr:ext cx="5715000" cy="3533775"/>
    <xdr:graphicFrame>
      <xdr:nvGraphicFramePr>
        <xdr:cNvPr id="25" name="Chart 25"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38100</xdr:colOff>
      <xdr:row>9</xdr:row>
      <xdr:rowOff>28575</xdr:rowOff>
    </xdr:from>
    <xdr:ext cx="2819400" cy="1790700"/>
    <xdr:graphicFrame>
      <xdr:nvGraphicFramePr>
        <xdr:cNvPr id="26" name="Chart 26"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38100</xdr:colOff>
      <xdr:row>0</xdr:row>
      <xdr:rowOff>28575</xdr:rowOff>
    </xdr:from>
    <xdr:ext cx="2819400" cy="1790700"/>
    <xdr:graphicFrame>
      <xdr:nvGraphicFramePr>
        <xdr:cNvPr id="27" name="Chart 27"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514350</xdr:colOff>
      <xdr:row>1</xdr:row>
      <xdr:rowOff>19050</xdr:rowOff>
    </xdr:from>
    <xdr:ext cx="6143625" cy="3800475"/>
    <xdr:graphicFrame>
      <xdr:nvGraphicFramePr>
        <xdr:cNvPr id="28" name="Chart 28" title="Gráfico"/>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xdr:col>
      <xdr:colOff>523875</xdr:colOff>
      <xdr:row>44</xdr:row>
      <xdr:rowOff>19050</xdr:rowOff>
    </xdr:from>
    <xdr:ext cx="9801225" cy="6057900"/>
    <xdr:graphicFrame>
      <xdr:nvGraphicFramePr>
        <xdr:cNvPr id="29" name="Chart 29"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314C59"/>
      </a:dk1>
      <a:lt1>
        <a:srgbClr val="FFFFFF"/>
      </a:lt1>
      <a:dk2>
        <a:srgbClr val="314C59"/>
      </a:dk2>
      <a:lt2>
        <a:srgbClr val="FFFFFF"/>
      </a:lt2>
      <a:accent1>
        <a:srgbClr val="006391"/>
      </a:accent1>
      <a:accent2>
        <a:srgbClr val="E24A38"/>
      </a:accent2>
      <a:accent3>
        <a:srgbClr val="FEB929"/>
      </a:accent3>
      <a:accent4>
        <a:srgbClr val="28998B"/>
      </a:accent4>
      <a:accent5>
        <a:srgbClr val="C0DE00"/>
      </a:accent5>
      <a:accent6>
        <a:srgbClr val="F5959C"/>
      </a:accent6>
      <a:hlink>
        <a:srgbClr val="B15DBA"/>
      </a:hlink>
      <a:folHlink>
        <a:srgbClr val="B15DBA"/>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0.xml"/><Relationship Id="rId3"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D01"/>
    <outlinePr summaryBelow="0" summaryRight="0"/>
  </sheetPr>
  <sheetViews>
    <sheetView workbookViewId="0"/>
  </sheetViews>
  <sheetFormatPr customHeight="1" defaultColWidth="12.63" defaultRowHeight="15.75"/>
  <cols>
    <col customWidth="1" min="1" max="1" width="3.25"/>
    <col customWidth="1" min="2" max="2" width="7.25"/>
    <col customWidth="1" min="3" max="3" width="9.38"/>
    <col customWidth="1" min="4" max="4" width="10.25"/>
    <col customWidth="1" min="5" max="5" width="5.13"/>
    <col customWidth="1" min="6" max="6" width="10.25"/>
    <col customWidth="1" min="7" max="7" width="9.75"/>
    <col customWidth="1" min="8" max="8" width="12.75"/>
    <col customWidth="1" min="9" max="9" width="2.75"/>
    <col customWidth="1" min="10" max="10" width="10.38"/>
    <col customWidth="1" min="11" max="11" width="10.25"/>
    <col customWidth="1" min="12" max="13" width="9.63"/>
    <col customWidth="1" min="14" max="14" width="3.0"/>
    <col customWidth="1" min="15" max="15" width="9.5"/>
    <col customWidth="1" min="16" max="17" width="9.13"/>
    <col customWidth="1" min="18" max="18" width="5.88"/>
  </cols>
  <sheetData>
    <row r="1" ht="22.5" customHeight="1">
      <c r="A1" s="1" t="s">
        <v>0</v>
      </c>
      <c r="B1" s="2"/>
      <c r="C1" s="2"/>
      <c r="D1" s="2"/>
      <c r="E1" s="2"/>
      <c r="F1" s="2"/>
      <c r="G1" s="2"/>
      <c r="H1" s="2"/>
      <c r="I1" s="2"/>
      <c r="J1" s="2"/>
      <c r="K1" s="2"/>
      <c r="L1" s="2"/>
      <c r="M1" s="2"/>
      <c r="N1" s="2"/>
      <c r="O1" s="2"/>
      <c r="P1" s="2"/>
      <c r="Q1" s="2"/>
      <c r="R1" s="3"/>
      <c r="S1" s="4"/>
      <c r="T1" s="5"/>
      <c r="U1" s="5"/>
      <c r="V1" s="5"/>
      <c r="W1" s="5"/>
      <c r="X1" s="5"/>
      <c r="Y1" s="5"/>
      <c r="Z1" s="5"/>
      <c r="AA1" s="5"/>
    </row>
    <row r="2">
      <c r="A2" s="6">
        <v>45274.0</v>
      </c>
      <c r="B2" s="7"/>
      <c r="C2" s="7"/>
      <c r="D2" s="7"/>
      <c r="E2" s="7"/>
      <c r="F2" s="7"/>
      <c r="G2" s="7"/>
      <c r="H2" s="7"/>
      <c r="I2" s="7"/>
      <c r="J2" s="7"/>
      <c r="K2" s="7"/>
      <c r="L2" s="7"/>
      <c r="M2" s="7"/>
      <c r="N2" s="7"/>
      <c r="O2" s="7"/>
      <c r="P2" s="7"/>
      <c r="Q2" s="7"/>
      <c r="R2" s="8"/>
      <c r="S2" s="4"/>
      <c r="T2" s="9"/>
      <c r="U2" s="5"/>
      <c r="V2" s="5"/>
      <c r="W2" s="5"/>
      <c r="X2" s="5"/>
      <c r="Y2" s="5"/>
      <c r="Z2" s="5"/>
      <c r="AA2" s="5"/>
    </row>
    <row r="3">
      <c r="A3" s="10"/>
      <c r="B3" s="11"/>
      <c r="C3" s="11"/>
      <c r="D3" s="11"/>
      <c r="E3" s="12"/>
      <c r="F3" s="11"/>
      <c r="G3" s="11"/>
      <c r="H3" s="11"/>
      <c r="I3" s="11"/>
      <c r="J3" s="11"/>
      <c r="K3" s="12"/>
      <c r="L3" s="12"/>
      <c r="M3" s="13"/>
      <c r="N3" s="14"/>
      <c r="O3" s="15"/>
      <c r="P3" s="15"/>
      <c r="Q3" s="15"/>
      <c r="R3" s="16"/>
      <c r="S3" s="4"/>
      <c r="T3" s="17"/>
      <c r="U3" s="5"/>
      <c r="V3" s="5"/>
      <c r="W3" s="5"/>
      <c r="X3" s="5"/>
      <c r="Y3" s="5"/>
      <c r="Z3" s="5"/>
      <c r="AA3" s="5"/>
    </row>
    <row r="4">
      <c r="A4" s="18"/>
      <c r="B4" s="19" t="s">
        <v>1</v>
      </c>
      <c r="C4" s="19" t="s">
        <v>2</v>
      </c>
      <c r="D4" s="19" t="s">
        <v>3</v>
      </c>
      <c r="E4" s="20" t="s">
        <v>4</v>
      </c>
      <c r="F4" s="19" t="s">
        <v>5</v>
      </c>
      <c r="G4" s="19" t="s">
        <v>6</v>
      </c>
      <c r="H4" s="21" t="s">
        <v>7</v>
      </c>
      <c r="I4" s="22"/>
      <c r="J4" s="23" t="s">
        <v>8</v>
      </c>
      <c r="K4" s="24" t="s">
        <v>2</v>
      </c>
      <c r="L4" s="24" t="s">
        <v>9</v>
      </c>
      <c r="M4" s="25" t="s">
        <v>10</v>
      </c>
      <c r="N4" s="26"/>
      <c r="O4" s="27" t="s">
        <v>11</v>
      </c>
      <c r="P4" s="28"/>
      <c r="Q4" s="29"/>
      <c r="R4" s="30"/>
      <c r="S4" s="4"/>
      <c r="T4" s="5"/>
      <c r="U4" s="5"/>
      <c r="V4" s="5"/>
      <c r="W4" s="5"/>
      <c r="X4" s="5"/>
      <c r="Y4" s="5"/>
      <c r="Z4" s="5"/>
      <c r="AA4" s="5"/>
    </row>
    <row r="5">
      <c r="A5" s="18"/>
      <c r="B5" s="31">
        <f t="array" ref="B5:H25">INDIRECT("datos!a2:g22")</f>
        <v>13</v>
      </c>
      <c r="C5" s="32"/>
      <c r="D5" s="33">
        <v>2.65523250621986E7</v>
      </c>
      <c r="E5" s="32">
        <v>1391.1307638092408</v>
      </c>
      <c r="F5" s="33">
        <v>2.8747167022311553E7</v>
      </c>
      <c r="G5" s="33">
        <v>3707.2704685106874</v>
      </c>
      <c r="H5" s="34">
        <v>2272324.96011295</v>
      </c>
      <c r="I5" s="35"/>
      <c r="J5" s="36" t="s">
        <v>12</v>
      </c>
      <c r="K5" s="37">
        <f>27*11680+51*11680+71*11480</f>
        <v>1726120</v>
      </c>
      <c r="L5" s="37">
        <f>SUMIF(CUENTAS!$1:$1,J5,CUENTAS!$2:$2)</f>
        <v>2604140</v>
      </c>
      <c r="M5" s="38">
        <f t="shared" ref="M5:M6" si="1">(L5-K5)/K5</f>
        <v>0.5086668366</v>
      </c>
      <c r="N5" s="26"/>
      <c r="O5" s="39" t="s">
        <v>13</v>
      </c>
      <c r="P5" s="39" t="s">
        <v>14</v>
      </c>
      <c r="Q5" s="39" t="s">
        <v>15</v>
      </c>
      <c r="R5" s="30"/>
      <c r="S5" s="4"/>
      <c r="T5" s="5"/>
      <c r="U5" s="5"/>
      <c r="V5" s="5"/>
      <c r="W5" s="5"/>
      <c r="X5" s="5"/>
      <c r="Y5" s="5"/>
      <c r="Z5" s="5"/>
      <c r="AA5" s="5"/>
    </row>
    <row r="6">
      <c r="A6" s="18"/>
      <c r="B6" s="40">
        <v>14.0</v>
      </c>
      <c r="C6" s="41"/>
      <c r="D6" s="42">
        <v>0.08685926178212837</v>
      </c>
      <c r="E6" s="41">
        <v>0.07969903069417766</v>
      </c>
      <c r="F6" s="42">
        <v>0.07984938806074843</v>
      </c>
      <c r="G6" s="42">
        <v>-0.2675004105752658</v>
      </c>
      <c r="H6" s="43">
        <v>0.0016341539103010912</v>
      </c>
      <c r="I6" s="35"/>
      <c r="J6" s="36" t="s">
        <v>16</v>
      </c>
      <c r="K6" s="37">
        <f>1886815/38*12+33*54900</f>
        <v>2407536.316</v>
      </c>
      <c r="L6" s="37">
        <f>SUMIF(CUENTAS!$1:$1,J6,CUENTAS!$2:$2)</f>
        <v>2470500</v>
      </c>
      <c r="M6" s="38">
        <f t="shared" si="1"/>
        <v>0.02615274536</v>
      </c>
      <c r="N6" s="26"/>
      <c r="O6" s="44">
        <f>TODAY()-O7</f>
        <v>67</v>
      </c>
      <c r="P6" s="45">
        <f>(BALANCE!C10-GRAFICO!B77)/GRAFICO!B77</f>
        <v>-0.004011438959</v>
      </c>
      <c r="Q6" s="45">
        <f>(1+P6)^(365/O6)-1</f>
        <v>-0.02165930506</v>
      </c>
      <c r="R6" s="30"/>
      <c r="S6" s="4"/>
      <c r="T6" s="5"/>
      <c r="U6" s="5"/>
      <c r="V6" s="5"/>
      <c r="W6" s="5"/>
      <c r="X6" s="5"/>
      <c r="Y6" s="5"/>
      <c r="Z6" s="5"/>
      <c r="AA6" s="5"/>
    </row>
    <row r="7">
      <c r="A7" s="18"/>
      <c r="B7" s="46">
        <v>46098.0</v>
      </c>
      <c r="C7" s="32"/>
      <c r="D7" s="33" t="s">
        <v>17</v>
      </c>
      <c r="E7" s="32" t="s">
        <v>17</v>
      </c>
      <c r="F7" s="33"/>
      <c r="G7" s="33" t="s">
        <v>17</v>
      </c>
      <c r="H7" s="34" t="s">
        <v>17</v>
      </c>
      <c r="I7" s="35"/>
      <c r="J7" s="36" t="s">
        <v>18</v>
      </c>
      <c r="K7" s="47">
        <f>6*70900</f>
        <v>425400</v>
      </c>
      <c r="L7" s="37">
        <f>SUMIF(CUENTAS!$1:$1,J7,CUENTAS!$2:$2)</f>
        <v>373680</v>
      </c>
      <c r="M7" s="38">
        <f>(L7-abs(K7))/abs(K7)</f>
        <v>-0.1215796897</v>
      </c>
      <c r="N7" s="35"/>
      <c r="O7" s="48">
        <v>46023.0</v>
      </c>
      <c r="P7" s="15"/>
      <c r="Q7" s="15"/>
      <c r="R7" s="30"/>
      <c r="S7" s="4"/>
      <c r="T7" s="5"/>
      <c r="U7" s="5"/>
      <c r="V7" s="5"/>
      <c r="W7" s="5"/>
      <c r="X7" s="5"/>
      <c r="Y7" s="5"/>
      <c r="Z7" s="5"/>
      <c r="AA7" s="5"/>
    </row>
    <row r="8">
      <c r="A8" s="18"/>
      <c r="B8" s="49">
        <v>46097.0</v>
      </c>
      <c r="C8" s="50"/>
      <c r="D8" s="51" t="s">
        <v>17</v>
      </c>
      <c r="E8" s="50" t="s">
        <v>17</v>
      </c>
      <c r="F8" s="51"/>
      <c r="G8" s="51" t="s">
        <v>17</v>
      </c>
      <c r="H8" s="52" t="s">
        <v>17</v>
      </c>
      <c r="I8" s="35"/>
      <c r="J8" s="36" t="s">
        <v>19</v>
      </c>
      <c r="K8" s="37">
        <f>44081.18*80</f>
        <v>3526494.4</v>
      </c>
      <c r="L8" s="37">
        <f>SUMIF(CUENTAS!$1:$1,J8,CUENTAS!$2:$2)</f>
        <v>3328000</v>
      </c>
      <c r="M8" s="38">
        <f t="shared" ref="M8:M25" si="2">(L8-K8)/K8</f>
        <v>-0.05628660576</v>
      </c>
      <c r="N8" s="4"/>
      <c r="O8" s="53" t="s">
        <v>20</v>
      </c>
      <c r="P8" s="53" t="s">
        <v>21</v>
      </c>
      <c r="Q8" s="53" t="s">
        <v>7</v>
      </c>
      <c r="R8" s="54"/>
      <c r="S8" s="4"/>
      <c r="T8" s="5"/>
      <c r="U8" s="5"/>
      <c r="V8" s="5"/>
      <c r="W8" s="5"/>
      <c r="X8" s="5"/>
      <c r="Y8" s="5"/>
      <c r="Z8" s="5"/>
      <c r="AA8" s="5"/>
    </row>
    <row r="9">
      <c r="A9" s="18"/>
      <c r="B9" s="55">
        <v>46096.0</v>
      </c>
      <c r="C9" s="51"/>
      <c r="D9" s="51" t="s">
        <v>17</v>
      </c>
      <c r="E9" s="50" t="s">
        <v>17</v>
      </c>
      <c r="F9" s="51"/>
      <c r="G9" s="51" t="s">
        <v>17</v>
      </c>
      <c r="H9" s="52" t="s">
        <v>17</v>
      </c>
      <c r="I9" s="35"/>
      <c r="J9" s="36" t="s">
        <v>22</v>
      </c>
      <c r="K9" s="37">
        <v>283000.0</v>
      </c>
      <c r="L9" s="37">
        <f>SUMIF(CUENTAS!$1:$1,J9,CUENTAS!$2:$2)</f>
        <v>283608</v>
      </c>
      <c r="M9" s="38">
        <f t="shared" si="2"/>
        <v>0.002148409894</v>
      </c>
      <c r="N9" s="26"/>
      <c r="O9" s="56">
        <f>DATOS!C2</f>
        <v>26552325.06</v>
      </c>
      <c r="P9" s="56">
        <f>DATOS!E2</f>
        <v>28747167.02</v>
      </c>
      <c r="Q9" s="56">
        <f>P9-O9</f>
        <v>2194841.96</v>
      </c>
      <c r="R9" s="30"/>
      <c r="S9" s="4"/>
      <c r="T9" s="5"/>
      <c r="U9" s="5"/>
      <c r="V9" s="5"/>
      <c r="W9" s="5"/>
      <c r="X9" s="5"/>
      <c r="Y9" s="5"/>
      <c r="Z9" s="5"/>
      <c r="AA9" s="5"/>
    </row>
    <row r="10">
      <c r="A10" s="18"/>
      <c r="B10" s="55">
        <v>46095.0</v>
      </c>
      <c r="C10" s="50"/>
      <c r="D10" s="51" t="s">
        <v>17</v>
      </c>
      <c r="E10" s="50" t="s">
        <v>17</v>
      </c>
      <c r="F10" s="51"/>
      <c r="G10" s="51" t="s">
        <v>17</v>
      </c>
      <c r="H10" s="52" t="s">
        <v>17</v>
      </c>
      <c r="I10" s="35"/>
      <c r="J10" s="36" t="s">
        <v>23</v>
      </c>
      <c r="K10" s="47">
        <f>2*70000</f>
        <v>140000</v>
      </c>
      <c r="L10" s="37">
        <f>SUMIF(CUENTAS!$1:$1,J10,CUENTAS!$2:$2)</f>
        <v>135000</v>
      </c>
      <c r="M10" s="38">
        <f t="shared" si="2"/>
        <v>-0.03571428571</v>
      </c>
      <c r="N10" s="26"/>
      <c r="O10" s="53" t="s">
        <v>24</v>
      </c>
      <c r="P10" s="53" t="s">
        <v>25</v>
      </c>
      <c r="Q10" s="53" t="s">
        <v>26</v>
      </c>
      <c r="R10" s="30"/>
      <c r="S10" s="4"/>
      <c r="T10" s="5"/>
      <c r="U10" s="5"/>
      <c r="V10" s="5"/>
      <c r="W10" s="5"/>
      <c r="X10" s="5"/>
      <c r="Y10" s="5"/>
      <c r="Z10" s="5"/>
      <c r="AA10" s="5"/>
    </row>
    <row r="11">
      <c r="A11" s="18"/>
      <c r="B11" s="55">
        <v>46094.0</v>
      </c>
      <c r="C11" s="50"/>
      <c r="D11" s="51" t="s">
        <v>17</v>
      </c>
      <c r="E11" s="50" t="s">
        <v>17</v>
      </c>
      <c r="F11" s="51"/>
      <c r="G11" s="51" t="s">
        <v>17</v>
      </c>
      <c r="H11" s="52" t="s">
        <v>17</v>
      </c>
      <c r="I11" s="35"/>
      <c r="J11" s="36" t="s">
        <v>27</v>
      </c>
      <c r="K11" s="37">
        <f>59*17040</f>
        <v>1005360</v>
      </c>
      <c r="L11" s="37">
        <f>SUMIF(CUENTAS!$1:$1,J11,CUENTAS!$2:$2)</f>
        <v>962880</v>
      </c>
      <c r="M11" s="38">
        <f t="shared" si="2"/>
        <v>-0.04225352113</v>
      </c>
      <c r="N11" s="26"/>
      <c r="O11" s="57">
        <f>SUMIF(J5:J26,"cartera",L5:L26)</f>
        <v>3876499.8</v>
      </c>
      <c r="P11" s="58">
        <f>SUM(L5:L24)</f>
        <v>37025616.3</v>
      </c>
      <c r="Q11" s="57">
        <f>Q9*7%</f>
        <v>153638.9372</v>
      </c>
      <c r="R11" s="30"/>
      <c r="S11" s="4"/>
      <c r="T11" s="5"/>
      <c r="U11" s="5"/>
      <c r="V11" s="5"/>
      <c r="W11" s="5"/>
      <c r="X11" s="5"/>
      <c r="Y11" s="5"/>
      <c r="Z11" s="5"/>
      <c r="AA11" s="5"/>
    </row>
    <row r="12">
      <c r="A12" s="18"/>
      <c r="B12" s="55">
        <v>46093.0</v>
      </c>
      <c r="C12" s="50"/>
      <c r="D12" s="51" t="s">
        <v>17</v>
      </c>
      <c r="E12" s="50" t="s">
        <v>17</v>
      </c>
      <c r="F12" s="51"/>
      <c r="G12" s="51" t="s">
        <v>17</v>
      </c>
      <c r="H12" s="52" t="s">
        <v>17</v>
      </c>
      <c r="I12" s="35"/>
      <c r="J12" s="36" t="s">
        <v>28</v>
      </c>
      <c r="K12" s="37">
        <f>64*15520+60*18700</f>
        <v>2115280</v>
      </c>
      <c r="L12" s="37">
        <f>SUMIF(CUENTAS!$1:$1,J12,CUENTAS!$2:$2)</f>
        <v>2351040</v>
      </c>
      <c r="M12" s="38">
        <f t="shared" si="2"/>
        <v>0.1114556938</v>
      </c>
      <c r="N12" s="35"/>
      <c r="O12" s="59">
        <f>AVERAGE(CUENTAS!$AA$60:AA1388)</f>
        <v>1019726.658</v>
      </c>
      <c r="P12" s="60"/>
      <c r="Q12" s="60"/>
      <c r="R12" s="30"/>
      <c r="S12" s="4"/>
      <c r="T12" s="5"/>
      <c r="U12" s="5"/>
      <c r="V12" s="5"/>
      <c r="W12" s="5"/>
      <c r="X12" s="5"/>
      <c r="Y12" s="5"/>
      <c r="Z12" s="5"/>
      <c r="AA12" s="5"/>
    </row>
    <row r="13">
      <c r="A13" s="18"/>
      <c r="B13" s="55">
        <v>46092.0</v>
      </c>
      <c r="C13" s="50"/>
      <c r="D13" s="51" t="s">
        <v>17</v>
      </c>
      <c r="E13" s="50" t="s">
        <v>17</v>
      </c>
      <c r="F13" s="51"/>
      <c r="G13" s="51" t="s">
        <v>17</v>
      </c>
      <c r="H13" s="52" t="s">
        <v>17</v>
      </c>
      <c r="I13" s="35"/>
      <c r="J13" s="36" t="s">
        <v>29</v>
      </c>
      <c r="K13" s="37">
        <f>552000-150000</f>
        <v>402000</v>
      </c>
      <c r="L13" s="37">
        <f>SUMIF(CUENTAS!$1:$1,J13,CUENTAS!$2:$2)</f>
        <v>814000</v>
      </c>
      <c r="M13" s="38">
        <f t="shared" si="2"/>
        <v>1.024875622</v>
      </c>
      <c r="N13" s="61"/>
      <c r="O13" s="62"/>
      <c r="P13" s="15"/>
      <c r="Q13" s="15"/>
      <c r="R13" s="54"/>
      <c r="S13" s="4"/>
      <c r="T13" s="5"/>
      <c r="U13" s="5"/>
      <c r="V13" s="5"/>
      <c r="W13" s="5"/>
      <c r="X13" s="5"/>
      <c r="Y13" s="5"/>
      <c r="Z13" s="5"/>
      <c r="AA13" s="5"/>
    </row>
    <row r="14">
      <c r="A14" s="18"/>
      <c r="B14" s="63">
        <v>46091.0</v>
      </c>
      <c r="C14" s="64"/>
      <c r="D14" s="65" t="s">
        <v>17</v>
      </c>
      <c r="E14" s="64" t="s">
        <v>17</v>
      </c>
      <c r="F14" s="65"/>
      <c r="G14" s="65" t="s">
        <v>17</v>
      </c>
      <c r="H14" s="52" t="s">
        <v>17</v>
      </c>
      <c r="I14" s="35"/>
      <c r="J14" s="36" t="s">
        <v>30</v>
      </c>
      <c r="K14" s="37">
        <f>654000+1573000</f>
        <v>2227000</v>
      </c>
      <c r="L14" s="37">
        <f>SUMIF(CUENTAS!$1:$1,J14,CUENTAS!$2:$2)</f>
        <v>1090000</v>
      </c>
      <c r="M14" s="38">
        <f t="shared" si="2"/>
        <v>-0.5105523125</v>
      </c>
      <c r="N14" s="66"/>
      <c r="O14" s="11"/>
      <c r="P14" s="67"/>
      <c r="Q14" s="11"/>
      <c r="R14" s="54"/>
      <c r="S14" s="4"/>
      <c r="T14" s="5"/>
      <c r="U14" s="5"/>
      <c r="V14" s="5"/>
      <c r="W14" s="5"/>
      <c r="X14" s="5"/>
      <c r="Y14" s="5"/>
      <c r="Z14" s="5"/>
      <c r="AA14" s="5"/>
    </row>
    <row r="15">
      <c r="A15" s="18"/>
      <c r="B15" s="63">
        <v>46090.0</v>
      </c>
      <c r="C15" s="65"/>
      <c r="D15" s="65" t="s">
        <v>17</v>
      </c>
      <c r="E15" s="65" t="s">
        <v>17</v>
      </c>
      <c r="F15" s="65"/>
      <c r="G15" s="65" t="s">
        <v>17</v>
      </c>
      <c r="H15" s="52" t="s">
        <v>17</v>
      </c>
      <c r="I15" s="35"/>
      <c r="J15" s="36" t="s">
        <v>31</v>
      </c>
      <c r="K15" s="37">
        <f>654000+1197400</f>
        <v>1851400</v>
      </c>
      <c r="L15" s="37">
        <f>SUMIF(CUENTAS!$1:$1,J15,CUENTAS!$2:$2)</f>
        <v>1195525</v>
      </c>
      <c r="M15" s="38">
        <f t="shared" si="2"/>
        <v>-0.3542589392</v>
      </c>
      <c r="N15" s="26"/>
      <c r="O15" s="68"/>
      <c r="P15" s="69"/>
      <c r="Q15" s="70"/>
      <c r="R15" s="30"/>
      <c r="S15" s="4"/>
      <c r="T15" s="5"/>
      <c r="U15" s="5"/>
      <c r="V15" s="5"/>
      <c r="W15" s="5"/>
      <c r="X15" s="5"/>
      <c r="Y15" s="5"/>
      <c r="Z15" s="5"/>
      <c r="AA15" s="5"/>
    </row>
    <row r="16">
      <c r="A16" s="18"/>
      <c r="B16" s="63">
        <v>46089.0</v>
      </c>
      <c r="C16" s="64">
        <v>2122000.0</v>
      </c>
      <c r="D16" s="65">
        <v>2.65523250621986E7</v>
      </c>
      <c r="E16" s="64">
        <v>1391.1307638092408</v>
      </c>
      <c r="F16" s="65">
        <v>2.8747167022311553E7</v>
      </c>
      <c r="G16" s="65">
        <v>3707.2704685106874</v>
      </c>
      <c r="H16" s="52">
        <v>2272324.96011295</v>
      </c>
      <c r="I16" s="35"/>
      <c r="J16" s="36" t="s">
        <v>32</v>
      </c>
      <c r="K16" s="37">
        <f>815330+1524360+600000</f>
        <v>2939690</v>
      </c>
      <c r="L16" s="37">
        <f>SUMIF(CUENTAS!$1:$1,J16,CUENTAS!$2:$2)</f>
        <v>1704253</v>
      </c>
      <c r="M16" s="38">
        <f t="shared" si="2"/>
        <v>-0.4202609799</v>
      </c>
      <c r="N16" s="26"/>
      <c r="O16" s="4"/>
      <c r="P16" s="5"/>
      <c r="Q16" s="71"/>
      <c r="R16" s="30"/>
      <c r="S16" s="4"/>
      <c r="T16" s="5"/>
      <c r="U16" s="5"/>
      <c r="V16" s="5"/>
      <c r="W16" s="5"/>
      <c r="X16" s="5"/>
      <c r="Y16" s="5"/>
      <c r="Z16" s="5"/>
      <c r="AA16" s="5"/>
    </row>
    <row r="17">
      <c r="A17" s="18"/>
      <c r="B17" s="72">
        <v>46088.0</v>
      </c>
      <c r="C17" s="64"/>
      <c r="D17" s="65">
        <v>2.44303250621986E7</v>
      </c>
      <c r="E17" s="64">
        <v>1288.4430978092407</v>
      </c>
      <c r="F17" s="65">
        <v>2.6621459751843043E7</v>
      </c>
      <c r="G17" s="65">
        <v>5061.122930351645</v>
      </c>
      <c r="H17" s="52">
        <v>2268617.689644439</v>
      </c>
      <c r="I17" s="35"/>
      <c r="J17" s="36" t="s">
        <v>33</v>
      </c>
      <c r="K17" s="37">
        <f>882000+112000+180000+180000+220000+220000+85000+220000</f>
        <v>2099000</v>
      </c>
      <c r="L17" s="37">
        <f>SUMIF(CUENTAS!$1:$1,J17,CUENTAS!$2:$2)</f>
        <v>578622.2049</v>
      </c>
      <c r="M17" s="38">
        <f t="shared" si="2"/>
        <v>-0.7243343474</v>
      </c>
      <c r="N17" s="26"/>
      <c r="O17" s="4"/>
      <c r="P17" s="5"/>
      <c r="Q17" s="71"/>
      <c r="R17" s="30"/>
      <c r="S17" s="4"/>
      <c r="T17" s="5"/>
      <c r="U17" s="5"/>
      <c r="V17" s="5"/>
      <c r="W17" s="5"/>
      <c r="X17" s="5"/>
      <c r="Y17" s="5"/>
      <c r="Z17" s="5"/>
      <c r="AA17" s="5"/>
    </row>
    <row r="18">
      <c r="A18" s="18"/>
      <c r="B18" s="72">
        <v>46087.0</v>
      </c>
      <c r="C18" s="64"/>
      <c r="D18" s="65">
        <v>2.44303250621986E7</v>
      </c>
      <c r="E18" s="64">
        <v>1288.4430978092407</v>
      </c>
      <c r="F18" s="65">
        <v>2.661639862891269E7</v>
      </c>
      <c r="G18" s="65">
        <v>-62284.02457831055</v>
      </c>
      <c r="H18" s="52">
        <v>2263556.5667140875</v>
      </c>
      <c r="I18" s="35"/>
      <c r="J18" s="36" t="s">
        <v>34</v>
      </c>
      <c r="K18" s="37">
        <v>1000000.0</v>
      </c>
      <c r="L18" s="37">
        <f>SUMIF(CUENTAS!$1:$1,J18,CUENTAS!$2:$2)</f>
        <v>5071335</v>
      </c>
      <c r="M18" s="38">
        <f t="shared" si="2"/>
        <v>4.071335</v>
      </c>
      <c r="N18" s="26"/>
      <c r="O18" s="4"/>
      <c r="P18" s="5"/>
      <c r="Q18" s="71"/>
      <c r="R18" s="30"/>
      <c r="S18" s="4"/>
      <c r="T18" s="5"/>
      <c r="U18" s="5"/>
      <c r="V18" s="5"/>
      <c r="W18" s="5"/>
      <c r="X18" s="5"/>
      <c r="Y18" s="5"/>
      <c r="Z18" s="5"/>
      <c r="AA18" s="5"/>
    </row>
    <row r="19">
      <c r="A19" s="18"/>
      <c r="B19" s="72">
        <v>46086.0</v>
      </c>
      <c r="C19" s="64"/>
      <c r="D19" s="65">
        <v>2.44303250621986E7</v>
      </c>
      <c r="E19" s="64">
        <v>1288.4430978092407</v>
      </c>
      <c r="F19" s="65">
        <v>2.6678682653491E7</v>
      </c>
      <c r="G19" s="65">
        <v>-6089.172057475895</v>
      </c>
      <c r="H19" s="52">
        <v>2325840.591292398</v>
      </c>
      <c r="I19" s="35"/>
      <c r="J19" s="36" t="s">
        <v>35</v>
      </c>
      <c r="K19" s="37">
        <v>1300000.0</v>
      </c>
      <c r="L19" s="37">
        <f>SUMIF(CUENTAS!$1:$1,J19,CUENTAS!$2:$2)</f>
        <v>1344990.073</v>
      </c>
      <c r="M19" s="38">
        <f t="shared" si="2"/>
        <v>0.03460774831</v>
      </c>
      <c r="N19" s="26"/>
      <c r="O19" s="4"/>
      <c r="P19" s="5"/>
      <c r="Q19" s="71"/>
      <c r="R19" s="30"/>
      <c r="S19" s="4"/>
      <c r="T19" s="5"/>
      <c r="U19" s="5"/>
      <c r="V19" s="5"/>
      <c r="W19" s="5"/>
      <c r="X19" s="5"/>
      <c r="Y19" s="5"/>
      <c r="Z19" s="5"/>
      <c r="AA19" s="5"/>
    </row>
    <row r="20">
      <c r="A20" s="18"/>
      <c r="B20" s="55">
        <v>46085.0</v>
      </c>
      <c r="C20" s="50"/>
      <c r="D20" s="51">
        <v>2.44303250621986E7</v>
      </c>
      <c r="E20" s="50">
        <v>1288.4430978092407</v>
      </c>
      <c r="F20" s="65">
        <v>2.6684771825548477E7</v>
      </c>
      <c r="G20" s="51">
        <v>-3934.3195071555674</v>
      </c>
      <c r="H20" s="52">
        <v>2331929.763349874</v>
      </c>
      <c r="I20" s="35"/>
      <c r="J20" s="36" t="s">
        <v>36</v>
      </c>
      <c r="K20" s="73">
        <f>3005000</f>
        <v>3005000</v>
      </c>
      <c r="L20" s="37">
        <f>SUMIF(CUENTAS!$1:$1,J20,CUENTAS!$2:$2)</f>
        <v>3649929.62</v>
      </c>
      <c r="M20" s="38">
        <f t="shared" si="2"/>
        <v>0.214618842</v>
      </c>
      <c r="N20" s="26"/>
      <c r="O20" s="4"/>
      <c r="P20" s="5"/>
      <c r="Q20" s="71"/>
      <c r="R20" s="30"/>
      <c r="S20" s="4"/>
      <c r="T20" s="5"/>
      <c r="U20" s="5"/>
      <c r="V20" s="5"/>
      <c r="W20" s="5"/>
      <c r="X20" s="5"/>
      <c r="Y20" s="5"/>
      <c r="Z20" s="5"/>
      <c r="AA20" s="5"/>
    </row>
    <row r="21">
      <c r="A21" s="18"/>
      <c r="B21" s="55">
        <v>46084.0</v>
      </c>
      <c r="C21" s="50">
        <v>110000.0</v>
      </c>
      <c r="D21" s="51">
        <v>2.44303250621986E7</v>
      </c>
      <c r="E21" s="50">
        <v>1288.4430978092407</v>
      </c>
      <c r="F21" s="51">
        <v>2.6688706145055633E7</v>
      </c>
      <c r="G21" s="51">
        <v>-35866.46692734957</v>
      </c>
      <c r="H21" s="52">
        <v>2335864.0828570295</v>
      </c>
      <c r="I21" s="35"/>
      <c r="J21" s="36" t="s">
        <v>37</v>
      </c>
      <c r="K21" s="37">
        <f>493*2305</f>
        <v>1136365</v>
      </c>
      <c r="L21" s="37">
        <f>SUMIF(CUENTAS!$1:$1,J21,CUENTAS!$2:$2)</f>
        <v>1019085</v>
      </c>
      <c r="M21" s="38">
        <f t="shared" si="2"/>
        <v>-0.1032062762</v>
      </c>
      <c r="N21" s="26"/>
      <c r="O21" s="4"/>
      <c r="P21" s="5"/>
      <c r="Q21" s="71"/>
      <c r="R21" s="30"/>
      <c r="S21" s="4"/>
      <c r="T21" s="5"/>
      <c r="U21" s="5"/>
      <c r="V21" s="5"/>
      <c r="W21" s="5"/>
      <c r="X21" s="5"/>
      <c r="Y21" s="5"/>
      <c r="Z21" s="5"/>
      <c r="AA21" s="5"/>
    </row>
    <row r="22">
      <c r="A22" s="18"/>
      <c r="B22" s="55">
        <v>46083.0</v>
      </c>
      <c r="C22" s="50"/>
      <c r="D22" s="51">
        <v>2.43203250621986E7</v>
      </c>
      <c r="E22" s="50">
        <v>1283.1326588092409</v>
      </c>
      <c r="F22" s="51">
        <v>2.6614572611982983E7</v>
      </c>
      <c r="G22" s="51">
        <v>-567681.6143180579</v>
      </c>
      <c r="H22" s="52">
        <v>2371730.549784379</v>
      </c>
      <c r="I22" s="35"/>
      <c r="J22" s="36" t="s">
        <v>38</v>
      </c>
      <c r="K22" s="37">
        <v>865000.0</v>
      </c>
      <c r="L22" s="37">
        <f>SUMIF(CUENTAS!$1:$1,J22,CUENTAS!$2:$2)</f>
        <v>1139540.231</v>
      </c>
      <c r="M22" s="38">
        <f t="shared" si="2"/>
        <v>0.3173875506</v>
      </c>
      <c r="N22" s="26"/>
      <c r="O22" s="4"/>
      <c r="P22" s="5"/>
      <c r="Q22" s="71"/>
      <c r="R22" s="30"/>
      <c r="S22" s="4"/>
      <c r="T22" s="5"/>
      <c r="U22" s="5"/>
      <c r="V22" s="5"/>
      <c r="W22" s="5"/>
      <c r="X22" s="5"/>
      <c r="Y22" s="5"/>
      <c r="Z22" s="5"/>
      <c r="AA22" s="5"/>
    </row>
    <row r="23">
      <c r="A23" s="18"/>
      <c r="B23" s="72">
        <v>46082.0</v>
      </c>
      <c r="C23" s="64"/>
      <c r="D23" s="65">
        <v>2.43203250621986E7</v>
      </c>
      <c r="E23" s="64">
        <v>1283.1326588092409</v>
      </c>
      <c r="F23" s="65">
        <v>2.718225422630104E7</v>
      </c>
      <c r="G23" s="65">
        <v>-10341.761679299176</v>
      </c>
      <c r="H23" s="52">
        <v>2939412.164102437</v>
      </c>
      <c r="I23" s="35"/>
      <c r="J23" s="36" t="s">
        <v>39</v>
      </c>
      <c r="K23" s="37">
        <f>230000*5</f>
        <v>1150000</v>
      </c>
      <c r="L23" s="37">
        <f>SUMIF(CUENTAS!$1:$1,J23,CUENTAS!$2:$2)</f>
        <v>3032988.37</v>
      </c>
      <c r="M23" s="38">
        <f t="shared" si="2"/>
        <v>1.637381191</v>
      </c>
      <c r="N23" s="26"/>
      <c r="O23" s="4"/>
      <c r="P23" s="5"/>
      <c r="Q23" s="71"/>
      <c r="R23" s="30"/>
      <c r="S23" s="4"/>
      <c r="T23" s="5"/>
      <c r="U23" s="5"/>
      <c r="V23" s="5"/>
      <c r="W23" s="5"/>
      <c r="X23" s="5"/>
      <c r="Y23" s="5"/>
      <c r="Z23" s="5"/>
      <c r="AA23" s="5"/>
    </row>
    <row r="24">
      <c r="A24" s="18"/>
      <c r="B24" s="72">
        <v>46081.0</v>
      </c>
      <c r="C24" s="64"/>
      <c r="D24" s="65">
        <v>2.43203250621986E7</v>
      </c>
      <c r="E24" s="64">
        <v>1283.1326588092409</v>
      </c>
      <c r="F24" s="65">
        <v>2.719259598798034E7</v>
      </c>
      <c r="G24" s="65">
        <v>-10341.90901107341</v>
      </c>
      <c r="H24" s="52">
        <v>2949753.925781736</v>
      </c>
      <c r="I24" s="35"/>
      <c r="J24" s="74" t="s">
        <v>40</v>
      </c>
      <c r="K24" s="37">
        <v>3876000.0</v>
      </c>
      <c r="L24" s="37">
        <f>SUMIF(CUENTAS!$1:$1,J24,CUENTAS!$2:$2)</f>
        <v>3876499.8</v>
      </c>
      <c r="M24" s="38">
        <f t="shared" si="2"/>
        <v>0.0001289473684</v>
      </c>
      <c r="N24" s="26"/>
      <c r="O24" s="75"/>
      <c r="P24" s="5"/>
      <c r="Q24" s="71"/>
      <c r="R24" s="30"/>
      <c r="S24" s="4"/>
      <c r="T24" s="5"/>
      <c r="U24" s="5"/>
      <c r="V24" s="5"/>
      <c r="W24" s="5"/>
      <c r="X24" s="5"/>
      <c r="Y24" s="5"/>
      <c r="Z24" s="5"/>
      <c r="AA24" s="5"/>
    </row>
    <row r="25">
      <c r="A25" s="18"/>
      <c r="B25" s="76">
        <v>46080.0</v>
      </c>
      <c r="C25" s="77"/>
      <c r="D25" s="78">
        <v>2.43203250621986E7</v>
      </c>
      <c r="E25" s="77">
        <v>1283.1326588092409</v>
      </c>
      <c r="F25" s="78">
        <v>2.7202937896991413E7</v>
      </c>
      <c r="G25" s="78">
        <v>-383792.0563133918</v>
      </c>
      <c r="H25" s="79">
        <v>2960095.8347928096</v>
      </c>
      <c r="I25" s="35"/>
      <c r="J25" s="80" t="s">
        <v>41</v>
      </c>
      <c r="K25" s="37">
        <f>-3450000-4000000</f>
        <v>-7450000</v>
      </c>
      <c r="L25" s="37">
        <f>-SUMIF(CUENTAS!$1:$1,J25,CUENTAS!$2:$2)</f>
        <v>-8273161.195</v>
      </c>
      <c r="M25" s="38">
        <f t="shared" si="2"/>
        <v>0.1104914355</v>
      </c>
      <c r="N25" s="81"/>
      <c r="O25" s="82"/>
      <c r="P25" s="83"/>
      <c r="Q25" s="84"/>
      <c r="R25" s="30"/>
      <c r="S25" s="4"/>
      <c r="T25" s="5"/>
      <c r="U25" s="5"/>
      <c r="V25" s="5"/>
      <c r="W25" s="5"/>
      <c r="X25" s="5"/>
      <c r="Y25" s="5"/>
      <c r="Z25" s="5"/>
      <c r="AA25" s="5"/>
    </row>
    <row r="26">
      <c r="A26" s="85"/>
      <c r="B26" s="86"/>
      <c r="C26" s="86"/>
      <c r="D26" s="86"/>
      <c r="E26" s="87"/>
      <c r="F26" s="86"/>
      <c r="G26" s="86"/>
      <c r="H26" s="86"/>
      <c r="I26" s="88"/>
      <c r="J26" s="89" t="s">
        <v>42</v>
      </c>
      <c r="K26" s="90"/>
      <c r="L26" s="91">
        <f>SUMIF(CUENTAS!$1:$1,J26,CUENTAS!$2:$2)</f>
        <v>5288.082229</v>
      </c>
      <c r="M26" s="92"/>
      <c r="N26" s="93"/>
      <c r="O26" s="86"/>
      <c r="P26" s="86"/>
      <c r="Q26" s="86"/>
      <c r="R26" s="94"/>
      <c r="S26" s="4"/>
      <c r="T26" s="5"/>
      <c r="U26" s="5"/>
      <c r="V26" s="5"/>
      <c r="W26" s="5"/>
      <c r="X26" s="5"/>
      <c r="Y26" s="5"/>
      <c r="Z26" s="5"/>
      <c r="AA26" s="5"/>
    </row>
    <row r="27">
      <c r="A27" s="60"/>
      <c r="B27" s="60"/>
      <c r="C27" s="60"/>
      <c r="D27" s="60"/>
      <c r="E27" s="59"/>
      <c r="F27" s="60"/>
      <c r="G27" s="60"/>
      <c r="H27" s="60"/>
      <c r="I27" s="60"/>
      <c r="J27" s="60"/>
      <c r="K27" s="59"/>
      <c r="L27" s="59"/>
      <c r="M27" s="95"/>
      <c r="N27" s="60"/>
      <c r="O27" s="60"/>
      <c r="P27" s="60"/>
      <c r="Q27" s="60"/>
      <c r="R27" s="60"/>
      <c r="S27" s="5"/>
      <c r="T27" s="5"/>
      <c r="U27" s="5"/>
      <c r="V27" s="5"/>
      <c r="W27" s="5"/>
      <c r="X27" s="5"/>
      <c r="Y27" s="5"/>
      <c r="Z27" s="5"/>
      <c r="AA27" s="5"/>
    </row>
    <row r="28">
      <c r="A28" s="5"/>
      <c r="B28" s="5"/>
      <c r="C28" s="5"/>
      <c r="D28" s="5"/>
      <c r="E28" s="64"/>
      <c r="F28" s="5"/>
      <c r="G28" s="5"/>
      <c r="H28" s="5"/>
      <c r="I28" s="5"/>
      <c r="J28" s="5"/>
      <c r="K28" s="64"/>
      <c r="L28" s="64"/>
      <c r="M28" s="96"/>
      <c r="N28" s="5"/>
      <c r="O28" s="5"/>
      <c r="P28" s="5"/>
      <c r="Q28" s="5"/>
      <c r="R28" s="5"/>
      <c r="S28" s="5"/>
      <c r="T28" s="5"/>
      <c r="U28" s="5"/>
      <c r="V28" s="5"/>
      <c r="W28" s="5"/>
      <c r="X28" s="5"/>
      <c r="Y28" s="5"/>
      <c r="Z28" s="5"/>
      <c r="AA28" s="5"/>
    </row>
    <row r="29">
      <c r="A29" s="5"/>
      <c r="B29" s="5"/>
      <c r="C29" s="5"/>
      <c r="D29" s="5"/>
      <c r="E29" s="64"/>
      <c r="F29" s="5"/>
      <c r="G29" s="5"/>
      <c r="H29" s="5"/>
      <c r="I29" s="5"/>
      <c r="J29" s="5"/>
      <c r="K29" s="64"/>
      <c r="L29" s="64"/>
      <c r="M29" s="96"/>
      <c r="N29" s="5"/>
      <c r="O29" s="5"/>
      <c r="P29" s="5"/>
      <c r="Q29" s="5"/>
      <c r="R29" s="5"/>
      <c r="S29" s="5"/>
      <c r="T29" s="5"/>
      <c r="U29" s="5"/>
      <c r="V29" s="5"/>
      <c r="W29" s="5"/>
      <c r="X29" s="5"/>
      <c r="Y29" s="5"/>
      <c r="Z29" s="5"/>
      <c r="AA29" s="5"/>
    </row>
    <row r="30">
      <c r="A30" s="5"/>
      <c r="B30" s="5"/>
      <c r="C30" s="5"/>
      <c r="D30" s="5"/>
      <c r="E30" s="64"/>
      <c r="F30" s="5"/>
      <c r="G30" s="5"/>
      <c r="H30" s="5"/>
      <c r="I30" s="5"/>
      <c r="J30" s="5"/>
      <c r="K30" s="64"/>
      <c r="L30" s="64"/>
      <c r="M30" s="96"/>
      <c r="N30" s="5"/>
      <c r="O30" s="5"/>
      <c r="P30" s="5"/>
      <c r="Q30" s="5"/>
      <c r="R30" s="5"/>
      <c r="S30" s="5"/>
      <c r="T30" s="5"/>
      <c r="U30" s="5"/>
      <c r="V30" s="5"/>
      <c r="W30" s="5"/>
      <c r="X30" s="5"/>
      <c r="Y30" s="5"/>
      <c r="Z30" s="5"/>
      <c r="AA30" s="5"/>
    </row>
    <row r="31">
      <c r="A31" s="5"/>
      <c r="B31" s="5"/>
      <c r="C31" s="5"/>
      <c r="D31" s="5"/>
      <c r="E31" s="64"/>
      <c r="F31" s="5"/>
      <c r="G31" s="5"/>
      <c r="H31" s="5"/>
      <c r="I31" s="5"/>
      <c r="J31" s="5"/>
      <c r="K31" s="64"/>
      <c r="L31" s="64"/>
      <c r="M31" s="96"/>
      <c r="N31" s="5"/>
      <c r="O31" s="5"/>
      <c r="P31" s="5"/>
      <c r="Q31" s="5"/>
      <c r="R31" s="5"/>
      <c r="S31" s="5"/>
      <c r="T31" s="5"/>
      <c r="U31" s="5"/>
      <c r="V31" s="5"/>
      <c r="W31" s="5"/>
      <c r="X31" s="5"/>
      <c r="Y31" s="5"/>
      <c r="Z31" s="5"/>
      <c r="AA31" s="5"/>
    </row>
    <row r="32">
      <c r="A32" s="5"/>
      <c r="B32" s="5"/>
      <c r="C32" s="5"/>
      <c r="D32" s="5"/>
      <c r="E32" s="64"/>
      <c r="F32" s="5"/>
      <c r="G32" s="5"/>
      <c r="H32" s="5"/>
      <c r="I32" s="5"/>
      <c r="J32" s="5"/>
      <c r="K32" s="64"/>
      <c r="L32" s="64"/>
      <c r="M32" s="96"/>
      <c r="N32" s="5"/>
      <c r="O32" s="5"/>
      <c r="P32" s="5"/>
      <c r="Q32" s="5"/>
      <c r="R32" s="5"/>
      <c r="S32" s="5"/>
      <c r="T32" s="5"/>
      <c r="U32" s="5"/>
      <c r="V32" s="5"/>
      <c r="W32" s="5"/>
      <c r="X32" s="5"/>
      <c r="Y32" s="5"/>
      <c r="Z32" s="5"/>
      <c r="AA32" s="5"/>
    </row>
    <row r="33">
      <c r="A33" s="5"/>
      <c r="B33" s="5"/>
      <c r="C33" s="5"/>
      <c r="D33" s="5"/>
      <c r="E33" s="64"/>
      <c r="F33" s="5"/>
      <c r="G33" s="5"/>
      <c r="H33" s="5"/>
      <c r="I33" s="5"/>
      <c r="J33" s="5"/>
      <c r="K33" s="64"/>
      <c r="L33" s="64"/>
      <c r="M33" s="96"/>
      <c r="N33" s="5"/>
      <c r="O33" s="5"/>
      <c r="P33" s="5"/>
      <c r="Q33" s="5"/>
      <c r="R33" s="5"/>
      <c r="S33" s="5"/>
      <c r="T33" s="5"/>
      <c r="U33" s="5"/>
      <c r="V33" s="5"/>
      <c r="W33" s="5"/>
      <c r="X33" s="5"/>
      <c r="Y33" s="5"/>
      <c r="Z33" s="5"/>
      <c r="AA33" s="5"/>
    </row>
    <row r="34">
      <c r="A34" s="5"/>
      <c r="B34" s="5"/>
      <c r="C34" s="5"/>
      <c r="D34" s="5"/>
      <c r="E34" s="64"/>
      <c r="F34" s="5"/>
      <c r="G34" s="5"/>
      <c r="H34" s="5"/>
      <c r="I34" s="5"/>
      <c r="J34" s="5"/>
      <c r="K34" s="64"/>
      <c r="L34" s="64"/>
      <c r="M34" s="96"/>
      <c r="N34" s="5"/>
      <c r="O34" s="5"/>
      <c r="P34" s="5"/>
      <c r="Q34" s="5"/>
      <c r="R34" s="5"/>
      <c r="S34" s="5"/>
      <c r="T34" s="5"/>
      <c r="U34" s="5"/>
      <c r="V34" s="5"/>
      <c r="W34" s="5"/>
      <c r="X34" s="5"/>
      <c r="Y34" s="5"/>
      <c r="Z34" s="5"/>
      <c r="AA34" s="5"/>
    </row>
    <row r="35">
      <c r="A35" s="5"/>
      <c r="B35" s="5"/>
      <c r="C35" s="5"/>
      <c r="D35" s="5"/>
      <c r="E35" s="64"/>
      <c r="F35" s="5"/>
      <c r="G35" s="5"/>
      <c r="H35" s="5"/>
      <c r="I35" s="5"/>
      <c r="J35" s="5"/>
      <c r="K35" s="64"/>
      <c r="L35" s="64"/>
      <c r="M35" s="96"/>
      <c r="N35" s="5"/>
      <c r="O35" s="5"/>
      <c r="P35" s="5"/>
      <c r="Q35" s="5"/>
      <c r="R35" s="5"/>
      <c r="S35" s="5"/>
      <c r="T35" s="5"/>
      <c r="U35" s="5"/>
      <c r="V35" s="5"/>
      <c r="W35" s="5"/>
      <c r="X35" s="5"/>
      <c r="Y35" s="5"/>
      <c r="Z35" s="5"/>
      <c r="AA35" s="5"/>
    </row>
    <row r="36">
      <c r="A36" s="5"/>
      <c r="B36" s="5"/>
      <c r="C36" s="5"/>
      <c r="D36" s="5"/>
      <c r="E36" s="64"/>
      <c r="F36" s="5"/>
      <c r="G36" s="5"/>
      <c r="H36" s="5"/>
      <c r="I36" s="5"/>
      <c r="J36" s="5"/>
      <c r="K36" s="64"/>
      <c r="L36" s="64"/>
      <c r="M36" s="96"/>
      <c r="N36" s="5"/>
      <c r="O36" s="5"/>
      <c r="P36" s="5"/>
      <c r="Q36" s="5"/>
      <c r="R36" s="5"/>
      <c r="S36" s="5"/>
      <c r="T36" s="5"/>
      <c r="U36" s="5"/>
      <c r="V36" s="5"/>
      <c r="W36" s="5"/>
      <c r="X36" s="5"/>
      <c r="Y36" s="5"/>
      <c r="Z36" s="5"/>
      <c r="AA36" s="5"/>
    </row>
    <row r="37">
      <c r="A37" s="5"/>
      <c r="B37" s="5"/>
      <c r="C37" s="5"/>
      <c r="D37" s="5"/>
      <c r="E37" s="64"/>
      <c r="F37" s="5"/>
      <c r="G37" s="5"/>
      <c r="H37" s="5"/>
      <c r="I37" s="5"/>
      <c r="J37" s="5"/>
      <c r="K37" s="64"/>
      <c r="L37" s="64"/>
      <c r="M37" s="96"/>
      <c r="N37" s="5"/>
      <c r="O37" s="5"/>
      <c r="P37" s="5"/>
      <c r="Q37" s="5"/>
      <c r="R37" s="5"/>
      <c r="S37" s="5"/>
      <c r="T37" s="5"/>
      <c r="U37" s="5"/>
      <c r="V37" s="5"/>
      <c r="W37" s="5"/>
      <c r="X37" s="5"/>
      <c r="Y37" s="5"/>
      <c r="Z37" s="5"/>
      <c r="AA37" s="5"/>
    </row>
    <row r="38">
      <c r="A38" s="5"/>
      <c r="B38" s="5"/>
      <c r="C38" s="5"/>
      <c r="D38" s="5"/>
      <c r="E38" s="64"/>
      <c r="F38" s="5"/>
      <c r="G38" s="5"/>
      <c r="H38" s="5"/>
      <c r="I38" s="5"/>
      <c r="J38" s="5"/>
      <c r="K38" s="64"/>
      <c r="L38" s="64"/>
      <c r="M38" s="96"/>
      <c r="N38" s="5"/>
      <c r="O38" s="5"/>
      <c r="P38" s="5"/>
      <c r="Q38" s="5"/>
      <c r="R38" s="5"/>
      <c r="S38" s="5"/>
      <c r="T38" s="5"/>
      <c r="U38" s="5"/>
      <c r="V38" s="5"/>
      <c r="W38" s="5"/>
      <c r="X38" s="5"/>
      <c r="Y38" s="5"/>
      <c r="Z38" s="5"/>
      <c r="AA38" s="5"/>
    </row>
    <row r="39">
      <c r="A39" s="5"/>
      <c r="B39" s="5"/>
      <c r="C39" s="5"/>
      <c r="D39" s="5"/>
      <c r="E39" s="64"/>
      <c r="F39" s="5"/>
      <c r="G39" s="5"/>
      <c r="H39" s="5"/>
      <c r="I39" s="5"/>
      <c r="J39" s="5"/>
      <c r="K39" s="64"/>
      <c r="L39" s="64"/>
      <c r="M39" s="96"/>
      <c r="N39" s="5"/>
      <c r="O39" s="5"/>
      <c r="P39" s="5"/>
      <c r="Q39" s="5"/>
      <c r="R39" s="5"/>
      <c r="S39" s="5"/>
      <c r="T39" s="5"/>
      <c r="U39" s="5"/>
      <c r="V39" s="5"/>
      <c r="W39" s="5"/>
      <c r="X39" s="5"/>
      <c r="Y39" s="5"/>
      <c r="Z39" s="5"/>
      <c r="AA39" s="5"/>
    </row>
    <row r="40">
      <c r="A40" s="5"/>
      <c r="B40" s="5"/>
      <c r="C40" s="5"/>
      <c r="D40" s="5"/>
      <c r="E40" s="64"/>
      <c r="F40" s="5"/>
      <c r="G40" s="5"/>
      <c r="H40" s="5"/>
      <c r="I40" s="5"/>
      <c r="J40" s="5"/>
      <c r="K40" s="64"/>
      <c r="L40" s="64"/>
      <c r="M40" s="96"/>
      <c r="N40" s="5"/>
      <c r="O40" s="5"/>
      <c r="P40" s="5"/>
      <c r="Q40" s="5"/>
      <c r="R40" s="5"/>
      <c r="S40" s="5"/>
      <c r="T40" s="5"/>
      <c r="U40" s="5"/>
      <c r="V40" s="5"/>
      <c r="W40" s="5"/>
      <c r="X40" s="5"/>
      <c r="Y40" s="5"/>
      <c r="Z40" s="5"/>
      <c r="AA40" s="5"/>
    </row>
    <row r="41">
      <c r="A41" s="5"/>
      <c r="B41" s="5"/>
      <c r="C41" s="5"/>
      <c r="D41" s="5"/>
      <c r="E41" s="64"/>
      <c r="F41" s="5"/>
      <c r="G41" s="5"/>
      <c r="H41" s="5"/>
      <c r="I41" s="5"/>
      <c r="J41" s="5"/>
      <c r="K41" s="64"/>
      <c r="L41" s="64"/>
      <c r="M41" s="96"/>
      <c r="N41" s="5"/>
      <c r="O41" s="5"/>
      <c r="P41" s="5"/>
      <c r="Q41" s="5"/>
      <c r="R41" s="5"/>
      <c r="S41" s="5"/>
      <c r="T41" s="5"/>
      <c r="U41" s="5"/>
      <c r="V41" s="5"/>
      <c r="W41" s="5"/>
      <c r="X41" s="5"/>
      <c r="Y41" s="5"/>
      <c r="Z41" s="5"/>
      <c r="AA41" s="5"/>
    </row>
    <row r="42">
      <c r="A42" s="5"/>
      <c r="B42" s="5"/>
      <c r="C42" s="5"/>
      <c r="D42" s="5"/>
      <c r="E42" s="64"/>
      <c r="F42" s="5"/>
      <c r="G42" s="5"/>
      <c r="H42" s="5"/>
      <c r="I42" s="5"/>
      <c r="J42" s="5"/>
      <c r="K42" s="64"/>
      <c r="L42" s="64"/>
      <c r="M42" s="96"/>
      <c r="N42" s="5"/>
      <c r="O42" s="5"/>
      <c r="P42" s="5"/>
      <c r="Q42" s="5"/>
      <c r="R42" s="5"/>
      <c r="S42" s="5"/>
      <c r="T42" s="5"/>
      <c r="U42" s="5"/>
      <c r="V42" s="5"/>
      <c r="W42" s="5"/>
      <c r="X42" s="5"/>
      <c r="Y42" s="5"/>
      <c r="Z42" s="5"/>
      <c r="AA42" s="5"/>
    </row>
    <row r="43">
      <c r="A43" s="5"/>
      <c r="B43" s="5"/>
      <c r="C43" s="5"/>
      <c r="D43" s="5"/>
      <c r="E43" s="64"/>
      <c r="F43" s="5"/>
      <c r="G43" s="5"/>
      <c r="H43" s="5"/>
      <c r="I43" s="5"/>
      <c r="J43" s="5"/>
      <c r="K43" s="64"/>
      <c r="L43" s="64"/>
      <c r="M43" s="96"/>
      <c r="N43" s="5"/>
      <c r="O43" s="5"/>
      <c r="P43" s="5"/>
      <c r="Q43" s="5"/>
      <c r="R43" s="5"/>
      <c r="S43" s="5"/>
      <c r="T43" s="5"/>
      <c r="U43" s="5"/>
      <c r="V43" s="5"/>
      <c r="W43" s="5"/>
      <c r="X43" s="5"/>
      <c r="Y43" s="5"/>
      <c r="Z43" s="5"/>
      <c r="AA43" s="5"/>
    </row>
    <row r="44">
      <c r="A44" s="5"/>
      <c r="B44" s="5"/>
      <c r="C44" s="5"/>
      <c r="D44" s="5"/>
      <c r="E44" s="64"/>
      <c r="F44" s="5"/>
      <c r="G44" s="5"/>
      <c r="H44" s="5"/>
      <c r="I44" s="5"/>
      <c r="J44" s="5"/>
      <c r="K44" s="64"/>
      <c r="L44" s="64"/>
      <c r="M44" s="96"/>
      <c r="N44" s="5"/>
      <c r="O44" s="5"/>
      <c r="P44" s="5"/>
      <c r="Q44" s="5"/>
      <c r="R44" s="5"/>
      <c r="S44" s="5"/>
      <c r="T44" s="5"/>
      <c r="U44" s="5"/>
      <c r="V44" s="5"/>
      <c r="W44" s="5"/>
      <c r="X44" s="5"/>
      <c r="Y44" s="5"/>
      <c r="Z44" s="5"/>
      <c r="AA44" s="5"/>
    </row>
    <row r="45">
      <c r="A45" s="5"/>
      <c r="B45" s="5"/>
      <c r="C45" s="5"/>
      <c r="D45" s="5"/>
      <c r="E45" s="64"/>
      <c r="F45" s="5"/>
      <c r="G45" s="5"/>
      <c r="H45" s="5"/>
      <c r="I45" s="5"/>
      <c r="J45" s="5"/>
      <c r="K45" s="64"/>
      <c r="L45" s="64"/>
      <c r="M45" s="96"/>
      <c r="N45" s="5"/>
      <c r="O45" s="5"/>
      <c r="P45" s="5"/>
      <c r="Q45" s="5"/>
      <c r="R45" s="5"/>
      <c r="S45" s="5"/>
      <c r="T45" s="5"/>
      <c r="U45" s="5"/>
      <c r="V45" s="5"/>
      <c r="W45" s="5"/>
      <c r="X45" s="5"/>
      <c r="Y45" s="5"/>
      <c r="Z45" s="5"/>
      <c r="AA45" s="5"/>
    </row>
    <row r="46">
      <c r="A46" s="5"/>
      <c r="B46" s="5"/>
      <c r="C46" s="5"/>
      <c r="D46" s="5"/>
      <c r="E46" s="64"/>
      <c r="F46" s="5"/>
      <c r="G46" s="5"/>
      <c r="H46" s="5"/>
      <c r="I46" s="5"/>
      <c r="J46" s="5"/>
      <c r="K46" s="64"/>
      <c r="L46" s="64"/>
      <c r="M46" s="96"/>
      <c r="N46" s="5"/>
      <c r="O46" s="5"/>
      <c r="P46" s="5"/>
      <c r="Q46" s="5"/>
      <c r="R46" s="5"/>
      <c r="S46" s="5"/>
      <c r="T46" s="5"/>
      <c r="U46" s="5"/>
      <c r="V46" s="5"/>
      <c r="W46" s="5"/>
      <c r="X46" s="5"/>
      <c r="Y46" s="5"/>
      <c r="Z46" s="5"/>
      <c r="AA46" s="5"/>
    </row>
    <row r="47">
      <c r="A47" s="5"/>
      <c r="B47" s="5"/>
      <c r="C47" s="5"/>
      <c r="D47" s="5"/>
      <c r="E47" s="64"/>
      <c r="F47" s="5"/>
      <c r="G47" s="5"/>
      <c r="H47" s="5"/>
      <c r="I47" s="5"/>
      <c r="J47" s="5"/>
      <c r="K47" s="64"/>
      <c r="L47" s="64"/>
      <c r="M47" s="96"/>
      <c r="N47" s="5"/>
      <c r="O47" s="5"/>
      <c r="P47" s="5"/>
      <c r="Q47" s="5"/>
      <c r="R47" s="5"/>
      <c r="S47" s="5"/>
      <c r="T47" s="5"/>
      <c r="U47" s="5"/>
      <c r="V47" s="5"/>
      <c r="W47" s="5"/>
      <c r="X47" s="5"/>
      <c r="Y47" s="5"/>
      <c r="Z47" s="5"/>
      <c r="AA47" s="5"/>
    </row>
    <row r="48">
      <c r="A48" s="5"/>
      <c r="B48" s="5"/>
      <c r="C48" s="5"/>
      <c r="D48" s="5"/>
      <c r="E48" s="64"/>
      <c r="F48" s="5"/>
      <c r="G48" s="5"/>
      <c r="H48" s="5"/>
      <c r="I48" s="5"/>
      <c r="J48" s="5"/>
      <c r="K48" s="64"/>
      <c r="L48" s="64"/>
      <c r="M48" s="96"/>
      <c r="N48" s="5"/>
      <c r="O48" s="5"/>
      <c r="P48" s="5"/>
      <c r="Q48" s="5"/>
      <c r="R48" s="5"/>
      <c r="S48" s="5"/>
      <c r="T48" s="5"/>
      <c r="U48" s="5"/>
      <c r="V48" s="5"/>
      <c r="W48" s="5"/>
      <c r="X48" s="5"/>
      <c r="Y48" s="5"/>
      <c r="Z48" s="5"/>
      <c r="AA48" s="5"/>
    </row>
    <row r="49">
      <c r="A49" s="5"/>
      <c r="B49" s="5"/>
      <c r="C49" s="5"/>
      <c r="D49" s="5"/>
      <c r="E49" s="64"/>
      <c r="F49" s="5"/>
      <c r="G49" s="5"/>
      <c r="H49" s="5"/>
      <c r="I49" s="5"/>
      <c r="J49" s="5"/>
      <c r="K49" s="64"/>
      <c r="L49" s="64"/>
      <c r="M49" s="96"/>
      <c r="N49" s="5"/>
      <c r="O49" s="5"/>
      <c r="P49" s="5"/>
      <c r="Q49" s="5"/>
      <c r="R49" s="5"/>
      <c r="S49" s="5"/>
      <c r="T49" s="5"/>
      <c r="U49" s="5"/>
      <c r="V49" s="5"/>
      <c r="W49" s="5"/>
      <c r="X49" s="5"/>
      <c r="Y49" s="5"/>
      <c r="Z49" s="5"/>
      <c r="AA49" s="5"/>
    </row>
    <row r="50">
      <c r="A50" s="5"/>
      <c r="B50" s="5"/>
      <c r="C50" s="5"/>
      <c r="D50" s="5"/>
      <c r="E50" s="64"/>
      <c r="F50" s="5"/>
      <c r="G50" s="5"/>
      <c r="H50" s="5"/>
      <c r="I50" s="5"/>
      <c r="J50" s="5"/>
      <c r="K50" s="64"/>
      <c r="L50" s="64"/>
      <c r="M50" s="96"/>
      <c r="N50" s="5"/>
      <c r="O50" s="5"/>
      <c r="P50" s="5"/>
      <c r="Q50" s="5"/>
      <c r="R50" s="5"/>
      <c r="S50" s="5"/>
      <c r="T50" s="5"/>
      <c r="U50" s="5"/>
      <c r="V50" s="5"/>
      <c r="W50" s="5"/>
      <c r="X50" s="5"/>
      <c r="Y50" s="5"/>
      <c r="Z50" s="5"/>
      <c r="AA50" s="5"/>
    </row>
    <row r="51">
      <c r="A51" s="5"/>
      <c r="B51" s="5"/>
      <c r="C51" s="5"/>
      <c r="D51" s="5"/>
      <c r="E51" s="64"/>
      <c r="F51" s="5"/>
      <c r="G51" s="5"/>
      <c r="H51" s="5"/>
      <c r="I51" s="5"/>
      <c r="J51" s="5"/>
      <c r="K51" s="64"/>
      <c r="L51" s="64"/>
      <c r="M51" s="96"/>
      <c r="N51" s="5"/>
      <c r="O51" s="5"/>
      <c r="P51" s="5"/>
      <c r="Q51" s="5"/>
      <c r="R51" s="5"/>
      <c r="S51" s="5"/>
      <c r="T51" s="5"/>
      <c r="U51" s="5"/>
      <c r="V51" s="5"/>
      <c r="W51" s="5"/>
      <c r="X51" s="5"/>
      <c r="Y51" s="5"/>
      <c r="Z51" s="5"/>
      <c r="AA51" s="5"/>
    </row>
    <row r="52">
      <c r="A52" s="5"/>
      <c r="B52" s="5"/>
      <c r="C52" s="5"/>
      <c r="D52" s="5"/>
      <c r="E52" s="64"/>
      <c r="F52" s="5"/>
      <c r="G52" s="5"/>
      <c r="H52" s="5"/>
      <c r="I52" s="5"/>
      <c r="J52" s="5"/>
      <c r="K52" s="64"/>
      <c r="L52" s="64"/>
      <c r="M52" s="96"/>
      <c r="N52" s="5"/>
      <c r="O52" s="5"/>
      <c r="P52" s="5"/>
      <c r="Q52" s="5"/>
      <c r="R52" s="5"/>
      <c r="S52" s="5"/>
      <c r="T52" s="5"/>
      <c r="U52" s="5"/>
      <c r="V52" s="5"/>
      <c r="W52" s="5"/>
      <c r="X52" s="5"/>
      <c r="Y52" s="5"/>
      <c r="Z52" s="5"/>
      <c r="AA52" s="5"/>
    </row>
    <row r="53">
      <c r="A53" s="5"/>
      <c r="B53" s="5"/>
      <c r="C53" s="5"/>
      <c r="D53" s="5"/>
      <c r="E53" s="64"/>
      <c r="F53" s="5"/>
      <c r="G53" s="5"/>
      <c r="H53" s="5"/>
      <c r="I53" s="5"/>
      <c r="J53" s="5"/>
      <c r="K53" s="64"/>
      <c r="L53" s="64"/>
      <c r="M53" s="96"/>
      <c r="N53" s="5"/>
      <c r="O53" s="5"/>
      <c r="P53" s="5"/>
      <c r="Q53" s="5"/>
      <c r="R53" s="5"/>
      <c r="S53" s="5"/>
      <c r="T53" s="5"/>
      <c r="U53" s="5"/>
      <c r="V53" s="5"/>
      <c r="W53" s="5"/>
      <c r="X53" s="5"/>
      <c r="Y53" s="5"/>
      <c r="Z53" s="5"/>
      <c r="AA53" s="5"/>
    </row>
    <row r="54">
      <c r="A54" s="5"/>
      <c r="B54" s="5"/>
      <c r="C54" s="5"/>
      <c r="D54" s="5"/>
      <c r="E54" s="64"/>
      <c r="F54" s="5"/>
      <c r="G54" s="5"/>
      <c r="H54" s="5"/>
      <c r="I54" s="5"/>
      <c r="J54" s="5"/>
      <c r="K54" s="64"/>
      <c r="L54" s="64"/>
      <c r="M54" s="96"/>
      <c r="N54" s="5"/>
      <c r="O54" s="5"/>
      <c r="P54" s="5"/>
      <c r="Q54" s="5"/>
      <c r="R54" s="5"/>
      <c r="S54" s="5"/>
      <c r="T54" s="5"/>
      <c r="U54" s="5"/>
      <c r="V54" s="5"/>
      <c r="W54" s="5"/>
      <c r="X54" s="5"/>
      <c r="Y54" s="5"/>
      <c r="Z54" s="5"/>
      <c r="AA54" s="5"/>
    </row>
    <row r="55">
      <c r="A55" s="5"/>
      <c r="B55" s="5"/>
      <c r="C55" s="5"/>
      <c r="D55" s="5"/>
      <c r="E55" s="64"/>
      <c r="F55" s="5"/>
      <c r="G55" s="5"/>
      <c r="H55" s="5"/>
      <c r="I55" s="5"/>
      <c r="J55" s="5"/>
      <c r="K55" s="64"/>
      <c r="L55" s="64"/>
      <c r="M55" s="96"/>
      <c r="N55" s="5"/>
      <c r="O55" s="5"/>
      <c r="P55" s="5"/>
      <c r="Q55" s="5"/>
      <c r="R55" s="5"/>
      <c r="S55" s="5"/>
      <c r="T55" s="5"/>
      <c r="U55" s="5"/>
      <c r="V55" s="5"/>
      <c r="W55" s="5"/>
      <c r="X55" s="5"/>
      <c r="Y55" s="5"/>
      <c r="Z55" s="5"/>
      <c r="AA55" s="5"/>
    </row>
    <row r="56">
      <c r="A56" s="5"/>
      <c r="B56" s="5"/>
      <c r="C56" s="5"/>
      <c r="D56" s="5"/>
      <c r="E56" s="64"/>
      <c r="F56" s="5"/>
      <c r="G56" s="5"/>
      <c r="H56" s="5"/>
      <c r="I56" s="5"/>
      <c r="J56" s="5"/>
      <c r="K56" s="64"/>
      <c r="L56" s="64"/>
      <c r="M56" s="96"/>
      <c r="N56" s="5"/>
      <c r="O56" s="5"/>
      <c r="P56" s="5"/>
      <c r="Q56" s="5"/>
      <c r="R56" s="5"/>
      <c r="S56" s="5"/>
      <c r="T56" s="5"/>
      <c r="U56" s="5"/>
      <c r="V56" s="5"/>
      <c r="W56" s="5"/>
      <c r="X56" s="5"/>
      <c r="Y56" s="5"/>
      <c r="Z56" s="5"/>
      <c r="AA56" s="5"/>
    </row>
    <row r="57">
      <c r="A57" s="5"/>
      <c r="B57" s="5"/>
      <c r="C57" s="5"/>
      <c r="D57" s="5"/>
      <c r="E57" s="64"/>
      <c r="F57" s="5"/>
      <c r="G57" s="5"/>
      <c r="H57" s="5"/>
      <c r="I57" s="5"/>
      <c r="J57" s="5"/>
      <c r="K57" s="64"/>
      <c r="L57" s="64"/>
      <c r="M57" s="96"/>
      <c r="N57" s="5"/>
      <c r="O57" s="5"/>
      <c r="P57" s="5"/>
      <c r="Q57" s="5"/>
      <c r="R57" s="5"/>
      <c r="S57" s="5"/>
      <c r="T57" s="5"/>
      <c r="U57" s="5"/>
      <c r="V57" s="5"/>
      <c r="W57" s="5"/>
      <c r="X57" s="5"/>
      <c r="Y57" s="5"/>
      <c r="Z57" s="5"/>
      <c r="AA57" s="5"/>
    </row>
    <row r="58">
      <c r="A58" s="5"/>
      <c r="B58" s="5"/>
      <c r="C58" s="5"/>
      <c r="D58" s="5"/>
      <c r="E58" s="64"/>
      <c r="F58" s="5"/>
      <c r="G58" s="5"/>
      <c r="H58" s="5"/>
      <c r="I58" s="5"/>
      <c r="J58" s="5"/>
      <c r="K58" s="64"/>
      <c r="L58" s="64"/>
      <c r="M58" s="96"/>
      <c r="N58" s="5"/>
      <c r="O58" s="5"/>
      <c r="P58" s="5"/>
      <c r="Q58" s="5"/>
      <c r="R58" s="5"/>
      <c r="S58" s="5"/>
      <c r="T58" s="5"/>
      <c r="U58" s="5"/>
      <c r="V58" s="5"/>
      <c r="W58" s="5"/>
      <c r="X58" s="5"/>
      <c r="Y58" s="5"/>
      <c r="Z58" s="5"/>
      <c r="AA58" s="5"/>
    </row>
    <row r="59">
      <c r="A59" s="5"/>
      <c r="B59" s="5"/>
      <c r="C59" s="5"/>
      <c r="D59" s="5"/>
      <c r="E59" s="64"/>
      <c r="F59" s="5"/>
      <c r="G59" s="5"/>
      <c r="H59" s="5"/>
      <c r="I59" s="5"/>
      <c r="J59" s="5"/>
      <c r="K59" s="64"/>
      <c r="L59" s="64"/>
      <c r="M59" s="96"/>
      <c r="N59" s="5"/>
      <c r="O59" s="5"/>
      <c r="P59" s="5"/>
      <c r="Q59" s="5"/>
      <c r="R59" s="5"/>
      <c r="S59" s="5"/>
      <c r="T59" s="5"/>
      <c r="U59" s="5"/>
      <c r="V59" s="5"/>
      <c r="W59" s="5"/>
      <c r="X59" s="5"/>
      <c r="Y59" s="5"/>
      <c r="Z59" s="5"/>
      <c r="AA59" s="5"/>
    </row>
    <row r="60">
      <c r="A60" s="5"/>
      <c r="B60" s="5"/>
      <c r="C60" s="5"/>
      <c r="D60" s="5"/>
      <c r="E60" s="64"/>
      <c r="F60" s="5"/>
      <c r="G60" s="5"/>
      <c r="H60" s="5"/>
      <c r="I60" s="5"/>
      <c r="J60" s="5"/>
      <c r="K60" s="64"/>
      <c r="L60" s="64"/>
      <c r="M60" s="96"/>
      <c r="N60" s="5"/>
      <c r="O60" s="5"/>
      <c r="P60" s="5"/>
      <c r="Q60" s="5"/>
      <c r="R60" s="5"/>
      <c r="S60" s="5"/>
      <c r="T60" s="5"/>
      <c r="U60" s="5"/>
      <c r="V60" s="5"/>
      <c r="W60" s="5"/>
      <c r="X60" s="5"/>
      <c r="Y60" s="5"/>
      <c r="Z60" s="5"/>
      <c r="AA60" s="5"/>
    </row>
    <row r="61">
      <c r="A61" s="5"/>
      <c r="B61" s="5"/>
      <c r="C61" s="5"/>
      <c r="D61" s="5"/>
      <c r="E61" s="64"/>
      <c r="F61" s="5"/>
      <c r="G61" s="5"/>
      <c r="H61" s="5"/>
      <c r="I61" s="5"/>
      <c r="J61" s="5"/>
      <c r="K61" s="64"/>
      <c r="L61" s="64"/>
      <c r="M61" s="96"/>
      <c r="N61" s="5"/>
      <c r="O61" s="5"/>
      <c r="P61" s="5"/>
      <c r="Q61" s="5"/>
      <c r="R61" s="5"/>
      <c r="S61" s="5"/>
      <c r="T61" s="5"/>
      <c r="U61" s="5"/>
      <c r="V61" s="5"/>
      <c r="W61" s="5"/>
      <c r="X61" s="5"/>
      <c r="Y61" s="5"/>
      <c r="Z61" s="5"/>
      <c r="AA61" s="5"/>
    </row>
    <row r="62">
      <c r="A62" s="5"/>
      <c r="B62" s="5"/>
      <c r="C62" s="5"/>
      <c r="D62" s="5"/>
      <c r="E62" s="64"/>
      <c r="F62" s="5"/>
      <c r="G62" s="5"/>
      <c r="H62" s="5"/>
      <c r="I62" s="5"/>
      <c r="J62" s="5"/>
      <c r="K62" s="64"/>
      <c r="L62" s="64"/>
      <c r="M62" s="96"/>
      <c r="N62" s="5"/>
      <c r="O62" s="5"/>
      <c r="P62" s="5"/>
      <c r="Q62" s="5"/>
      <c r="R62" s="5"/>
      <c r="S62" s="5"/>
      <c r="T62" s="5"/>
      <c r="U62" s="5"/>
      <c r="V62" s="5"/>
      <c r="W62" s="5"/>
      <c r="X62" s="5"/>
      <c r="Y62" s="5"/>
      <c r="Z62" s="5"/>
      <c r="AA62" s="5"/>
    </row>
    <row r="63">
      <c r="A63" s="5"/>
      <c r="B63" s="5"/>
      <c r="C63" s="5"/>
      <c r="D63" s="5"/>
      <c r="E63" s="64"/>
      <c r="F63" s="5"/>
      <c r="G63" s="5"/>
      <c r="H63" s="5"/>
      <c r="I63" s="5"/>
      <c r="J63" s="5"/>
      <c r="K63" s="64"/>
      <c r="L63" s="64"/>
      <c r="M63" s="96"/>
      <c r="N63" s="5"/>
      <c r="O63" s="5"/>
      <c r="P63" s="5"/>
      <c r="Q63" s="5"/>
      <c r="R63" s="5"/>
      <c r="S63" s="5"/>
      <c r="T63" s="5"/>
      <c r="U63" s="5"/>
      <c r="V63" s="5"/>
      <c r="W63" s="5"/>
      <c r="X63" s="5"/>
      <c r="Y63" s="5"/>
      <c r="Z63" s="5"/>
      <c r="AA63" s="5"/>
    </row>
    <row r="64">
      <c r="A64" s="5"/>
      <c r="B64" s="5"/>
      <c r="C64" s="5"/>
      <c r="D64" s="5"/>
      <c r="E64" s="64"/>
      <c r="F64" s="5"/>
      <c r="G64" s="5"/>
      <c r="H64" s="5"/>
      <c r="I64" s="5"/>
      <c r="J64" s="5"/>
      <c r="K64" s="64"/>
      <c r="L64" s="64"/>
      <c r="M64" s="96"/>
      <c r="N64" s="5"/>
      <c r="O64" s="5"/>
      <c r="P64" s="5"/>
      <c r="Q64" s="5"/>
      <c r="R64" s="5"/>
      <c r="S64" s="5"/>
      <c r="T64" s="5"/>
      <c r="U64" s="5"/>
      <c r="V64" s="5"/>
      <c r="W64" s="5"/>
      <c r="X64" s="5"/>
      <c r="Y64" s="5"/>
      <c r="Z64" s="5"/>
      <c r="AA64" s="5"/>
    </row>
    <row r="65">
      <c r="A65" s="5"/>
      <c r="B65" s="5"/>
      <c r="C65" s="5"/>
      <c r="D65" s="5"/>
      <c r="E65" s="64"/>
      <c r="F65" s="5"/>
      <c r="G65" s="5"/>
      <c r="H65" s="5"/>
      <c r="I65" s="5"/>
      <c r="J65" s="5"/>
      <c r="K65" s="64"/>
      <c r="L65" s="64"/>
      <c r="M65" s="96"/>
      <c r="N65" s="5"/>
      <c r="O65" s="5"/>
      <c r="P65" s="5"/>
      <c r="Q65" s="5"/>
      <c r="R65" s="5"/>
      <c r="S65" s="5"/>
      <c r="T65" s="5"/>
      <c r="U65" s="5"/>
      <c r="V65" s="5"/>
      <c r="W65" s="5"/>
      <c r="X65" s="5"/>
      <c r="Y65" s="5"/>
      <c r="Z65" s="5"/>
      <c r="AA65" s="5"/>
    </row>
    <row r="66">
      <c r="A66" s="5"/>
      <c r="B66" s="5"/>
      <c r="C66" s="5"/>
      <c r="D66" s="5"/>
      <c r="E66" s="64"/>
      <c r="F66" s="5"/>
      <c r="G66" s="5"/>
      <c r="H66" s="5"/>
      <c r="I66" s="5"/>
      <c r="J66" s="5"/>
      <c r="K66" s="64"/>
      <c r="L66" s="64"/>
      <c r="M66" s="96"/>
      <c r="N66" s="5"/>
      <c r="O66" s="5"/>
      <c r="P66" s="5"/>
      <c r="Q66" s="5"/>
      <c r="R66" s="5"/>
      <c r="S66" s="5"/>
      <c r="T66" s="5"/>
      <c r="U66" s="5"/>
      <c r="V66" s="5"/>
      <c r="W66" s="5"/>
      <c r="X66" s="5"/>
      <c r="Y66" s="5"/>
      <c r="Z66" s="5"/>
      <c r="AA66" s="5"/>
    </row>
    <row r="67">
      <c r="A67" s="5"/>
      <c r="B67" s="5"/>
      <c r="C67" s="5"/>
      <c r="D67" s="5"/>
      <c r="E67" s="64"/>
      <c r="F67" s="5"/>
      <c r="G67" s="5"/>
      <c r="H67" s="5"/>
      <c r="I67" s="5"/>
      <c r="J67" s="5"/>
      <c r="K67" s="64"/>
      <c r="L67" s="64"/>
      <c r="M67" s="96"/>
      <c r="N67" s="5"/>
      <c r="O67" s="5"/>
      <c r="P67" s="5"/>
      <c r="Q67" s="5"/>
      <c r="R67" s="5"/>
      <c r="S67" s="5"/>
      <c r="T67" s="5"/>
      <c r="U67" s="5"/>
      <c r="V67" s="5"/>
      <c r="W67" s="5"/>
      <c r="X67" s="5"/>
      <c r="Y67" s="5"/>
      <c r="Z67" s="5"/>
      <c r="AA67" s="5"/>
    </row>
    <row r="68">
      <c r="A68" s="5"/>
      <c r="B68" s="5"/>
      <c r="C68" s="5"/>
      <c r="D68" s="5"/>
      <c r="E68" s="64"/>
      <c r="F68" s="5"/>
      <c r="G68" s="5"/>
      <c r="H68" s="5"/>
      <c r="I68" s="5"/>
      <c r="J68" s="5"/>
      <c r="K68" s="64"/>
      <c r="L68" s="64"/>
      <c r="M68" s="96"/>
      <c r="N68" s="5"/>
      <c r="O68" s="5"/>
      <c r="P68" s="5"/>
      <c r="Q68" s="5"/>
      <c r="R68" s="5"/>
      <c r="S68" s="5"/>
      <c r="T68" s="5"/>
      <c r="U68" s="5"/>
      <c r="V68" s="5"/>
      <c r="W68" s="5"/>
      <c r="X68" s="5"/>
      <c r="Y68" s="5"/>
      <c r="Z68" s="5"/>
      <c r="AA68" s="5"/>
    </row>
    <row r="69">
      <c r="A69" s="5"/>
      <c r="B69" s="5"/>
      <c r="C69" s="5"/>
      <c r="D69" s="5"/>
      <c r="E69" s="64"/>
      <c r="F69" s="5"/>
      <c r="G69" s="5"/>
      <c r="H69" s="5"/>
      <c r="I69" s="5"/>
      <c r="J69" s="5"/>
      <c r="K69" s="64"/>
      <c r="L69" s="64"/>
      <c r="M69" s="96"/>
      <c r="N69" s="5"/>
      <c r="O69" s="5"/>
      <c r="P69" s="5"/>
      <c r="Q69" s="5"/>
      <c r="R69" s="5"/>
      <c r="S69" s="5"/>
      <c r="T69" s="5"/>
      <c r="U69" s="5"/>
      <c r="V69" s="5"/>
      <c r="W69" s="5"/>
      <c r="X69" s="5"/>
      <c r="Y69" s="5"/>
      <c r="Z69" s="5"/>
      <c r="AA69" s="5"/>
    </row>
    <row r="70">
      <c r="A70" s="5"/>
      <c r="B70" s="5"/>
      <c r="C70" s="5"/>
      <c r="D70" s="5"/>
      <c r="E70" s="64"/>
      <c r="F70" s="5"/>
      <c r="G70" s="5"/>
      <c r="H70" s="5"/>
      <c r="I70" s="5"/>
      <c r="J70" s="5"/>
      <c r="K70" s="64"/>
      <c r="L70" s="64"/>
      <c r="M70" s="96"/>
      <c r="N70" s="5"/>
      <c r="O70" s="5"/>
      <c r="P70" s="5"/>
      <c r="Q70" s="5"/>
      <c r="R70" s="5"/>
      <c r="S70" s="5"/>
      <c r="T70" s="5"/>
      <c r="U70" s="5"/>
      <c r="V70" s="5"/>
      <c r="W70" s="5"/>
      <c r="X70" s="5"/>
      <c r="Y70" s="5"/>
      <c r="Z70" s="5"/>
      <c r="AA70" s="5"/>
    </row>
    <row r="71">
      <c r="A71" s="5"/>
      <c r="B71" s="5"/>
      <c r="C71" s="5"/>
      <c r="D71" s="5"/>
      <c r="E71" s="64"/>
      <c r="F71" s="5"/>
      <c r="G71" s="5"/>
      <c r="H71" s="5"/>
      <c r="I71" s="5"/>
      <c r="J71" s="5"/>
      <c r="K71" s="64"/>
      <c r="L71" s="64"/>
      <c r="M71" s="96"/>
      <c r="N71" s="5"/>
      <c r="O71" s="5"/>
      <c r="P71" s="5"/>
      <c r="Q71" s="5"/>
      <c r="R71" s="5"/>
      <c r="S71" s="5"/>
      <c r="T71" s="5"/>
      <c r="U71" s="5"/>
      <c r="V71" s="5"/>
      <c r="W71" s="5"/>
      <c r="X71" s="5"/>
      <c r="Y71" s="5"/>
      <c r="Z71" s="5"/>
      <c r="AA71" s="5"/>
    </row>
    <row r="72">
      <c r="A72" s="5"/>
      <c r="B72" s="5"/>
      <c r="C72" s="5"/>
      <c r="D72" s="5"/>
      <c r="E72" s="64"/>
      <c r="F72" s="5"/>
      <c r="G72" s="5"/>
      <c r="H72" s="5"/>
      <c r="I72" s="5"/>
      <c r="J72" s="5"/>
      <c r="K72" s="64"/>
      <c r="L72" s="64"/>
      <c r="M72" s="96"/>
      <c r="N72" s="5"/>
      <c r="O72" s="5"/>
      <c r="P72" s="5"/>
      <c r="Q72" s="5"/>
      <c r="R72" s="5"/>
      <c r="S72" s="5"/>
      <c r="T72" s="5"/>
      <c r="U72" s="5"/>
      <c r="V72" s="5"/>
      <c r="W72" s="5"/>
      <c r="X72" s="5"/>
      <c r="Y72" s="5"/>
      <c r="Z72" s="5"/>
      <c r="AA72" s="5"/>
    </row>
    <row r="73">
      <c r="A73" s="5"/>
      <c r="B73" s="5"/>
      <c r="C73" s="5"/>
      <c r="D73" s="5"/>
      <c r="E73" s="64"/>
      <c r="F73" s="5"/>
      <c r="G73" s="5"/>
      <c r="H73" s="5"/>
      <c r="I73" s="5"/>
      <c r="J73" s="5"/>
      <c r="K73" s="64"/>
      <c r="L73" s="64"/>
      <c r="M73" s="96"/>
      <c r="N73" s="5"/>
      <c r="O73" s="5"/>
      <c r="P73" s="5"/>
      <c r="Q73" s="5"/>
      <c r="R73" s="5"/>
      <c r="S73" s="5"/>
      <c r="T73" s="5"/>
      <c r="U73" s="5"/>
      <c r="V73" s="5"/>
      <c r="W73" s="5"/>
      <c r="X73" s="5"/>
      <c r="Y73" s="5"/>
      <c r="Z73" s="5"/>
      <c r="AA73" s="5"/>
    </row>
    <row r="74">
      <c r="A74" s="5"/>
      <c r="B74" s="5"/>
      <c r="C74" s="5"/>
      <c r="D74" s="5"/>
      <c r="E74" s="64"/>
      <c r="F74" s="5"/>
      <c r="G74" s="5"/>
      <c r="H74" s="5"/>
      <c r="I74" s="5"/>
      <c r="J74" s="5"/>
      <c r="K74" s="64"/>
      <c r="L74" s="64"/>
      <c r="M74" s="96"/>
      <c r="N74" s="5"/>
      <c r="O74" s="5"/>
      <c r="P74" s="5"/>
      <c r="Q74" s="5"/>
      <c r="R74" s="5"/>
      <c r="S74" s="5"/>
      <c r="T74" s="5"/>
      <c r="U74" s="5"/>
      <c r="V74" s="5"/>
      <c r="W74" s="5"/>
      <c r="X74" s="5"/>
      <c r="Y74" s="5"/>
      <c r="Z74" s="5"/>
      <c r="AA74" s="5"/>
    </row>
    <row r="75">
      <c r="A75" s="5"/>
      <c r="B75" s="5"/>
      <c r="C75" s="5"/>
      <c r="D75" s="5"/>
      <c r="E75" s="64"/>
      <c r="F75" s="5"/>
      <c r="G75" s="5"/>
      <c r="H75" s="5"/>
      <c r="I75" s="5"/>
      <c r="J75" s="5"/>
      <c r="K75" s="64"/>
      <c r="L75" s="64"/>
      <c r="M75" s="96"/>
      <c r="N75" s="5"/>
      <c r="O75" s="5"/>
      <c r="P75" s="5"/>
      <c r="Q75" s="5"/>
      <c r="R75" s="5"/>
      <c r="S75" s="5"/>
      <c r="T75" s="5"/>
      <c r="U75" s="5"/>
      <c r="V75" s="5"/>
      <c r="W75" s="5"/>
      <c r="X75" s="5"/>
      <c r="Y75" s="5"/>
      <c r="Z75" s="5"/>
      <c r="AA75" s="5"/>
    </row>
    <row r="76">
      <c r="A76" s="5"/>
      <c r="B76" s="5"/>
      <c r="C76" s="5"/>
      <c r="D76" s="5"/>
      <c r="E76" s="64"/>
      <c r="F76" s="5"/>
      <c r="G76" s="5"/>
      <c r="H76" s="5"/>
      <c r="I76" s="5"/>
      <c r="J76" s="5"/>
      <c r="K76" s="64"/>
      <c r="L76" s="64"/>
      <c r="M76" s="96"/>
      <c r="N76" s="5"/>
      <c r="O76" s="5"/>
      <c r="P76" s="5"/>
      <c r="Q76" s="5"/>
      <c r="R76" s="5"/>
      <c r="S76" s="5"/>
      <c r="T76" s="5"/>
      <c r="U76" s="5"/>
      <c r="V76" s="5"/>
      <c r="W76" s="5"/>
      <c r="X76" s="5"/>
      <c r="Y76" s="5"/>
      <c r="Z76" s="5"/>
      <c r="AA76" s="5"/>
    </row>
    <row r="77">
      <c r="A77" s="5"/>
      <c r="B77" s="5"/>
      <c r="C77" s="5"/>
      <c r="D77" s="5"/>
      <c r="E77" s="64"/>
      <c r="F77" s="5"/>
      <c r="G77" s="5"/>
      <c r="H77" s="5"/>
      <c r="I77" s="5"/>
      <c r="J77" s="5"/>
      <c r="K77" s="64"/>
      <c r="L77" s="64"/>
      <c r="M77" s="96"/>
      <c r="N77" s="5"/>
      <c r="O77" s="5"/>
      <c r="P77" s="5"/>
      <c r="Q77" s="5"/>
      <c r="R77" s="5"/>
      <c r="S77" s="5"/>
      <c r="T77" s="5"/>
      <c r="U77" s="5"/>
      <c r="V77" s="5"/>
      <c r="W77" s="5"/>
      <c r="X77" s="5"/>
      <c r="Y77" s="5"/>
      <c r="Z77" s="5"/>
      <c r="AA77" s="5"/>
    </row>
    <row r="78">
      <c r="A78" s="5"/>
      <c r="B78" s="5"/>
      <c r="C78" s="5"/>
      <c r="D78" s="5"/>
      <c r="E78" s="64"/>
      <c r="F78" s="5"/>
      <c r="G78" s="5"/>
      <c r="H78" s="5"/>
      <c r="I78" s="5"/>
      <c r="J78" s="5"/>
      <c r="K78" s="64"/>
      <c r="L78" s="64"/>
      <c r="M78" s="96"/>
      <c r="N78" s="5"/>
      <c r="O78" s="5"/>
      <c r="P78" s="5"/>
      <c r="Q78" s="5"/>
      <c r="R78" s="5"/>
      <c r="S78" s="5"/>
      <c r="T78" s="5"/>
      <c r="U78" s="5"/>
      <c r="V78" s="5"/>
      <c r="W78" s="5"/>
      <c r="X78" s="5"/>
      <c r="Y78" s="5"/>
      <c r="Z78" s="5"/>
      <c r="AA78" s="5"/>
    </row>
    <row r="79">
      <c r="A79" s="5"/>
      <c r="B79" s="5"/>
      <c r="C79" s="5"/>
      <c r="D79" s="5"/>
      <c r="E79" s="64"/>
      <c r="F79" s="5"/>
      <c r="G79" s="5"/>
      <c r="H79" s="5"/>
      <c r="I79" s="5"/>
      <c r="J79" s="5"/>
      <c r="K79" s="64"/>
      <c r="L79" s="64"/>
      <c r="M79" s="96"/>
      <c r="N79" s="5"/>
      <c r="O79" s="5"/>
      <c r="P79" s="5"/>
      <c r="Q79" s="5"/>
      <c r="R79" s="5"/>
      <c r="S79" s="5"/>
      <c r="T79" s="5"/>
      <c r="U79" s="5"/>
      <c r="V79" s="5"/>
      <c r="W79" s="5"/>
      <c r="X79" s="5"/>
      <c r="Y79" s="5"/>
      <c r="Z79" s="5"/>
      <c r="AA79" s="5"/>
    </row>
    <row r="80">
      <c r="A80" s="5"/>
      <c r="B80" s="5"/>
      <c r="C80" s="5"/>
      <c r="D80" s="5"/>
      <c r="E80" s="64"/>
      <c r="F80" s="5"/>
      <c r="G80" s="5"/>
      <c r="H80" s="5"/>
      <c r="I80" s="5"/>
      <c r="J80" s="5"/>
      <c r="K80" s="64"/>
      <c r="L80" s="64"/>
      <c r="M80" s="96"/>
      <c r="N80" s="5"/>
      <c r="O80" s="5"/>
      <c r="P80" s="5"/>
      <c r="Q80" s="5"/>
      <c r="R80" s="5"/>
      <c r="S80" s="5"/>
      <c r="T80" s="5"/>
      <c r="U80" s="5"/>
      <c r="V80" s="5"/>
      <c r="W80" s="5"/>
      <c r="X80" s="5"/>
      <c r="Y80" s="5"/>
      <c r="Z80" s="5"/>
      <c r="AA80" s="5"/>
    </row>
    <row r="81">
      <c r="A81" s="5"/>
      <c r="B81" s="5"/>
      <c r="C81" s="5"/>
      <c r="D81" s="5"/>
      <c r="E81" s="64"/>
      <c r="F81" s="5"/>
      <c r="G81" s="5"/>
      <c r="H81" s="5"/>
      <c r="I81" s="5"/>
      <c r="J81" s="5"/>
      <c r="K81" s="64"/>
      <c r="L81" s="64"/>
      <c r="M81" s="96"/>
      <c r="N81" s="5"/>
      <c r="O81" s="5"/>
      <c r="P81" s="5"/>
      <c r="Q81" s="5"/>
      <c r="R81" s="5"/>
      <c r="S81" s="5"/>
      <c r="T81" s="5"/>
      <c r="U81" s="5"/>
      <c r="V81" s="5"/>
      <c r="W81" s="5"/>
      <c r="X81" s="5"/>
      <c r="Y81" s="5"/>
      <c r="Z81" s="5"/>
      <c r="AA81" s="5"/>
    </row>
    <row r="82">
      <c r="A82" s="5"/>
      <c r="B82" s="5"/>
      <c r="C82" s="5"/>
      <c r="D82" s="5"/>
      <c r="E82" s="64"/>
      <c r="F82" s="5"/>
      <c r="G82" s="5"/>
      <c r="H82" s="5"/>
      <c r="I82" s="5"/>
      <c r="J82" s="5"/>
      <c r="K82" s="64"/>
      <c r="L82" s="64"/>
      <c r="M82" s="96"/>
      <c r="N82" s="5"/>
      <c r="O82" s="5"/>
      <c r="P82" s="5"/>
      <c r="Q82" s="5"/>
      <c r="R82" s="5"/>
      <c r="S82" s="5"/>
      <c r="T82" s="5"/>
      <c r="U82" s="5"/>
      <c r="V82" s="5"/>
      <c r="W82" s="5"/>
      <c r="X82" s="5"/>
      <c r="Y82" s="5"/>
      <c r="Z82" s="5"/>
      <c r="AA82" s="5"/>
    </row>
    <row r="83">
      <c r="A83" s="5"/>
      <c r="B83" s="5"/>
      <c r="C83" s="5"/>
      <c r="D83" s="5"/>
      <c r="E83" s="64"/>
      <c r="F83" s="5"/>
      <c r="G83" s="5"/>
      <c r="H83" s="5"/>
      <c r="I83" s="5"/>
      <c r="J83" s="5"/>
      <c r="K83" s="64"/>
      <c r="L83" s="64"/>
      <c r="M83" s="96"/>
      <c r="N83" s="5"/>
      <c r="O83" s="5"/>
      <c r="P83" s="5"/>
      <c r="Q83" s="5"/>
      <c r="R83" s="5"/>
      <c r="S83" s="5"/>
      <c r="T83" s="5"/>
      <c r="U83" s="5"/>
      <c r="V83" s="5"/>
      <c r="W83" s="5"/>
      <c r="X83" s="5"/>
      <c r="Y83" s="5"/>
      <c r="Z83" s="5"/>
      <c r="AA83" s="5"/>
    </row>
    <row r="84">
      <c r="A84" s="5"/>
      <c r="B84" s="5"/>
      <c r="C84" s="5"/>
      <c r="D84" s="5"/>
      <c r="E84" s="64"/>
      <c r="F84" s="5"/>
      <c r="G84" s="5"/>
      <c r="H84" s="5"/>
      <c r="I84" s="5"/>
      <c r="J84" s="5"/>
      <c r="K84" s="64"/>
      <c r="L84" s="64"/>
      <c r="M84" s="96"/>
      <c r="N84" s="5"/>
      <c r="O84" s="5"/>
      <c r="P84" s="5"/>
      <c r="Q84" s="5"/>
      <c r="R84" s="5"/>
      <c r="S84" s="5"/>
      <c r="T84" s="5"/>
      <c r="U84" s="5"/>
      <c r="V84" s="5"/>
      <c r="W84" s="5"/>
      <c r="X84" s="5"/>
      <c r="Y84" s="5"/>
      <c r="Z84" s="5"/>
      <c r="AA84" s="5"/>
    </row>
    <row r="85">
      <c r="A85" s="5"/>
      <c r="B85" s="5"/>
      <c r="C85" s="5"/>
      <c r="D85" s="5"/>
      <c r="E85" s="64"/>
      <c r="F85" s="5"/>
      <c r="G85" s="5"/>
      <c r="H85" s="5"/>
      <c r="I85" s="5"/>
      <c r="J85" s="5"/>
      <c r="K85" s="64"/>
      <c r="L85" s="64"/>
      <c r="M85" s="96"/>
      <c r="N85" s="5"/>
      <c r="O85" s="5"/>
      <c r="P85" s="5"/>
      <c r="Q85" s="5"/>
      <c r="R85" s="5"/>
      <c r="S85" s="5"/>
      <c r="T85" s="5"/>
      <c r="U85" s="5"/>
      <c r="V85" s="5"/>
      <c r="W85" s="5"/>
      <c r="X85" s="5"/>
      <c r="Y85" s="5"/>
      <c r="Z85" s="5"/>
      <c r="AA85" s="5"/>
    </row>
    <row r="86">
      <c r="A86" s="5"/>
      <c r="B86" s="5"/>
      <c r="C86" s="5"/>
      <c r="D86" s="5"/>
      <c r="E86" s="64"/>
      <c r="F86" s="5"/>
      <c r="G86" s="5"/>
      <c r="H86" s="5"/>
      <c r="I86" s="5"/>
      <c r="J86" s="5"/>
      <c r="K86" s="64"/>
      <c r="L86" s="64"/>
      <c r="M86" s="96"/>
      <c r="N86" s="5"/>
      <c r="O86" s="5"/>
      <c r="P86" s="5"/>
      <c r="Q86" s="5"/>
      <c r="R86" s="5"/>
      <c r="S86" s="5"/>
      <c r="T86" s="5"/>
      <c r="U86" s="5"/>
      <c r="V86" s="5"/>
      <c r="W86" s="5"/>
      <c r="X86" s="5"/>
      <c r="Y86" s="5"/>
      <c r="Z86" s="5"/>
      <c r="AA86" s="5"/>
    </row>
    <row r="87">
      <c r="A87" s="5"/>
      <c r="B87" s="5"/>
      <c r="C87" s="5"/>
      <c r="D87" s="5"/>
      <c r="E87" s="64"/>
      <c r="F87" s="5"/>
      <c r="G87" s="5"/>
      <c r="H87" s="5"/>
      <c r="I87" s="5"/>
      <c r="J87" s="5"/>
      <c r="K87" s="64"/>
      <c r="L87" s="64"/>
      <c r="M87" s="96"/>
      <c r="N87" s="5"/>
      <c r="O87" s="5"/>
      <c r="P87" s="5"/>
      <c r="Q87" s="5"/>
      <c r="R87" s="5"/>
      <c r="S87" s="5"/>
      <c r="T87" s="5"/>
      <c r="U87" s="5"/>
      <c r="V87" s="5"/>
      <c r="W87" s="5"/>
      <c r="X87" s="5"/>
      <c r="Y87" s="5"/>
      <c r="Z87" s="5"/>
      <c r="AA87" s="5"/>
    </row>
    <row r="88">
      <c r="A88" s="5"/>
      <c r="B88" s="5"/>
      <c r="C88" s="5"/>
      <c r="D88" s="5"/>
      <c r="E88" s="64"/>
      <c r="F88" s="5"/>
      <c r="G88" s="5"/>
      <c r="H88" s="5"/>
      <c r="I88" s="5"/>
      <c r="J88" s="5"/>
      <c r="K88" s="64"/>
      <c r="L88" s="64"/>
      <c r="M88" s="96"/>
      <c r="N88" s="5"/>
      <c r="O88" s="5"/>
      <c r="P88" s="5"/>
      <c r="Q88" s="5"/>
      <c r="R88" s="5"/>
      <c r="S88" s="5"/>
      <c r="T88" s="5"/>
      <c r="U88" s="5"/>
      <c r="V88" s="5"/>
      <c r="W88" s="5"/>
      <c r="X88" s="5"/>
      <c r="Y88" s="5"/>
      <c r="Z88" s="5"/>
      <c r="AA88" s="5"/>
    </row>
    <row r="89">
      <c r="A89" s="5"/>
      <c r="B89" s="5"/>
      <c r="C89" s="5"/>
      <c r="D89" s="5"/>
      <c r="E89" s="64"/>
      <c r="F89" s="5"/>
      <c r="G89" s="5"/>
      <c r="H89" s="5"/>
      <c r="I89" s="5"/>
      <c r="J89" s="5"/>
      <c r="K89" s="64"/>
      <c r="L89" s="64"/>
      <c r="M89" s="96"/>
      <c r="N89" s="5"/>
      <c r="O89" s="5"/>
      <c r="P89" s="5"/>
      <c r="Q89" s="5"/>
      <c r="R89" s="5"/>
      <c r="S89" s="5"/>
      <c r="T89" s="5"/>
      <c r="U89" s="5"/>
      <c r="V89" s="5"/>
      <c r="W89" s="5"/>
      <c r="X89" s="5"/>
      <c r="Y89" s="5"/>
      <c r="Z89" s="5"/>
      <c r="AA89" s="5"/>
    </row>
    <row r="90">
      <c r="A90" s="5"/>
      <c r="B90" s="5"/>
      <c r="C90" s="5"/>
      <c r="D90" s="5"/>
      <c r="E90" s="64"/>
      <c r="F90" s="5"/>
      <c r="G90" s="5"/>
      <c r="H90" s="5"/>
      <c r="I90" s="5"/>
      <c r="J90" s="5"/>
      <c r="K90" s="64"/>
      <c r="L90" s="64"/>
      <c r="M90" s="96"/>
      <c r="N90" s="5"/>
      <c r="O90" s="5"/>
      <c r="P90" s="5"/>
      <c r="Q90" s="5"/>
      <c r="R90" s="5"/>
      <c r="S90" s="5"/>
      <c r="T90" s="5"/>
      <c r="U90" s="5"/>
      <c r="V90" s="5"/>
      <c r="W90" s="5"/>
      <c r="X90" s="5"/>
      <c r="Y90" s="5"/>
      <c r="Z90" s="5"/>
      <c r="AA90" s="5"/>
    </row>
    <row r="91">
      <c r="A91" s="5"/>
      <c r="B91" s="5"/>
      <c r="C91" s="5"/>
      <c r="D91" s="5"/>
      <c r="E91" s="64"/>
      <c r="F91" s="5"/>
      <c r="G91" s="5"/>
      <c r="H91" s="5"/>
      <c r="I91" s="5"/>
      <c r="J91" s="5"/>
      <c r="K91" s="64"/>
      <c r="L91" s="64"/>
      <c r="M91" s="96"/>
      <c r="N91" s="5"/>
      <c r="O91" s="5"/>
      <c r="P91" s="5"/>
      <c r="Q91" s="5"/>
      <c r="R91" s="5"/>
      <c r="S91" s="5"/>
      <c r="T91" s="5"/>
      <c r="U91" s="5"/>
      <c r="V91" s="5"/>
      <c r="W91" s="5"/>
      <c r="X91" s="5"/>
      <c r="Y91" s="5"/>
      <c r="Z91" s="5"/>
      <c r="AA91" s="5"/>
    </row>
    <row r="92">
      <c r="A92" s="5"/>
      <c r="B92" s="5"/>
      <c r="C92" s="5"/>
      <c r="D92" s="5"/>
      <c r="E92" s="64"/>
      <c r="F92" s="5"/>
      <c r="G92" s="5"/>
      <c r="H92" s="5"/>
      <c r="I92" s="5"/>
      <c r="J92" s="5"/>
      <c r="K92" s="64"/>
      <c r="L92" s="64"/>
      <c r="M92" s="96"/>
      <c r="N92" s="5"/>
      <c r="O92" s="5"/>
      <c r="P92" s="5"/>
      <c r="Q92" s="5"/>
      <c r="R92" s="5"/>
      <c r="S92" s="5"/>
      <c r="T92" s="5"/>
      <c r="U92" s="5"/>
      <c r="V92" s="5"/>
      <c r="W92" s="5"/>
      <c r="X92" s="5"/>
      <c r="Y92" s="5"/>
      <c r="Z92" s="5"/>
      <c r="AA92" s="5"/>
    </row>
    <row r="93">
      <c r="A93" s="5"/>
      <c r="B93" s="5"/>
      <c r="C93" s="5"/>
      <c r="D93" s="5"/>
      <c r="E93" s="64"/>
      <c r="F93" s="5"/>
      <c r="G93" s="5"/>
      <c r="H93" s="5"/>
      <c r="I93" s="5"/>
      <c r="J93" s="5"/>
      <c r="K93" s="64"/>
      <c r="L93" s="64"/>
      <c r="M93" s="96"/>
      <c r="N93" s="5"/>
      <c r="O93" s="5"/>
      <c r="P93" s="5"/>
      <c r="Q93" s="5"/>
      <c r="R93" s="5"/>
      <c r="S93" s="5"/>
      <c r="T93" s="5"/>
      <c r="U93" s="5"/>
      <c r="V93" s="5"/>
      <c r="W93" s="5"/>
      <c r="X93" s="5"/>
      <c r="Y93" s="5"/>
      <c r="Z93" s="5"/>
      <c r="AA93" s="5"/>
    </row>
    <row r="94">
      <c r="A94" s="5"/>
      <c r="B94" s="5"/>
      <c r="C94" s="5"/>
      <c r="D94" s="5"/>
      <c r="E94" s="64"/>
      <c r="F94" s="5"/>
      <c r="G94" s="5"/>
      <c r="H94" s="5"/>
      <c r="I94" s="5"/>
      <c r="J94" s="5"/>
      <c r="K94" s="64"/>
      <c r="L94" s="64"/>
      <c r="M94" s="96"/>
      <c r="N94" s="5"/>
      <c r="O94" s="5"/>
      <c r="P94" s="5"/>
      <c r="Q94" s="5"/>
      <c r="R94" s="5"/>
      <c r="S94" s="5"/>
      <c r="T94" s="5"/>
      <c r="U94" s="5"/>
      <c r="V94" s="5"/>
      <c r="W94" s="5"/>
      <c r="X94" s="5"/>
      <c r="Y94" s="5"/>
      <c r="Z94" s="5"/>
      <c r="AA94" s="5"/>
    </row>
    <row r="95">
      <c r="A95" s="5"/>
      <c r="B95" s="5"/>
      <c r="C95" s="5"/>
      <c r="D95" s="5"/>
      <c r="E95" s="64"/>
      <c r="F95" s="5"/>
      <c r="G95" s="5"/>
      <c r="H95" s="5"/>
      <c r="I95" s="5"/>
      <c r="J95" s="5"/>
      <c r="K95" s="64"/>
      <c r="L95" s="64"/>
      <c r="M95" s="96"/>
      <c r="N95" s="5"/>
      <c r="O95" s="5"/>
      <c r="P95" s="5"/>
      <c r="Q95" s="5"/>
      <c r="R95" s="5"/>
      <c r="S95" s="5"/>
      <c r="T95" s="5"/>
      <c r="U95" s="5"/>
      <c r="V95" s="5"/>
      <c r="W95" s="5"/>
      <c r="X95" s="5"/>
      <c r="Y95" s="5"/>
      <c r="Z95" s="5"/>
      <c r="AA95" s="5"/>
    </row>
    <row r="96">
      <c r="A96" s="5"/>
      <c r="B96" s="5"/>
      <c r="C96" s="5"/>
      <c r="D96" s="5"/>
      <c r="E96" s="64"/>
      <c r="F96" s="5"/>
      <c r="G96" s="5"/>
      <c r="H96" s="5"/>
      <c r="I96" s="5"/>
      <c r="J96" s="5"/>
      <c r="K96" s="64"/>
      <c r="L96" s="64"/>
      <c r="M96" s="96"/>
      <c r="N96" s="5"/>
      <c r="O96" s="5"/>
      <c r="P96" s="5"/>
      <c r="Q96" s="5"/>
      <c r="R96" s="5"/>
      <c r="S96" s="5"/>
      <c r="T96" s="5"/>
      <c r="U96" s="5"/>
      <c r="V96" s="5"/>
      <c r="W96" s="5"/>
      <c r="X96" s="5"/>
      <c r="Y96" s="5"/>
      <c r="Z96" s="5"/>
      <c r="AA96" s="5"/>
    </row>
    <row r="97">
      <c r="A97" s="5"/>
      <c r="B97" s="5"/>
      <c r="C97" s="5"/>
      <c r="D97" s="5"/>
      <c r="E97" s="64"/>
      <c r="F97" s="5"/>
      <c r="G97" s="5"/>
      <c r="H97" s="5"/>
      <c r="I97" s="5"/>
      <c r="J97" s="5"/>
      <c r="K97" s="64"/>
      <c r="L97" s="64"/>
      <c r="M97" s="96"/>
      <c r="N97" s="5"/>
      <c r="O97" s="5"/>
      <c r="P97" s="5"/>
      <c r="Q97" s="5"/>
      <c r="R97" s="5"/>
      <c r="S97" s="5"/>
      <c r="T97" s="5"/>
      <c r="U97" s="5"/>
      <c r="V97" s="5"/>
      <c r="W97" s="5"/>
      <c r="X97" s="5"/>
      <c r="Y97" s="5"/>
      <c r="Z97" s="5"/>
      <c r="AA97" s="5"/>
    </row>
    <row r="98">
      <c r="A98" s="5"/>
      <c r="B98" s="5"/>
      <c r="C98" s="5"/>
      <c r="D98" s="5"/>
      <c r="E98" s="64"/>
      <c r="F98" s="5"/>
      <c r="G98" s="5"/>
      <c r="H98" s="5"/>
      <c r="I98" s="5"/>
      <c r="J98" s="5"/>
      <c r="K98" s="64"/>
      <c r="L98" s="64"/>
      <c r="M98" s="96"/>
      <c r="N98" s="5"/>
      <c r="O98" s="5"/>
      <c r="P98" s="5"/>
      <c r="Q98" s="5"/>
      <c r="R98" s="5"/>
      <c r="S98" s="5"/>
      <c r="T98" s="5"/>
      <c r="U98" s="5"/>
      <c r="V98" s="5"/>
      <c r="W98" s="5"/>
      <c r="X98" s="5"/>
      <c r="Y98" s="5"/>
      <c r="Z98" s="5"/>
      <c r="AA98" s="5"/>
    </row>
    <row r="99">
      <c r="A99" s="5"/>
      <c r="B99" s="5"/>
      <c r="C99" s="5"/>
      <c r="D99" s="5"/>
      <c r="E99" s="64"/>
      <c r="F99" s="5"/>
      <c r="G99" s="5"/>
      <c r="H99" s="5"/>
      <c r="I99" s="5"/>
      <c r="J99" s="5"/>
      <c r="K99" s="64"/>
      <c r="L99" s="64"/>
      <c r="M99" s="96"/>
      <c r="N99" s="5"/>
      <c r="O99" s="5"/>
      <c r="P99" s="5"/>
      <c r="Q99" s="5"/>
      <c r="R99" s="5"/>
      <c r="S99" s="5"/>
      <c r="T99" s="5"/>
      <c r="U99" s="5"/>
      <c r="V99" s="5"/>
      <c r="W99" s="5"/>
      <c r="X99" s="5"/>
      <c r="Y99" s="5"/>
      <c r="Z99" s="5"/>
      <c r="AA99" s="5"/>
    </row>
    <row r="100">
      <c r="A100" s="5"/>
      <c r="B100" s="5"/>
      <c r="C100" s="5"/>
      <c r="D100" s="5"/>
      <c r="E100" s="64"/>
      <c r="F100" s="5"/>
      <c r="G100" s="5"/>
      <c r="H100" s="5"/>
      <c r="I100" s="5"/>
      <c r="J100" s="5"/>
      <c r="K100" s="64"/>
      <c r="L100" s="64"/>
      <c r="M100" s="96"/>
      <c r="N100" s="5"/>
      <c r="O100" s="5"/>
      <c r="P100" s="5"/>
      <c r="Q100" s="5"/>
      <c r="R100" s="5"/>
      <c r="S100" s="5"/>
      <c r="T100" s="5"/>
      <c r="U100" s="5"/>
      <c r="V100" s="5"/>
      <c r="W100" s="5"/>
      <c r="X100" s="5"/>
      <c r="Y100" s="5"/>
      <c r="Z100" s="5"/>
      <c r="AA100" s="5"/>
    </row>
    <row r="101">
      <c r="A101" s="5"/>
      <c r="B101" s="5"/>
      <c r="C101" s="5"/>
      <c r="D101" s="5"/>
      <c r="E101" s="64"/>
      <c r="F101" s="5"/>
      <c r="G101" s="5"/>
      <c r="H101" s="5"/>
      <c r="I101" s="5"/>
      <c r="J101" s="5"/>
      <c r="K101" s="64"/>
      <c r="L101" s="64"/>
      <c r="M101" s="96"/>
      <c r="N101" s="5"/>
      <c r="O101" s="5"/>
      <c r="P101" s="5"/>
      <c r="Q101" s="5"/>
      <c r="R101" s="5"/>
      <c r="S101" s="5"/>
      <c r="T101" s="5"/>
      <c r="U101" s="5"/>
      <c r="V101" s="5"/>
      <c r="W101" s="5"/>
      <c r="X101" s="5"/>
      <c r="Y101" s="5"/>
      <c r="Z101" s="5"/>
      <c r="AA101" s="5"/>
    </row>
    <row r="102">
      <c r="A102" s="5"/>
      <c r="B102" s="5"/>
      <c r="C102" s="5"/>
      <c r="D102" s="5"/>
      <c r="E102" s="64"/>
      <c r="F102" s="5"/>
      <c r="G102" s="5"/>
      <c r="H102" s="5"/>
      <c r="I102" s="5"/>
      <c r="J102" s="5"/>
      <c r="K102" s="64"/>
      <c r="L102" s="64"/>
      <c r="M102" s="96"/>
      <c r="N102" s="5"/>
      <c r="O102" s="5"/>
      <c r="P102" s="5"/>
      <c r="Q102" s="5"/>
      <c r="R102" s="5"/>
      <c r="S102" s="5"/>
      <c r="T102" s="5"/>
      <c r="U102" s="5"/>
      <c r="V102" s="5"/>
      <c r="W102" s="5"/>
      <c r="X102" s="5"/>
      <c r="Y102" s="5"/>
      <c r="Z102" s="5"/>
      <c r="AA102" s="5"/>
    </row>
    <row r="103">
      <c r="A103" s="5"/>
      <c r="B103" s="5"/>
      <c r="C103" s="5"/>
      <c r="D103" s="5"/>
      <c r="E103" s="64"/>
      <c r="F103" s="5"/>
      <c r="G103" s="5"/>
      <c r="H103" s="5"/>
      <c r="I103" s="5"/>
      <c r="J103" s="5"/>
      <c r="K103" s="64"/>
      <c r="L103" s="64"/>
      <c r="M103" s="96"/>
      <c r="N103" s="5"/>
      <c r="O103" s="5"/>
      <c r="P103" s="5"/>
      <c r="Q103" s="5"/>
      <c r="R103" s="5"/>
      <c r="S103" s="5"/>
      <c r="T103" s="5"/>
      <c r="U103" s="5"/>
      <c r="V103" s="5"/>
      <c r="W103" s="5"/>
      <c r="X103" s="5"/>
      <c r="Y103" s="5"/>
      <c r="Z103" s="5"/>
      <c r="AA103" s="5"/>
    </row>
    <row r="104">
      <c r="A104" s="5"/>
      <c r="B104" s="5"/>
      <c r="C104" s="5"/>
      <c r="D104" s="5"/>
      <c r="E104" s="64"/>
      <c r="F104" s="5"/>
      <c r="G104" s="5"/>
      <c r="H104" s="5"/>
      <c r="I104" s="5"/>
      <c r="J104" s="5"/>
      <c r="K104" s="64"/>
      <c r="L104" s="64"/>
      <c r="M104" s="96"/>
      <c r="N104" s="5"/>
      <c r="O104" s="5"/>
      <c r="P104" s="5"/>
      <c r="Q104" s="5"/>
      <c r="R104" s="5"/>
      <c r="S104" s="5"/>
      <c r="T104" s="5"/>
      <c r="U104" s="5"/>
      <c r="V104" s="5"/>
      <c r="W104" s="5"/>
      <c r="X104" s="5"/>
      <c r="Y104" s="5"/>
      <c r="Z104" s="5"/>
      <c r="AA104" s="5"/>
    </row>
    <row r="105">
      <c r="A105" s="5"/>
      <c r="B105" s="5"/>
      <c r="C105" s="5"/>
      <c r="D105" s="5"/>
      <c r="E105" s="64"/>
      <c r="F105" s="5"/>
      <c r="G105" s="5"/>
      <c r="H105" s="5"/>
      <c r="I105" s="5"/>
      <c r="J105" s="5"/>
      <c r="K105" s="64"/>
      <c r="L105" s="64"/>
      <c r="M105" s="96"/>
      <c r="N105" s="5"/>
      <c r="O105" s="5"/>
      <c r="P105" s="5"/>
      <c r="Q105" s="5"/>
      <c r="R105" s="5"/>
      <c r="S105" s="5"/>
      <c r="T105" s="5"/>
      <c r="U105" s="5"/>
      <c r="V105" s="5"/>
      <c r="W105" s="5"/>
      <c r="X105" s="5"/>
      <c r="Y105" s="5"/>
      <c r="Z105" s="5"/>
      <c r="AA105" s="5"/>
    </row>
    <row r="106">
      <c r="A106" s="5"/>
      <c r="B106" s="5"/>
      <c r="C106" s="5"/>
      <c r="D106" s="5"/>
      <c r="E106" s="64"/>
      <c r="F106" s="5"/>
      <c r="G106" s="5"/>
      <c r="H106" s="5"/>
      <c r="I106" s="5"/>
      <c r="J106" s="5"/>
      <c r="K106" s="64"/>
      <c r="L106" s="64"/>
      <c r="M106" s="96"/>
      <c r="N106" s="5"/>
      <c r="O106" s="5"/>
      <c r="P106" s="5"/>
      <c r="Q106" s="5"/>
      <c r="R106" s="5"/>
      <c r="S106" s="5"/>
      <c r="T106" s="5"/>
      <c r="U106" s="5"/>
      <c r="V106" s="5"/>
      <c r="W106" s="5"/>
      <c r="X106" s="5"/>
      <c r="Y106" s="5"/>
      <c r="Z106" s="5"/>
      <c r="AA106" s="5"/>
    </row>
    <row r="107">
      <c r="A107" s="5"/>
      <c r="B107" s="5"/>
      <c r="C107" s="5"/>
      <c r="D107" s="5"/>
      <c r="E107" s="64"/>
      <c r="F107" s="5"/>
      <c r="G107" s="5"/>
      <c r="H107" s="5"/>
      <c r="I107" s="5"/>
      <c r="J107" s="5"/>
      <c r="K107" s="64"/>
      <c r="L107" s="64"/>
      <c r="M107" s="96"/>
      <c r="N107" s="5"/>
      <c r="O107" s="5"/>
      <c r="P107" s="5"/>
      <c r="Q107" s="5"/>
      <c r="R107" s="5"/>
      <c r="S107" s="5"/>
      <c r="T107" s="5"/>
      <c r="U107" s="5"/>
      <c r="V107" s="5"/>
      <c r="W107" s="5"/>
      <c r="X107" s="5"/>
      <c r="Y107" s="5"/>
      <c r="Z107" s="5"/>
      <c r="AA107" s="5"/>
    </row>
    <row r="108">
      <c r="A108" s="5"/>
      <c r="B108" s="5"/>
      <c r="C108" s="5"/>
      <c r="D108" s="5"/>
      <c r="E108" s="64"/>
      <c r="F108" s="5"/>
      <c r="G108" s="5"/>
      <c r="H108" s="5"/>
      <c r="I108" s="5"/>
      <c r="J108" s="5"/>
      <c r="K108" s="64"/>
      <c r="L108" s="64"/>
      <c r="M108" s="96"/>
      <c r="N108" s="5"/>
      <c r="O108" s="5"/>
      <c r="P108" s="5"/>
      <c r="Q108" s="5"/>
      <c r="R108" s="5"/>
      <c r="S108" s="5"/>
      <c r="T108" s="5"/>
      <c r="U108" s="5"/>
      <c r="V108" s="5"/>
      <c r="W108" s="5"/>
      <c r="X108" s="5"/>
      <c r="Y108" s="5"/>
      <c r="Z108" s="5"/>
      <c r="AA108" s="5"/>
    </row>
    <row r="109">
      <c r="A109" s="5"/>
      <c r="B109" s="5"/>
      <c r="C109" s="5"/>
      <c r="D109" s="5"/>
      <c r="E109" s="64"/>
      <c r="F109" s="5"/>
      <c r="G109" s="5"/>
      <c r="H109" s="5"/>
      <c r="I109" s="5"/>
      <c r="J109" s="5"/>
      <c r="K109" s="64"/>
      <c r="L109" s="64"/>
      <c r="M109" s="96"/>
      <c r="N109" s="5"/>
      <c r="O109" s="5"/>
      <c r="P109" s="5"/>
      <c r="Q109" s="5"/>
      <c r="R109" s="5"/>
      <c r="S109" s="5"/>
      <c r="T109" s="5"/>
      <c r="U109" s="5"/>
      <c r="V109" s="5"/>
      <c r="W109" s="5"/>
      <c r="X109" s="5"/>
      <c r="Y109" s="5"/>
      <c r="Z109" s="5"/>
      <c r="AA109" s="5"/>
    </row>
    <row r="110">
      <c r="A110" s="5"/>
      <c r="B110" s="5"/>
      <c r="C110" s="5"/>
      <c r="D110" s="5"/>
      <c r="E110" s="64"/>
      <c r="F110" s="5"/>
      <c r="G110" s="5"/>
      <c r="H110" s="5"/>
      <c r="I110" s="5"/>
      <c r="J110" s="5"/>
      <c r="K110" s="64"/>
      <c r="L110" s="64"/>
      <c r="M110" s="96"/>
      <c r="N110" s="5"/>
      <c r="O110" s="5"/>
      <c r="P110" s="5"/>
      <c r="Q110" s="5"/>
      <c r="R110" s="5"/>
      <c r="S110" s="5"/>
      <c r="T110" s="5"/>
      <c r="U110" s="5"/>
      <c r="V110" s="5"/>
      <c r="W110" s="5"/>
      <c r="X110" s="5"/>
      <c r="Y110" s="5"/>
      <c r="Z110" s="5"/>
      <c r="AA110" s="5"/>
    </row>
    <row r="111">
      <c r="A111" s="5"/>
      <c r="B111" s="5"/>
      <c r="C111" s="5"/>
      <c r="D111" s="5"/>
      <c r="E111" s="64"/>
      <c r="F111" s="5"/>
      <c r="G111" s="5"/>
      <c r="H111" s="5"/>
      <c r="I111" s="5"/>
      <c r="J111" s="5"/>
      <c r="K111" s="64"/>
      <c r="L111" s="64"/>
      <c r="M111" s="96"/>
      <c r="N111" s="5"/>
      <c r="O111" s="5"/>
      <c r="P111" s="5"/>
      <c r="Q111" s="5"/>
      <c r="R111" s="5"/>
      <c r="S111" s="5"/>
      <c r="T111" s="5"/>
      <c r="U111" s="5"/>
      <c r="V111" s="5"/>
      <c r="W111" s="5"/>
      <c r="X111" s="5"/>
      <c r="Y111" s="5"/>
      <c r="Z111" s="5"/>
      <c r="AA111" s="5"/>
    </row>
    <row r="112">
      <c r="A112" s="5"/>
      <c r="B112" s="5"/>
      <c r="C112" s="5"/>
      <c r="D112" s="5"/>
      <c r="E112" s="64"/>
      <c r="F112" s="5"/>
      <c r="G112" s="5"/>
      <c r="H112" s="5"/>
      <c r="I112" s="5"/>
      <c r="J112" s="5"/>
      <c r="K112" s="64"/>
      <c r="L112" s="64"/>
      <c r="M112" s="96"/>
      <c r="N112" s="5"/>
      <c r="O112" s="5"/>
      <c r="P112" s="5"/>
      <c r="Q112" s="5"/>
      <c r="R112" s="5"/>
      <c r="S112" s="5"/>
      <c r="T112" s="5"/>
      <c r="U112" s="5"/>
      <c r="V112" s="5"/>
      <c r="W112" s="5"/>
      <c r="X112" s="5"/>
      <c r="Y112" s="5"/>
      <c r="Z112" s="5"/>
      <c r="AA112" s="5"/>
    </row>
    <row r="113">
      <c r="A113" s="5"/>
      <c r="B113" s="5"/>
      <c r="C113" s="5"/>
      <c r="D113" s="5"/>
      <c r="E113" s="64"/>
      <c r="F113" s="5"/>
      <c r="G113" s="5"/>
      <c r="H113" s="5"/>
      <c r="I113" s="5"/>
      <c r="J113" s="5"/>
      <c r="K113" s="64"/>
      <c r="L113" s="64"/>
      <c r="M113" s="96"/>
      <c r="N113" s="5"/>
      <c r="O113" s="5"/>
      <c r="P113" s="5"/>
      <c r="Q113" s="5"/>
      <c r="R113" s="5"/>
      <c r="S113" s="5"/>
      <c r="T113" s="5"/>
      <c r="U113" s="5"/>
      <c r="V113" s="5"/>
      <c r="W113" s="5"/>
      <c r="X113" s="5"/>
      <c r="Y113" s="5"/>
      <c r="Z113" s="5"/>
      <c r="AA113" s="5"/>
    </row>
    <row r="114">
      <c r="A114" s="5"/>
      <c r="B114" s="5"/>
      <c r="C114" s="5"/>
      <c r="D114" s="5"/>
      <c r="E114" s="64"/>
      <c r="F114" s="5"/>
      <c r="G114" s="5"/>
      <c r="H114" s="5"/>
      <c r="I114" s="5"/>
      <c r="J114" s="5"/>
      <c r="K114" s="64"/>
      <c r="L114" s="64"/>
      <c r="M114" s="96"/>
      <c r="N114" s="5"/>
      <c r="O114" s="5"/>
      <c r="P114" s="5"/>
      <c r="Q114" s="5"/>
      <c r="R114" s="5"/>
      <c r="S114" s="5"/>
      <c r="T114" s="5"/>
      <c r="U114" s="5"/>
      <c r="V114" s="5"/>
      <c r="W114" s="5"/>
      <c r="X114" s="5"/>
      <c r="Y114" s="5"/>
      <c r="Z114" s="5"/>
      <c r="AA114" s="5"/>
    </row>
    <row r="115">
      <c r="A115" s="5"/>
      <c r="B115" s="5"/>
      <c r="C115" s="5"/>
      <c r="D115" s="5"/>
      <c r="E115" s="64"/>
      <c r="F115" s="5"/>
      <c r="G115" s="5"/>
      <c r="H115" s="5"/>
      <c r="I115" s="5"/>
      <c r="J115" s="5"/>
      <c r="K115" s="64"/>
      <c r="L115" s="64"/>
      <c r="M115" s="96"/>
      <c r="N115" s="5"/>
      <c r="O115" s="5"/>
      <c r="P115" s="5"/>
      <c r="Q115" s="5"/>
      <c r="R115" s="5"/>
      <c r="S115" s="5"/>
      <c r="T115" s="5"/>
      <c r="U115" s="5"/>
      <c r="V115" s="5"/>
      <c r="W115" s="5"/>
      <c r="X115" s="5"/>
      <c r="Y115" s="5"/>
      <c r="Z115" s="5"/>
      <c r="AA115" s="5"/>
    </row>
    <row r="116">
      <c r="A116" s="5"/>
      <c r="B116" s="5"/>
      <c r="C116" s="5"/>
      <c r="D116" s="5"/>
      <c r="E116" s="64"/>
      <c r="F116" s="5"/>
      <c r="G116" s="5"/>
      <c r="H116" s="5"/>
      <c r="I116" s="5"/>
      <c r="J116" s="5"/>
      <c r="K116" s="64"/>
      <c r="L116" s="64"/>
      <c r="M116" s="96"/>
      <c r="N116" s="5"/>
      <c r="O116" s="5"/>
      <c r="P116" s="5"/>
      <c r="Q116" s="5"/>
      <c r="R116" s="5"/>
      <c r="S116" s="5"/>
      <c r="T116" s="5"/>
      <c r="U116" s="5"/>
      <c r="V116" s="5"/>
      <c r="W116" s="5"/>
      <c r="X116" s="5"/>
      <c r="Y116" s="5"/>
      <c r="Z116" s="5"/>
      <c r="AA116" s="5"/>
    </row>
    <row r="117">
      <c r="A117" s="5"/>
      <c r="B117" s="5"/>
      <c r="C117" s="5"/>
      <c r="D117" s="5"/>
      <c r="E117" s="64"/>
      <c r="F117" s="5"/>
      <c r="G117" s="5"/>
      <c r="H117" s="5"/>
      <c r="I117" s="5"/>
      <c r="J117" s="5"/>
      <c r="K117" s="64"/>
      <c r="L117" s="64"/>
      <c r="M117" s="96"/>
      <c r="N117" s="5"/>
      <c r="O117" s="5"/>
      <c r="P117" s="5"/>
      <c r="Q117" s="5"/>
      <c r="R117" s="5"/>
      <c r="S117" s="5"/>
      <c r="T117" s="5"/>
      <c r="U117" s="5"/>
      <c r="V117" s="5"/>
      <c r="W117" s="5"/>
      <c r="X117" s="5"/>
      <c r="Y117" s="5"/>
      <c r="Z117" s="5"/>
      <c r="AA117" s="5"/>
    </row>
    <row r="118">
      <c r="A118" s="5"/>
      <c r="B118" s="5"/>
      <c r="C118" s="5"/>
      <c r="D118" s="5"/>
      <c r="E118" s="64"/>
      <c r="F118" s="5"/>
      <c r="G118" s="5"/>
      <c r="H118" s="5"/>
      <c r="I118" s="5"/>
      <c r="J118" s="5"/>
      <c r="K118" s="64"/>
      <c r="L118" s="64"/>
      <c r="M118" s="96"/>
      <c r="N118" s="5"/>
      <c r="O118" s="5"/>
      <c r="P118" s="5"/>
      <c r="Q118" s="5"/>
      <c r="R118" s="5"/>
      <c r="S118" s="5"/>
      <c r="T118" s="5"/>
      <c r="U118" s="5"/>
      <c r="V118" s="5"/>
      <c r="W118" s="5"/>
      <c r="X118" s="5"/>
      <c r="Y118" s="5"/>
      <c r="Z118" s="5"/>
      <c r="AA118" s="5"/>
    </row>
    <row r="119">
      <c r="A119" s="5"/>
      <c r="B119" s="5"/>
      <c r="C119" s="5"/>
      <c r="D119" s="5"/>
      <c r="E119" s="64"/>
      <c r="F119" s="5"/>
      <c r="G119" s="5"/>
      <c r="H119" s="5"/>
      <c r="I119" s="5"/>
      <c r="J119" s="5"/>
      <c r="K119" s="64"/>
      <c r="L119" s="64"/>
      <c r="M119" s="96"/>
      <c r="N119" s="5"/>
      <c r="O119" s="5"/>
      <c r="P119" s="5"/>
      <c r="Q119" s="5"/>
      <c r="R119" s="5"/>
      <c r="S119" s="5"/>
      <c r="T119" s="5"/>
      <c r="U119" s="5"/>
      <c r="V119" s="5"/>
      <c r="W119" s="5"/>
      <c r="X119" s="5"/>
      <c r="Y119" s="5"/>
      <c r="Z119" s="5"/>
      <c r="AA119" s="5"/>
    </row>
    <row r="120">
      <c r="A120" s="5"/>
      <c r="B120" s="5"/>
      <c r="C120" s="5"/>
      <c r="D120" s="5"/>
      <c r="E120" s="64"/>
      <c r="F120" s="5"/>
      <c r="G120" s="5"/>
      <c r="H120" s="5"/>
      <c r="I120" s="5"/>
      <c r="J120" s="5"/>
      <c r="K120" s="64"/>
      <c r="L120" s="64"/>
      <c r="M120" s="96"/>
      <c r="N120" s="5"/>
      <c r="O120" s="5"/>
      <c r="P120" s="5"/>
      <c r="Q120" s="5"/>
      <c r="R120" s="5"/>
      <c r="S120" s="5"/>
      <c r="T120" s="5"/>
      <c r="U120" s="5"/>
      <c r="V120" s="5"/>
      <c r="W120" s="5"/>
      <c r="X120" s="5"/>
      <c r="Y120" s="5"/>
      <c r="Z120" s="5"/>
      <c r="AA120" s="5"/>
    </row>
    <row r="121">
      <c r="A121" s="5"/>
      <c r="B121" s="5"/>
      <c r="C121" s="5"/>
      <c r="D121" s="5"/>
      <c r="E121" s="64"/>
      <c r="F121" s="5"/>
      <c r="G121" s="5"/>
      <c r="H121" s="5"/>
      <c r="I121" s="5"/>
      <c r="J121" s="5"/>
      <c r="K121" s="64"/>
      <c r="L121" s="64"/>
      <c r="M121" s="96"/>
      <c r="N121" s="5"/>
      <c r="O121" s="5"/>
      <c r="P121" s="5"/>
      <c r="Q121" s="5"/>
      <c r="R121" s="5"/>
      <c r="S121" s="5"/>
      <c r="T121" s="5"/>
      <c r="U121" s="5"/>
      <c r="V121" s="5"/>
      <c r="W121" s="5"/>
      <c r="X121" s="5"/>
      <c r="Y121" s="5"/>
      <c r="Z121" s="5"/>
      <c r="AA121" s="5"/>
    </row>
    <row r="122">
      <c r="A122" s="5"/>
      <c r="B122" s="5"/>
      <c r="C122" s="5"/>
      <c r="D122" s="5"/>
      <c r="E122" s="64"/>
      <c r="F122" s="5"/>
      <c r="G122" s="5"/>
      <c r="H122" s="5"/>
      <c r="I122" s="5"/>
      <c r="J122" s="5"/>
      <c r="K122" s="64"/>
      <c r="L122" s="64"/>
      <c r="M122" s="96"/>
      <c r="N122" s="5"/>
      <c r="O122" s="5"/>
      <c r="P122" s="5"/>
      <c r="Q122" s="5"/>
      <c r="R122" s="5"/>
      <c r="S122" s="5"/>
      <c r="T122" s="5"/>
      <c r="U122" s="5"/>
      <c r="V122" s="5"/>
      <c r="W122" s="5"/>
      <c r="X122" s="5"/>
      <c r="Y122" s="5"/>
      <c r="Z122" s="5"/>
      <c r="AA122" s="5"/>
    </row>
    <row r="123">
      <c r="A123" s="5"/>
      <c r="B123" s="5"/>
      <c r="C123" s="5"/>
      <c r="D123" s="5"/>
      <c r="E123" s="64"/>
      <c r="F123" s="5"/>
      <c r="G123" s="5"/>
      <c r="H123" s="5"/>
      <c r="I123" s="5"/>
      <c r="J123" s="5"/>
      <c r="K123" s="64"/>
      <c r="L123" s="64"/>
      <c r="M123" s="96"/>
      <c r="N123" s="5"/>
      <c r="O123" s="5"/>
      <c r="P123" s="5"/>
      <c r="Q123" s="5"/>
      <c r="R123" s="5"/>
      <c r="S123" s="5"/>
      <c r="T123" s="5"/>
      <c r="U123" s="5"/>
      <c r="V123" s="5"/>
      <c r="W123" s="5"/>
      <c r="X123" s="5"/>
      <c r="Y123" s="5"/>
      <c r="Z123" s="5"/>
      <c r="AA123" s="5"/>
    </row>
    <row r="124">
      <c r="A124" s="5"/>
      <c r="B124" s="5"/>
      <c r="C124" s="5"/>
      <c r="D124" s="5"/>
      <c r="E124" s="64"/>
      <c r="F124" s="5"/>
      <c r="G124" s="5"/>
      <c r="H124" s="5"/>
      <c r="I124" s="5"/>
      <c r="J124" s="5"/>
      <c r="K124" s="64"/>
      <c r="L124" s="64"/>
      <c r="M124" s="96"/>
      <c r="N124" s="5"/>
      <c r="O124" s="5"/>
      <c r="P124" s="5"/>
      <c r="Q124" s="5"/>
      <c r="R124" s="5"/>
      <c r="S124" s="5"/>
      <c r="T124" s="5"/>
      <c r="U124" s="5"/>
      <c r="V124" s="5"/>
      <c r="W124" s="5"/>
      <c r="X124" s="5"/>
      <c r="Y124" s="5"/>
      <c r="Z124" s="5"/>
      <c r="AA124" s="5"/>
    </row>
    <row r="125">
      <c r="A125" s="5"/>
      <c r="B125" s="5"/>
      <c r="C125" s="5"/>
      <c r="D125" s="5"/>
      <c r="E125" s="64"/>
      <c r="F125" s="5"/>
      <c r="G125" s="5"/>
      <c r="H125" s="5"/>
      <c r="I125" s="5"/>
      <c r="J125" s="5"/>
      <c r="K125" s="64"/>
      <c r="L125" s="64"/>
      <c r="M125" s="96"/>
      <c r="N125" s="5"/>
      <c r="O125" s="5"/>
      <c r="P125" s="5"/>
      <c r="Q125" s="5"/>
      <c r="R125" s="5"/>
      <c r="S125" s="5"/>
      <c r="T125" s="5"/>
      <c r="U125" s="5"/>
      <c r="V125" s="5"/>
      <c r="W125" s="5"/>
      <c r="X125" s="5"/>
      <c r="Y125" s="5"/>
      <c r="Z125" s="5"/>
      <c r="AA125" s="5"/>
    </row>
    <row r="126">
      <c r="A126" s="5"/>
      <c r="B126" s="5"/>
      <c r="C126" s="5"/>
      <c r="D126" s="5"/>
      <c r="E126" s="64"/>
      <c r="F126" s="5"/>
      <c r="G126" s="5"/>
      <c r="H126" s="5"/>
      <c r="I126" s="5"/>
      <c r="J126" s="5"/>
      <c r="K126" s="64"/>
      <c r="L126" s="64"/>
      <c r="M126" s="96"/>
      <c r="N126" s="5"/>
      <c r="O126" s="5"/>
      <c r="P126" s="5"/>
      <c r="Q126" s="5"/>
      <c r="R126" s="5"/>
      <c r="S126" s="5"/>
      <c r="T126" s="5"/>
      <c r="U126" s="5"/>
      <c r="V126" s="5"/>
      <c r="W126" s="5"/>
      <c r="X126" s="5"/>
      <c r="Y126" s="5"/>
      <c r="Z126" s="5"/>
      <c r="AA126" s="5"/>
    </row>
    <row r="127">
      <c r="A127" s="5"/>
      <c r="B127" s="5"/>
      <c r="C127" s="5"/>
      <c r="D127" s="5"/>
      <c r="E127" s="64"/>
      <c r="F127" s="5"/>
      <c r="G127" s="5"/>
      <c r="H127" s="5"/>
      <c r="I127" s="5"/>
      <c r="J127" s="5"/>
      <c r="K127" s="64"/>
      <c r="L127" s="64"/>
      <c r="M127" s="96"/>
      <c r="N127" s="5"/>
      <c r="O127" s="5"/>
      <c r="P127" s="5"/>
      <c r="Q127" s="5"/>
      <c r="R127" s="5"/>
      <c r="S127" s="5"/>
      <c r="T127" s="5"/>
      <c r="U127" s="5"/>
      <c r="V127" s="5"/>
      <c r="W127" s="5"/>
      <c r="X127" s="5"/>
      <c r="Y127" s="5"/>
      <c r="Z127" s="5"/>
      <c r="AA127" s="5"/>
    </row>
    <row r="128">
      <c r="A128" s="5"/>
      <c r="B128" s="5"/>
      <c r="C128" s="5"/>
      <c r="D128" s="5"/>
      <c r="E128" s="64"/>
      <c r="F128" s="5"/>
      <c r="G128" s="5"/>
      <c r="H128" s="5"/>
      <c r="I128" s="5"/>
      <c r="J128" s="5"/>
      <c r="K128" s="64"/>
      <c r="L128" s="64"/>
      <c r="M128" s="96"/>
      <c r="N128" s="5"/>
      <c r="O128" s="5"/>
      <c r="P128" s="5"/>
      <c r="Q128" s="5"/>
      <c r="R128" s="5"/>
      <c r="S128" s="5"/>
      <c r="T128" s="5"/>
      <c r="U128" s="5"/>
      <c r="V128" s="5"/>
      <c r="W128" s="5"/>
      <c r="X128" s="5"/>
      <c r="Y128" s="5"/>
      <c r="Z128" s="5"/>
      <c r="AA128" s="5"/>
    </row>
    <row r="129">
      <c r="A129" s="5"/>
      <c r="B129" s="5"/>
      <c r="C129" s="5"/>
      <c r="D129" s="5"/>
      <c r="E129" s="64"/>
      <c r="F129" s="5"/>
      <c r="G129" s="5"/>
      <c r="H129" s="5"/>
      <c r="I129" s="5"/>
      <c r="J129" s="5"/>
      <c r="K129" s="64"/>
      <c r="L129" s="64"/>
      <c r="M129" s="96"/>
      <c r="N129" s="5"/>
      <c r="O129" s="5"/>
      <c r="P129" s="5"/>
      <c r="Q129" s="5"/>
      <c r="R129" s="5"/>
      <c r="S129" s="5"/>
      <c r="T129" s="5"/>
      <c r="U129" s="5"/>
      <c r="V129" s="5"/>
      <c r="W129" s="5"/>
      <c r="X129" s="5"/>
      <c r="Y129" s="5"/>
      <c r="Z129" s="5"/>
      <c r="AA129" s="5"/>
    </row>
    <row r="130">
      <c r="A130" s="5"/>
      <c r="B130" s="5"/>
      <c r="C130" s="5"/>
      <c r="D130" s="5"/>
      <c r="E130" s="64"/>
      <c r="F130" s="5"/>
      <c r="G130" s="5"/>
      <c r="H130" s="5"/>
      <c r="I130" s="5"/>
      <c r="J130" s="5"/>
      <c r="K130" s="64"/>
      <c r="L130" s="64"/>
      <c r="M130" s="96"/>
      <c r="N130" s="5"/>
      <c r="O130" s="5"/>
      <c r="P130" s="5"/>
      <c r="Q130" s="5"/>
      <c r="R130" s="5"/>
      <c r="S130" s="5"/>
      <c r="T130" s="5"/>
      <c r="U130" s="5"/>
      <c r="V130" s="5"/>
      <c r="W130" s="5"/>
      <c r="X130" s="5"/>
      <c r="Y130" s="5"/>
      <c r="Z130" s="5"/>
      <c r="AA130" s="5"/>
    </row>
    <row r="131">
      <c r="A131" s="5"/>
      <c r="B131" s="5"/>
      <c r="C131" s="5"/>
      <c r="D131" s="5"/>
      <c r="E131" s="64"/>
      <c r="F131" s="5"/>
      <c r="G131" s="5"/>
      <c r="H131" s="5"/>
      <c r="I131" s="5"/>
      <c r="J131" s="5"/>
      <c r="K131" s="64"/>
      <c r="L131" s="64"/>
      <c r="M131" s="96"/>
      <c r="N131" s="5"/>
      <c r="O131" s="5"/>
      <c r="P131" s="5"/>
      <c r="Q131" s="5"/>
      <c r="R131" s="5"/>
      <c r="S131" s="5"/>
      <c r="T131" s="5"/>
      <c r="U131" s="5"/>
      <c r="V131" s="5"/>
      <c r="W131" s="5"/>
      <c r="X131" s="5"/>
      <c r="Y131" s="5"/>
      <c r="Z131" s="5"/>
      <c r="AA131" s="5"/>
    </row>
    <row r="132">
      <c r="A132" s="5"/>
      <c r="B132" s="5"/>
      <c r="C132" s="5"/>
      <c r="D132" s="5"/>
      <c r="E132" s="64"/>
      <c r="F132" s="5"/>
      <c r="G132" s="5"/>
      <c r="H132" s="5"/>
      <c r="I132" s="5"/>
      <c r="J132" s="5"/>
      <c r="K132" s="64"/>
      <c r="L132" s="64"/>
      <c r="M132" s="96"/>
      <c r="N132" s="5"/>
      <c r="O132" s="5"/>
      <c r="P132" s="5"/>
      <c r="Q132" s="5"/>
      <c r="R132" s="5"/>
      <c r="S132" s="5"/>
      <c r="T132" s="5"/>
      <c r="U132" s="5"/>
      <c r="V132" s="5"/>
      <c r="W132" s="5"/>
      <c r="X132" s="5"/>
      <c r="Y132" s="5"/>
      <c r="Z132" s="5"/>
      <c r="AA132" s="5"/>
    </row>
    <row r="133">
      <c r="A133" s="5"/>
      <c r="B133" s="5"/>
      <c r="C133" s="5"/>
      <c r="D133" s="5"/>
      <c r="E133" s="64"/>
      <c r="F133" s="5"/>
      <c r="G133" s="5"/>
      <c r="H133" s="5"/>
      <c r="I133" s="5"/>
      <c r="J133" s="5"/>
      <c r="K133" s="64"/>
      <c r="L133" s="64"/>
      <c r="M133" s="96"/>
      <c r="N133" s="5"/>
      <c r="O133" s="5"/>
      <c r="P133" s="5"/>
      <c r="Q133" s="5"/>
      <c r="R133" s="5"/>
      <c r="S133" s="5"/>
      <c r="T133" s="5"/>
      <c r="U133" s="5"/>
      <c r="V133" s="5"/>
      <c r="W133" s="5"/>
      <c r="X133" s="5"/>
      <c r="Y133" s="5"/>
      <c r="Z133" s="5"/>
      <c r="AA133" s="5"/>
    </row>
    <row r="134">
      <c r="A134" s="5"/>
      <c r="B134" s="5"/>
      <c r="C134" s="5"/>
      <c r="D134" s="5"/>
      <c r="E134" s="64"/>
      <c r="F134" s="5"/>
      <c r="G134" s="5"/>
      <c r="H134" s="5"/>
      <c r="I134" s="5"/>
      <c r="J134" s="5"/>
      <c r="K134" s="64"/>
      <c r="L134" s="64"/>
      <c r="M134" s="96"/>
      <c r="N134" s="5"/>
      <c r="O134" s="5"/>
      <c r="P134" s="5"/>
      <c r="Q134" s="5"/>
      <c r="R134" s="5"/>
      <c r="S134" s="5"/>
      <c r="T134" s="5"/>
      <c r="U134" s="5"/>
      <c r="V134" s="5"/>
      <c r="W134" s="5"/>
      <c r="X134" s="5"/>
      <c r="Y134" s="5"/>
      <c r="Z134" s="5"/>
      <c r="AA134" s="5"/>
    </row>
    <row r="135">
      <c r="A135" s="5"/>
      <c r="B135" s="5"/>
      <c r="C135" s="5"/>
      <c r="D135" s="5"/>
      <c r="E135" s="64"/>
      <c r="F135" s="5"/>
      <c r="G135" s="5"/>
      <c r="H135" s="5"/>
      <c r="I135" s="5"/>
      <c r="J135" s="5"/>
      <c r="K135" s="64"/>
      <c r="L135" s="64"/>
      <c r="M135" s="96"/>
      <c r="N135" s="5"/>
      <c r="O135" s="5"/>
      <c r="P135" s="5"/>
      <c r="Q135" s="5"/>
      <c r="R135" s="5"/>
      <c r="S135" s="5"/>
      <c r="T135" s="5"/>
      <c r="U135" s="5"/>
      <c r="V135" s="5"/>
      <c r="W135" s="5"/>
      <c r="X135" s="5"/>
      <c r="Y135" s="5"/>
      <c r="Z135" s="5"/>
      <c r="AA135" s="5"/>
    </row>
    <row r="136">
      <c r="A136" s="5"/>
      <c r="B136" s="5"/>
      <c r="C136" s="5"/>
      <c r="D136" s="5"/>
      <c r="E136" s="64"/>
      <c r="F136" s="5"/>
      <c r="G136" s="5"/>
      <c r="H136" s="5"/>
      <c r="I136" s="5"/>
      <c r="J136" s="5"/>
      <c r="K136" s="64"/>
      <c r="L136" s="64"/>
      <c r="M136" s="96"/>
      <c r="N136" s="5"/>
      <c r="O136" s="5"/>
      <c r="P136" s="5"/>
      <c r="Q136" s="5"/>
      <c r="R136" s="5"/>
      <c r="S136" s="5"/>
      <c r="T136" s="5"/>
      <c r="U136" s="5"/>
      <c r="V136" s="5"/>
      <c r="W136" s="5"/>
      <c r="X136" s="5"/>
      <c r="Y136" s="5"/>
      <c r="Z136" s="5"/>
      <c r="AA136" s="5"/>
    </row>
    <row r="137">
      <c r="A137" s="5"/>
      <c r="B137" s="5"/>
      <c r="C137" s="5"/>
      <c r="D137" s="5"/>
      <c r="E137" s="64"/>
      <c r="F137" s="5"/>
      <c r="G137" s="5"/>
      <c r="H137" s="5"/>
      <c r="I137" s="5"/>
      <c r="J137" s="5"/>
      <c r="K137" s="64"/>
      <c r="L137" s="64"/>
      <c r="M137" s="96"/>
      <c r="N137" s="5"/>
      <c r="O137" s="5"/>
      <c r="P137" s="5"/>
      <c r="Q137" s="5"/>
      <c r="R137" s="5"/>
      <c r="S137" s="5"/>
      <c r="T137" s="5"/>
      <c r="U137" s="5"/>
      <c r="V137" s="5"/>
      <c r="W137" s="5"/>
      <c r="X137" s="5"/>
      <c r="Y137" s="5"/>
      <c r="Z137" s="5"/>
      <c r="AA137" s="5"/>
    </row>
    <row r="138">
      <c r="A138" s="5"/>
      <c r="B138" s="5"/>
      <c r="C138" s="5"/>
      <c r="D138" s="5"/>
      <c r="E138" s="64"/>
      <c r="F138" s="5"/>
      <c r="G138" s="5"/>
      <c r="H138" s="5"/>
      <c r="I138" s="5"/>
      <c r="J138" s="5"/>
      <c r="K138" s="64"/>
      <c r="L138" s="64"/>
      <c r="M138" s="96"/>
      <c r="N138" s="5"/>
      <c r="O138" s="5"/>
      <c r="P138" s="5"/>
      <c r="Q138" s="5"/>
      <c r="R138" s="5"/>
      <c r="S138" s="5"/>
      <c r="T138" s="5"/>
      <c r="U138" s="5"/>
      <c r="V138" s="5"/>
      <c r="W138" s="5"/>
      <c r="X138" s="5"/>
      <c r="Y138" s="5"/>
      <c r="Z138" s="5"/>
      <c r="AA138" s="5"/>
    </row>
    <row r="139">
      <c r="A139" s="5"/>
      <c r="B139" s="5"/>
      <c r="C139" s="5"/>
      <c r="D139" s="5"/>
      <c r="E139" s="64"/>
      <c r="F139" s="5"/>
      <c r="G139" s="5"/>
      <c r="H139" s="5"/>
      <c r="I139" s="5"/>
      <c r="J139" s="5"/>
      <c r="K139" s="64"/>
      <c r="L139" s="64"/>
      <c r="M139" s="96"/>
      <c r="N139" s="5"/>
      <c r="O139" s="5"/>
      <c r="P139" s="5"/>
      <c r="Q139" s="5"/>
      <c r="R139" s="5"/>
      <c r="S139" s="5"/>
      <c r="T139" s="5"/>
      <c r="U139" s="5"/>
      <c r="V139" s="5"/>
      <c r="W139" s="5"/>
      <c r="X139" s="5"/>
      <c r="Y139" s="5"/>
      <c r="Z139" s="5"/>
      <c r="AA139" s="5"/>
    </row>
    <row r="140">
      <c r="A140" s="5"/>
      <c r="B140" s="5"/>
      <c r="C140" s="5"/>
      <c r="D140" s="5"/>
      <c r="E140" s="64"/>
      <c r="F140" s="5"/>
      <c r="G140" s="5"/>
      <c r="H140" s="5"/>
      <c r="I140" s="5"/>
      <c r="J140" s="5"/>
      <c r="K140" s="64"/>
      <c r="L140" s="64"/>
      <c r="M140" s="96"/>
      <c r="N140" s="5"/>
      <c r="O140" s="5"/>
      <c r="P140" s="5"/>
      <c r="Q140" s="5"/>
      <c r="R140" s="5"/>
      <c r="S140" s="5"/>
      <c r="T140" s="5"/>
      <c r="U140" s="5"/>
      <c r="V140" s="5"/>
      <c r="W140" s="5"/>
      <c r="X140" s="5"/>
      <c r="Y140" s="5"/>
      <c r="Z140" s="5"/>
      <c r="AA140" s="5"/>
    </row>
    <row r="141">
      <c r="A141" s="5"/>
      <c r="B141" s="5"/>
      <c r="C141" s="5"/>
      <c r="D141" s="5"/>
      <c r="E141" s="64"/>
      <c r="F141" s="5"/>
      <c r="G141" s="5"/>
      <c r="H141" s="5"/>
      <c r="I141" s="5"/>
      <c r="J141" s="5"/>
      <c r="K141" s="64"/>
      <c r="L141" s="64"/>
      <c r="M141" s="96"/>
      <c r="N141" s="5"/>
      <c r="O141" s="5"/>
      <c r="P141" s="5"/>
      <c r="Q141" s="5"/>
      <c r="R141" s="5"/>
      <c r="S141" s="5"/>
      <c r="T141" s="5"/>
      <c r="U141" s="5"/>
      <c r="V141" s="5"/>
      <c r="W141" s="5"/>
      <c r="X141" s="5"/>
      <c r="Y141" s="5"/>
      <c r="Z141" s="5"/>
      <c r="AA141" s="5"/>
    </row>
    <row r="142">
      <c r="A142" s="5"/>
      <c r="B142" s="5"/>
      <c r="C142" s="5"/>
      <c r="D142" s="5"/>
      <c r="E142" s="64"/>
      <c r="F142" s="5"/>
      <c r="G142" s="5"/>
      <c r="H142" s="5"/>
      <c r="I142" s="5"/>
      <c r="J142" s="5"/>
      <c r="K142" s="64"/>
      <c r="L142" s="64"/>
      <c r="M142" s="96"/>
      <c r="N142" s="5"/>
      <c r="O142" s="5"/>
      <c r="P142" s="5"/>
      <c r="Q142" s="5"/>
      <c r="R142" s="5"/>
      <c r="S142" s="5"/>
      <c r="T142" s="5"/>
      <c r="U142" s="5"/>
      <c r="V142" s="5"/>
      <c r="W142" s="5"/>
      <c r="X142" s="5"/>
      <c r="Y142" s="5"/>
      <c r="Z142" s="5"/>
      <c r="AA142" s="5"/>
    </row>
    <row r="143">
      <c r="A143" s="5"/>
      <c r="B143" s="5"/>
      <c r="C143" s="5"/>
      <c r="D143" s="5"/>
      <c r="E143" s="64"/>
      <c r="F143" s="5"/>
      <c r="G143" s="5"/>
      <c r="H143" s="5"/>
      <c r="I143" s="5"/>
      <c r="J143" s="5"/>
      <c r="K143" s="64"/>
      <c r="L143" s="64"/>
      <c r="M143" s="96"/>
      <c r="N143" s="5"/>
      <c r="O143" s="5"/>
      <c r="P143" s="5"/>
      <c r="Q143" s="5"/>
      <c r="R143" s="5"/>
      <c r="S143" s="5"/>
      <c r="T143" s="5"/>
      <c r="U143" s="5"/>
      <c r="V143" s="5"/>
      <c r="W143" s="5"/>
      <c r="X143" s="5"/>
      <c r="Y143" s="5"/>
      <c r="Z143" s="5"/>
      <c r="AA143" s="5"/>
    </row>
    <row r="144">
      <c r="A144" s="5"/>
      <c r="B144" s="5"/>
      <c r="C144" s="5"/>
      <c r="D144" s="5"/>
      <c r="E144" s="64"/>
      <c r="F144" s="5"/>
      <c r="G144" s="5"/>
      <c r="H144" s="5"/>
      <c r="I144" s="5"/>
      <c r="J144" s="5"/>
      <c r="K144" s="64"/>
      <c r="L144" s="64"/>
      <c r="M144" s="96"/>
      <c r="N144" s="5"/>
      <c r="O144" s="5"/>
      <c r="P144" s="5"/>
      <c r="Q144" s="5"/>
      <c r="R144" s="5"/>
      <c r="S144" s="5"/>
      <c r="T144" s="5"/>
      <c r="U144" s="5"/>
      <c r="V144" s="5"/>
      <c r="W144" s="5"/>
      <c r="X144" s="5"/>
      <c r="Y144" s="5"/>
      <c r="Z144" s="5"/>
      <c r="AA144" s="5"/>
    </row>
    <row r="145">
      <c r="A145" s="5"/>
      <c r="B145" s="5"/>
      <c r="C145" s="5"/>
      <c r="D145" s="5"/>
      <c r="E145" s="64"/>
      <c r="F145" s="5"/>
      <c r="G145" s="5"/>
      <c r="H145" s="5"/>
      <c r="I145" s="5"/>
      <c r="J145" s="5"/>
      <c r="K145" s="64"/>
      <c r="L145" s="64"/>
      <c r="M145" s="96"/>
      <c r="N145" s="5"/>
      <c r="O145" s="5"/>
      <c r="P145" s="5"/>
      <c r="Q145" s="5"/>
      <c r="R145" s="5"/>
      <c r="S145" s="5"/>
      <c r="T145" s="5"/>
      <c r="U145" s="5"/>
      <c r="V145" s="5"/>
      <c r="W145" s="5"/>
      <c r="X145" s="5"/>
      <c r="Y145" s="5"/>
      <c r="Z145" s="5"/>
      <c r="AA145" s="5"/>
    </row>
    <row r="146">
      <c r="A146" s="5"/>
      <c r="B146" s="5"/>
      <c r="C146" s="5"/>
      <c r="D146" s="5"/>
      <c r="E146" s="64"/>
      <c r="F146" s="5"/>
      <c r="G146" s="5"/>
      <c r="H146" s="5"/>
      <c r="I146" s="5"/>
      <c r="J146" s="5"/>
      <c r="K146" s="64"/>
      <c r="L146" s="64"/>
      <c r="M146" s="96"/>
      <c r="N146" s="5"/>
      <c r="O146" s="5"/>
      <c r="P146" s="5"/>
      <c r="Q146" s="5"/>
      <c r="R146" s="5"/>
      <c r="S146" s="5"/>
      <c r="T146" s="5"/>
      <c r="U146" s="5"/>
      <c r="V146" s="5"/>
      <c r="W146" s="5"/>
      <c r="X146" s="5"/>
      <c r="Y146" s="5"/>
      <c r="Z146" s="5"/>
      <c r="AA146" s="5"/>
    </row>
    <row r="147">
      <c r="A147" s="5"/>
      <c r="B147" s="5"/>
      <c r="C147" s="5"/>
      <c r="D147" s="5"/>
      <c r="E147" s="64"/>
      <c r="F147" s="5"/>
      <c r="G147" s="5"/>
      <c r="H147" s="5"/>
      <c r="I147" s="5"/>
      <c r="J147" s="5"/>
      <c r="K147" s="64"/>
      <c r="L147" s="64"/>
      <c r="M147" s="96"/>
      <c r="N147" s="5"/>
      <c r="O147" s="5"/>
      <c r="P147" s="5"/>
      <c r="Q147" s="5"/>
      <c r="R147" s="5"/>
      <c r="S147" s="5"/>
      <c r="T147" s="5"/>
      <c r="U147" s="5"/>
      <c r="V147" s="5"/>
      <c r="W147" s="5"/>
      <c r="X147" s="5"/>
      <c r="Y147" s="5"/>
      <c r="Z147" s="5"/>
      <c r="AA147" s="5"/>
    </row>
    <row r="148">
      <c r="A148" s="5"/>
      <c r="B148" s="5"/>
      <c r="C148" s="5"/>
      <c r="D148" s="5"/>
      <c r="E148" s="64"/>
      <c r="F148" s="5"/>
      <c r="G148" s="5"/>
      <c r="H148" s="5"/>
      <c r="I148" s="5"/>
      <c r="J148" s="5"/>
      <c r="K148" s="64"/>
      <c r="L148" s="64"/>
      <c r="M148" s="96"/>
      <c r="N148" s="5"/>
      <c r="O148" s="5"/>
      <c r="P148" s="5"/>
      <c r="Q148" s="5"/>
      <c r="R148" s="5"/>
      <c r="S148" s="5"/>
      <c r="T148" s="5"/>
      <c r="U148" s="5"/>
      <c r="V148" s="5"/>
      <c r="W148" s="5"/>
      <c r="X148" s="5"/>
      <c r="Y148" s="5"/>
      <c r="Z148" s="5"/>
      <c r="AA148" s="5"/>
    </row>
    <row r="149">
      <c r="A149" s="5"/>
      <c r="B149" s="5"/>
      <c r="C149" s="5"/>
      <c r="D149" s="5"/>
      <c r="E149" s="64"/>
      <c r="F149" s="5"/>
      <c r="G149" s="5"/>
      <c r="H149" s="5"/>
      <c r="I149" s="5"/>
      <c r="J149" s="5"/>
      <c r="K149" s="64"/>
      <c r="L149" s="64"/>
      <c r="M149" s="96"/>
      <c r="N149" s="5"/>
      <c r="O149" s="5"/>
      <c r="P149" s="5"/>
      <c r="Q149" s="5"/>
      <c r="R149" s="5"/>
      <c r="S149" s="5"/>
      <c r="T149" s="5"/>
      <c r="U149" s="5"/>
      <c r="V149" s="5"/>
      <c r="W149" s="5"/>
      <c r="X149" s="5"/>
      <c r="Y149" s="5"/>
      <c r="Z149" s="5"/>
      <c r="AA149" s="5"/>
    </row>
    <row r="150">
      <c r="A150" s="5"/>
      <c r="B150" s="5"/>
      <c r="C150" s="5"/>
      <c r="D150" s="5"/>
      <c r="E150" s="64"/>
      <c r="F150" s="5"/>
      <c r="G150" s="5"/>
      <c r="H150" s="5"/>
      <c r="I150" s="5"/>
      <c r="J150" s="5"/>
      <c r="K150" s="64"/>
      <c r="L150" s="64"/>
      <c r="M150" s="96"/>
      <c r="N150" s="5"/>
      <c r="O150" s="5"/>
      <c r="P150" s="5"/>
      <c r="Q150" s="5"/>
      <c r="R150" s="5"/>
      <c r="S150" s="5"/>
      <c r="T150" s="5"/>
      <c r="U150" s="5"/>
      <c r="V150" s="5"/>
      <c r="W150" s="5"/>
      <c r="X150" s="5"/>
      <c r="Y150" s="5"/>
      <c r="Z150" s="5"/>
      <c r="AA150" s="5"/>
    </row>
    <row r="151">
      <c r="A151" s="5"/>
      <c r="B151" s="5"/>
      <c r="C151" s="5"/>
      <c r="D151" s="5"/>
      <c r="E151" s="64"/>
      <c r="F151" s="5"/>
      <c r="G151" s="5"/>
      <c r="H151" s="5"/>
      <c r="I151" s="5"/>
      <c r="J151" s="5"/>
      <c r="K151" s="64"/>
      <c r="L151" s="64"/>
      <c r="M151" s="96"/>
      <c r="N151" s="5"/>
      <c r="O151" s="5"/>
      <c r="P151" s="5"/>
      <c r="Q151" s="5"/>
      <c r="R151" s="5"/>
      <c r="S151" s="5"/>
      <c r="T151" s="5"/>
      <c r="U151" s="5"/>
      <c r="V151" s="5"/>
      <c r="W151" s="5"/>
      <c r="X151" s="5"/>
      <c r="Y151" s="5"/>
      <c r="Z151" s="5"/>
      <c r="AA151" s="5"/>
    </row>
    <row r="152">
      <c r="A152" s="5"/>
      <c r="B152" s="5"/>
      <c r="C152" s="5"/>
      <c r="D152" s="5"/>
      <c r="E152" s="64"/>
      <c r="F152" s="5"/>
      <c r="G152" s="5"/>
      <c r="H152" s="5"/>
      <c r="I152" s="5"/>
      <c r="J152" s="5"/>
      <c r="K152" s="64"/>
      <c r="L152" s="64"/>
      <c r="M152" s="96"/>
      <c r="N152" s="5"/>
      <c r="O152" s="5"/>
      <c r="P152" s="5"/>
      <c r="Q152" s="5"/>
      <c r="R152" s="5"/>
      <c r="S152" s="5"/>
      <c r="T152" s="5"/>
      <c r="U152" s="5"/>
      <c r="V152" s="5"/>
      <c r="W152" s="5"/>
      <c r="X152" s="5"/>
      <c r="Y152" s="5"/>
      <c r="Z152" s="5"/>
      <c r="AA152" s="5"/>
    </row>
    <row r="153">
      <c r="A153" s="5"/>
      <c r="B153" s="5"/>
      <c r="C153" s="5"/>
      <c r="D153" s="5"/>
      <c r="E153" s="64"/>
      <c r="F153" s="5"/>
      <c r="G153" s="5"/>
      <c r="H153" s="5"/>
      <c r="I153" s="5"/>
      <c r="J153" s="5"/>
      <c r="K153" s="64"/>
      <c r="L153" s="64"/>
      <c r="M153" s="96"/>
      <c r="N153" s="5"/>
      <c r="O153" s="5"/>
      <c r="P153" s="5"/>
      <c r="Q153" s="5"/>
      <c r="R153" s="5"/>
      <c r="S153" s="5"/>
      <c r="T153" s="5"/>
      <c r="U153" s="5"/>
      <c r="V153" s="5"/>
      <c r="W153" s="5"/>
      <c r="X153" s="5"/>
      <c r="Y153" s="5"/>
      <c r="Z153" s="5"/>
      <c r="AA153" s="5"/>
    </row>
    <row r="154">
      <c r="A154" s="5"/>
      <c r="B154" s="5"/>
      <c r="C154" s="5"/>
      <c r="D154" s="5"/>
      <c r="E154" s="64"/>
      <c r="F154" s="5"/>
      <c r="G154" s="5"/>
      <c r="H154" s="5"/>
      <c r="I154" s="5"/>
      <c r="J154" s="5"/>
      <c r="K154" s="64"/>
      <c r="L154" s="64"/>
      <c r="M154" s="96"/>
      <c r="N154" s="5"/>
      <c r="O154" s="5"/>
      <c r="P154" s="5"/>
      <c r="Q154" s="5"/>
      <c r="R154" s="5"/>
      <c r="S154" s="5"/>
      <c r="T154" s="5"/>
      <c r="U154" s="5"/>
      <c r="V154" s="5"/>
      <c r="W154" s="5"/>
      <c r="X154" s="5"/>
      <c r="Y154" s="5"/>
      <c r="Z154" s="5"/>
      <c r="AA154" s="5"/>
    </row>
    <row r="155">
      <c r="A155" s="5"/>
      <c r="B155" s="5"/>
      <c r="C155" s="5"/>
      <c r="D155" s="5"/>
      <c r="E155" s="64"/>
      <c r="F155" s="5"/>
      <c r="G155" s="5"/>
      <c r="H155" s="5"/>
      <c r="I155" s="5"/>
      <c r="J155" s="5"/>
      <c r="K155" s="64"/>
      <c r="L155" s="64"/>
      <c r="M155" s="96"/>
      <c r="N155" s="5"/>
      <c r="O155" s="5"/>
      <c r="P155" s="5"/>
      <c r="Q155" s="5"/>
      <c r="R155" s="5"/>
      <c r="S155" s="5"/>
      <c r="T155" s="5"/>
      <c r="U155" s="5"/>
      <c r="V155" s="5"/>
      <c r="W155" s="5"/>
      <c r="X155" s="5"/>
      <c r="Y155" s="5"/>
      <c r="Z155" s="5"/>
      <c r="AA155" s="5"/>
    </row>
    <row r="156">
      <c r="A156" s="5"/>
      <c r="B156" s="5"/>
      <c r="C156" s="5"/>
      <c r="D156" s="5"/>
      <c r="E156" s="64"/>
      <c r="F156" s="5"/>
      <c r="G156" s="5"/>
      <c r="H156" s="5"/>
      <c r="I156" s="5"/>
      <c r="J156" s="5"/>
      <c r="K156" s="64"/>
      <c r="L156" s="64"/>
      <c r="M156" s="96"/>
      <c r="N156" s="5"/>
      <c r="O156" s="5"/>
      <c r="P156" s="5"/>
      <c r="Q156" s="5"/>
      <c r="R156" s="5"/>
      <c r="S156" s="5"/>
      <c r="T156" s="5"/>
      <c r="U156" s="5"/>
      <c r="V156" s="5"/>
      <c r="W156" s="5"/>
      <c r="X156" s="5"/>
      <c r="Y156" s="5"/>
      <c r="Z156" s="5"/>
      <c r="AA156" s="5"/>
    </row>
    <row r="157">
      <c r="A157" s="5"/>
      <c r="B157" s="5"/>
      <c r="C157" s="5"/>
      <c r="D157" s="5"/>
      <c r="E157" s="64"/>
      <c r="F157" s="5"/>
      <c r="G157" s="5"/>
      <c r="H157" s="5"/>
      <c r="I157" s="5"/>
      <c r="J157" s="5"/>
      <c r="K157" s="64"/>
      <c r="L157" s="64"/>
      <c r="M157" s="96"/>
      <c r="N157" s="5"/>
      <c r="O157" s="5"/>
      <c r="P157" s="5"/>
      <c r="Q157" s="5"/>
      <c r="R157" s="5"/>
      <c r="S157" s="5"/>
      <c r="T157" s="5"/>
      <c r="U157" s="5"/>
      <c r="V157" s="5"/>
      <c r="W157" s="5"/>
      <c r="X157" s="5"/>
      <c r="Y157" s="5"/>
      <c r="Z157" s="5"/>
      <c r="AA157" s="5"/>
    </row>
    <row r="158">
      <c r="A158" s="5"/>
      <c r="B158" s="5"/>
      <c r="C158" s="5"/>
      <c r="D158" s="5"/>
      <c r="E158" s="64"/>
      <c r="F158" s="5"/>
      <c r="G158" s="5"/>
      <c r="H158" s="5"/>
      <c r="I158" s="5"/>
      <c r="J158" s="5"/>
      <c r="K158" s="64"/>
      <c r="L158" s="64"/>
      <c r="M158" s="96"/>
      <c r="N158" s="5"/>
      <c r="O158" s="5"/>
      <c r="P158" s="5"/>
      <c r="Q158" s="5"/>
      <c r="R158" s="5"/>
      <c r="S158" s="5"/>
      <c r="T158" s="5"/>
      <c r="U158" s="5"/>
      <c r="V158" s="5"/>
      <c r="W158" s="5"/>
      <c r="X158" s="5"/>
      <c r="Y158" s="5"/>
      <c r="Z158" s="5"/>
      <c r="AA158" s="5"/>
    </row>
    <row r="159">
      <c r="A159" s="5"/>
      <c r="B159" s="5"/>
      <c r="C159" s="5"/>
      <c r="D159" s="5"/>
      <c r="E159" s="64"/>
      <c r="F159" s="5"/>
      <c r="G159" s="5"/>
      <c r="H159" s="5"/>
      <c r="I159" s="5"/>
      <c r="J159" s="5"/>
      <c r="K159" s="64"/>
      <c r="L159" s="64"/>
      <c r="M159" s="96"/>
      <c r="N159" s="5"/>
      <c r="O159" s="5"/>
      <c r="P159" s="5"/>
      <c r="Q159" s="5"/>
      <c r="R159" s="5"/>
      <c r="S159" s="5"/>
      <c r="T159" s="5"/>
      <c r="U159" s="5"/>
      <c r="V159" s="5"/>
      <c r="W159" s="5"/>
      <c r="X159" s="5"/>
      <c r="Y159" s="5"/>
      <c r="Z159" s="5"/>
      <c r="AA159" s="5"/>
    </row>
    <row r="160">
      <c r="A160" s="5"/>
      <c r="B160" s="5"/>
      <c r="C160" s="5"/>
      <c r="D160" s="5"/>
      <c r="E160" s="64"/>
      <c r="F160" s="5"/>
      <c r="G160" s="5"/>
      <c r="H160" s="5"/>
      <c r="I160" s="5"/>
      <c r="J160" s="5"/>
      <c r="K160" s="64"/>
      <c r="L160" s="64"/>
      <c r="M160" s="96"/>
      <c r="N160" s="5"/>
      <c r="O160" s="5"/>
      <c r="P160" s="5"/>
      <c r="Q160" s="5"/>
      <c r="R160" s="5"/>
      <c r="S160" s="5"/>
      <c r="T160" s="5"/>
      <c r="U160" s="5"/>
      <c r="V160" s="5"/>
      <c r="W160" s="5"/>
      <c r="X160" s="5"/>
      <c r="Y160" s="5"/>
      <c r="Z160" s="5"/>
      <c r="AA160" s="5"/>
    </row>
    <row r="161">
      <c r="A161" s="5"/>
      <c r="B161" s="5"/>
      <c r="C161" s="5"/>
      <c r="D161" s="5"/>
      <c r="E161" s="64"/>
      <c r="F161" s="5"/>
      <c r="G161" s="5"/>
      <c r="H161" s="5"/>
      <c r="I161" s="5"/>
      <c r="J161" s="5"/>
      <c r="K161" s="64"/>
      <c r="L161" s="64"/>
      <c r="M161" s="96"/>
      <c r="N161" s="5"/>
      <c r="O161" s="5"/>
      <c r="P161" s="5"/>
      <c r="Q161" s="5"/>
      <c r="R161" s="5"/>
      <c r="S161" s="5"/>
      <c r="T161" s="5"/>
      <c r="U161" s="5"/>
      <c r="V161" s="5"/>
      <c r="W161" s="5"/>
      <c r="X161" s="5"/>
      <c r="Y161" s="5"/>
      <c r="Z161" s="5"/>
      <c r="AA161" s="5"/>
    </row>
    <row r="162">
      <c r="A162" s="5"/>
      <c r="B162" s="5"/>
      <c r="C162" s="5"/>
      <c r="D162" s="5"/>
      <c r="E162" s="64"/>
      <c r="F162" s="5"/>
      <c r="G162" s="5"/>
      <c r="H162" s="5"/>
      <c r="I162" s="5"/>
      <c r="J162" s="5"/>
      <c r="K162" s="64"/>
      <c r="L162" s="64"/>
      <c r="M162" s="96"/>
      <c r="N162" s="5"/>
      <c r="O162" s="5"/>
      <c r="P162" s="5"/>
      <c r="Q162" s="5"/>
      <c r="R162" s="5"/>
      <c r="S162" s="5"/>
      <c r="T162" s="5"/>
      <c r="U162" s="5"/>
      <c r="V162" s="5"/>
      <c r="W162" s="5"/>
      <c r="X162" s="5"/>
      <c r="Y162" s="5"/>
      <c r="Z162" s="5"/>
      <c r="AA162" s="5"/>
    </row>
    <row r="163">
      <c r="A163" s="5"/>
      <c r="B163" s="5"/>
      <c r="C163" s="5"/>
      <c r="D163" s="5"/>
      <c r="E163" s="64"/>
      <c r="F163" s="5"/>
      <c r="G163" s="5"/>
      <c r="H163" s="5"/>
      <c r="I163" s="5"/>
      <c r="J163" s="5"/>
      <c r="K163" s="64"/>
      <c r="L163" s="64"/>
      <c r="M163" s="96"/>
      <c r="N163" s="5"/>
      <c r="O163" s="5"/>
      <c r="P163" s="5"/>
      <c r="Q163" s="5"/>
      <c r="R163" s="5"/>
      <c r="S163" s="5"/>
      <c r="T163" s="5"/>
      <c r="U163" s="5"/>
      <c r="V163" s="5"/>
      <c r="W163" s="5"/>
      <c r="X163" s="5"/>
      <c r="Y163" s="5"/>
      <c r="Z163" s="5"/>
      <c r="AA163" s="5"/>
    </row>
    <row r="164">
      <c r="A164" s="5"/>
      <c r="B164" s="5"/>
      <c r="C164" s="5"/>
      <c r="D164" s="5"/>
      <c r="E164" s="64"/>
      <c r="F164" s="5"/>
      <c r="G164" s="5"/>
      <c r="H164" s="5"/>
      <c r="I164" s="5"/>
      <c r="J164" s="5"/>
      <c r="K164" s="64"/>
      <c r="L164" s="64"/>
      <c r="M164" s="96"/>
      <c r="N164" s="5"/>
      <c r="O164" s="5"/>
      <c r="P164" s="5"/>
      <c r="Q164" s="5"/>
      <c r="R164" s="5"/>
      <c r="S164" s="5"/>
      <c r="T164" s="5"/>
      <c r="U164" s="5"/>
      <c r="V164" s="5"/>
      <c r="W164" s="5"/>
      <c r="X164" s="5"/>
      <c r="Y164" s="5"/>
      <c r="Z164" s="5"/>
      <c r="AA164" s="5"/>
    </row>
    <row r="165">
      <c r="A165" s="5"/>
      <c r="B165" s="5"/>
      <c r="C165" s="5"/>
      <c r="D165" s="5"/>
      <c r="E165" s="64"/>
      <c r="F165" s="5"/>
      <c r="G165" s="5"/>
      <c r="H165" s="5"/>
      <c r="I165" s="5"/>
      <c r="J165" s="5"/>
      <c r="K165" s="64"/>
      <c r="L165" s="64"/>
      <c r="M165" s="96"/>
      <c r="N165" s="5"/>
      <c r="O165" s="5"/>
      <c r="P165" s="5"/>
      <c r="Q165" s="5"/>
      <c r="R165" s="5"/>
      <c r="S165" s="5"/>
      <c r="T165" s="5"/>
      <c r="U165" s="5"/>
      <c r="V165" s="5"/>
      <c r="W165" s="5"/>
      <c r="X165" s="5"/>
      <c r="Y165" s="5"/>
      <c r="Z165" s="5"/>
      <c r="AA165" s="5"/>
    </row>
    <row r="166">
      <c r="A166" s="5"/>
      <c r="B166" s="5"/>
      <c r="C166" s="5"/>
      <c r="D166" s="5"/>
      <c r="E166" s="64"/>
      <c r="F166" s="5"/>
      <c r="G166" s="5"/>
      <c r="H166" s="5"/>
      <c r="I166" s="5"/>
      <c r="J166" s="5"/>
      <c r="K166" s="64"/>
      <c r="L166" s="64"/>
      <c r="M166" s="96"/>
      <c r="N166" s="5"/>
      <c r="O166" s="5"/>
      <c r="P166" s="5"/>
      <c r="Q166" s="5"/>
      <c r="R166" s="5"/>
      <c r="S166" s="5"/>
      <c r="T166" s="5"/>
      <c r="U166" s="5"/>
      <c r="V166" s="5"/>
      <c r="W166" s="5"/>
      <c r="X166" s="5"/>
      <c r="Y166" s="5"/>
      <c r="Z166" s="5"/>
      <c r="AA166" s="5"/>
    </row>
    <row r="167">
      <c r="A167" s="5"/>
      <c r="B167" s="5"/>
      <c r="C167" s="5"/>
      <c r="D167" s="5"/>
      <c r="E167" s="64"/>
      <c r="F167" s="5"/>
      <c r="G167" s="5"/>
      <c r="H167" s="5"/>
      <c r="I167" s="5"/>
      <c r="J167" s="5"/>
      <c r="K167" s="64"/>
      <c r="L167" s="64"/>
      <c r="M167" s="96"/>
      <c r="N167" s="5"/>
      <c r="O167" s="5"/>
      <c r="P167" s="5"/>
      <c r="Q167" s="5"/>
      <c r="R167" s="5"/>
      <c r="S167" s="5"/>
      <c r="T167" s="5"/>
      <c r="U167" s="5"/>
      <c r="V167" s="5"/>
      <c r="W167" s="5"/>
      <c r="X167" s="5"/>
      <c r="Y167" s="5"/>
      <c r="Z167" s="5"/>
      <c r="AA167" s="5"/>
    </row>
    <row r="168">
      <c r="A168" s="5"/>
      <c r="B168" s="5"/>
      <c r="C168" s="5"/>
      <c r="D168" s="5"/>
      <c r="E168" s="64"/>
      <c r="F168" s="5"/>
      <c r="G168" s="5"/>
      <c r="H168" s="5"/>
      <c r="I168" s="5"/>
      <c r="J168" s="5"/>
      <c r="K168" s="64"/>
      <c r="L168" s="64"/>
      <c r="M168" s="96"/>
      <c r="N168" s="5"/>
      <c r="O168" s="5"/>
      <c r="P168" s="5"/>
      <c r="Q168" s="5"/>
      <c r="R168" s="5"/>
      <c r="S168" s="5"/>
      <c r="T168" s="5"/>
      <c r="U168" s="5"/>
      <c r="V168" s="5"/>
      <c r="W168" s="5"/>
      <c r="X168" s="5"/>
      <c r="Y168" s="5"/>
      <c r="Z168" s="5"/>
      <c r="AA168" s="5"/>
    </row>
    <row r="169">
      <c r="A169" s="5"/>
      <c r="B169" s="5"/>
      <c r="C169" s="5"/>
      <c r="D169" s="5"/>
      <c r="E169" s="64"/>
      <c r="F169" s="5"/>
      <c r="G169" s="5"/>
      <c r="H169" s="5"/>
      <c r="I169" s="5"/>
      <c r="J169" s="5"/>
      <c r="K169" s="64"/>
      <c r="L169" s="64"/>
      <c r="M169" s="96"/>
      <c r="N169" s="5"/>
      <c r="O169" s="5"/>
      <c r="P169" s="5"/>
      <c r="Q169" s="5"/>
      <c r="R169" s="5"/>
      <c r="S169" s="5"/>
      <c r="T169" s="5"/>
      <c r="U169" s="5"/>
      <c r="V169" s="5"/>
      <c r="W169" s="5"/>
      <c r="X169" s="5"/>
      <c r="Y169" s="5"/>
      <c r="Z169" s="5"/>
      <c r="AA169" s="5"/>
    </row>
    <row r="170">
      <c r="A170" s="5"/>
      <c r="B170" s="5"/>
      <c r="C170" s="5"/>
      <c r="D170" s="5"/>
      <c r="E170" s="64"/>
      <c r="F170" s="5"/>
      <c r="G170" s="5"/>
      <c r="H170" s="5"/>
      <c r="I170" s="5"/>
      <c r="J170" s="5"/>
      <c r="K170" s="64"/>
      <c r="L170" s="64"/>
      <c r="M170" s="96"/>
      <c r="N170" s="5"/>
      <c r="O170" s="5"/>
      <c r="P170" s="5"/>
      <c r="Q170" s="5"/>
      <c r="R170" s="5"/>
      <c r="S170" s="5"/>
      <c r="T170" s="5"/>
      <c r="U170" s="5"/>
      <c r="V170" s="5"/>
      <c r="W170" s="5"/>
      <c r="X170" s="5"/>
      <c r="Y170" s="5"/>
      <c r="Z170" s="5"/>
      <c r="AA170" s="5"/>
    </row>
    <row r="171">
      <c r="A171" s="5"/>
      <c r="B171" s="5"/>
      <c r="C171" s="5"/>
      <c r="D171" s="5"/>
      <c r="E171" s="64"/>
      <c r="F171" s="5"/>
      <c r="G171" s="5"/>
      <c r="H171" s="5"/>
      <c r="I171" s="5"/>
      <c r="J171" s="5"/>
      <c r="K171" s="64"/>
      <c r="L171" s="64"/>
      <c r="M171" s="96"/>
      <c r="N171" s="5"/>
      <c r="O171" s="5"/>
      <c r="P171" s="5"/>
      <c r="Q171" s="5"/>
      <c r="R171" s="5"/>
      <c r="S171" s="5"/>
      <c r="T171" s="5"/>
      <c r="U171" s="5"/>
      <c r="V171" s="5"/>
      <c r="W171" s="5"/>
      <c r="X171" s="5"/>
      <c r="Y171" s="5"/>
      <c r="Z171" s="5"/>
      <c r="AA171" s="5"/>
    </row>
    <row r="172">
      <c r="A172" s="5"/>
      <c r="B172" s="5"/>
      <c r="C172" s="5"/>
      <c r="D172" s="5"/>
      <c r="E172" s="64"/>
      <c r="F172" s="5"/>
      <c r="G172" s="5"/>
      <c r="H172" s="5"/>
      <c r="I172" s="5"/>
      <c r="J172" s="5"/>
      <c r="K172" s="64"/>
      <c r="L172" s="64"/>
      <c r="M172" s="96"/>
      <c r="N172" s="5"/>
      <c r="O172" s="5"/>
      <c r="P172" s="5"/>
      <c r="Q172" s="5"/>
      <c r="R172" s="5"/>
      <c r="S172" s="5"/>
      <c r="T172" s="5"/>
      <c r="U172" s="5"/>
      <c r="V172" s="5"/>
      <c r="W172" s="5"/>
      <c r="X172" s="5"/>
      <c r="Y172" s="5"/>
      <c r="Z172" s="5"/>
      <c r="AA172" s="5"/>
    </row>
    <row r="173">
      <c r="A173" s="5"/>
      <c r="B173" s="5"/>
      <c r="C173" s="5"/>
      <c r="D173" s="5"/>
      <c r="E173" s="64"/>
      <c r="F173" s="5"/>
      <c r="G173" s="5"/>
      <c r="H173" s="5"/>
      <c r="I173" s="5"/>
      <c r="J173" s="5"/>
      <c r="K173" s="64"/>
      <c r="L173" s="64"/>
      <c r="M173" s="96"/>
      <c r="N173" s="5"/>
      <c r="O173" s="5"/>
      <c r="P173" s="5"/>
      <c r="Q173" s="5"/>
      <c r="R173" s="5"/>
      <c r="S173" s="5"/>
      <c r="T173" s="5"/>
      <c r="U173" s="5"/>
      <c r="V173" s="5"/>
      <c r="W173" s="5"/>
      <c r="X173" s="5"/>
      <c r="Y173" s="5"/>
      <c r="Z173" s="5"/>
      <c r="AA173" s="5"/>
    </row>
    <row r="174">
      <c r="A174" s="5"/>
      <c r="B174" s="5"/>
      <c r="C174" s="5"/>
      <c r="D174" s="5"/>
      <c r="E174" s="64"/>
      <c r="F174" s="5"/>
      <c r="G174" s="5"/>
      <c r="H174" s="5"/>
      <c r="I174" s="5"/>
      <c r="J174" s="5"/>
      <c r="K174" s="64"/>
      <c r="L174" s="64"/>
      <c r="M174" s="96"/>
      <c r="N174" s="5"/>
      <c r="O174" s="5"/>
      <c r="P174" s="5"/>
      <c r="Q174" s="5"/>
      <c r="R174" s="5"/>
      <c r="S174" s="5"/>
      <c r="T174" s="5"/>
      <c r="U174" s="5"/>
      <c r="V174" s="5"/>
      <c r="W174" s="5"/>
      <c r="X174" s="5"/>
      <c r="Y174" s="5"/>
      <c r="Z174" s="5"/>
      <c r="AA174" s="5"/>
    </row>
    <row r="175">
      <c r="A175" s="5"/>
      <c r="B175" s="5"/>
      <c r="C175" s="5"/>
      <c r="D175" s="5"/>
      <c r="E175" s="64"/>
      <c r="F175" s="5"/>
      <c r="G175" s="5"/>
      <c r="H175" s="5"/>
      <c r="I175" s="5"/>
      <c r="J175" s="5"/>
      <c r="K175" s="64"/>
      <c r="L175" s="64"/>
      <c r="M175" s="96"/>
      <c r="N175" s="5"/>
      <c r="O175" s="5"/>
      <c r="P175" s="5"/>
      <c r="Q175" s="5"/>
      <c r="R175" s="5"/>
      <c r="S175" s="5"/>
      <c r="T175" s="5"/>
      <c r="U175" s="5"/>
      <c r="V175" s="5"/>
      <c r="W175" s="5"/>
      <c r="X175" s="5"/>
      <c r="Y175" s="5"/>
      <c r="Z175" s="5"/>
      <c r="AA175" s="5"/>
    </row>
    <row r="176">
      <c r="A176" s="5"/>
      <c r="B176" s="5"/>
      <c r="C176" s="5"/>
      <c r="D176" s="5"/>
      <c r="E176" s="64"/>
      <c r="F176" s="5"/>
      <c r="G176" s="5"/>
      <c r="H176" s="5"/>
      <c r="I176" s="5"/>
      <c r="J176" s="5"/>
      <c r="K176" s="64"/>
      <c r="L176" s="64"/>
      <c r="M176" s="96"/>
      <c r="N176" s="5"/>
      <c r="O176" s="5"/>
      <c r="P176" s="5"/>
      <c r="Q176" s="5"/>
      <c r="R176" s="5"/>
      <c r="S176" s="5"/>
      <c r="T176" s="5"/>
      <c r="U176" s="5"/>
      <c r="V176" s="5"/>
      <c r="W176" s="5"/>
      <c r="X176" s="5"/>
      <c r="Y176" s="5"/>
      <c r="Z176" s="5"/>
      <c r="AA176" s="5"/>
    </row>
    <row r="177">
      <c r="A177" s="5"/>
      <c r="B177" s="5"/>
      <c r="C177" s="5"/>
      <c r="D177" s="5"/>
      <c r="E177" s="64"/>
      <c r="F177" s="5"/>
      <c r="G177" s="5"/>
      <c r="H177" s="5"/>
      <c r="I177" s="5"/>
      <c r="J177" s="5"/>
      <c r="K177" s="64"/>
      <c r="L177" s="64"/>
      <c r="M177" s="96"/>
      <c r="N177" s="5"/>
      <c r="O177" s="5"/>
      <c r="P177" s="5"/>
      <c r="Q177" s="5"/>
      <c r="R177" s="5"/>
      <c r="S177" s="5"/>
      <c r="T177" s="5"/>
      <c r="U177" s="5"/>
      <c r="V177" s="5"/>
      <c r="W177" s="5"/>
      <c r="X177" s="5"/>
      <c r="Y177" s="5"/>
      <c r="Z177" s="5"/>
      <c r="AA177" s="5"/>
    </row>
    <row r="178">
      <c r="A178" s="5"/>
      <c r="B178" s="5"/>
      <c r="C178" s="5"/>
      <c r="D178" s="5"/>
      <c r="E178" s="64"/>
      <c r="F178" s="5"/>
      <c r="G178" s="5"/>
      <c r="H178" s="5"/>
      <c r="I178" s="5"/>
      <c r="J178" s="5"/>
      <c r="K178" s="64"/>
      <c r="L178" s="64"/>
      <c r="M178" s="96"/>
      <c r="N178" s="5"/>
      <c r="O178" s="5"/>
      <c r="P178" s="5"/>
      <c r="Q178" s="5"/>
      <c r="R178" s="5"/>
      <c r="S178" s="5"/>
      <c r="T178" s="5"/>
      <c r="U178" s="5"/>
      <c r="V178" s="5"/>
      <c r="W178" s="5"/>
      <c r="X178" s="5"/>
      <c r="Y178" s="5"/>
      <c r="Z178" s="5"/>
      <c r="AA178" s="5"/>
    </row>
    <row r="179">
      <c r="A179" s="5"/>
      <c r="B179" s="5"/>
      <c r="C179" s="5"/>
      <c r="D179" s="5"/>
      <c r="E179" s="64"/>
      <c r="F179" s="5"/>
      <c r="G179" s="5"/>
      <c r="H179" s="5"/>
      <c r="I179" s="5"/>
      <c r="J179" s="5"/>
      <c r="K179" s="64"/>
      <c r="L179" s="64"/>
      <c r="M179" s="96"/>
      <c r="N179" s="5"/>
      <c r="O179" s="5"/>
      <c r="P179" s="5"/>
      <c r="Q179" s="5"/>
      <c r="R179" s="5"/>
      <c r="S179" s="5"/>
      <c r="T179" s="5"/>
      <c r="U179" s="5"/>
      <c r="V179" s="5"/>
      <c r="W179" s="5"/>
      <c r="X179" s="5"/>
      <c r="Y179" s="5"/>
      <c r="Z179" s="5"/>
      <c r="AA179" s="5"/>
    </row>
    <row r="180">
      <c r="A180" s="5"/>
      <c r="B180" s="5"/>
      <c r="C180" s="5"/>
      <c r="D180" s="5"/>
      <c r="E180" s="64"/>
      <c r="F180" s="5"/>
      <c r="G180" s="5"/>
      <c r="H180" s="5"/>
      <c r="I180" s="5"/>
      <c r="J180" s="5"/>
      <c r="K180" s="64"/>
      <c r="L180" s="64"/>
      <c r="M180" s="96"/>
      <c r="N180" s="5"/>
      <c r="O180" s="5"/>
      <c r="P180" s="5"/>
      <c r="Q180" s="5"/>
      <c r="R180" s="5"/>
      <c r="S180" s="5"/>
      <c r="T180" s="5"/>
      <c r="U180" s="5"/>
      <c r="V180" s="5"/>
      <c r="W180" s="5"/>
      <c r="X180" s="5"/>
      <c r="Y180" s="5"/>
      <c r="Z180" s="5"/>
      <c r="AA180" s="5"/>
    </row>
    <row r="181">
      <c r="A181" s="5"/>
      <c r="B181" s="5"/>
      <c r="C181" s="5"/>
      <c r="D181" s="5"/>
      <c r="E181" s="64"/>
      <c r="F181" s="5"/>
      <c r="G181" s="5"/>
      <c r="H181" s="5"/>
      <c r="I181" s="5"/>
      <c r="J181" s="5"/>
      <c r="K181" s="64"/>
      <c r="L181" s="64"/>
      <c r="M181" s="96"/>
      <c r="N181" s="5"/>
      <c r="O181" s="5"/>
      <c r="P181" s="5"/>
      <c r="Q181" s="5"/>
      <c r="R181" s="5"/>
      <c r="S181" s="5"/>
      <c r="T181" s="5"/>
      <c r="U181" s="5"/>
      <c r="V181" s="5"/>
      <c r="W181" s="5"/>
      <c r="X181" s="5"/>
      <c r="Y181" s="5"/>
      <c r="Z181" s="5"/>
      <c r="AA181" s="5"/>
    </row>
    <row r="182">
      <c r="A182" s="5"/>
      <c r="B182" s="5"/>
      <c r="C182" s="5"/>
      <c r="D182" s="5"/>
      <c r="E182" s="64"/>
      <c r="F182" s="5"/>
      <c r="G182" s="5"/>
      <c r="H182" s="5"/>
      <c r="I182" s="5"/>
      <c r="J182" s="5"/>
      <c r="K182" s="64"/>
      <c r="L182" s="64"/>
      <c r="M182" s="96"/>
      <c r="N182" s="5"/>
      <c r="O182" s="5"/>
      <c r="P182" s="5"/>
      <c r="Q182" s="5"/>
      <c r="R182" s="5"/>
      <c r="S182" s="5"/>
      <c r="T182" s="5"/>
      <c r="U182" s="5"/>
      <c r="V182" s="5"/>
      <c r="W182" s="5"/>
      <c r="X182" s="5"/>
      <c r="Y182" s="5"/>
      <c r="Z182" s="5"/>
      <c r="AA182" s="5"/>
    </row>
    <row r="183">
      <c r="A183" s="5"/>
      <c r="B183" s="5"/>
      <c r="C183" s="5"/>
      <c r="D183" s="5"/>
      <c r="E183" s="64"/>
      <c r="F183" s="5"/>
      <c r="G183" s="5"/>
      <c r="H183" s="5"/>
      <c r="I183" s="5"/>
      <c r="J183" s="5"/>
      <c r="K183" s="64"/>
      <c r="L183" s="64"/>
      <c r="M183" s="96"/>
      <c r="N183" s="5"/>
      <c r="O183" s="5"/>
      <c r="P183" s="5"/>
      <c r="Q183" s="5"/>
      <c r="R183" s="5"/>
      <c r="S183" s="5"/>
      <c r="T183" s="5"/>
      <c r="U183" s="5"/>
      <c r="V183" s="5"/>
      <c r="W183" s="5"/>
      <c r="X183" s="5"/>
      <c r="Y183" s="5"/>
      <c r="Z183" s="5"/>
      <c r="AA183" s="5"/>
    </row>
    <row r="184">
      <c r="A184" s="5"/>
      <c r="B184" s="5"/>
      <c r="C184" s="5"/>
      <c r="D184" s="5"/>
      <c r="E184" s="64"/>
      <c r="F184" s="5"/>
      <c r="G184" s="5"/>
      <c r="H184" s="5"/>
      <c r="I184" s="5"/>
      <c r="J184" s="5"/>
      <c r="K184" s="64"/>
      <c r="L184" s="64"/>
      <c r="M184" s="96"/>
      <c r="N184" s="5"/>
      <c r="O184" s="5"/>
      <c r="P184" s="5"/>
      <c r="Q184" s="5"/>
      <c r="R184" s="5"/>
      <c r="S184" s="5"/>
      <c r="T184" s="5"/>
      <c r="U184" s="5"/>
      <c r="V184" s="5"/>
      <c r="W184" s="5"/>
      <c r="X184" s="5"/>
      <c r="Y184" s="5"/>
      <c r="Z184" s="5"/>
      <c r="AA184" s="5"/>
    </row>
    <row r="185">
      <c r="A185" s="5"/>
      <c r="B185" s="5"/>
      <c r="C185" s="5"/>
      <c r="D185" s="5"/>
      <c r="E185" s="64"/>
      <c r="F185" s="5"/>
      <c r="G185" s="5"/>
      <c r="H185" s="5"/>
      <c r="I185" s="5"/>
      <c r="J185" s="5"/>
      <c r="K185" s="64"/>
      <c r="L185" s="64"/>
      <c r="M185" s="96"/>
      <c r="N185" s="5"/>
      <c r="O185" s="5"/>
      <c r="P185" s="5"/>
      <c r="Q185" s="5"/>
      <c r="R185" s="5"/>
      <c r="S185" s="5"/>
      <c r="T185" s="5"/>
      <c r="U185" s="5"/>
      <c r="V185" s="5"/>
      <c r="W185" s="5"/>
      <c r="X185" s="5"/>
      <c r="Y185" s="5"/>
      <c r="Z185" s="5"/>
      <c r="AA185" s="5"/>
    </row>
    <row r="186">
      <c r="A186" s="5"/>
      <c r="B186" s="5"/>
      <c r="C186" s="5"/>
      <c r="D186" s="5"/>
      <c r="E186" s="64"/>
      <c r="F186" s="5"/>
      <c r="G186" s="5"/>
      <c r="H186" s="5"/>
      <c r="I186" s="5"/>
      <c r="J186" s="5"/>
      <c r="K186" s="64"/>
      <c r="L186" s="64"/>
      <c r="M186" s="96"/>
      <c r="N186" s="5"/>
      <c r="O186" s="5"/>
      <c r="P186" s="5"/>
      <c r="Q186" s="5"/>
      <c r="R186" s="5"/>
      <c r="S186" s="5"/>
      <c r="T186" s="5"/>
      <c r="U186" s="5"/>
      <c r="V186" s="5"/>
      <c r="W186" s="5"/>
      <c r="X186" s="5"/>
      <c r="Y186" s="5"/>
      <c r="Z186" s="5"/>
      <c r="AA186" s="5"/>
    </row>
    <row r="187">
      <c r="A187" s="5"/>
      <c r="B187" s="5"/>
      <c r="C187" s="5"/>
      <c r="D187" s="5"/>
      <c r="E187" s="64"/>
      <c r="F187" s="5"/>
      <c r="G187" s="5"/>
      <c r="H187" s="5"/>
      <c r="I187" s="5"/>
      <c r="J187" s="5"/>
      <c r="K187" s="64"/>
      <c r="L187" s="64"/>
      <c r="M187" s="96"/>
      <c r="N187" s="5"/>
      <c r="O187" s="5"/>
      <c r="P187" s="5"/>
      <c r="Q187" s="5"/>
      <c r="R187" s="5"/>
      <c r="S187" s="5"/>
      <c r="T187" s="5"/>
      <c r="U187" s="5"/>
      <c r="V187" s="5"/>
      <c r="W187" s="5"/>
      <c r="X187" s="5"/>
      <c r="Y187" s="5"/>
      <c r="Z187" s="5"/>
      <c r="AA187" s="5"/>
    </row>
    <row r="188">
      <c r="A188" s="5"/>
      <c r="B188" s="5"/>
      <c r="C188" s="5"/>
      <c r="D188" s="5"/>
      <c r="E188" s="64"/>
      <c r="F188" s="5"/>
      <c r="G188" s="5"/>
      <c r="H188" s="5"/>
      <c r="I188" s="5"/>
      <c r="J188" s="5"/>
      <c r="K188" s="64"/>
      <c r="L188" s="64"/>
      <c r="M188" s="96"/>
      <c r="N188" s="5"/>
      <c r="O188" s="5"/>
      <c r="P188" s="5"/>
      <c r="Q188" s="5"/>
      <c r="R188" s="5"/>
      <c r="S188" s="5"/>
      <c r="T188" s="5"/>
      <c r="U188" s="5"/>
      <c r="V188" s="5"/>
      <c r="W188" s="5"/>
      <c r="X188" s="5"/>
      <c r="Y188" s="5"/>
      <c r="Z188" s="5"/>
      <c r="AA188" s="5"/>
    </row>
    <row r="189">
      <c r="A189" s="5"/>
      <c r="B189" s="5"/>
      <c r="C189" s="5"/>
      <c r="D189" s="5"/>
      <c r="E189" s="64"/>
      <c r="F189" s="5"/>
      <c r="G189" s="5"/>
      <c r="H189" s="5"/>
      <c r="I189" s="5"/>
      <c r="J189" s="5"/>
      <c r="K189" s="64"/>
      <c r="L189" s="64"/>
      <c r="M189" s="96"/>
      <c r="N189" s="5"/>
      <c r="O189" s="5"/>
      <c r="P189" s="5"/>
      <c r="Q189" s="5"/>
      <c r="R189" s="5"/>
      <c r="S189" s="5"/>
      <c r="T189" s="5"/>
      <c r="U189" s="5"/>
      <c r="V189" s="5"/>
      <c r="W189" s="5"/>
      <c r="X189" s="5"/>
      <c r="Y189" s="5"/>
      <c r="Z189" s="5"/>
      <c r="AA189" s="5"/>
    </row>
    <row r="190">
      <c r="A190" s="5"/>
      <c r="B190" s="5"/>
      <c r="C190" s="5"/>
      <c r="D190" s="5"/>
      <c r="E190" s="64"/>
      <c r="F190" s="5"/>
      <c r="G190" s="5"/>
      <c r="H190" s="5"/>
      <c r="I190" s="5"/>
      <c r="J190" s="5"/>
      <c r="K190" s="64"/>
      <c r="L190" s="64"/>
      <c r="M190" s="96"/>
      <c r="N190" s="5"/>
      <c r="O190" s="5"/>
      <c r="P190" s="5"/>
      <c r="Q190" s="5"/>
      <c r="R190" s="5"/>
      <c r="S190" s="5"/>
      <c r="T190" s="5"/>
      <c r="U190" s="5"/>
      <c r="V190" s="5"/>
      <c r="W190" s="5"/>
      <c r="X190" s="5"/>
      <c r="Y190" s="5"/>
      <c r="Z190" s="5"/>
      <c r="AA190" s="5"/>
    </row>
    <row r="191">
      <c r="A191" s="5"/>
      <c r="B191" s="5"/>
      <c r="C191" s="5"/>
      <c r="D191" s="5"/>
      <c r="E191" s="64"/>
      <c r="F191" s="5"/>
      <c r="G191" s="5"/>
      <c r="H191" s="5"/>
      <c r="I191" s="5"/>
      <c r="J191" s="5"/>
      <c r="K191" s="64"/>
      <c r="L191" s="64"/>
      <c r="M191" s="96"/>
      <c r="N191" s="5"/>
      <c r="O191" s="5"/>
      <c r="P191" s="5"/>
      <c r="Q191" s="5"/>
      <c r="R191" s="5"/>
      <c r="S191" s="5"/>
      <c r="T191" s="5"/>
      <c r="U191" s="5"/>
      <c r="V191" s="5"/>
      <c r="W191" s="5"/>
      <c r="X191" s="5"/>
      <c r="Y191" s="5"/>
      <c r="Z191" s="5"/>
      <c r="AA191" s="5"/>
    </row>
    <row r="192">
      <c r="A192" s="5"/>
      <c r="B192" s="5"/>
      <c r="C192" s="5"/>
      <c r="D192" s="5"/>
      <c r="E192" s="64"/>
      <c r="F192" s="5"/>
      <c r="G192" s="5"/>
      <c r="H192" s="5"/>
      <c r="I192" s="5"/>
      <c r="J192" s="5"/>
      <c r="K192" s="64"/>
      <c r="L192" s="64"/>
      <c r="M192" s="96"/>
      <c r="N192" s="5"/>
      <c r="O192" s="5"/>
      <c r="P192" s="5"/>
      <c r="Q192" s="5"/>
      <c r="R192" s="5"/>
      <c r="S192" s="5"/>
      <c r="T192" s="5"/>
      <c r="U192" s="5"/>
      <c r="V192" s="5"/>
      <c r="W192" s="5"/>
      <c r="X192" s="5"/>
      <c r="Y192" s="5"/>
      <c r="Z192" s="5"/>
      <c r="AA192" s="5"/>
    </row>
    <row r="193">
      <c r="A193" s="5"/>
      <c r="B193" s="5"/>
      <c r="C193" s="5"/>
      <c r="D193" s="5"/>
      <c r="E193" s="64"/>
      <c r="F193" s="5"/>
      <c r="G193" s="5"/>
      <c r="H193" s="5"/>
      <c r="I193" s="5"/>
      <c r="J193" s="5"/>
      <c r="K193" s="64"/>
      <c r="L193" s="64"/>
      <c r="M193" s="96"/>
      <c r="N193" s="5"/>
      <c r="O193" s="5"/>
      <c r="P193" s="5"/>
      <c r="Q193" s="5"/>
      <c r="R193" s="5"/>
      <c r="S193" s="5"/>
      <c r="T193" s="5"/>
      <c r="U193" s="5"/>
      <c r="V193" s="5"/>
      <c r="W193" s="5"/>
      <c r="X193" s="5"/>
      <c r="Y193" s="5"/>
      <c r="Z193" s="5"/>
      <c r="AA193" s="5"/>
    </row>
    <row r="194">
      <c r="A194" s="5"/>
      <c r="B194" s="5"/>
      <c r="C194" s="5"/>
      <c r="D194" s="5"/>
      <c r="E194" s="64"/>
      <c r="F194" s="5"/>
      <c r="G194" s="5"/>
      <c r="H194" s="5"/>
      <c r="I194" s="5"/>
      <c r="J194" s="5"/>
      <c r="K194" s="64"/>
      <c r="L194" s="64"/>
      <c r="M194" s="96"/>
      <c r="N194" s="5"/>
      <c r="O194" s="5"/>
      <c r="P194" s="5"/>
      <c r="Q194" s="5"/>
      <c r="R194" s="5"/>
      <c r="S194" s="5"/>
      <c r="T194" s="5"/>
      <c r="U194" s="5"/>
      <c r="V194" s="5"/>
      <c r="W194" s="5"/>
      <c r="X194" s="5"/>
      <c r="Y194" s="5"/>
      <c r="Z194" s="5"/>
      <c r="AA194" s="5"/>
    </row>
    <row r="195">
      <c r="A195" s="5"/>
      <c r="B195" s="5"/>
      <c r="C195" s="5"/>
      <c r="D195" s="5"/>
      <c r="E195" s="64"/>
      <c r="F195" s="5"/>
      <c r="G195" s="5"/>
      <c r="H195" s="5"/>
      <c r="I195" s="5"/>
      <c r="J195" s="5"/>
      <c r="K195" s="64"/>
      <c r="L195" s="64"/>
      <c r="M195" s="96"/>
      <c r="N195" s="5"/>
      <c r="O195" s="5"/>
      <c r="P195" s="5"/>
      <c r="Q195" s="5"/>
      <c r="R195" s="5"/>
      <c r="S195" s="5"/>
      <c r="T195" s="5"/>
      <c r="U195" s="5"/>
      <c r="V195" s="5"/>
      <c r="W195" s="5"/>
      <c r="X195" s="5"/>
      <c r="Y195" s="5"/>
      <c r="Z195" s="5"/>
      <c r="AA195" s="5"/>
    </row>
    <row r="196">
      <c r="A196" s="5"/>
      <c r="B196" s="5"/>
      <c r="C196" s="5"/>
      <c r="D196" s="5"/>
      <c r="E196" s="64"/>
      <c r="F196" s="5"/>
      <c r="G196" s="5"/>
      <c r="H196" s="5"/>
      <c r="I196" s="5"/>
      <c r="J196" s="5"/>
      <c r="K196" s="64"/>
      <c r="L196" s="64"/>
      <c r="M196" s="96"/>
      <c r="N196" s="5"/>
      <c r="O196" s="5"/>
      <c r="P196" s="5"/>
      <c r="Q196" s="5"/>
      <c r="R196" s="5"/>
      <c r="S196" s="5"/>
      <c r="T196" s="5"/>
      <c r="U196" s="5"/>
      <c r="V196" s="5"/>
      <c r="W196" s="5"/>
      <c r="X196" s="5"/>
      <c r="Y196" s="5"/>
      <c r="Z196" s="5"/>
      <c r="AA196" s="5"/>
    </row>
    <row r="197">
      <c r="A197" s="5"/>
      <c r="B197" s="5"/>
      <c r="C197" s="5"/>
      <c r="D197" s="5"/>
      <c r="E197" s="64"/>
      <c r="F197" s="5"/>
      <c r="G197" s="5"/>
      <c r="H197" s="5"/>
      <c r="I197" s="5"/>
      <c r="J197" s="5"/>
      <c r="K197" s="64"/>
      <c r="L197" s="64"/>
      <c r="M197" s="96"/>
      <c r="N197" s="5"/>
      <c r="O197" s="5"/>
      <c r="P197" s="5"/>
      <c r="Q197" s="5"/>
      <c r="R197" s="5"/>
      <c r="S197" s="5"/>
      <c r="T197" s="5"/>
      <c r="U197" s="5"/>
      <c r="V197" s="5"/>
      <c r="W197" s="5"/>
      <c r="X197" s="5"/>
      <c r="Y197" s="5"/>
      <c r="Z197" s="5"/>
      <c r="AA197" s="5"/>
    </row>
    <row r="198">
      <c r="A198" s="5"/>
      <c r="B198" s="5"/>
      <c r="C198" s="5"/>
      <c r="D198" s="5"/>
      <c r="E198" s="64"/>
      <c r="F198" s="5"/>
      <c r="G198" s="5"/>
      <c r="H198" s="5"/>
      <c r="I198" s="5"/>
      <c r="J198" s="5"/>
      <c r="K198" s="64"/>
      <c r="L198" s="64"/>
      <c r="M198" s="96"/>
      <c r="N198" s="5"/>
      <c r="O198" s="5"/>
      <c r="P198" s="5"/>
      <c r="Q198" s="5"/>
      <c r="R198" s="5"/>
      <c r="S198" s="5"/>
      <c r="T198" s="5"/>
      <c r="U198" s="5"/>
      <c r="V198" s="5"/>
      <c r="W198" s="5"/>
      <c r="X198" s="5"/>
      <c r="Y198" s="5"/>
      <c r="Z198" s="5"/>
      <c r="AA198" s="5"/>
    </row>
    <row r="199">
      <c r="A199" s="5"/>
      <c r="B199" s="5"/>
      <c r="C199" s="5"/>
      <c r="D199" s="5"/>
      <c r="E199" s="64"/>
      <c r="F199" s="5"/>
      <c r="G199" s="5"/>
      <c r="H199" s="5"/>
      <c r="I199" s="5"/>
      <c r="J199" s="5"/>
      <c r="K199" s="64"/>
      <c r="L199" s="64"/>
      <c r="M199" s="96"/>
      <c r="N199" s="5"/>
      <c r="O199" s="5"/>
      <c r="P199" s="5"/>
      <c r="Q199" s="5"/>
      <c r="R199" s="5"/>
      <c r="S199" s="5"/>
      <c r="T199" s="5"/>
      <c r="U199" s="5"/>
      <c r="V199" s="5"/>
      <c r="W199" s="5"/>
      <c r="X199" s="5"/>
      <c r="Y199" s="5"/>
      <c r="Z199" s="5"/>
      <c r="AA199" s="5"/>
    </row>
    <row r="200">
      <c r="A200" s="5"/>
      <c r="B200" s="5"/>
      <c r="C200" s="5"/>
      <c r="D200" s="5"/>
      <c r="E200" s="64"/>
      <c r="F200" s="5"/>
      <c r="G200" s="5"/>
      <c r="H200" s="5"/>
      <c r="I200" s="5"/>
      <c r="J200" s="5"/>
      <c r="K200" s="64"/>
      <c r="L200" s="64"/>
      <c r="M200" s="96"/>
      <c r="N200" s="5"/>
      <c r="O200" s="5"/>
      <c r="P200" s="5"/>
      <c r="Q200" s="5"/>
      <c r="R200" s="5"/>
      <c r="S200" s="5"/>
      <c r="T200" s="5"/>
      <c r="U200" s="5"/>
      <c r="V200" s="5"/>
      <c r="W200" s="5"/>
      <c r="X200" s="5"/>
      <c r="Y200" s="5"/>
      <c r="Z200" s="5"/>
      <c r="AA200" s="5"/>
    </row>
    <row r="201">
      <c r="A201" s="5"/>
      <c r="B201" s="5"/>
      <c r="C201" s="5"/>
      <c r="D201" s="5"/>
      <c r="E201" s="64"/>
      <c r="F201" s="5"/>
      <c r="G201" s="5"/>
      <c r="H201" s="5"/>
      <c r="I201" s="5"/>
      <c r="J201" s="5"/>
      <c r="K201" s="64"/>
      <c r="L201" s="64"/>
      <c r="M201" s="96"/>
      <c r="N201" s="5"/>
      <c r="O201" s="5"/>
      <c r="P201" s="5"/>
      <c r="Q201" s="5"/>
      <c r="R201" s="5"/>
      <c r="S201" s="5"/>
      <c r="T201" s="5"/>
      <c r="U201" s="5"/>
      <c r="V201" s="5"/>
      <c r="W201" s="5"/>
      <c r="X201" s="5"/>
      <c r="Y201" s="5"/>
      <c r="Z201" s="5"/>
      <c r="AA201" s="5"/>
    </row>
    <row r="202">
      <c r="A202" s="5"/>
      <c r="B202" s="5"/>
      <c r="C202" s="5"/>
      <c r="D202" s="5"/>
      <c r="E202" s="64"/>
      <c r="F202" s="5"/>
      <c r="G202" s="5"/>
      <c r="H202" s="5"/>
      <c r="I202" s="5"/>
      <c r="J202" s="5"/>
      <c r="K202" s="64"/>
      <c r="L202" s="64"/>
      <c r="M202" s="96"/>
      <c r="N202" s="5"/>
      <c r="O202" s="5"/>
      <c r="P202" s="5"/>
      <c r="Q202" s="5"/>
      <c r="R202" s="5"/>
      <c r="S202" s="5"/>
      <c r="T202" s="5"/>
      <c r="U202" s="5"/>
      <c r="V202" s="5"/>
      <c r="W202" s="5"/>
      <c r="X202" s="5"/>
      <c r="Y202" s="5"/>
      <c r="Z202" s="5"/>
      <c r="AA202" s="5"/>
    </row>
    <row r="203">
      <c r="A203" s="5"/>
      <c r="B203" s="5"/>
      <c r="C203" s="5"/>
      <c r="D203" s="5"/>
      <c r="E203" s="64"/>
      <c r="F203" s="5"/>
      <c r="G203" s="5"/>
      <c r="H203" s="5"/>
      <c r="I203" s="5"/>
      <c r="J203" s="5"/>
      <c r="K203" s="64"/>
      <c r="L203" s="64"/>
      <c r="M203" s="96"/>
      <c r="N203" s="5"/>
      <c r="O203" s="5"/>
      <c r="P203" s="5"/>
      <c r="Q203" s="5"/>
      <c r="R203" s="5"/>
      <c r="S203" s="5"/>
      <c r="T203" s="5"/>
      <c r="U203" s="5"/>
      <c r="V203" s="5"/>
      <c r="W203" s="5"/>
      <c r="X203" s="5"/>
      <c r="Y203" s="5"/>
      <c r="Z203" s="5"/>
      <c r="AA203" s="5"/>
    </row>
    <row r="204">
      <c r="A204" s="5"/>
      <c r="B204" s="5"/>
      <c r="C204" s="5"/>
      <c r="D204" s="5"/>
      <c r="E204" s="64"/>
      <c r="F204" s="5"/>
      <c r="G204" s="5"/>
      <c r="H204" s="5"/>
      <c r="I204" s="5"/>
      <c r="J204" s="5"/>
      <c r="K204" s="64"/>
      <c r="L204" s="64"/>
      <c r="M204" s="96"/>
      <c r="N204" s="5"/>
      <c r="O204" s="5"/>
      <c r="P204" s="5"/>
      <c r="Q204" s="5"/>
      <c r="R204" s="5"/>
      <c r="S204" s="5"/>
      <c r="T204" s="5"/>
      <c r="U204" s="5"/>
      <c r="V204" s="5"/>
      <c r="W204" s="5"/>
      <c r="X204" s="5"/>
      <c r="Y204" s="5"/>
      <c r="Z204" s="5"/>
      <c r="AA204" s="5"/>
    </row>
    <row r="205">
      <c r="A205" s="5"/>
      <c r="B205" s="5"/>
      <c r="C205" s="5"/>
      <c r="D205" s="5"/>
      <c r="E205" s="64"/>
      <c r="F205" s="5"/>
      <c r="G205" s="5"/>
      <c r="H205" s="5"/>
      <c r="I205" s="5"/>
      <c r="J205" s="5"/>
      <c r="K205" s="64"/>
      <c r="L205" s="64"/>
      <c r="M205" s="96"/>
      <c r="N205" s="5"/>
      <c r="O205" s="5"/>
      <c r="P205" s="5"/>
      <c r="Q205" s="5"/>
      <c r="R205" s="5"/>
      <c r="S205" s="5"/>
      <c r="T205" s="5"/>
      <c r="U205" s="5"/>
      <c r="V205" s="5"/>
      <c r="W205" s="5"/>
      <c r="X205" s="5"/>
      <c r="Y205" s="5"/>
      <c r="Z205" s="5"/>
      <c r="AA205" s="5"/>
    </row>
    <row r="206">
      <c r="A206" s="5"/>
      <c r="B206" s="5"/>
      <c r="C206" s="5"/>
      <c r="D206" s="5"/>
      <c r="E206" s="64"/>
      <c r="F206" s="5"/>
      <c r="G206" s="5"/>
      <c r="H206" s="5"/>
      <c r="I206" s="5"/>
      <c r="J206" s="5"/>
      <c r="K206" s="64"/>
      <c r="L206" s="64"/>
      <c r="M206" s="96"/>
      <c r="N206" s="5"/>
      <c r="O206" s="5"/>
      <c r="P206" s="5"/>
      <c r="Q206" s="5"/>
      <c r="R206" s="5"/>
      <c r="S206" s="5"/>
      <c r="T206" s="5"/>
      <c r="U206" s="5"/>
      <c r="V206" s="5"/>
      <c r="W206" s="5"/>
      <c r="X206" s="5"/>
      <c r="Y206" s="5"/>
      <c r="Z206" s="5"/>
      <c r="AA206" s="5"/>
    </row>
    <row r="207">
      <c r="A207" s="5"/>
      <c r="B207" s="5"/>
      <c r="C207" s="5"/>
      <c r="D207" s="5"/>
      <c r="E207" s="64"/>
      <c r="F207" s="5"/>
      <c r="G207" s="5"/>
      <c r="H207" s="5"/>
      <c r="I207" s="5"/>
      <c r="J207" s="5"/>
      <c r="K207" s="64"/>
      <c r="L207" s="64"/>
      <c r="M207" s="96"/>
      <c r="N207" s="5"/>
      <c r="O207" s="5"/>
      <c r="P207" s="5"/>
      <c r="Q207" s="5"/>
      <c r="R207" s="5"/>
      <c r="S207" s="5"/>
      <c r="T207" s="5"/>
      <c r="U207" s="5"/>
      <c r="V207" s="5"/>
      <c r="W207" s="5"/>
      <c r="X207" s="5"/>
      <c r="Y207" s="5"/>
      <c r="Z207" s="5"/>
      <c r="AA207" s="5"/>
    </row>
    <row r="208">
      <c r="A208" s="5"/>
      <c r="B208" s="5"/>
      <c r="C208" s="5"/>
      <c r="D208" s="5"/>
      <c r="E208" s="64"/>
      <c r="F208" s="5"/>
      <c r="G208" s="5"/>
      <c r="H208" s="5"/>
      <c r="I208" s="5"/>
      <c r="J208" s="5"/>
      <c r="K208" s="64"/>
      <c r="L208" s="64"/>
      <c r="M208" s="96"/>
      <c r="N208" s="5"/>
      <c r="O208" s="5"/>
      <c r="P208" s="5"/>
      <c r="Q208" s="5"/>
      <c r="R208" s="5"/>
      <c r="S208" s="5"/>
      <c r="T208" s="5"/>
      <c r="U208" s="5"/>
      <c r="V208" s="5"/>
      <c r="W208" s="5"/>
      <c r="X208" s="5"/>
      <c r="Y208" s="5"/>
      <c r="Z208" s="5"/>
      <c r="AA208" s="5"/>
    </row>
    <row r="209">
      <c r="A209" s="5"/>
      <c r="B209" s="5"/>
      <c r="C209" s="5"/>
      <c r="D209" s="5"/>
      <c r="E209" s="64"/>
      <c r="F209" s="5"/>
      <c r="G209" s="5"/>
      <c r="H209" s="5"/>
      <c r="I209" s="5"/>
      <c r="J209" s="5"/>
      <c r="K209" s="64"/>
      <c r="L209" s="64"/>
      <c r="M209" s="96"/>
      <c r="N209" s="5"/>
      <c r="O209" s="5"/>
      <c r="P209" s="5"/>
      <c r="Q209" s="5"/>
      <c r="R209" s="5"/>
      <c r="S209" s="5"/>
      <c r="T209" s="5"/>
      <c r="U209" s="5"/>
      <c r="V209" s="5"/>
      <c r="W209" s="5"/>
      <c r="X209" s="5"/>
      <c r="Y209" s="5"/>
      <c r="Z209" s="5"/>
      <c r="AA209" s="5"/>
    </row>
    <row r="210">
      <c r="A210" s="5"/>
      <c r="B210" s="5"/>
      <c r="C210" s="5"/>
      <c r="D210" s="5"/>
      <c r="E210" s="64"/>
      <c r="F210" s="5"/>
      <c r="G210" s="5"/>
      <c r="H210" s="5"/>
      <c r="I210" s="5"/>
      <c r="J210" s="5"/>
      <c r="K210" s="64"/>
      <c r="L210" s="64"/>
      <c r="M210" s="96"/>
      <c r="N210" s="5"/>
      <c r="O210" s="5"/>
      <c r="P210" s="5"/>
      <c r="Q210" s="5"/>
      <c r="R210" s="5"/>
      <c r="S210" s="5"/>
      <c r="T210" s="5"/>
      <c r="U210" s="5"/>
      <c r="V210" s="5"/>
      <c r="W210" s="5"/>
      <c r="X210" s="5"/>
      <c r="Y210" s="5"/>
      <c r="Z210" s="5"/>
      <c r="AA210" s="5"/>
    </row>
    <row r="211">
      <c r="A211" s="5"/>
      <c r="B211" s="5"/>
      <c r="C211" s="5"/>
      <c r="D211" s="5"/>
      <c r="E211" s="64"/>
      <c r="F211" s="5"/>
      <c r="G211" s="5"/>
      <c r="H211" s="5"/>
      <c r="I211" s="5"/>
      <c r="J211" s="5"/>
      <c r="K211" s="64"/>
      <c r="L211" s="64"/>
      <c r="M211" s="96"/>
      <c r="N211" s="5"/>
      <c r="O211" s="5"/>
      <c r="P211" s="5"/>
      <c r="Q211" s="5"/>
      <c r="R211" s="5"/>
      <c r="S211" s="5"/>
      <c r="T211" s="5"/>
      <c r="U211" s="5"/>
      <c r="V211" s="5"/>
      <c r="W211" s="5"/>
      <c r="X211" s="5"/>
      <c r="Y211" s="5"/>
      <c r="Z211" s="5"/>
      <c r="AA211" s="5"/>
    </row>
    <row r="212">
      <c r="A212" s="5"/>
      <c r="B212" s="5"/>
      <c r="C212" s="5"/>
      <c r="D212" s="5"/>
      <c r="E212" s="64"/>
      <c r="F212" s="5"/>
      <c r="G212" s="5"/>
      <c r="H212" s="5"/>
      <c r="I212" s="5"/>
      <c r="J212" s="5"/>
      <c r="K212" s="64"/>
      <c r="L212" s="64"/>
      <c r="M212" s="96"/>
      <c r="N212" s="5"/>
      <c r="O212" s="5"/>
      <c r="P212" s="5"/>
      <c r="Q212" s="5"/>
      <c r="R212" s="5"/>
      <c r="S212" s="5"/>
      <c r="T212" s="5"/>
      <c r="U212" s="5"/>
      <c r="V212" s="5"/>
      <c r="W212" s="5"/>
      <c r="X212" s="5"/>
      <c r="Y212" s="5"/>
      <c r="Z212" s="5"/>
      <c r="AA212" s="5"/>
    </row>
    <row r="213">
      <c r="A213" s="5"/>
      <c r="B213" s="5"/>
      <c r="C213" s="5"/>
      <c r="D213" s="5"/>
      <c r="E213" s="64"/>
      <c r="F213" s="5"/>
      <c r="G213" s="5"/>
      <c r="H213" s="5"/>
      <c r="I213" s="5"/>
      <c r="J213" s="5"/>
      <c r="K213" s="64"/>
      <c r="L213" s="64"/>
      <c r="M213" s="96"/>
      <c r="N213" s="5"/>
      <c r="O213" s="5"/>
      <c r="P213" s="5"/>
      <c r="Q213" s="5"/>
      <c r="R213" s="5"/>
      <c r="S213" s="5"/>
      <c r="T213" s="5"/>
      <c r="U213" s="5"/>
      <c r="V213" s="5"/>
      <c r="W213" s="5"/>
      <c r="X213" s="5"/>
      <c r="Y213" s="5"/>
      <c r="Z213" s="5"/>
      <c r="AA213" s="5"/>
    </row>
    <row r="214">
      <c r="A214" s="5"/>
      <c r="B214" s="5"/>
      <c r="C214" s="5"/>
      <c r="D214" s="5"/>
      <c r="E214" s="64"/>
      <c r="F214" s="5"/>
      <c r="G214" s="5"/>
      <c r="H214" s="5"/>
      <c r="I214" s="5"/>
      <c r="J214" s="5"/>
      <c r="K214" s="64"/>
      <c r="L214" s="64"/>
      <c r="M214" s="96"/>
      <c r="N214" s="5"/>
      <c r="O214" s="5"/>
      <c r="P214" s="5"/>
      <c r="Q214" s="5"/>
      <c r="R214" s="5"/>
      <c r="S214" s="5"/>
      <c r="T214" s="5"/>
      <c r="U214" s="5"/>
      <c r="V214" s="5"/>
      <c r="W214" s="5"/>
      <c r="X214" s="5"/>
      <c r="Y214" s="5"/>
      <c r="Z214" s="5"/>
      <c r="AA214" s="5"/>
    </row>
    <row r="215">
      <c r="A215" s="5"/>
      <c r="B215" s="5"/>
      <c r="C215" s="5"/>
      <c r="D215" s="5"/>
      <c r="E215" s="64"/>
      <c r="F215" s="5"/>
      <c r="G215" s="5"/>
      <c r="H215" s="5"/>
      <c r="I215" s="5"/>
      <c r="J215" s="5"/>
      <c r="K215" s="64"/>
      <c r="L215" s="64"/>
      <c r="M215" s="96"/>
      <c r="N215" s="5"/>
      <c r="O215" s="5"/>
      <c r="P215" s="5"/>
      <c r="Q215" s="5"/>
      <c r="R215" s="5"/>
      <c r="S215" s="5"/>
      <c r="T215" s="5"/>
      <c r="U215" s="5"/>
      <c r="V215" s="5"/>
      <c r="W215" s="5"/>
      <c r="X215" s="5"/>
      <c r="Y215" s="5"/>
      <c r="Z215" s="5"/>
      <c r="AA215" s="5"/>
    </row>
    <row r="216">
      <c r="A216" s="5"/>
      <c r="B216" s="5"/>
      <c r="C216" s="5"/>
      <c r="D216" s="5"/>
      <c r="E216" s="64"/>
      <c r="F216" s="5"/>
      <c r="G216" s="5"/>
      <c r="H216" s="5"/>
      <c r="I216" s="5"/>
      <c r="J216" s="5"/>
      <c r="K216" s="64"/>
      <c r="L216" s="64"/>
      <c r="M216" s="96"/>
      <c r="N216" s="5"/>
      <c r="O216" s="5"/>
      <c r="P216" s="5"/>
      <c r="Q216" s="5"/>
      <c r="R216" s="5"/>
      <c r="S216" s="5"/>
      <c r="T216" s="5"/>
      <c r="U216" s="5"/>
      <c r="V216" s="5"/>
      <c r="W216" s="5"/>
      <c r="X216" s="5"/>
      <c r="Y216" s="5"/>
      <c r="Z216" s="5"/>
      <c r="AA216" s="5"/>
    </row>
    <row r="217">
      <c r="A217" s="5"/>
      <c r="B217" s="5"/>
      <c r="C217" s="5"/>
      <c r="D217" s="5"/>
      <c r="E217" s="64"/>
      <c r="F217" s="5"/>
      <c r="G217" s="5"/>
      <c r="H217" s="5"/>
      <c r="I217" s="5"/>
      <c r="J217" s="5"/>
      <c r="K217" s="64"/>
      <c r="L217" s="64"/>
      <c r="M217" s="96"/>
      <c r="N217" s="5"/>
      <c r="O217" s="5"/>
      <c r="P217" s="5"/>
      <c r="Q217" s="5"/>
      <c r="R217" s="5"/>
      <c r="S217" s="5"/>
      <c r="T217" s="5"/>
      <c r="U217" s="5"/>
      <c r="V217" s="5"/>
      <c r="W217" s="5"/>
      <c r="X217" s="5"/>
      <c r="Y217" s="5"/>
      <c r="Z217" s="5"/>
      <c r="AA217" s="5"/>
    </row>
    <row r="218">
      <c r="A218" s="5"/>
      <c r="B218" s="5"/>
      <c r="C218" s="5"/>
      <c r="D218" s="5"/>
      <c r="E218" s="64"/>
      <c r="F218" s="5"/>
      <c r="G218" s="5"/>
      <c r="H218" s="5"/>
      <c r="I218" s="5"/>
      <c r="J218" s="5"/>
      <c r="K218" s="64"/>
      <c r="L218" s="64"/>
      <c r="M218" s="96"/>
      <c r="N218" s="5"/>
      <c r="O218" s="5"/>
      <c r="P218" s="5"/>
      <c r="Q218" s="5"/>
      <c r="R218" s="5"/>
      <c r="S218" s="5"/>
      <c r="T218" s="5"/>
      <c r="U218" s="5"/>
      <c r="V218" s="5"/>
      <c r="W218" s="5"/>
      <c r="X218" s="5"/>
      <c r="Y218" s="5"/>
      <c r="Z218" s="5"/>
      <c r="AA218" s="5"/>
    </row>
    <row r="219">
      <c r="A219" s="5"/>
      <c r="B219" s="5"/>
      <c r="C219" s="5"/>
      <c r="D219" s="5"/>
      <c r="E219" s="64"/>
      <c r="F219" s="5"/>
      <c r="G219" s="5"/>
      <c r="H219" s="5"/>
      <c r="I219" s="5"/>
      <c r="J219" s="5"/>
      <c r="K219" s="64"/>
      <c r="L219" s="64"/>
      <c r="M219" s="96"/>
      <c r="N219" s="5"/>
      <c r="O219" s="5"/>
      <c r="P219" s="5"/>
      <c r="Q219" s="5"/>
      <c r="R219" s="5"/>
      <c r="S219" s="5"/>
      <c r="T219" s="5"/>
      <c r="U219" s="5"/>
      <c r="V219" s="5"/>
      <c r="W219" s="5"/>
      <c r="X219" s="5"/>
      <c r="Y219" s="5"/>
      <c r="Z219" s="5"/>
      <c r="AA219" s="5"/>
    </row>
    <row r="220">
      <c r="A220" s="5"/>
      <c r="B220" s="5"/>
      <c r="C220" s="5"/>
      <c r="D220" s="5"/>
      <c r="E220" s="64"/>
      <c r="F220" s="5"/>
      <c r="G220" s="5"/>
      <c r="H220" s="5"/>
      <c r="I220" s="5"/>
      <c r="J220" s="5"/>
      <c r="K220" s="64"/>
      <c r="L220" s="64"/>
      <c r="M220" s="96"/>
      <c r="N220" s="5"/>
      <c r="O220" s="5"/>
      <c r="P220" s="5"/>
      <c r="Q220" s="5"/>
      <c r="R220" s="5"/>
      <c r="S220" s="5"/>
      <c r="T220" s="5"/>
      <c r="U220" s="5"/>
      <c r="V220" s="5"/>
      <c r="W220" s="5"/>
      <c r="X220" s="5"/>
      <c r="Y220" s="5"/>
      <c r="Z220" s="5"/>
      <c r="AA220" s="5"/>
    </row>
    <row r="221">
      <c r="A221" s="5"/>
      <c r="B221" s="5"/>
      <c r="C221" s="5"/>
      <c r="D221" s="5"/>
      <c r="E221" s="64"/>
      <c r="F221" s="5"/>
      <c r="G221" s="5"/>
      <c r="H221" s="5"/>
      <c r="I221" s="5"/>
      <c r="J221" s="5"/>
      <c r="K221" s="64"/>
      <c r="L221" s="64"/>
      <c r="M221" s="96"/>
      <c r="N221" s="5"/>
      <c r="O221" s="5"/>
      <c r="P221" s="5"/>
      <c r="Q221" s="5"/>
      <c r="R221" s="5"/>
      <c r="S221" s="5"/>
      <c r="T221" s="5"/>
      <c r="U221" s="5"/>
      <c r="V221" s="5"/>
      <c r="W221" s="5"/>
      <c r="X221" s="5"/>
      <c r="Y221" s="5"/>
      <c r="Z221" s="5"/>
      <c r="AA221" s="5"/>
    </row>
    <row r="222">
      <c r="A222" s="5"/>
      <c r="B222" s="5"/>
      <c r="C222" s="5"/>
      <c r="D222" s="5"/>
      <c r="E222" s="64"/>
      <c r="F222" s="5"/>
      <c r="G222" s="5"/>
      <c r="H222" s="5"/>
      <c r="I222" s="5"/>
      <c r="J222" s="5"/>
      <c r="K222" s="64"/>
      <c r="L222" s="64"/>
      <c r="M222" s="96"/>
      <c r="N222" s="5"/>
      <c r="O222" s="5"/>
      <c r="P222" s="5"/>
      <c r="Q222" s="5"/>
      <c r="R222" s="5"/>
      <c r="S222" s="5"/>
      <c r="T222" s="5"/>
      <c r="U222" s="5"/>
      <c r="V222" s="5"/>
      <c r="W222" s="5"/>
      <c r="X222" s="5"/>
      <c r="Y222" s="5"/>
      <c r="Z222" s="5"/>
      <c r="AA222" s="5"/>
    </row>
    <row r="223">
      <c r="A223" s="5"/>
      <c r="B223" s="5"/>
      <c r="C223" s="5"/>
      <c r="D223" s="5"/>
      <c r="E223" s="64"/>
      <c r="F223" s="5"/>
      <c r="G223" s="5"/>
      <c r="H223" s="5"/>
      <c r="I223" s="5"/>
      <c r="J223" s="5"/>
      <c r="K223" s="64"/>
      <c r="L223" s="64"/>
      <c r="M223" s="96"/>
      <c r="N223" s="5"/>
      <c r="O223" s="5"/>
      <c r="P223" s="5"/>
      <c r="Q223" s="5"/>
      <c r="R223" s="5"/>
      <c r="S223" s="5"/>
      <c r="T223" s="5"/>
      <c r="U223" s="5"/>
      <c r="V223" s="5"/>
      <c r="W223" s="5"/>
      <c r="X223" s="5"/>
      <c r="Y223" s="5"/>
      <c r="Z223" s="5"/>
      <c r="AA223" s="5"/>
    </row>
    <row r="224">
      <c r="A224" s="5"/>
      <c r="B224" s="5"/>
      <c r="C224" s="5"/>
      <c r="D224" s="5"/>
      <c r="E224" s="64"/>
      <c r="F224" s="5"/>
      <c r="G224" s="5"/>
      <c r="H224" s="5"/>
      <c r="I224" s="5"/>
      <c r="J224" s="5"/>
      <c r="K224" s="64"/>
      <c r="L224" s="64"/>
      <c r="M224" s="96"/>
      <c r="N224" s="5"/>
      <c r="O224" s="5"/>
      <c r="P224" s="5"/>
      <c r="Q224" s="5"/>
      <c r="R224" s="5"/>
      <c r="S224" s="5"/>
      <c r="T224" s="5"/>
      <c r="U224" s="5"/>
      <c r="V224" s="5"/>
      <c r="W224" s="5"/>
      <c r="X224" s="5"/>
      <c r="Y224" s="5"/>
      <c r="Z224" s="5"/>
      <c r="AA224" s="5"/>
    </row>
    <row r="225">
      <c r="A225" s="5"/>
      <c r="B225" s="5"/>
      <c r="C225" s="5"/>
      <c r="D225" s="5"/>
      <c r="E225" s="64"/>
      <c r="F225" s="5"/>
      <c r="G225" s="5"/>
      <c r="H225" s="5"/>
      <c r="I225" s="5"/>
      <c r="J225" s="5"/>
      <c r="K225" s="64"/>
      <c r="L225" s="64"/>
      <c r="M225" s="96"/>
      <c r="N225" s="5"/>
      <c r="O225" s="5"/>
      <c r="P225" s="5"/>
      <c r="Q225" s="5"/>
      <c r="R225" s="5"/>
      <c r="S225" s="5"/>
      <c r="T225" s="5"/>
      <c r="U225" s="5"/>
      <c r="V225" s="5"/>
      <c r="W225" s="5"/>
      <c r="X225" s="5"/>
      <c r="Y225" s="5"/>
      <c r="Z225" s="5"/>
      <c r="AA225" s="5"/>
    </row>
    <row r="226">
      <c r="A226" s="5"/>
      <c r="B226" s="5"/>
      <c r="C226" s="5"/>
      <c r="D226" s="5"/>
      <c r="E226" s="64"/>
      <c r="F226" s="5"/>
      <c r="G226" s="5"/>
      <c r="H226" s="5"/>
      <c r="I226" s="5"/>
      <c r="J226" s="5"/>
      <c r="K226" s="64"/>
      <c r="L226" s="64"/>
      <c r="M226" s="96"/>
      <c r="N226" s="5"/>
      <c r="O226" s="5"/>
      <c r="P226" s="5"/>
      <c r="Q226" s="5"/>
      <c r="R226" s="5"/>
      <c r="S226" s="5"/>
      <c r="T226" s="5"/>
      <c r="U226" s="5"/>
      <c r="V226" s="5"/>
      <c r="W226" s="5"/>
      <c r="X226" s="5"/>
      <c r="Y226" s="5"/>
      <c r="Z226" s="5"/>
      <c r="AA226" s="5"/>
    </row>
    <row r="227">
      <c r="A227" s="5"/>
      <c r="B227" s="5"/>
      <c r="C227" s="5"/>
      <c r="D227" s="5"/>
      <c r="E227" s="64"/>
      <c r="F227" s="5"/>
      <c r="G227" s="5"/>
      <c r="H227" s="5"/>
      <c r="I227" s="5"/>
      <c r="J227" s="5"/>
      <c r="K227" s="64"/>
      <c r="L227" s="64"/>
      <c r="M227" s="96"/>
      <c r="N227" s="5"/>
      <c r="O227" s="5"/>
      <c r="P227" s="5"/>
      <c r="Q227" s="5"/>
      <c r="R227" s="5"/>
      <c r="S227" s="5"/>
      <c r="T227" s="5"/>
      <c r="U227" s="5"/>
      <c r="V227" s="5"/>
      <c r="W227" s="5"/>
      <c r="X227" s="5"/>
      <c r="Y227" s="5"/>
      <c r="Z227" s="5"/>
      <c r="AA227" s="5"/>
    </row>
    <row r="228">
      <c r="A228" s="5"/>
      <c r="B228" s="5"/>
      <c r="C228" s="5"/>
      <c r="D228" s="5"/>
      <c r="E228" s="64"/>
      <c r="F228" s="5"/>
      <c r="G228" s="5"/>
      <c r="H228" s="5"/>
      <c r="I228" s="5"/>
      <c r="J228" s="5"/>
      <c r="K228" s="64"/>
      <c r="L228" s="64"/>
      <c r="M228" s="96"/>
      <c r="N228" s="5"/>
      <c r="O228" s="5"/>
      <c r="P228" s="5"/>
      <c r="Q228" s="5"/>
      <c r="R228" s="5"/>
      <c r="S228" s="5"/>
      <c r="T228" s="5"/>
      <c r="U228" s="5"/>
      <c r="V228" s="5"/>
      <c r="W228" s="5"/>
      <c r="X228" s="5"/>
      <c r="Y228" s="5"/>
      <c r="Z228" s="5"/>
      <c r="AA228" s="5"/>
    </row>
    <row r="229">
      <c r="A229" s="5"/>
      <c r="B229" s="5"/>
      <c r="C229" s="5"/>
      <c r="D229" s="5"/>
      <c r="E229" s="64"/>
      <c r="F229" s="5"/>
      <c r="G229" s="5"/>
      <c r="H229" s="5"/>
      <c r="I229" s="5"/>
      <c r="J229" s="5"/>
      <c r="K229" s="64"/>
      <c r="L229" s="64"/>
      <c r="M229" s="96"/>
      <c r="N229" s="5"/>
      <c r="O229" s="5"/>
      <c r="P229" s="5"/>
      <c r="Q229" s="5"/>
      <c r="R229" s="5"/>
      <c r="S229" s="5"/>
      <c r="T229" s="5"/>
      <c r="U229" s="5"/>
      <c r="V229" s="5"/>
      <c r="W229" s="5"/>
      <c r="X229" s="5"/>
      <c r="Y229" s="5"/>
      <c r="Z229" s="5"/>
      <c r="AA229" s="5"/>
    </row>
    <row r="230">
      <c r="A230" s="5"/>
      <c r="B230" s="5"/>
      <c r="C230" s="5"/>
      <c r="D230" s="5"/>
      <c r="E230" s="64"/>
      <c r="F230" s="5"/>
      <c r="G230" s="5"/>
      <c r="H230" s="5"/>
      <c r="I230" s="5"/>
      <c r="J230" s="5"/>
      <c r="K230" s="64"/>
      <c r="L230" s="64"/>
      <c r="M230" s="96"/>
      <c r="N230" s="5"/>
      <c r="O230" s="5"/>
      <c r="P230" s="5"/>
      <c r="Q230" s="5"/>
      <c r="R230" s="5"/>
      <c r="S230" s="5"/>
      <c r="T230" s="5"/>
      <c r="U230" s="5"/>
      <c r="V230" s="5"/>
      <c r="W230" s="5"/>
      <c r="X230" s="5"/>
      <c r="Y230" s="5"/>
      <c r="Z230" s="5"/>
      <c r="AA230" s="5"/>
    </row>
    <row r="231">
      <c r="A231" s="5"/>
      <c r="B231" s="5"/>
      <c r="C231" s="5"/>
      <c r="D231" s="5"/>
      <c r="E231" s="64"/>
      <c r="F231" s="5"/>
      <c r="G231" s="5"/>
      <c r="H231" s="5"/>
      <c r="I231" s="5"/>
      <c r="J231" s="5"/>
      <c r="K231" s="64"/>
      <c r="L231" s="64"/>
      <c r="M231" s="96"/>
      <c r="N231" s="5"/>
      <c r="O231" s="5"/>
      <c r="P231" s="5"/>
      <c r="Q231" s="5"/>
      <c r="R231" s="5"/>
      <c r="S231" s="5"/>
      <c r="T231" s="5"/>
      <c r="U231" s="5"/>
      <c r="V231" s="5"/>
      <c r="W231" s="5"/>
      <c r="X231" s="5"/>
      <c r="Y231" s="5"/>
      <c r="Z231" s="5"/>
      <c r="AA231" s="5"/>
    </row>
    <row r="232">
      <c r="A232" s="5"/>
      <c r="B232" s="5"/>
      <c r="C232" s="5"/>
      <c r="D232" s="5"/>
      <c r="E232" s="64"/>
      <c r="F232" s="5"/>
      <c r="G232" s="5"/>
      <c r="H232" s="5"/>
      <c r="I232" s="5"/>
      <c r="J232" s="5"/>
      <c r="K232" s="64"/>
      <c r="L232" s="64"/>
      <c r="M232" s="96"/>
      <c r="N232" s="5"/>
      <c r="O232" s="5"/>
      <c r="P232" s="5"/>
      <c r="Q232" s="5"/>
      <c r="R232" s="5"/>
      <c r="S232" s="5"/>
      <c r="T232" s="5"/>
      <c r="U232" s="5"/>
      <c r="V232" s="5"/>
      <c r="W232" s="5"/>
      <c r="X232" s="5"/>
      <c r="Y232" s="5"/>
      <c r="Z232" s="5"/>
      <c r="AA232" s="5"/>
    </row>
    <row r="233">
      <c r="A233" s="5"/>
      <c r="B233" s="5"/>
      <c r="C233" s="5"/>
      <c r="D233" s="5"/>
      <c r="E233" s="64"/>
      <c r="F233" s="5"/>
      <c r="G233" s="5"/>
      <c r="H233" s="5"/>
      <c r="I233" s="5"/>
      <c r="J233" s="5"/>
      <c r="K233" s="64"/>
      <c r="L233" s="64"/>
      <c r="M233" s="96"/>
      <c r="N233" s="5"/>
      <c r="O233" s="5"/>
      <c r="P233" s="5"/>
      <c r="Q233" s="5"/>
      <c r="R233" s="5"/>
      <c r="S233" s="5"/>
      <c r="T233" s="5"/>
      <c r="U233" s="5"/>
      <c r="V233" s="5"/>
      <c r="W233" s="5"/>
      <c r="X233" s="5"/>
      <c r="Y233" s="5"/>
      <c r="Z233" s="5"/>
      <c r="AA233" s="5"/>
    </row>
    <row r="234">
      <c r="A234" s="5"/>
      <c r="B234" s="5"/>
      <c r="C234" s="5"/>
      <c r="D234" s="5"/>
      <c r="E234" s="64"/>
      <c r="F234" s="5"/>
      <c r="G234" s="5"/>
      <c r="H234" s="5"/>
      <c r="I234" s="5"/>
      <c r="J234" s="5"/>
      <c r="K234" s="64"/>
      <c r="L234" s="64"/>
      <c r="M234" s="96"/>
      <c r="N234" s="5"/>
      <c r="O234" s="5"/>
      <c r="P234" s="5"/>
      <c r="Q234" s="5"/>
      <c r="R234" s="5"/>
      <c r="S234" s="5"/>
      <c r="T234" s="5"/>
      <c r="U234" s="5"/>
      <c r="V234" s="5"/>
      <c r="W234" s="5"/>
      <c r="X234" s="5"/>
      <c r="Y234" s="5"/>
      <c r="Z234" s="5"/>
      <c r="AA234" s="5"/>
    </row>
    <row r="235">
      <c r="A235" s="5"/>
      <c r="B235" s="5"/>
      <c r="C235" s="5"/>
      <c r="D235" s="5"/>
      <c r="E235" s="64"/>
      <c r="F235" s="5"/>
      <c r="G235" s="5"/>
      <c r="H235" s="5"/>
      <c r="I235" s="5"/>
      <c r="J235" s="5"/>
      <c r="K235" s="64"/>
      <c r="L235" s="64"/>
      <c r="M235" s="96"/>
      <c r="N235" s="5"/>
      <c r="O235" s="5"/>
      <c r="P235" s="5"/>
      <c r="Q235" s="5"/>
      <c r="R235" s="5"/>
      <c r="S235" s="5"/>
      <c r="T235" s="5"/>
      <c r="U235" s="5"/>
      <c r="V235" s="5"/>
      <c r="W235" s="5"/>
      <c r="X235" s="5"/>
      <c r="Y235" s="5"/>
      <c r="Z235" s="5"/>
      <c r="AA235" s="5"/>
    </row>
    <row r="236">
      <c r="A236" s="5"/>
      <c r="B236" s="5"/>
      <c r="C236" s="5"/>
      <c r="D236" s="5"/>
      <c r="E236" s="64"/>
      <c r="F236" s="5"/>
      <c r="G236" s="5"/>
      <c r="H236" s="5"/>
      <c r="I236" s="5"/>
      <c r="J236" s="5"/>
      <c r="K236" s="64"/>
      <c r="L236" s="64"/>
      <c r="M236" s="96"/>
      <c r="N236" s="5"/>
      <c r="O236" s="5"/>
      <c r="P236" s="5"/>
      <c r="Q236" s="5"/>
      <c r="R236" s="5"/>
      <c r="S236" s="5"/>
      <c r="T236" s="5"/>
      <c r="U236" s="5"/>
      <c r="V236" s="5"/>
      <c r="W236" s="5"/>
      <c r="X236" s="5"/>
      <c r="Y236" s="5"/>
      <c r="Z236" s="5"/>
      <c r="AA236" s="5"/>
    </row>
    <row r="237">
      <c r="A237" s="5"/>
      <c r="B237" s="5"/>
      <c r="C237" s="5"/>
      <c r="D237" s="5"/>
      <c r="E237" s="64"/>
      <c r="F237" s="5"/>
      <c r="G237" s="5"/>
      <c r="H237" s="5"/>
      <c r="I237" s="5"/>
      <c r="J237" s="5"/>
      <c r="K237" s="64"/>
      <c r="L237" s="64"/>
      <c r="M237" s="96"/>
      <c r="N237" s="5"/>
      <c r="O237" s="5"/>
      <c r="P237" s="5"/>
      <c r="Q237" s="5"/>
      <c r="R237" s="5"/>
      <c r="S237" s="5"/>
      <c r="T237" s="5"/>
      <c r="U237" s="5"/>
      <c r="V237" s="5"/>
      <c r="W237" s="5"/>
      <c r="X237" s="5"/>
      <c r="Y237" s="5"/>
      <c r="Z237" s="5"/>
      <c r="AA237" s="5"/>
    </row>
    <row r="238">
      <c r="A238" s="5"/>
      <c r="B238" s="5"/>
      <c r="C238" s="5"/>
      <c r="D238" s="5"/>
      <c r="E238" s="64"/>
      <c r="F238" s="5"/>
      <c r="G238" s="5"/>
      <c r="H238" s="5"/>
      <c r="I238" s="5"/>
      <c r="J238" s="5"/>
      <c r="K238" s="64"/>
      <c r="L238" s="64"/>
      <c r="M238" s="96"/>
      <c r="N238" s="5"/>
      <c r="O238" s="5"/>
      <c r="P238" s="5"/>
      <c r="Q238" s="5"/>
      <c r="R238" s="5"/>
      <c r="S238" s="5"/>
      <c r="T238" s="5"/>
      <c r="U238" s="5"/>
      <c r="V238" s="5"/>
      <c r="W238" s="5"/>
      <c r="X238" s="5"/>
      <c r="Y238" s="5"/>
      <c r="Z238" s="5"/>
      <c r="AA238" s="5"/>
    </row>
    <row r="239">
      <c r="A239" s="5"/>
      <c r="B239" s="5"/>
      <c r="C239" s="5"/>
      <c r="D239" s="5"/>
      <c r="E239" s="64"/>
      <c r="F239" s="5"/>
      <c r="G239" s="5"/>
      <c r="H239" s="5"/>
      <c r="I239" s="5"/>
      <c r="J239" s="5"/>
      <c r="K239" s="64"/>
      <c r="L239" s="64"/>
      <c r="M239" s="96"/>
      <c r="N239" s="5"/>
      <c r="O239" s="5"/>
      <c r="P239" s="5"/>
      <c r="Q239" s="5"/>
      <c r="R239" s="5"/>
      <c r="S239" s="5"/>
      <c r="T239" s="5"/>
      <c r="U239" s="5"/>
      <c r="V239" s="5"/>
      <c r="W239" s="5"/>
      <c r="X239" s="5"/>
      <c r="Y239" s="5"/>
      <c r="Z239" s="5"/>
      <c r="AA239" s="5"/>
    </row>
    <row r="240">
      <c r="A240" s="5"/>
      <c r="B240" s="5"/>
      <c r="C240" s="5"/>
      <c r="D240" s="5"/>
      <c r="E240" s="64"/>
      <c r="F240" s="5"/>
      <c r="G240" s="5"/>
      <c r="H240" s="5"/>
      <c r="I240" s="5"/>
      <c r="J240" s="5"/>
      <c r="K240" s="64"/>
      <c r="L240" s="64"/>
      <c r="M240" s="96"/>
      <c r="N240" s="5"/>
      <c r="O240" s="5"/>
      <c r="P240" s="5"/>
      <c r="Q240" s="5"/>
      <c r="R240" s="5"/>
      <c r="S240" s="5"/>
      <c r="T240" s="5"/>
      <c r="U240" s="5"/>
      <c r="V240" s="5"/>
      <c r="W240" s="5"/>
      <c r="X240" s="5"/>
      <c r="Y240" s="5"/>
      <c r="Z240" s="5"/>
      <c r="AA240" s="5"/>
    </row>
    <row r="241">
      <c r="A241" s="5"/>
      <c r="B241" s="5"/>
      <c r="C241" s="5"/>
      <c r="D241" s="5"/>
      <c r="E241" s="64"/>
      <c r="F241" s="5"/>
      <c r="G241" s="5"/>
      <c r="H241" s="5"/>
      <c r="I241" s="5"/>
      <c r="J241" s="5"/>
      <c r="K241" s="64"/>
      <c r="L241" s="64"/>
      <c r="M241" s="96"/>
      <c r="N241" s="5"/>
      <c r="O241" s="5"/>
      <c r="P241" s="5"/>
      <c r="Q241" s="5"/>
      <c r="R241" s="5"/>
      <c r="S241" s="5"/>
      <c r="T241" s="5"/>
      <c r="U241" s="5"/>
      <c r="V241" s="5"/>
      <c r="W241" s="5"/>
      <c r="X241" s="5"/>
      <c r="Y241" s="5"/>
      <c r="Z241" s="5"/>
      <c r="AA241" s="5"/>
    </row>
    <row r="242">
      <c r="A242" s="5"/>
      <c r="B242" s="5"/>
      <c r="C242" s="5"/>
      <c r="D242" s="5"/>
      <c r="E242" s="64"/>
      <c r="F242" s="5"/>
      <c r="G242" s="5"/>
      <c r="H242" s="5"/>
      <c r="I242" s="5"/>
      <c r="J242" s="5"/>
      <c r="K242" s="64"/>
      <c r="L242" s="64"/>
      <c r="M242" s="96"/>
      <c r="N242" s="5"/>
      <c r="O242" s="5"/>
      <c r="P242" s="5"/>
      <c r="Q242" s="5"/>
      <c r="R242" s="5"/>
      <c r="S242" s="5"/>
      <c r="T242" s="5"/>
      <c r="U242" s="5"/>
      <c r="V242" s="5"/>
      <c r="W242" s="5"/>
      <c r="X242" s="5"/>
      <c r="Y242" s="5"/>
      <c r="Z242" s="5"/>
      <c r="AA242" s="5"/>
    </row>
    <row r="243">
      <c r="A243" s="5"/>
      <c r="B243" s="5"/>
      <c r="C243" s="5"/>
      <c r="D243" s="5"/>
      <c r="E243" s="64"/>
      <c r="F243" s="5"/>
      <c r="G243" s="5"/>
      <c r="H243" s="5"/>
      <c r="I243" s="5"/>
      <c r="J243" s="5"/>
      <c r="K243" s="64"/>
      <c r="L243" s="64"/>
      <c r="M243" s="96"/>
      <c r="N243" s="5"/>
      <c r="O243" s="5"/>
      <c r="P243" s="5"/>
      <c r="Q243" s="5"/>
      <c r="R243" s="5"/>
      <c r="S243" s="5"/>
      <c r="T243" s="5"/>
      <c r="U243" s="5"/>
      <c r="V243" s="5"/>
      <c r="W243" s="5"/>
      <c r="X243" s="5"/>
      <c r="Y243" s="5"/>
      <c r="Z243" s="5"/>
      <c r="AA243" s="5"/>
    </row>
    <row r="244">
      <c r="A244" s="5"/>
      <c r="B244" s="5"/>
      <c r="C244" s="5"/>
      <c r="D244" s="5"/>
      <c r="E244" s="64"/>
      <c r="F244" s="5"/>
      <c r="G244" s="5"/>
      <c r="H244" s="5"/>
      <c r="I244" s="5"/>
      <c r="J244" s="5"/>
      <c r="K244" s="64"/>
      <c r="L244" s="64"/>
      <c r="M244" s="96"/>
      <c r="N244" s="5"/>
      <c r="O244" s="5"/>
      <c r="P244" s="5"/>
      <c r="Q244" s="5"/>
      <c r="R244" s="5"/>
      <c r="S244" s="5"/>
      <c r="T244" s="5"/>
      <c r="U244" s="5"/>
      <c r="V244" s="5"/>
      <c r="W244" s="5"/>
      <c r="X244" s="5"/>
      <c r="Y244" s="5"/>
      <c r="Z244" s="5"/>
      <c r="AA244" s="5"/>
    </row>
    <row r="245">
      <c r="A245" s="5"/>
      <c r="B245" s="5"/>
      <c r="C245" s="5"/>
      <c r="D245" s="5"/>
      <c r="E245" s="64"/>
      <c r="F245" s="5"/>
      <c r="G245" s="5"/>
      <c r="H245" s="5"/>
      <c r="I245" s="5"/>
      <c r="J245" s="5"/>
      <c r="K245" s="64"/>
      <c r="L245" s="64"/>
      <c r="M245" s="96"/>
      <c r="N245" s="5"/>
      <c r="O245" s="5"/>
      <c r="P245" s="5"/>
      <c r="Q245" s="5"/>
      <c r="R245" s="5"/>
      <c r="S245" s="5"/>
      <c r="T245" s="5"/>
      <c r="U245" s="5"/>
      <c r="V245" s="5"/>
      <c r="W245" s="5"/>
      <c r="X245" s="5"/>
      <c r="Y245" s="5"/>
      <c r="Z245" s="5"/>
      <c r="AA245" s="5"/>
    </row>
    <row r="246">
      <c r="A246" s="5"/>
      <c r="B246" s="5"/>
      <c r="C246" s="5"/>
      <c r="D246" s="5"/>
      <c r="E246" s="64"/>
      <c r="F246" s="5"/>
      <c r="G246" s="5"/>
      <c r="H246" s="5"/>
      <c r="I246" s="5"/>
      <c r="J246" s="5"/>
      <c r="K246" s="64"/>
      <c r="L246" s="64"/>
      <c r="M246" s="96"/>
      <c r="N246" s="5"/>
      <c r="O246" s="5"/>
      <c r="P246" s="5"/>
      <c r="Q246" s="5"/>
      <c r="R246" s="5"/>
      <c r="S246" s="5"/>
      <c r="T246" s="5"/>
      <c r="U246" s="5"/>
      <c r="V246" s="5"/>
      <c r="W246" s="5"/>
      <c r="X246" s="5"/>
      <c r="Y246" s="5"/>
      <c r="Z246" s="5"/>
      <c r="AA246" s="5"/>
    </row>
    <row r="247">
      <c r="A247" s="5"/>
      <c r="B247" s="5"/>
      <c r="C247" s="5"/>
      <c r="D247" s="5"/>
      <c r="E247" s="64"/>
      <c r="F247" s="5"/>
      <c r="G247" s="5"/>
      <c r="H247" s="5"/>
      <c r="I247" s="5"/>
      <c r="J247" s="5"/>
      <c r="K247" s="64"/>
      <c r="L247" s="64"/>
      <c r="M247" s="96"/>
      <c r="N247" s="5"/>
      <c r="O247" s="5"/>
      <c r="P247" s="5"/>
      <c r="Q247" s="5"/>
      <c r="R247" s="5"/>
      <c r="S247" s="5"/>
      <c r="T247" s="5"/>
      <c r="U247" s="5"/>
      <c r="V247" s="5"/>
      <c r="W247" s="5"/>
      <c r="X247" s="5"/>
      <c r="Y247" s="5"/>
      <c r="Z247" s="5"/>
      <c r="AA247" s="5"/>
    </row>
    <row r="248">
      <c r="A248" s="5"/>
      <c r="B248" s="5"/>
      <c r="C248" s="5"/>
      <c r="D248" s="5"/>
      <c r="E248" s="64"/>
      <c r="F248" s="5"/>
      <c r="G248" s="5"/>
      <c r="H248" s="5"/>
      <c r="I248" s="5"/>
      <c r="J248" s="5"/>
      <c r="K248" s="64"/>
      <c r="L248" s="64"/>
      <c r="M248" s="96"/>
      <c r="N248" s="5"/>
      <c r="O248" s="5"/>
      <c r="P248" s="5"/>
      <c r="Q248" s="5"/>
      <c r="R248" s="5"/>
      <c r="S248" s="5"/>
      <c r="T248" s="5"/>
      <c r="U248" s="5"/>
      <c r="V248" s="5"/>
      <c r="W248" s="5"/>
      <c r="X248" s="5"/>
      <c r="Y248" s="5"/>
      <c r="Z248" s="5"/>
      <c r="AA248" s="5"/>
    </row>
    <row r="249">
      <c r="A249" s="5"/>
      <c r="B249" s="5"/>
      <c r="C249" s="5"/>
      <c r="D249" s="5"/>
      <c r="E249" s="64"/>
      <c r="F249" s="5"/>
      <c r="G249" s="5"/>
      <c r="H249" s="5"/>
      <c r="I249" s="5"/>
      <c r="J249" s="5"/>
      <c r="K249" s="64"/>
      <c r="L249" s="64"/>
      <c r="M249" s="96"/>
      <c r="N249" s="5"/>
      <c r="O249" s="5"/>
      <c r="P249" s="5"/>
      <c r="Q249" s="5"/>
      <c r="R249" s="5"/>
      <c r="S249" s="5"/>
      <c r="T249" s="5"/>
      <c r="U249" s="5"/>
      <c r="V249" s="5"/>
      <c r="W249" s="5"/>
      <c r="X249" s="5"/>
      <c r="Y249" s="5"/>
      <c r="Z249" s="5"/>
      <c r="AA249" s="5"/>
    </row>
    <row r="250">
      <c r="A250" s="5"/>
      <c r="B250" s="5"/>
      <c r="C250" s="5"/>
      <c r="D250" s="5"/>
      <c r="E250" s="64"/>
      <c r="F250" s="5"/>
      <c r="G250" s="5"/>
      <c r="H250" s="5"/>
      <c r="I250" s="5"/>
      <c r="J250" s="5"/>
      <c r="K250" s="64"/>
      <c r="L250" s="64"/>
      <c r="M250" s="96"/>
      <c r="N250" s="5"/>
      <c r="O250" s="5"/>
      <c r="P250" s="5"/>
      <c r="Q250" s="5"/>
      <c r="R250" s="5"/>
      <c r="S250" s="5"/>
      <c r="T250" s="5"/>
      <c r="U250" s="5"/>
      <c r="V250" s="5"/>
      <c r="W250" s="5"/>
      <c r="X250" s="5"/>
      <c r="Y250" s="5"/>
      <c r="Z250" s="5"/>
      <c r="AA250" s="5"/>
    </row>
    <row r="251">
      <c r="A251" s="5"/>
      <c r="B251" s="5"/>
      <c r="C251" s="5"/>
      <c r="D251" s="5"/>
      <c r="E251" s="64"/>
      <c r="F251" s="5"/>
      <c r="G251" s="5"/>
      <c r="H251" s="5"/>
      <c r="I251" s="5"/>
      <c r="J251" s="5"/>
      <c r="K251" s="64"/>
      <c r="L251" s="64"/>
      <c r="M251" s="96"/>
      <c r="N251" s="5"/>
      <c r="O251" s="5"/>
      <c r="P251" s="5"/>
      <c r="Q251" s="5"/>
      <c r="R251" s="5"/>
      <c r="S251" s="5"/>
      <c r="T251" s="5"/>
      <c r="U251" s="5"/>
      <c r="V251" s="5"/>
      <c r="W251" s="5"/>
      <c r="X251" s="5"/>
      <c r="Y251" s="5"/>
      <c r="Z251" s="5"/>
      <c r="AA251" s="5"/>
    </row>
    <row r="252">
      <c r="A252" s="5"/>
      <c r="B252" s="5"/>
      <c r="C252" s="5"/>
      <c r="D252" s="5"/>
      <c r="E252" s="64"/>
      <c r="F252" s="5"/>
      <c r="G252" s="5"/>
      <c r="H252" s="5"/>
      <c r="I252" s="5"/>
      <c r="J252" s="5"/>
      <c r="K252" s="64"/>
      <c r="L252" s="64"/>
      <c r="M252" s="96"/>
      <c r="N252" s="5"/>
      <c r="O252" s="5"/>
      <c r="P252" s="5"/>
      <c r="Q252" s="5"/>
      <c r="R252" s="5"/>
      <c r="S252" s="5"/>
      <c r="T252" s="5"/>
      <c r="U252" s="5"/>
      <c r="V252" s="5"/>
      <c r="W252" s="5"/>
      <c r="X252" s="5"/>
      <c r="Y252" s="5"/>
      <c r="Z252" s="5"/>
      <c r="AA252" s="5"/>
    </row>
    <row r="253">
      <c r="A253" s="5"/>
      <c r="B253" s="5"/>
      <c r="C253" s="5"/>
      <c r="D253" s="5"/>
      <c r="E253" s="64"/>
      <c r="F253" s="5"/>
      <c r="G253" s="5"/>
      <c r="H253" s="5"/>
      <c r="I253" s="5"/>
      <c r="J253" s="5"/>
      <c r="K253" s="64"/>
      <c r="L253" s="64"/>
      <c r="M253" s="96"/>
      <c r="N253" s="5"/>
      <c r="O253" s="5"/>
      <c r="P253" s="5"/>
      <c r="Q253" s="5"/>
      <c r="R253" s="5"/>
      <c r="S253" s="5"/>
      <c r="T253" s="5"/>
      <c r="U253" s="5"/>
      <c r="V253" s="5"/>
      <c r="W253" s="5"/>
      <c r="X253" s="5"/>
      <c r="Y253" s="5"/>
      <c r="Z253" s="5"/>
      <c r="AA253" s="5"/>
    </row>
    <row r="254">
      <c r="A254" s="5"/>
      <c r="B254" s="5"/>
      <c r="C254" s="5"/>
      <c r="D254" s="5"/>
      <c r="E254" s="64"/>
      <c r="F254" s="5"/>
      <c r="G254" s="5"/>
      <c r="H254" s="5"/>
      <c r="I254" s="5"/>
      <c r="J254" s="5"/>
      <c r="K254" s="64"/>
      <c r="L254" s="64"/>
      <c r="M254" s="96"/>
      <c r="N254" s="5"/>
      <c r="O254" s="5"/>
      <c r="P254" s="5"/>
      <c r="Q254" s="5"/>
      <c r="R254" s="5"/>
      <c r="S254" s="5"/>
      <c r="T254" s="5"/>
      <c r="U254" s="5"/>
      <c r="V254" s="5"/>
      <c r="W254" s="5"/>
      <c r="X254" s="5"/>
      <c r="Y254" s="5"/>
      <c r="Z254" s="5"/>
      <c r="AA254" s="5"/>
    </row>
    <row r="255">
      <c r="A255" s="5"/>
      <c r="B255" s="5"/>
      <c r="C255" s="5"/>
      <c r="D255" s="5"/>
      <c r="E255" s="64"/>
      <c r="F255" s="5"/>
      <c r="G255" s="5"/>
      <c r="H255" s="5"/>
      <c r="I255" s="5"/>
      <c r="J255" s="5"/>
      <c r="K255" s="64"/>
      <c r="L255" s="64"/>
      <c r="M255" s="96"/>
      <c r="N255" s="5"/>
      <c r="O255" s="5"/>
      <c r="P255" s="5"/>
      <c r="Q255" s="5"/>
      <c r="R255" s="5"/>
      <c r="S255" s="5"/>
      <c r="T255" s="5"/>
      <c r="U255" s="5"/>
      <c r="V255" s="5"/>
      <c r="W255" s="5"/>
      <c r="X255" s="5"/>
      <c r="Y255" s="5"/>
      <c r="Z255" s="5"/>
      <c r="AA255" s="5"/>
    </row>
    <row r="256">
      <c r="A256" s="5"/>
      <c r="B256" s="5"/>
      <c r="C256" s="5"/>
      <c r="D256" s="5"/>
      <c r="E256" s="64"/>
      <c r="F256" s="5"/>
      <c r="G256" s="5"/>
      <c r="H256" s="5"/>
      <c r="I256" s="5"/>
      <c r="J256" s="5"/>
      <c r="K256" s="64"/>
      <c r="L256" s="64"/>
      <c r="M256" s="96"/>
      <c r="N256" s="5"/>
      <c r="O256" s="5"/>
      <c r="P256" s="5"/>
      <c r="Q256" s="5"/>
      <c r="R256" s="5"/>
      <c r="S256" s="5"/>
      <c r="T256" s="5"/>
      <c r="U256" s="5"/>
      <c r="V256" s="5"/>
      <c r="W256" s="5"/>
      <c r="X256" s="5"/>
      <c r="Y256" s="5"/>
      <c r="Z256" s="5"/>
      <c r="AA256" s="5"/>
    </row>
    <row r="257">
      <c r="A257" s="5"/>
      <c r="B257" s="5"/>
      <c r="C257" s="5"/>
      <c r="D257" s="5"/>
      <c r="E257" s="64"/>
      <c r="F257" s="5"/>
      <c r="G257" s="5"/>
      <c r="H257" s="5"/>
      <c r="I257" s="5"/>
      <c r="J257" s="5"/>
      <c r="K257" s="64"/>
      <c r="L257" s="64"/>
      <c r="M257" s="96"/>
      <c r="N257" s="5"/>
      <c r="O257" s="5"/>
      <c r="P257" s="5"/>
      <c r="Q257" s="5"/>
      <c r="R257" s="5"/>
      <c r="S257" s="5"/>
      <c r="T257" s="5"/>
      <c r="U257" s="5"/>
      <c r="V257" s="5"/>
      <c r="W257" s="5"/>
      <c r="X257" s="5"/>
      <c r="Y257" s="5"/>
      <c r="Z257" s="5"/>
      <c r="AA257" s="5"/>
    </row>
    <row r="258">
      <c r="A258" s="5"/>
      <c r="B258" s="5"/>
      <c r="C258" s="5"/>
      <c r="D258" s="5"/>
      <c r="E258" s="64"/>
      <c r="F258" s="5"/>
      <c r="G258" s="5"/>
      <c r="H258" s="5"/>
      <c r="I258" s="5"/>
      <c r="J258" s="5"/>
      <c r="K258" s="64"/>
      <c r="L258" s="64"/>
      <c r="M258" s="96"/>
      <c r="N258" s="5"/>
      <c r="O258" s="5"/>
      <c r="P258" s="5"/>
      <c r="Q258" s="5"/>
      <c r="R258" s="5"/>
      <c r="S258" s="5"/>
      <c r="T258" s="5"/>
      <c r="U258" s="5"/>
      <c r="V258" s="5"/>
      <c r="W258" s="5"/>
      <c r="X258" s="5"/>
      <c r="Y258" s="5"/>
      <c r="Z258" s="5"/>
      <c r="AA258" s="5"/>
    </row>
    <row r="259">
      <c r="A259" s="5"/>
      <c r="B259" s="5"/>
      <c r="C259" s="5"/>
      <c r="D259" s="5"/>
      <c r="E259" s="64"/>
      <c r="F259" s="5"/>
      <c r="G259" s="5"/>
      <c r="H259" s="5"/>
      <c r="I259" s="5"/>
      <c r="J259" s="5"/>
      <c r="K259" s="64"/>
      <c r="L259" s="64"/>
      <c r="M259" s="96"/>
      <c r="N259" s="5"/>
      <c r="O259" s="5"/>
      <c r="P259" s="5"/>
      <c r="Q259" s="5"/>
      <c r="R259" s="5"/>
      <c r="S259" s="5"/>
      <c r="T259" s="5"/>
      <c r="U259" s="5"/>
      <c r="V259" s="5"/>
      <c r="W259" s="5"/>
      <c r="X259" s="5"/>
      <c r="Y259" s="5"/>
      <c r="Z259" s="5"/>
      <c r="AA259" s="5"/>
    </row>
    <row r="260">
      <c r="A260" s="5"/>
      <c r="B260" s="5"/>
      <c r="C260" s="5"/>
      <c r="D260" s="5"/>
      <c r="E260" s="64"/>
      <c r="F260" s="5"/>
      <c r="G260" s="5"/>
      <c r="H260" s="5"/>
      <c r="I260" s="5"/>
      <c r="J260" s="5"/>
      <c r="K260" s="64"/>
      <c r="L260" s="64"/>
      <c r="M260" s="96"/>
      <c r="N260" s="5"/>
      <c r="O260" s="5"/>
      <c r="P260" s="5"/>
      <c r="Q260" s="5"/>
      <c r="R260" s="5"/>
      <c r="S260" s="5"/>
      <c r="T260" s="5"/>
      <c r="U260" s="5"/>
      <c r="V260" s="5"/>
      <c r="W260" s="5"/>
      <c r="X260" s="5"/>
      <c r="Y260" s="5"/>
      <c r="Z260" s="5"/>
      <c r="AA260" s="5"/>
    </row>
    <row r="261">
      <c r="A261" s="5"/>
      <c r="B261" s="5"/>
      <c r="C261" s="5"/>
      <c r="D261" s="5"/>
      <c r="E261" s="64"/>
      <c r="F261" s="5"/>
      <c r="G261" s="5"/>
      <c r="H261" s="5"/>
      <c r="I261" s="5"/>
      <c r="J261" s="5"/>
      <c r="K261" s="64"/>
      <c r="L261" s="64"/>
      <c r="M261" s="96"/>
      <c r="N261" s="5"/>
      <c r="O261" s="5"/>
      <c r="P261" s="5"/>
      <c r="Q261" s="5"/>
      <c r="R261" s="5"/>
      <c r="S261" s="5"/>
      <c r="T261" s="5"/>
      <c r="U261" s="5"/>
      <c r="V261" s="5"/>
      <c r="W261" s="5"/>
      <c r="X261" s="5"/>
      <c r="Y261" s="5"/>
      <c r="Z261" s="5"/>
      <c r="AA261" s="5"/>
    </row>
    <row r="262">
      <c r="A262" s="5"/>
      <c r="B262" s="5"/>
      <c r="C262" s="5"/>
      <c r="D262" s="5"/>
      <c r="E262" s="64"/>
      <c r="F262" s="5"/>
      <c r="G262" s="5"/>
      <c r="H262" s="5"/>
      <c r="I262" s="5"/>
      <c r="J262" s="5"/>
      <c r="K262" s="64"/>
      <c r="L262" s="64"/>
      <c r="M262" s="96"/>
      <c r="N262" s="5"/>
      <c r="O262" s="5"/>
      <c r="P262" s="5"/>
      <c r="Q262" s="5"/>
      <c r="R262" s="5"/>
      <c r="S262" s="5"/>
      <c r="T262" s="5"/>
      <c r="U262" s="5"/>
      <c r="V262" s="5"/>
      <c r="W262" s="5"/>
      <c r="X262" s="5"/>
      <c r="Y262" s="5"/>
      <c r="Z262" s="5"/>
      <c r="AA262" s="5"/>
    </row>
    <row r="263">
      <c r="A263" s="5"/>
      <c r="B263" s="5"/>
      <c r="C263" s="5"/>
      <c r="D263" s="5"/>
      <c r="E263" s="64"/>
      <c r="F263" s="5"/>
      <c r="G263" s="5"/>
      <c r="H263" s="5"/>
      <c r="I263" s="5"/>
      <c r="J263" s="5"/>
      <c r="K263" s="64"/>
      <c r="L263" s="64"/>
      <c r="M263" s="96"/>
      <c r="N263" s="5"/>
      <c r="O263" s="5"/>
      <c r="P263" s="5"/>
      <c r="Q263" s="5"/>
      <c r="R263" s="5"/>
      <c r="S263" s="5"/>
      <c r="T263" s="5"/>
      <c r="U263" s="5"/>
      <c r="V263" s="5"/>
      <c r="W263" s="5"/>
      <c r="X263" s="5"/>
      <c r="Y263" s="5"/>
      <c r="Z263" s="5"/>
      <c r="AA263" s="5"/>
    </row>
    <row r="264">
      <c r="A264" s="5"/>
      <c r="B264" s="5"/>
      <c r="C264" s="5"/>
      <c r="D264" s="5"/>
      <c r="E264" s="64"/>
      <c r="F264" s="5"/>
      <c r="G264" s="5"/>
      <c r="H264" s="5"/>
      <c r="I264" s="5"/>
      <c r="J264" s="5"/>
      <c r="K264" s="64"/>
      <c r="L264" s="64"/>
      <c r="M264" s="96"/>
      <c r="N264" s="5"/>
      <c r="O264" s="5"/>
      <c r="P264" s="5"/>
      <c r="Q264" s="5"/>
      <c r="R264" s="5"/>
      <c r="S264" s="5"/>
      <c r="T264" s="5"/>
      <c r="U264" s="5"/>
      <c r="V264" s="5"/>
      <c r="W264" s="5"/>
      <c r="X264" s="5"/>
      <c r="Y264" s="5"/>
      <c r="Z264" s="5"/>
      <c r="AA264" s="5"/>
    </row>
    <row r="265">
      <c r="A265" s="5"/>
      <c r="B265" s="5"/>
      <c r="C265" s="5"/>
      <c r="D265" s="5"/>
      <c r="E265" s="64"/>
      <c r="F265" s="5"/>
      <c r="G265" s="5"/>
      <c r="H265" s="5"/>
      <c r="I265" s="5"/>
      <c r="J265" s="5"/>
      <c r="K265" s="64"/>
      <c r="L265" s="64"/>
      <c r="M265" s="96"/>
      <c r="N265" s="5"/>
      <c r="O265" s="5"/>
      <c r="P265" s="5"/>
      <c r="Q265" s="5"/>
      <c r="R265" s="5"/>
      <c r="S265" s="5"/>
      <c r="T265" s="5"/>
      <c r="U265" s="5"/>
      <c r="V265" s="5"/>
      <c r="W265" s="5"/>
      <c r="X265" s="5"/>
      <c r="Y265" s="5"/>
      <c r="Z265" s="5"/>
      <c r="AA265" s="5"/>
    </row>
    <row r="266">
      <c r="A266" s="5"/>
      <c r="B266" s="5"/>
      <c r="C266" s="5"/>
      <c r="D266" s="5"/>
      <c r="E266" s="64"/>
      <c r="F266" s="5"/>
      <c r="G266" s="5"/>
      <c r="H266" s="5"/>
      <c r="I266" s="5"/>
      <c r="J266" s="5"/>
      <c r="K266" s="64"/>
      <c r="L266" s="64"/>
      <c r="M266" s="96"/>
      <c r="N266" s="5"/>
      <c r="O266" s="5"/>
      <c r="P266" s="5"/>
      <c r="Q266" s="5"/>
      <c r="R266" s="5"/>
      <c r="S266" s="5"/>
      <c r="T266" s="5"/>
      <c r="U266" s="5"/>
      <c r="V266" s="5"/>
      <c r="W266" s="5"/>
      <c r="X266" s="5"/>
      <c r="Y266" s="5"/>
      <c r="Z266" s="5"/>
      <c r="AA266" s="5"/>
    </row>
    <row r="267">
      <c r="A267" s="5"/>
      <c r="B267" s="5"/>
      <c r="C267" s="5"/>
      <c r="D267" s="5"/>
      <c r="E267" s="64"/>
      <c r="F267" s="5"/>
      <c r="G267" s="5"/>
      <c r="H267" s="5"/>
      <c r="I267" s="5"/>
      <c r="J267" s="5"/>
      <c r="K267" s="64"/>
      <c r="L267" s="64"/>
      <c r="M267" s="96"/>
      <c r="N267" s="5"/>
      <c r="O267" s="5"/>
      <c r="P267" s="5"/>
      <c r="Q267" s="5"/>
      <c r="R267" s="5"/>
      <c r="S267" s="5"/>
      <c r="T267" s="5"/>
      <c r="U267" s="5"/>
      <c r="V267" s="5"/>
      <c r="W267" s="5"/>
      <c r="X267" s="5"/>
      <c r="Y267" s="5"/>
      <c r="Z267" s="5"/>
      <c r="AA267" s="5"/>
    </row>
    <row r="268">
      <c r="A268" s="5"/>
      <c r="B268" s="5"/>
      <c r="C268" s="5"/>
      <c r="D268" s="5"/>
      <c r="E268" s="64"/>
      <c r="F268" s="5"/>
      <c r="G268" s="5"/>
      <c r="H268" s="5"/>
      <c r="I268" s="5"/>
      <c r="J268" s="5"/>
      <c r="K268" s="64"/>
      <c r="L268" s="64"/>
      <c r="M268" s="96"/>
      <c r="N268" s="5"/>
      <c r="O268" s="5"/>
      <c r="P268" s="5"/>
      <c r="Q268" s="5"/>
      <c r="R268" s="5"/>
      <c r="S268" s="5"/>
      <c r="T268" s="5"/>
      <c r="U268" s="5"/>
      <c r="V268" s="5"/>
      <c r="W268" s="5"/>
      <c r="X268" s="5"/>
      <c r="Y268" s="5"/>
      <c r="Z268" s="5"/>
      <c r="AA268" s="5"/>
    </row>
    <row r="269">
      <c r="A269" s="5"/>
      <c r="B269" s="5"/>
      <c r="C269" s="5"/>
      <c r="D269" s="5"/>
      <c r="E269" s="64"/>
      <c r="F269" s="5"/>
      <c r="G269" s="5"/>
      <c r="H269" s="5"/>
      <c r="I269" s="5"/>
      <c r="J269" s="5"/>
      <c r="K269" s="64"/>
      <c r="L269" s="64"/>
      <c r="M269" s="96"/>
      <c r="N269" s="5"/>
      <c r="O269" s="5"/>
      <c r="P269" s="5"/>
      <c r="Q269" s="5"/>
      <c r="R269" s="5"/>
      <c r="S269" s="5"/>
      <c r="T269" s="5"/>
      <c r="U269" s="5"/>
      <c r="V269" s="5"/>
      <c r="W269" s="5"/>
      <c r="X269" s="5"/>
      <c r="Y269" s="5"/>
      <c r="Z269" s="5"/>
      <c r="AA269" s="5"/>
    </row>
    <row r="270">
      <c r="A270" s="5"/>
      <c r="B270" s="5"/>
      <c r="C270" s="5"/>
      <c r="D270" s="5"/>
      <c r="E270" s="64"/>
      <c r="F270" s="5"/>
      <c r="G270" s="5"/>
      <c r="H270" s="5"/>
      <c r="I270" s="5"/>
      <c r="J270" s="5"/>
      <c r="K270" s="64"/>
      <c r="L270" s="64"/>
      <c r="M270" s="96"/>
      <c r="N270" s="5"/>
      <c r="O270" s="5"/>
      <c r="P270" s="5"/>
      <c r="Q270" s="5"/>
      <c r="R270" s="5"/>
      <c r="S270" s="5"/>
      <c r="T270" s="5"/>
      <c r="U270" s="5"/>
      <c r="V270" s="5"/>
      <c r="W270" s="5"/>
      <c r="X270" s="5"/>
      <c r="Y270" s="5"/>
      <c r="Z270" s="5"/>
      <c r="AA270" s="5"/>
    </row>
    <row r="271">
      <c r="A271" s="5"/>
      <c r="B271" s="5"/>
      <c r="C271" s="5"/>
      <c r="D271" s="5"/>
      <c r="E271" s="64"/>
      <c r="F271" s="5"/>
      <c r="G271" s="5"/>
      <c r="H271" s="5"/>
      <c r="I271" s="5"/>
      <c r="J271" s="5"/>
      <c r="K271" s="64"/>
      <c r="L271" s="64"/>
      <c r="M271" s="96"/>
      <c r="N271" s="5"/>
      <c r="O271" s="5"/>
      <c r="P271" s="5"/>
      <c r="Q271" s="5"/>
      <c r="R271" s="5"/>
      <c r="S271" s="5"/>
      <c r="T271" s="5"/>
      <c r="U271" s="5"/>
      <c r="V271" s="5"/>
      <c r="W271" s="5"/>
      <c r="X271" s="5"/>
      <c r="Y271" s="5"/>
      <c r="Z271" s="5"/>
      <c r="AA271" s="5"/>
    </row>
    <row r="272">
      <c r="A272" s="5"/>
      <c r="B272" s="5"/>
      <c r="C272" s="5"/>
      <c r="D272" s="5"/>
      <c r="E272" s="64"/>
      <c r="F272" s="5"/>
      <c r="G272" s="5"/>
      <c r="H272" s="5"/>
      <c r="I272" s="5"/>
      <c r="J272" s="5"/>
      <c r="K272" s="64"/>
      <c r="L272" s="64"/>
      <c r="M272" s="96"/>
      <c r="N272" s="5"/>
      <c r="O272" s="5"/>
      <c r="P272" s="5"/>
      <c r="Q272" s="5"/>
      <c r="R272" s="5"/>
      <c r="S272" s="5"/>
      <c r="T272" s="5"/>
      <c r="U272" s="5"/>
      <c r="V272" s="5"/>
      <c r="W272" s="5"/>
      <c r="X272" s="5"/>
      <c r="Y272" s="5"/>
      <c r="Z272" s="5"/>
      <c r="AA272" s="5"/>
    </row>
    <row r="273">
      <c r="A273" s="5"/>
      <c r="B273" s="5"/>
      <c r="C273" s="5"/>
      <c r="D273" s="5"/>
      <c r="E273" s="64"/>
      <c r="F273" s="5"/>
      <c r="G273" s="5"/>
      <c r="H273" s="5"/>
      <c r="I273" s="5"/>
      <c r="J273" s="5"/>
      <c r="K273" s="64"/>
      <c r="L273" s="64"/>
      <c r="M273" s="96"/>
      <c r="N273" s="5"/>
      <c r="O273" s="5"/>
      <c r="P273" s="5"/>
      <c r="Q273" s="5"/>
      <c r="R273" s="5"/>
      <c r="S273" s="5"/>
      <c r="T273" s="5"/>
      <c r="U273" s="5"/>
      <c r="V273" s="5"/>
      <c r="W273" s="5"/>
      <c r="X273" s="5"/>
      <c r="Y273" s="5"/>
      <c r="Z273" s="5"/>
      <c r="AA273" s="5"/>
    </row>
    <row r="274">
      <c r="A274" s="5"/>
      <c r="B274" s="5"/>
      <c r="C274" s="5"/>
      <c r="D274" s="5"/>
      <c r="E274" s="64"/>
      <c r="F274" s="5"/>
      <c r="G274" s="5"/>
      <c r="H274" s="5"/>
      <c r="I274" s="5"/>
      <c r="J274" s="5"/>
      <c r="K274" s="64"/>
      <c r="L274" s="64"/>
      <c r="M274" s="96"/>
      <c r="N274" s="5"/>
      <c r="O274" s="5"/>
      <c r="P274" s="5"/>
      <c r="Q274" s="5"/>
      <c r="R274" s="5"/>
      <c r="S274" s="5"/>
      <c r="T274" s="5"/>
      <c r="U274" s="5"/>
      <c r="V274" s="5"/>
      <c r="W274" s="5"/>
      <c r="X274" s="5"/>
      <c r="Y274" s="5"/>
      <c r="Z274" s="5"/>
      <c r="AA274" s="5"/>
    </row>
    <row r="275">
      <c r="A275" s="5"/>
      <c r="B275" s="5"/>
      <c r="C275" s="5"/>
      <c r="D275" s="5"/>
      <c r="E275" s="64"/>
      <c r="F275" s="5"/>
      <c r="G275" s="5"/>
      <c r="H275" s="5"/>
      <c r="I275" s="5"/>
      <c r="J275" s="5"/>
      <c r="K275" s="64"/>
      <c r="L275" s="64"/>
      <c r="M275" s="96"/>
      <c r="N275" s="5"/>
      <c r="O275" s="5"/>
      <c r="P275" s="5"/>
      <c r="Q275" s="5"/>
      <c r="R275" s="5"/>
      <c r="S275" s="5"/>
      <c r="T275" s="5"/>
      <c r="U275" s="5"/>
      <c r="V275" s="5"/>
      <c r="W275" s="5"/>
      <c r="X275" s="5"/>
      <c r="Y275" s="5"/>
      <c r="Z275" s="5"/>
      <c r="AA275" s="5"/>
    </row>
    <row r="276">
      <c r="A276" s="5"/>
      <c r="B276" s="5"/>
      <c r="C276" s="5"/>
      <c r="D276" s="5"/>
      <c r="E276" s="64"/>
      <c r="F276" s="5"/>
      <c r="G276" s="5"/>
      <c r="H276" s="5"/>
      <c r="I276" s="5"/>
      <c r="J276" s="5"/>
      <c r="K276" s="64"/>
      <c r="L276" s="64"/>
      <c r="M276" s="96"/>
      <c r="N276" s="5"/>
      <c r="O276" s="5"/>
      <c r="P276" s="5"/>
      <c r="Q276" s="5"/>
      <c r="R276" s="5"/>
      <c r="S276" s="5"/>
      <c r="T276" s="5"/>
      <c r="U276" s="5"/>
      <c r="V276" s="5"/>
      <c r="W276" s="5"/>
      <c r="X276" s="5"/>
      <c r="Y276" s="5"/>
      <c r="Z276" s="5"/>
      <c r="AA276" s="5"/>
    </row>
    <row r="277">
      <c r="A277" s="5"/>
      <c r="B277" s="5"/>
      <c r="C277" s="5"/>
      <c r="D277" s="5"/>
      <c r="E277" s="64"/>
      <c r="F277" s="5"/>
      <c r="G277" s="5"/>
      <c r="H277" s="5"/>
      <c r="I277" s="5"/>
      <c r="J277" s="5"/>
      <c r="K277" s="64"/>
      <c r="L277" s="64"/>
      <c r="M277" s="96"/>
      <c r="N277" s="5"/>
      <c r="O277" s="5"/>
      <c r="P277" s="5"/>
      <c r="Q277" s="5"/>
      <c r="R277" s="5"/>
      <c r="S277" s="5"/>
      <c r="T277" s="5"/>
      <c r="U277" s="5"/>
      <c r="V277" s="5"/>
      <c r="W277" s="5"/>
      <c r="X277" s="5"/>
      <c r="Y277" s="5"/>
      <c r="Z277" s="5"/>
      <c r="AA277" s="5"/>
    </row>
    <row r="278">
      <c r="A278" s="5"/>
      <c r="B278" s="5"/>
      <c r="C278" s="5"/>
      <c r="D278" s="5"/>
      <c r="E278" s="64"/>
      <c r="F278" s="5"/>
      <c r="G278" s="5"/>
      <c r="H278" s="5"/>
      <c r="I278" s="5"/>
      <c r="J278" s="5"/>
      <c r="K278" s="64"/>
      <c r="L278" s="64"/>
      <c r="M278" s="96"/>
      <c r="N278" s="5"/>
      <c r="O278" s="5"/>
      <c r="P278" s="5"/>
      <c r="Q278" s="5"/>
      <c r="R278" s="5"/>
      <c r="S278" s="5"/>
      <c r="T278" s="5"/>
      <c r="U278" s="5"/>
      <c r="V278" s="5"/>
      <c r="W278" s="5"/>
      <c r="X278" s="5"/>
      <c r="Y278" s="5"/>
      <c r="Z278" s="5"/>
      <c r="AA278" s="5"/>
    </row>
    <row r="279">
      <c r="A279" s="5"/>
      <c r="B279" s="5"/>
      <c r="C279" s="5"/>
      <c r="D279" s="5"/>
      <c r="E279" s="64"/>
      <c r="F279" s="5"/>
      <c r="G279" s="5"/>
      <c r="H279" s="5"/>
      <c r="I279" s="5"/>
      <c r="J279" s="5"/>
      <c r="K279" s="64"/>
      <c r="L279" s="64"/>
      <c r="M279" s="96"/>
      <c r="N279" s="5"/>
      <c r="O279" s="5"/>
      <c r="P279" s="5"/>
      <c r="Q279" s="5"/>
      <c r="R279" s="5"/>
      <c r="S279" s="5"/>
      <c r="T279" s="5"/>
      <c r="U279" s="5"/>
      <c r="V279" s="5"/>
      <c r="W279" s="5"/>
      <c r="X279" s="5"/>
      <c r="Y279" s="5"/>
      <c r="Z279" s="5"/>
      <c r="AA279" s="5"/>
    </row>
    <row r="280">
      <c r="A280" s="5"/>
      <c r="B280" s="5"/>
      <c r="C280" s="5"/>
      <c r="D280" s="5"/>
      <c r="E280" s="64"/>
      <c r="F280" s="5"/>
      <c r="G280" s="5"/>
      <c r="H280" s="5"/>
      <c r="I280" s="5"/>
      <c r="J280" s="5"/>
      <c r="K280" s="64"/>
      <c r="L280" s="64"/>
      <c r="M280" s="96"/>
      <c r="N280" s="5"/>
      <c r="O280" s="5"/>
      <c r="P280" s="5"/>
      <c r="Q280" s="5"/>
      <c r="R280" s="5"/>
      <c r="S280" s="5"/>
      <c r="T280" s="5"/>
      <c r="U280" s="5"/>
      <c r="V280" s="5"/>
      <c r="W280" s="5"/>
      <c r="X280" s="5"/>
      <c r="Y280" s="5"/>
      <c r="Z280" s="5"/>
      <c r="AA280" s="5"/>
    </row>
    <row r="281">
      <c r="A281" s="5"/>
      <c r="B281" s="5"/>
      <c r="C281" s="5"/>
      <c r="D281" s="5"/>
      <c r="E281" s="64"/>
      <c r="F281" s="5"/>
      <c r="G281" s="5"/>
      <c r="H281" s="5"/>
      <c r="I281" s="5"/>
      <c r="J281" s="5"/>
      <c r="K281" s="64"/>
      <c r="L281" s="64"/>
      <c r="M281" s="96"/>
      <c r="N281" s="5"/>
      <c r="O281" s="5"/>
      <c r="P281" s="5"/>
      <c r="Q281" s="5"/>
      <c r="R281" s="5"/>
      <c r="S281" s="5"/>
      <c r="T281" s="5"/>
      <c r="U281" s="5"/>
      <c r="V281" s="5"/>
      <c r="W281" s="5"/>
      <c r="X281" s="5"/>
      <c r="Y281" s="5"/>
      <c r="Z281" s="5"/>
      <c r="AA281" s="5"/>
    </row>
    <row r="282">
      <c r="A282" s="5"/>
      <c r="B282" s="5"/>
      <c r="C282" s="5"/>
      <c r="D282" s="5"/>
      <c r="E282" s="64"/>
      <c r="F282" s="5"/>
      <c r="G282" s="5"/>
      <c r="H282" s="5"/>
      <c r="I282" s="5"/>
      <c r="J282" s="5"/>
      <c r="K282" s="64"/>
      <c r="L282" s="64"/>
      <c r="M282" s="96"/>
      <c r="N282" s="5"/>
      <c r="O282" s="5"/>
      <c r="P282" s="5"/>
      <c r="Q282" s="5"/>
      <c r="R282" s="5"/>
      <c r="S282" s="5"/>
      <c r="T282" s="5"/>
      <c r="U282" s="5"/>
      <c r="V282" s="5"/>
      <c r="W282" s="5"/>
      <c r="X282" s="5"/>
      <c r="Y282" s="5"/>
      <c r="Z282" s="5"/>
      <c r="AA282" s="5"/>
    </row>
    <row r="283">
      <c r="A283" s="5"/>
      <c r="B283" s="5"/>
      <c r="C283" s="5"/>
      <c r="D283" s="5"/>
      <c r="E283" s="64"/>
      <c r="F283" s="5"/>
      <c r="G283" s="5"/>
      <c r="H283" s="5"/>
      <c r="I283" s="5"/>
      <c r="J283" s="5"/>
      <c r="K283" s="64"/>
      <c r="L283" s="64"/>
      <c r="M283" s="96"/>
      <c r="N283" s="5"/>
      <c r="O283" s="5"/>
      <c r="P283" s="5"/>
      <c r="Q283" s="5"/>
      <c r="R283" s="5"/>
      <c r="S283" s="5"/>
      <c r="T283" s="5"/>
      <c r="U283" s="5"/>
      <c r="V283" s="5"/>
      <c r="W283" s="5"/>
      <c r="X283" s="5"/>
      <c r="Y283" s="5"/>
      <c r="Z283" s="5"/>
      <c r="AA283" s="5"/>
    </row>
    <row r="284">
      <c r="A284" s="5"/>
      <c r="B284" s="5"/>
      <c r="C284" s="5"/>
      <c r="D284" s="5"/>
      <c r="E284" s="64"/>
      <c r="F284" s="5"/>
      <c r="G284" s="5"/>
      <c r="H284" s="5"/>
      <c r="I284" s="5"/>
      <c r="J284" s="5"/>
      <c r="K284" s="64"/>
      <c r="L284" s="64"/>
      <c r="M284" s="96"/>
      <c r="N284" s="5"/>
      <c r="O284" s="5"/>
      <c r="P284" s="5"/>
      <c r="Q284" s="5"/>
      <c r="R284" s="5"/>
      <c r="S284" s="5"/>
      <c r="T284" s="5"/>
      <c r="U284" s="5"/>
      <c r="V284" s="5"/>
      <c r="W284" s="5"/>
      <c r="X284" s="5"/>
      <c r="Y284" s="5"/>
      <c r="Z284" s="5"/>
      <c r="AA284" s="5"/>
    </row>
    <row r="285">
      <c r="A285" s="5"/>
      <c r="B285" s="5"/>
      <c r="C285" s="5"/>
      <c r="D285" s="5"/>
      <c r="E285" s="64"/>
      <c r="F285" s="5"/>
      <c r="G285" s="5"/>
      <c r="H285" s="5"/>
      <c r="I285" s="5"/>
      <c r="J285" s="5"/>
      <c r="K285" s="64"/>
      <c r="L285" s="64"/>
      <c r="M285" s="96"/>
      <c r="N285" s="5"/>
      <c r="O285" s="5"/>
      <c r="P285" s="5"/>
      <c r="Q285" s="5"/>
      <c r="R285" s="5"/>
      <c r="S285" s="5"/>
      <c r="T285" s="5"/>
      <c r="U285" s="5"/>
      <c r="V285" s="5"/>
      <c r="W285" s="5"/>
      <c r="X285" s="5"/>
      <c r="Y285" s="5"/>
      <c r="Z285" s="5"/>
      <c r="AA285" s="5"/>
    </row>
    <row r="286">
      <c r="A286" s="5"/>
      <c r="B286" s="5"/>
      <c r="C286" s="5"/>
      <c r="D286" s="5"/>
      <c r="E286" s="64"/>
      <c r="F286" s="5"/>
      <c r="G286" s="5"/>
      <c r="H286" s="5"/>
      <c r="I286" s="5"/>
      <c r="J286" s="5"/>
      <c r="K286" s="64"/>
      <c r="L286" s="64"/>
      <c r="M286" s="96"/>
      <c r="N286" s="5"/>
      <c r="O286" s="5"/>
      <c r="P286" s="5"/>
      <c r="Q286" s="5"/>
      <c r="R286" s="5"/>
      <c r="S286" s="5"/>
      <c r="T286" s="5"/>
      <c r="U286" s="5"/>
      <c r="V286" s="5"/>
      <c r="W286" s="5"/>
      <c r="X286" s="5"/>
      <c r="Y286" s="5"/>
      <c r="Z286" s="5"/>
      <c r="AA286" s="5"/>
    </row>
    <row r="287">
      <c r="A287" s="5"/>
      <c r="B287" s="5"/>
      <c r="C287" s="5"/>
      <c r="D287" s="5"/>
      <c r="E287" s="64"/>
      <c r="F287" s="5"/>
      <c r="G287" s="5"/>
      <c r="H287" s="5"/>
      <c r="I287" s="5"/>
      <c r="J287" s="5"/>
      <c r="K287" s="64"/>
      <c r="L287" s="64"/>
      <c r="M287" s="96"/>
      <c r="N287" s="5"/>
      <c r="O287" s="5"/>
      <c r="P287" s="5"/>
      <c r="Q287" s="5"/>
      <c r="R287" s="5"/>
      <c r="S287" s="5"/>
      <c r="T287" s="5"/>
      <c r="U287" s="5"/>
      <c r="V287" s="5"/>
      <c r="W287" s="5"/>
      <c r="X287" s="5"/>
      <c r="Y287" s="5"/>
      <c r="Z287" s="5"/>
      <c r="AA287" s="5"/>
    </row>
    <row r="288">
      <c r="A288" s="5"/>
      <c r="B288" s="5"/>
      <c r="C288" s="5"/>
      <c r="D288" s="5"/>
      <c r="E288" s="64"/>
      <c r="F288" s="5"/>
      <c r="G288" s="5"/>
      <c r="H288" s="5"/>
      <c r="I288" s="5"/>
      <c r="J288" s="5"/>
      <c r="K288" s="64"/>
      <c r="L288" s="64"/>
      <c r="M288" s="96"/>
      <c r="N288" s="5"/>
      <c r="O288" s="5"/>
      <c r="P288" s="5"/>
      <c r="Q288" s="5"/>
      <c r="R288" s="5"/>
      <c r="S288" s="5"/>
      <c r="T288" s="5"/>
      <c r="U288" s="5"/>
      <c r="V288" s="5"/>
      <c r="W288" s="5"/>
      <c r="X288" s="5"/>
      <c r="Y288" s="5"/>
      <c r="Z288" s="5"/>
      <c r="AA288" s="5"/>
    </row>
    <row r="289">
      <c r="A289" s="5"/>
      <c r="B289" s="5"/>
      <c r="C289" s="5"/>
      <c r="D289" s="5"/>
      <c r="E289" s="64"/>
      <c r="F289" s="5"/>
      <c r="G289" s="5"/>
      <c r="H289" s="5"/>
      <c r="I289" s="5"/>
      <c r="J289" s="5"/>
      <c r="K289" s="64"/>
      <c r="L289" s="64"/>
      <c r="M289" s="96"/>
      <c r="N289" s="5"/>
      <c r="O289" s="5"/>
      <c r="P289" s="5"/>
      <c r="Q289" s="5"/>
      <c r="R289" s="5"/>
      <c r="S289" s="5"/>
      <c r="T289" s="5"/>
      <c r="U289" s="5"/>
      <c r="V289" s="5"/>
      <c r="W289" s="5"/>
      <c r="X289" s="5"/>
      <c r="Y289" s="5"/>
      <c r="Z289" s="5"/>
      <c r="AA289" s="5"/>
    </row>
    <row r="290">
      <c r="A290" s="5"/>
      <c r="B290" s="5"/>
      <c r="C290" s="5"/>
      <c r="D290" s="5"/>
      <c r="E290" s="64"/>
      <c r="F290" s="5"/>
      <c r="G290" s="5"/>
      <c r="H290" s="5"/>
      <c r="I290" s="5"/>
      <c r="J290" s="5"/>
      <c r="K290" s="64"/>
      <c r="L290" s="64"/>
      <c r="M290" s="96"/>
      <c r="N290" s="5"/>
      <c r="O290" s="5"/>
      <c r="P290" s="5"/>
      <c r="Q290" s="5"/>
      <c r="R290" s="5"/>
      <c r="S290" s="5"/>
      <c r="T290" s="5"/>
      <c r="U290" s="5"/>
      <c r="V290" s="5"/>
      <c r="W290" s="5"/>
      <c r="X290" s="5"/>
      <c r="Y290" s="5"/>
      <c r="Z290" s="5"/>
      <c r="AA290" s="5"/>
    </row>
    <row r="291">
      <c r="A291" s="5"/>
      <c r="B291" s="5"/>
      <c r="C291" s="5"/>
      <c r="D291" s="5"/>
      <c r="E291" s="64"/>
      <c r="F291" s="5"/>
      <c r="G291" s="5"/>
      <c r="H291" s="5"/>
      <c r="I291" s="5"/>
      <c r="J291" s="5"/>
      <c r="K291" s="64"/>
      <c r="L291" s="64"/>
      <c r="M291" s="96"/>
      <c r="N291" s="5"/>
      <c r="O291" s="5"/>
      <c r="P291" s="5"/>
      <c r="Q291" s="5"/>
      <c r="R291" s="5"/>
      <c r="S291" s="5"/>
      <c r="T291" s="5"/>
      <c r="U291" s="5"/>
      <c r="V291" s="5"/>
      <c r="W291" s="5"/>
      <c r="X291" s="5"/>
      <c r="Y291" s="5"/>
      <c r="Z291" s="5"/>
      <c r="AA291" s="5"/>
    </row>
    <row r="292">
      <c r="A292" s="5"/>
      <c r="B292" s="5"/>
      <c r="C292" s="5"/>
      <c r="D292" s="5"/>
      <c r="E292" s="64"/>
      <c r="F292" s="5"/>
      <c r="G292" s="5"/>
      <c r="H292" s="5"/>
      <c r="I292" s="5"/>
      <c r="J292" s="5"/>
      <c r="K292" s="64"/>
      <c r="L292" s="64"/>
      <c r="M292" s="96"/>
      <c r="N292" s="5"/>
      <c r="O292" s="5"/>
      <c r="P292" s="5"/>
      <c r="Q292" s="5"/>
      <c r="R292" s="5"/>
      <c r="S292" s="5"/>
      <c r="T292" s="5"/>
      <c r="U292" s="5"/>
      <c r="V292" s="5"/>
      <c r="W292" s="5"/>
      <c r="X292" s="5"/>
      <c r="Y292" s="5"/>
      <c r="Z292" s="5"/>
      <c r="AA292" s="5"/>
    </row>
    <row r="293">
      <c r="A293" s="5"/>
      <c r="B293" s="5"/>
      <c r="C293" s="5"/>
      <c r="D293" s="5"/>
      <c r="E293" s="64"/>
      <c r="F293" s="5"/>
      <c r="G293" s="5"/>
      <c r="H293" s="5"/>
      <c r="I293" s="5"/>
      <c r="J293" s="5"/>
      <c r="K293" s="64"/>
      <c r="L293" s="64"/>
      <c r="M293" s="96"/>
      <c r="N293" s="5"/>
      <c r="O293" s="5"/>
      <c r="P293" s="5"/>
      <c r="Q293" s="5"/>
      <c r="R293" s="5"/>
      <c r="S293" s="5"/>
      <c r="T293" s="5"/>
      <c r="U293" s="5"/>
      <c r="V293" s="5"/>
      <c r="W293" s="5"/>
      <c r="X293" s="5"/>
      <c r="Y293" s="5"/>
      <c r="Z293" s="5"/>
      <c r="AA293" s="5"/>
    </row>
    <row r="294">
      <c r="A294" s="5"/>
      <c r="B294" s="5"/>
      <c r="C294" s="5"/>
      <c r="D294" s="5"/>
      <c r="E294" s="64"/>
      <c r="F294" s="5"/>
      <c r="G294" s="5"/>
      <c r="H294" s="5"/>
      <c r="I294" s="5"/>
      <c r="J294" s="5"/>
      <c r="K294" s="64"/>
      <c r="L294" s="64"/>
      <c r="M294" s="96"/>
      <c r="N294" s="5"/>
      <c r="O294" s="5"/>
      <c r="P294" s="5"/>
      <c r="Q294" s="5"/>
      <c r="R294" s="5"/>
      <c r="S294" s="5"/>
      <c r="T294" s="5"/>
      <c r="U294" s="5"/>
      <c r="V294" s="5"/>
      <c r="W294" s="5"/>
      <c r="X294" s="5"/>
      <c r="Y294" s="5"/>
      <c r="Z294" s="5"/>
      <c r="AA294" s="5"/>
    </row>
    <row r="295">
      <c r="A295" s="5"/>
      <c r="B295" s="5"/>
      <c r="C295" s="5"/>
      <c r="D295" s="5"/>
      <c r="E295" s="64"/>
      <c r="F295" s="5"/>
      <c r="G295" s="5"/>
      <c r="H295" s="5"/>
      <c r="I295" s="5"/>
      <c r="J295" s="5"/>
      <c r="K295" s="64"/>
      <c r="L295" s="64"/>
      <c r="M295" s="96"/>
      <c r="N295" s="5"/>
      <c r="O295" s="5"/>
      <c r="P295" s="5"/>
      <c r="Q295" s="5"/>
      <c r="R295" s="5"/>
      <c r="S295" s="5"/>
      <c r="T295" s="5"/>
      <c r="U295" s="5"/>
      <c r="V295" s="5"/>
      <c r="W295" s="5"/>
      <c r="X295" s="5"/>
      <c r="Y295" s="5"/>
      <c r="Z295" s="5"/>
      <c r="AA295" s="5"/>
    </row>
    <row r="296">
      <c r="A296" s="5"/>
      <c r="B296" s="5"/>
      <c r="C296" s="5"/>
      <c r="D296" s="5"/>
      <c r="E296" s="64"/>
      <c r="F296" s="5"/>
      <c r="G296" s="5"/>
      <c r="H296" s="5"/>
      <c r="I296" s="5"/>
      <c r="J296" s="5"/>
      <c r="K296" s="64"/>
      <c r="L296" s="64"/>
      <c r="M296" s="96"/>
      <c r="N296" s="5"/>
      <c r="O296" s="5"/>
      <c r="P296" s="5"/>
      <c r="Q296" s="5"/>
      <c r="R296" s="5"/>
      <c r="S296" s="5"/>
      <c r="T296" s="5"/>
      <c r="U296" s="5"/>
      <c r="V296" s="5"/>
      <c r="W296" s="5"/>
      <c r="X296" s="5"/>
      <c r="Y296" s="5"/>
      <c r="Z296" s="5"/>
      <c r="AA296" s="5"/>
    </row>
    <row r="297">
      <c r="A297" s="5"/>
      <c r="B297" s="5"/>
      <c r="C297" s="5"/>
      <c r="D297" s="5"/>
      <c r="E297" s="64"/>
      <c r="F297" s="5"/>
      <c r="G297" s="5"/>
      <c r="H297" s="5"/>
      <c r="I297" s="5"/>
      <c r="J297" s="5"/>
      <c r="K297" s="64"/>
      <c r="L297" s="64"/>
      <c r="M297" s="96"/>
      <c r="N297" s="5"/>
      <c r="O297" s="5"/>
      <c r="P297" s="5"/>
      <c r="Q297" s="5"/>
      <c r="R297" s="5"/>
      <c r="S297" s="5"/>
      <c r="T297" s="5"/>
      <c r="U297" s="5"/>
      <c r="V297" s="5"/>
      <c r="W297" s="5"/>
      <c r="X297" s="5"/>
      <c r="Y297" s="5"/>
      <c r="Z297" s="5"/>
      <c r="AA297" s="5"/>
    </row>
    <row r="298">
      <c r="A298" s="5"/>
      <c r="B298" s="5"/>
      <c r="C298" s="5"/>
      <c r="D298" s="5"/>
      <c r="E298" s="64"/>
      <c r="F298" s="5"/>
      <c r="G298" s="5"/>
      <c r="H298" s="5"/>
      <c r="I298" s="5"/>
      <c r="J298" s="5"/>
      <c r="K298" s="64"/>
      <c r="L298" s="64"/>
      <c r="M298" s="96"/>
      <c r="N298" s="5"/>
      <c r="O298" s="5"/>
      <c r="P298" s="5"/>
      <c r="Q298" s="5"/>
      <c r="R298" s="5"/>
      <c r="S298" s="5"/>
      <c r="T298" s="5"/>
      <c r="U298" s="5"/>
      <c r="V298" s="5"/>
      <c r="W298" s="5"/>
      <c r="X298" s="5"/>
      <c r="Y298" s="5"/>
      <c r="Z298" s="5"/>
      <c r="AA298" s="5"/>
    </row>
    <row r="299">
      <c r="A299" s="5"/>
      <c r="B299" s="5"/>
      <c r="C299" s="5"/>
      <c r="D299" s="5"/>
      <c r="E299" s="64"/>
      <c r="F299" s="5"/>
      <c r="G299" s="5"/>
      <c r="H299" s="5"/>
      <c r="I299" s="5"/>
      <c r="J299" s="5"/>
      <c r="K299" s="64"/>
      <c r="L299" s="64"/>
      <c r="M299" s="96"/>
      <c r="N299" s="5"/>
      <c r="O299" s="5"/>
      <c r="P299" s="5"/>
      <c r="Q299" s="5"/>
      <c r="R299" s="5"/>
      <c r="S299" s="5"/>
      <c r="T299" s="5"/>
      <c r="U299" s="5"/>
      <c r="V299" s="5"/>
      <c r="W299" s="5"/>
      <c r="X299" s="5"/>
      <c r="Y299" s="5"/>
      <c r="Z299" s="5"/>
      <c r="AA299" s="5"/>
    </row>
    <row r="300">
      <c r="A300" s="5"/>
      <c r="B300" s="5"/>
      <c r="C300" s="5"/>
      <c r="D300" s="5"/>
      <c r="E300" s="64"/>
      <c r="F300" s="5"/>
      <c r="G300" s="5"/>
      <c r="H300" s="5"/>
      <c r="I300" s="5"/>
      <c r="J300" s="5"/>
      <c r="K300" s="64"/>
      <c r="L300" s="64"/>
      <c r="M300" s="96"/>
      <c r="N300" s="5"/>
      <c r="O300" s="5"/>
      <c r="P300" s="5"/>
      <c r="Q300" s="5"/>
      <c r="R300" s="5"/>
      <c r="S300" s="5"/>
      <c r="T300" s="5"/>
      <c r="U300" s="5"/>
      <c r="V300" s="5"/>
      <c r="W300" s="5"/>
      <c r="X300" s="5"/>
      <c r="Y300" s="5"/>
      <c r="Z300" s="5"/>
      <c r="AA300" s="5"/>
    </row>
    <row r="301">
      <c r="A301" s="5"/>
      <c r="B301" s="5"/>
      <c r="C301" s="5"/>
      <c r="D301" s="5"/>
      <c r="E301" s="64"/>
      <c r="F301" s="5"/>
      <c r="G301" s="5"/>
      <c r="H301" s="5"/>
      <c r="I301" s="5"/>
      <c r="J301" s="5"/>
      <c r="K301" s="64"/>
      <c r="L301" s="64"/>
      <c r="M301" s="96"/>
      <c r="N301" s="5"/>
      <c r="O301" s="5"/>
      <c r="P301" s="5"/>
      <c r="Q301" s="5"/>
      <c r="R301" s="5"/>
      <c r="S301" s="5"/>
      <c r="T301" s="5"/>
      <c r="U301" s="5"/>
      <c r="V301" s="5"/>
      <c r="W301" s="5"/>
      <c r="X301" s="5"/>
      <c r="Y301" s="5"/>
      <c r="Z301" s="5"/>
      <c r="AA301" s="5"/>
    </row>
    <row r="302">
      <c r="A302" s="5"/>
      <c r="B302" s="5"/>
      <c r="C302" s="5"/>
      <c r="D302" s="5"/>
      <c r="E302" s="64"/>
      <c r="F302" s="5"/>
      <c r="G302" s="5"/>
      <c r="H302" s="5"/>
      <c r="I302" s="5"/>
      <c r="J302" s="5"/>
      <c r="K302" s="64"/>
      <c r="L302" s="64"/>
      <c r="M302" s="96"/>
      <c r="N302" s="5"/>
      <c r="O302" s="5"/>
      <c r="P302" s="5"/>
      <c r="Q302" s="5"/>
      <c r="R302" s="5"/>
      <c r="S302" s="5"/>
      <c r="T302" s="5"/>
      <c r="U302" s="5"/>
      <c r="V302" s="5"/>
      <c r="W302" s="5"/>
      <c r="X302" s="5"/>
      <c r="Y302" s="5"/>
      <c r="Z302" s="5"/>
      <c r="AA302" s="5"/>
    </row>
    <row r="303">
      <c r="A303" s="5"/>
      <c r="B303" s="5"/>
      <c r="C303" s="5"/>
      <c r="D303" s="5"/>
      <c r="E303" s="64"/>
      <c r="F303" s="5"/>
      <c r="G303" s="5"/>
      <c r="H303" s="5"/>
      <c r="I303" s="5"/>
      <c r="J303" s="5"/>
      <c r="K303" s="64"/>
      <c r="L303" s="64"/>
      <c r="M303" s="96"/>
      <c r="N303" s="5"/>
      <c r="O303" s="5"/>
      <c r="P303" s="5"/>
      <c r="Q303" s="5"/>
      <c r="R303" s="5"/>
      <c r="S303" s="5"/>
      <c r="T303" s="5"/>
      <c r="U303" s="5"/>
      <c r="V303" s="5"/>
      <c r="W303" s="5"/>
      <c r="X303" s="5"/>
      <c r="Y303" s="5"/>
      <c r="Z303" s="5"/>
      <c r="AA303" s="5"/>
    </row>
    <row r="304">
      <c r="A304" s="5"/>
      <c r="B304" s="5"/>
      <c r="C304" s="5"/>
      <c r="D304" s="5"/>
      <c r="E304" s="64"/>
      <c r="F304" s="5"/>
      <c r="G304" s="5"/>
      <c r="H304" s="5"/>
      <c r="I304" s="5"/>
      <c r="J304" s="5"/>
      <c r="K304" s="64"/>
      <c r="L304" s="64"/>
      <c r="M304" s="96"/>
      <c r="N304" s="5"/>
      <c r="O304" s="5"/>
      <c r="P304" s="5"/>
      <c r="Q304" s="5"/>
      <c r="R304" s="5"/>
      <c r="S304" s="5"/>
      <c r="T304" s="5"/>
      <c r="U304" s="5"/>
      <c r="V304" s="5"/>
      <c r="W304" s="5"/>
      <c r="X304" s="5"/>
      <c r="Y304" s="5"/>
      <c r="Z304" s="5"/>
      <c r="AA304" s="5"/>
    </row>
    <row r="305">
      <c r="A305" s="5"/>
      <c r="B305" s="5"/>
      <c r="C305" s="5"/>
      <c r="D305" s="5"/>
      <c r="E305" s="64"/>
      <c r="F305" s="5"/>
      <c r="G305" s="5"/>
      <c r="H305" s="5"/>
      <c r="I305" s="5"/>
      <c r="J305" s="5"/>
      <c r="K305" s="64"/>
      <c r="L305" s="64"/>
      <c r="M305" s="96"/>
      <c r="N305" s="5"/>
      <c r="O305" s="5"/>
      <c r="P305" s="5"/>
      <c r="Q305" s="5"/>
      <c r="R305" s="5"/>
      <c r="S305" s="5"/>
      <c r="T305" s="5"/>
      <c r="U305" s="5"/>
      <c r="V305" s="5"/>
      <c r="W305" s="5"/>
      <c r="X305" s="5"/>
      <c r="Y305" s="5"/>
      <c r="Z305" s="5"/>
      <c r="AA305" s="5"/>
    </row>
    <row r="306">
      <c r="A306" s="5"/>
      <c r="B306" s="5"/>
      <c r="C306" s="5"/>
      <c r="D306" s="5"/>
      <c r="E306" s="64"/>
      <c r="F306" s="5"/>
      <c r="G306" s="5"/>
      <c r="H306" s="5"/>
      <c r="I306" s="5"/>
      <c r="J306" s="5"/>
      <c r="K306" s="64"/>
      <c r="L306" s="64"/>
      <c r="M306" s="96"/>
      <c r="N306" s="5"/>
      <c r="O306" s="5"/>
      <c r="P306" s="5"/>
      <c r="Q306" s="5"/>
      <c r="R306" s="5"/>
      <c r="S306" s="5"/>
      <c r="T306" s="5"/>
      <c r="U306" s="5"/>
      <c r="V306" s="5"/>
      <c r="W306" s="5"/>
      <c r="X306" s="5"/>
      <c r="Y306" s="5"/>
      <c r="Z306" s="5"/>
      <c r="AA306" s="5"/>
    </row>
    <row r="307">
      <c r="A307" s="5"/>
      <c r="B307" s="5"/>
      <c r="C307" s="5"/>
      <c r="D307" s="5"/>
      <c r="E307" s="64"/>
      <c r="F307" s="5"/>
      <c r="G307" s="5"/>
      <c r="H307" s="5"/>
      <c r="I307" s="5"/>
      <c r="J307" s="5"/>
      <c r="K307" s="64"/>
      <c r="L307" s="64"/>
      <c r="M307" s="96"/>
      <c r="N307" s="5"/>
      <c r="O307" s="5"/>
      <c r="P307" s="5"/>
      <c r="Q307" s="5"/>
      <c r="R307" s="5"/>
      <c r="S307" s="5"/>
      <c r="T307" s="5"/>
      <c r="U307" s="5"/>
      <c r="V307" s="5"/>
      <c r="W307" s="5"/>
      <c r="X307" s="5"/>
      <c r="Y307" s="5"/>
      <c r="Z307" s="5"/>
      <c r="AA307" s="5"/>
    </row>
    <row r="308">
      <c r="A308" s="5"/>
      <c r="B308" s="5"/>
      <c r="C308" s="5"/>
      <c r="D308" s="5"/>
      <c r="E308" s="64"/>
      <c r="F308" s="5"/>
      <c r="G308" s="5"/>
      <c r="H308" s="5"/>
      <c r="I308" s="5"/>
      <c r="J308" s="5"/>
      <c r="K308" s="64"/>
      <c r="L308" s="64"/>
      <c r="M308" s="96"/>
      <c r="N308" s="5"/>
      <c r="O308" s="5"/>
      <c r="P308" s="5"/>
      <c r="Q308" s="5"/>
      <c r="R308" s="5"/>
      <c r="S308" s="5"/>
      <c r="T308" s="5"/>
      <c r="U308" s="5"/>
      <c r="V308" s="5"/>
      <c r="W308" s="5"/>
      <c r="X308" s="5"/>
      <c r="Y308" s="5"/>
      <c r="Z308" s="5"/>
      <c r="AA308" s="5"/>
    </row>
    <row r="309">
      <c r="A309" s="5"/>
      <c r="B309" s="5"/>
      <c r="C309" s="5"/>
      <c r="D309" s="5"/>
      <c r="E309" s="64"/>
      <c r="F309" s="5"/>
      <c r="G309" s="5"/>
      <c r="H309" s="5"/>
      <c r="I309" s="5"/>
      <c r="J309" s="5"/>
      <c r="K309" s="64"/>
      <c r="L309" s="64"/>
      <c r="M309" s="96"/>
      <c r="N309" s="5"/>
      <c r="O309" s="5"/>
      <c r="P309" s="5"/>
      <c r="Q309" s="5"/>
      <c r="R309" s="5"/>
      <c r="S309" s="5"/>
      <c r="T309" s="5"/>
      <c r="U309" s="5"/>
      <c r="V309" s="5"/>
      <c r="W309" s="5"/>
      <c r="X309" s="5"/>
      <c r="Y309" s="5"/>
      <c r="Z309" s="5"/>
      <c r="AA309" s="5"/>
    </row>
    <row r="310">
      <c r="A310" s="5"/>
      <c r="B310" s="5"/>
      <c r="C310" s="5"/>
      <c r="D310" s="5"/>
      <c r="E310" s="64"/>
      <c r="F310" s="5"/>
      <c r="G310" s="5"/>
      <c r="H310" s="5"/>
      <c r="I310" s="5"/>
      <c r="J310" s="5"/>
      <c r="K310" s="64"/>
      <c r="L310" s="64"/>
      <c r="M310" s="96"/>
      <c r="N310" s="5"/>
      <c r="O310" s="5"/>
      <c r="P310" s="5"/>
      <c r="Q310" s="5"/>
      <c r="R310" s="5"/>
      <c r="S310" s="5"/>
      <c r="T310" s="5"/>
      <c r="U310" s="5"/>
      <c r="V310" s="5"/>
      <c r="W310" s="5"/>
      <c r="X310" s="5"/>
      <c r="Y310" s="5"/>
      <c r="Z310" s="5"/>
      <c r="AA310" s="5"/>
    </row>
    <row r="311">
      <c r="A311" s="5"/>
      <c r="B311" s="5"/>
      <c r="C311" s="5"/>
      <c r="D311" s="5"/>
      <c r="E311" s="64"/>
      <c r="F311" s="5"/>
      <c r="G311" s="5"/>
      <c r="H311" s="5"/>
      <c r="I311" s="5"/>
      <c r="J311" s="5"/>
      <c r="K311" s="64"/>
      <c r="L311" s="64"/>
      <c r="M311" s="96"/>
      <c r="N311" s="5"/>
      <c r="O311" s="5"/>
      <c r="P311" s="5"/>
      <c r="Q311" s="5"/>
      <c r="R311" s="5"/>
      <c r="S311" s="5"/>
      <c r="T311" s="5"/>
      <c r="U311" s="5"/>
      <c r="V311" s="5"/>
      <c r="W311" s="5"/>
      <c r="X311" s="5"/>
      <c r="Y311" s="5"/>
      <c r="Z311" s="5"/>
      <c r="AA311" s="5"/>
    </row>
    <row r="312">
      <c r="A312" s="5"/>
      <c r="B312" s="5"/>
      <c r="C312" s="5"/>
      <c r="D312" s="5"/>
      <c r="E312" s="64"/>
      <c r="F312" s="5"/>
      <c r="G312" s="5"/>
      <c r="H312" s="5"/>
      <c r="I312" s="5"/>
      <c r="J312" s="5"/>
      <c r="K312" s="64"/>
      <c r="L312" s="64"/>
      <c r="M312" s="96"/>
      <c r="N312" s="5"/>
      <c r="O312" s="5"/>
      <c r="P312" s="5"/>
      <c r="Q312" s="5"/>
      <c r="R312" s="5"/>
      <c r="S312" s="5"/>
      <c r="T312" s="5"/>
      <c r="U312" s="5"/>
      <c r="V312" s="5"/>
      <c r="W312" s="5"/>
      <c r="X312" s="5"/>
      <c r="Y312" s="5"/>
      <c r="Z312" s="5"/>
      <c r="AA312" s="5"/>
    </row>
    <row r="313">
      <c r="A313" s="5"/>
      <c r="B313" s="5"/>
      <c r="C313" s="5"/>
      <c r="D313" s="5"/>
      <c r="E313" s="64"/>
      <c r="F313" s="5"/>
      <c r="G313" s="5"/>
      <c r="H313" s="5"/>
      <c r="I313" s="5"/>
      <c r="J313" s="5"/>
      <c r="K313" s="64"/>
      <c r="L313" s="64"/>
      <c r="M313" s="96"/>
      <c r="N313" s="5"/>
      <c r="O313" s="5"/>
      <c r="P313" s="5"/>
      <c r="Q313" s="5"/>
      <c r="R313" s="5"/>
      <c r="S313" s="5"/>
      <c r="T313" s="5"/>
      <c r="U313" s="5"/>
      <c r="V313" s="5"/>
      <c r="W313" s="5"/>
      <c r="X313" s="5"/>
      <c r="Y313" s="5"/>
      <c r="Z313" s="5"/>
      <c r="AA313" s="5"/>
    </row>
    <row r="314">
      <c r="A314" s="5"/>
      <c r="B314" s="5"/>
      <c r="C314" s="5"/>
      <c r="D314" s="5"/>
      <c r="E314" s="64"/>
      <c r="F314" s="5"/>
      <c r="G314" s="5"/>
      <c r="H314" s="5"/>
      <c r="I314" s="5"/>
      <c r="J314" s="5"/>
      <c r="K314" s="64"/>
      <c r="L314" s="64"/>
      <c r="M314" s="96"/>
      <c r="N314" s="5"/>
      <c r="O314" s="5"/>
      <c r="P314" s="5"/>
      <c r="Q314" s="5"/>
      <c r="R314" s="5"/>
      <c r="S314" s="5"/>
      <c r="T314" s="5"/>
      <c r="U314" s="5"/>
      <c r="V314" s="5"/>
      <c r="W314" s="5"/>
      <c r="X314" s="5"/>
      <c r="Y314" s="5"/>
      <c r="Z314" s="5"/>
      <c r="AA314" s="5"/>
    </row>
    <row r="315">
      <c r="A315" s="5"/>
      <c r="B315" s="5"/>
      <c r="C315" s="5"/>
      <c r="D315" s="5"/>
      <c r="E315" s="64"/>
      <c r="F315" s="5"/>
      <c r="G315" s="5"/>
      <c r="H315" s="5"/>
      <c r="I315" s="5"/>
      <c r="J315" s="5"/>
      <c r="K315" s="64"/>
      <c r="L315" s="64"/>
      <c r="M315" s="96"/>
      <c r="N315" s="5"/>
      <c r="O315" s="5"/>
      <c r="P315" s="5"/>
      <c r="Q315" s="5"/>
      <c r="R315" s="5"/>
      <c r="S315" s="5"/>
      <c r="T315" s="5"/>
      <c r="U315" s="5"/>
      <c r="V315" s="5"/>
      <c r="W315" s="5"/>
      <c r="X315" s="5"/>
      <c r="Y315" s="5"/>
      <c r="Z315" s="5"/>
      <c r="AA315" s="5"/>
    </row>
    <row r="316">
      <c r="A316" s="5"/>
      <c r="B316" s="5"/>
      <c r="C316" s="5"/>
      <c r="D316" s="5"/>
      <c r="E316" s="64"/>
      <c r="F316" s="5"/>
      <c r="G316" s="5"/>
      <c r="H316" s="5"/>
      <c r="I316" s="5"/>
      <c r="J316" s="5"/>
      <c r="K316" s="64"/>
      <c r="L316" s="64"/>
      <c r="M316" s="96"/>
      <c r="N316" s="5"/>
      <c r="O316" s="5"/>
      <c r="P316" s="5"/>
      <c r="Q316" s="5"/>
      <c r="R316" s="5"/>
      <c r="S316" s="5"/>
      <c r="T316" s="5"/>
      <c r="U316" s="5"/>
      <c r="V316" s="5"/>
      <c r="W316" s="5"/>
      <c r="X316" s="5"/>
      <c r="Y316" s="5"/>
      <c r="Z316" s="5"/>
      <c r="AA316" s="5"/>
    </row>
    <row r="317">
      <c r="A317" s="5"/>
      <c r="B317" s="5"/>
      <c r="C317" s="5"/>
      <c r="D317" s="5"/>
      <c r="E317" s="64"/>
      <c r="F317" s="5"/>
      <c r="G317" s="5"/>
      <c r="H317" s="5"/>
      <c r="I317" s="5"/>
      <c r="J317" s="5"/>
      <c r="K317" s="64"/>
      <c r="L317" s="64"/>
      <c r="M317" s="96"/>
      <c r="N317" s="5"/>
      <c r="O317" s="5"/>
      <c r="P317" s="5"/>
      <c r="Q317" s="5"/>
      <c r="R317" s="5"/>
      <c r="S317" s="5"/>
      <c r="T317" s="5"/>
      <c r="U317" s="5"/>
      <c r="V317" s="5"/>
      <c r="W317" s="5"/>
      <c r="X317" s="5"/>
      <c r="Y317" s="5"/>
      <c r="Z317" s="5"/>
      <c r="AA317" s="5"/>
    </row>
    <row r="318">
      <c r="A318" s="5"/>
      <c r="B318" s="5"/>
      <c r="C318" s="5"/>
      <c r="D318" s="5"/>
      <c r="E318" s="64"/>
      <c r="F318" s="5"/>
      <c r="G318" s="5"/>
      <c r="H318" s="5"/>
      <c r="I318" s="5"/>
      <c r="J318" s="5"/>
      <c r="K318" s="64"/>
      <c r="L318" s="64"/>
      <c r="M318" s="96"/>
      <c r="N318" s="5"/>
      <c r="O318" s="5"/>
      <c r="P318" s="5"/>
      <c r="Q318" s="5"/>
      <c r="R318" s="5"/>
      <c r="S318" s="5"/>
      <c r="T318" s="5"/>
      <c r="U318" s="5"/>
      <c r="V318" s="5"/>
      <c r="W318" s="5"/>
      <c r="X318" s="5"/>
      <c r="Y318" s="5"/>
      <c r="Z318" s="5"/>
      <c r="AA318" s="5"/>
    </row>
    <row r="319">
      <c r="A319" s="5"/>
      <c r="B319" s="5"/>
      <c r="C319" s="5"/>
      <c r="D319" s="5"/>
      <c r="E319" s="64"/>
      <c r="F319" s="5"/>
      <c r="G319" s="5"/>
      <c r="H319" s="5"/>
      <c r="I319" s="5"/>
      <c r="J319" s="5"/>
      <c r="K319" s="64"/>
      <c r="L319" s="64"/>
      <c r="M319" s="96"/>
      <c r="N319" s="5"/>
      <c r="O319" s="5"/>
      <c r="P319" s="5"/>
      <c r="Q319" s="5"/>
      <c r="R319" s="5"/>
      <c r="S319" s="5"/>
      <c r="T319" s="5"/>
      <c r="U319" s="5"/>
      <c r="V319" s="5"/>
      <c r="W319" s="5"/>
      <c r="X319" s="5"/>
      <c r="Y319" s="5"/>
      <c r="Z319" s="5"/>
      <c r="AA319" s="5"/>
    </row>
    <row r="320">
      <c r="A320" s="5"/>
      <c r="B320" s="5"/>
      <c r="C320" s="5"/>
      <c r="D320" s="5"/>
      <c r="E320" s="64"/>
      <c r="F320" s="5"/>
      <c r="G320" s="5"/>
      <c r="H320" s="5"/>
      <c r="I320" s="5"/>
      <c r="J320" s="5"/>
      <c r="K320" s="64"/>
      <c r="L320" s="64"/>
      <c r="M320" s="96"/>
      <c r="N320" s="5"/>
      <c r="O320" s="5"/>
      <c r="P320" s="5"/>
      <c r="Q320" s="5"/>
      <c r="R320" s="5"/>
      <c r="S320" s="5"/>
      <c r="T320" s="5"/>
      <c r="U320" s="5"/>
      <c r="V320" s="5"/>
      <c r="W320" s="5"/>
      <c r="X320" s="5"/>
      <c r="Y320" s="5"/>
      <c r="Z320" s="5"/>
      <c r="AA320" s="5"/>
    </row>
    <row r="321">
      <c r="A321" s="5"/>
      <c r="B321" s="5"/>
      <c r="C321" s="5"/>
      <c r="D321" s="5"/>
      <c r="E321" s="64"/>
      <c r="F321" s="5"/>
      <c r="G321" s="5"/>
      <c r="H321" s="5"/>
      <c r="I321" s="5"/>
      <c r="J321" s="5"/>
      <c r="K321" s="64"/>
      <c r="L321" s="64"/>
      <c r="M321" s="96"/>
      <c r="N321" s="5"/>
      <c r="O321" s="5"/>
      <c r="P321" s="5"/>
      <c r="Q321" s="5"/>
      <c r="R321" s="5"/>
      <c r="S321" s="5"/>
      <c r="T321" s="5"/>
      <c r="U321" s="5"/>
      <c r="V321" s="5"/>
      <c r="W321" s="5"/>
      <c r="X321" s="5"/>
      <c r="Y321" s="5"/>
      <c r="Z321" s="5"/>
      <c r="AA321" s="5"/>
    </row>
    <row r="322">
      <c r="A322" s="5"/>
      <c r="B322" s="5"/>
      <c r="C322" s="5"/>
      <c r="D322" s="5"/>
      <c r="E322" s="64"/>
      <c r="F322" s="5"/>
      <c r="G322" s="5"/>
      <c r="H322" s="5"/>
      <c r="I322" s="5"/>
      <c r="J322" s="5"/>
      <c r="K322" s="64"/>
      <c r="L322" s="64"/>
      <c r="M322" s="96"/>
      <c r="N322" s="5"/>
      <c r="O322" s="5"/>
      <c r="P322" s="5"/>
      <c r="Q322" s="5"/>
      <c r="R322" s="5"/>
      <c r="S322" s="5"/>
      <c r="T322" s="5"/>
      <c r="U322" s="5"/>
      <c r="V322" s="5"/>
      <c r="W322" s="5"/>
      <c r="X322" s="5"/>
      <c r="Y322" s="5"/>
      <c r="Z322" s="5"/>
      <c r="AA322" s="5"/>
    </row>
    <row r="323">
      <c r="A323" s="5"/>
      <c r="B323" s="5"/>
      <c r="C323" s="5"/>
      <c r="D323" s="5"/>
      <c r="E323" s="64"/>
      <c r="F323" s="5"/>
      <c r="G323" s="5"/>
      <c r="H323" s="5"/>
      <c r="I323" s="5"/>
      <c r="J323" s="5"/>
      <c r="K323" s="64"/>
      <c r="L323" s="64"/>
      <c r="M323" s="96"/>
      <c r="N323" s="5"/>
      <c r="O323" s="5"/>
      <c r="P323" s="5"/>
      <c r="Q323" s="5"/>
      <c r="R323" s="5"/>
      <c r="S323" s="5"/>
      <c r="T323" s="5"/>
      <c r="U323" s="5"/>
      <c r="V323" s="5"/>
      <c r="W323" s="5"/>
      <c r="X323" s="5"/>
      <c r="Y323" s="5"/>
      <c r="Z323" s="5"/>
      <c r="AA323" s="5"/>
    </row>
    <row r="324">
      <c r="A324" s="5"/>
      <c r="B324" s="5"/>
      <c r="C324" s="5"/>
      <c r="D324" s="5"/>
      <c r="E324" s="64"/>
      <c r="F324" s="5"/>
      <c r="G324" s="5"/>
      <c r="H324" s="5"/>
      <c r="I324" s="5"/>
      <c r="J324" s="5"/>
      <c r="K324" s="64"/>
      <c r="L324" s="64"/>
      <c r="M324" s="96"/>
      <c r="N324" s="5"/>
      <c r="O324" s="5"/>
      <c r="P324" s="5"/>
      <c r="Q324" s="5"/>
      <c r="R324" s="5"/>
      <c r="S324" s="5"/>
      <c r="T324" s="5"/>
      <c r="U324" s="5"/>
      <c r="V324" s="5"/>
      <c r="W324" s="5"/>
      <c r="X324" s="5"/>
      <c r="Y324" s="5"/>
      <c r="Z324" s="5"/>
      <c r="AA324" s="5"/>
    </row>
    <row r="325">
      <c r="A325" s="5"/>
      <c r="B325" s="5"/>
      <c r="C325" s="5"/>
      <c r="D325" s="5"/>
      <c r="E325" s="64"/>
      <c r="F325" s="5"/>
      <c r="G325" s="5"/>
      <c r="H325" s="5"/>
      <c r="I325" s="5"/>
      <c r="J325" s="5"/>
      <c r="K325" s="64"/>
      <c r="L325" s="64"/>
      <c r="M325" s="96"/>
      <c r="N325" s="5"/>
      <c r="O325" s="5"/>
      <c r="P325" s="5"/>
      <c r="Q325" s="5"/>
      <c r="R325" s="5"/>
      <c r="S325" s="5"/>
      <c r="T325" s="5"/>
      <c r="U325" s="5"/>
      <c r="V325" s="5"/>
      <c r="W325" s="5"/>
      <c r="X325" s="5"/>
      <c r="Y325" s="5"/>
      <c r="Z325" s="5"/>
      <c r="AA325" s="5"/>
    </row>
    <row r="326">
      <c r="A326" s="5"/>
      <c r="B326" s="5"/>
      <c r="C326" s="5"/>
      <c r="D326" s="5"/>
      <c r="E326" s="64"/>
      <c r="F326" s="5"/>
      <c r="G326" s="5"/>
      <c r="H326" s="5"/>
      <c r="I326" s="5"/>
      <c r="J326" s="5"/>
      <c r="K326" s="64"/>
      <c r="L326" s="64"/>
      <c r="M326" s="96"/>
      <c r="N326" s="5"/>
      <c r="O326" s="5"/>
      <c r="P326" s="5"/>
      <c r="Q326" s="5"/>
      <c r="R326" s="5"/>
      <c r="S326" s="5"/>
      <c r="T326" s="5"/>
      <c r="U326" s="5"/>
      <c r="V326" s="5"/>
      <c r="W326" s="5"/>
      <c r="X326" s="5"/>
      <c r="Y326" s="5"/>
      <c r="Z326" s="5"/>
      <c r="AA326" s="5"/>
    </row>
    <row r="327">
      <c r="A327" s="5"/>
      <c r="B327" s="5"/>
      <c r="C327" s="5"/>
      <c r="D327" s="5"/>
      <c r="E327" s="64"/>
      <c r="F327" s="5"/>
      <c r="G327" s="5"/>
      <c r="H327" s="5"/>
      <c r="I327" s="5"/>
      <c r="J327" s="5"/>
      <c r="K327" s="64"/>
      <c r="L327" s="64"/>
      <c r="M327" s="96"/>
      <c r="N327" s="5"/>
      <c r="O327" s="5"/>
      <c r="P327" s="5"/>
      <c r="Q327" s="5"/>
      <c r="R327" s="5"/>
      <c r="S327" s="5"/>
      <c r="T327" s="5"/>
      <c r="U327" s="5"/>
      <c r="V327" s="5"/>
      <c r="W327" s="5"/>
      <c r="X327" s="5"/>
      <c r="Y327" s="5"/>
      <c r="Z327" s="5"/>
      <c r="AA327" s="5"/>
    </row>
    <row r="328">
      <c r="A328" s="5"/>
      <c r="B328" s="5"/>
      <c r="C328" s="5"/>
      <c r="D328" s="5"/>
      <c r="E328" s="64"/>
      <c r="F328" s="5"/>
      <c r="G328" s="5"/>
      <c r="H328" s="5"/>
      <c r="I328" s="5"/>
      <c r="J328" s="5"/>
      <c r="K328" s="64"/>
      <c r="L328" s="64"/>
      <c r="M328" s="96"/>
      <c r="N328" s="5"/>
      <c r="O328" s="5"/>
      <c r="P328" s="5"/>
      <c r="Q328" s="5"/>
      <c r="R328" s="5"/>
      <c r="S328" s="5"/>
      <c r="T328" s="5"/>
      <c r="U328" s="5"/>
      <c r="V328" s="5"/>
      <c r="W328" s="5"/>
      <c r="X328" s="5"/>
      <c r="Y328" s="5"/>
      <c r="Z328" s="5"/>
      <c r="AA328" s="5"/>
    </row>
    <row r="329">
      <c r="A329" s="5"/>
      <c r="B329" s="5"/>
      <c r="C329" s="5"/>
      <c r="D329" s="5"/>
      <c r="E329" s="64"/>
      <c r="F329" s="5"/>
      <c r="G329" s="5"/>
      <c r="H329" s="5"/>
      <c r="I329" s="5"/>
      <c r="J329" s="5"/>
      <c r="K329" s="64"/>
      <c r="L329" s="64"/>
      <c r="M329" s="96"/>
      <c r="N329" s="5"/>
      <c r="O329" s="5"/>
      <c r="P329" s="5"/>
      <c r="Q329" s="5"/>
      <c r="R329" s="5"/>
      <c r="S329" s="5"/>
      <c r="T329" s="5"/>
      <c r="U329" s="5"/>
      <c r="V329" s="5"/>
      <c r="W329" s="5"/>
      <c r="X329" s="5"/>
      <c r="Y329" s="5"/>
      <c r="Z329" s="5"/>
      <c r="AA329" s="5"/>
    </row>
    <row r="330">
      <c r="A330" s="5"/>
      <c r="B330" s="5"/>
      <c r="C330" s="5"/>
      <c r="D330" s="5"/>
      <c r="E330" s="64"/>
      <c r="F330" s="5"/>
      <c r="G330" s="5"/>
      <c r="H330" s="5"/>
      <c r="I330" s="5"/>
      <c r="J330" s="5"/>
      <c r="K330" s="64"/>
      <c r="L330" s="64"/>
      <c r="M330" s="96"/>
      <c r="N330" s="5"/>
      <c r="O330" s="5"/>
      <c r="P330" s="5"/>
      <c r="Q330" s="5"/>
      <c r="R330" s="5"/>
      <c r="S330" s="5"/>
      <c r="T330" s="5"/>
      <c r="U330" s="5"/>
      <c r="V330" s="5"/>
      <c r="W330" s="5"/>
      <c r="X330" s="5"/>
      <c r="Y330" s="5"/>
      <c r="Z330" s="5"/>
      <c r="AA330" s="5"/>
    </row>
    <row r="331">
      <c r="A331" s="5"/>
      <c r="B331" s="5"/>
      <c r="C331" s="5"/>
      <c r="D331" s="5"/>
      <c r="E331" s="64"/>
      <c r="F331" s="5"/>
      <c r="G331" s="5"/>
      <c r="H331" s="5"/>
      <c r="I331" s="5"/>
      <c r="J331" s="5"/>
      <c r="K331" s="64"/>
      <c r="L331" s="64"/>
      <c r="M331" s="96"/>
      <c r="N331" s="5"/>
      <c r="O331" s="5"/>
      <c r="P331" s="5"/>
      <c r="Q331" s="5"/>
      <c r="R331" s="5"/>
      <c r="S331" s="5"/>
      <c r="T331" s="5"/>
      <c r="U331" s="5"/>
      <c r="V331" s="5"/>
      <c r="W331" s="5"/>
      <c r="X331" s="5"/>
      <c r="Y331" s="5"/>
      <c r="Z331" s="5"/>
      <c r="AA331" s="5"/>
    </row>
    <row r="332">
      <c r="A332" s="5"/>
      <c r="B332" s="5"/>
      <c r="C332" s="5"/>
      <c r="D332" s="5"/>
      <c r="E332" s="64"/>
      <c r="F332" s="5"/>
      <c r="G332" s="5"/>
      <c r="H332" s="5"/>
      <c r="I332" s="5"/>
      <c r="J332" s="5"/>
      <c r="K332" s="64"/>
      <c r="L332" s="64"/>
      <c r="M332" s="96"/>
      <c r="N332" s="5"/>
      <c r="O332" s="5"/>
      <c r="P332" s="5"/>
      <c r="Q332" s="5"/>
      <c r="R332" s="5"/>
      <c r="S332" s="5"/>
      <c r="T332" s="5"/>
      <c r="U332" s="5"/>
      <c r="V332" s="5"/>
      <c r="W332" s="5"/>
      <c r="X332" s="5"/>
      <c r="Y332" s="5"/>
      <c r="Z332" s="5"/>
      <c r="AA332" s="5"/>
    </row>
    <row r="333">
      <c r="A333" s="5"/>
      <c r="B333" s="5"/>
      <c r="C333" s="5"/>
      <c r="D333" s="5"/>
      <c r="E333" s="64"/>
      <c r="F333" s="5"/>
      <c r="G333" s="5"/>
      <c r="H333" s="5"/>
      <c r="I333" s="5"/>
      <c r="J333" s="5"/>
      <c r="K333" s="64"/>
      <c r="L333" s="64"/>
      <c r="M333" s="96"/>
      <c r="N333" s="5"/>
      <c r="O333" s="5"/>
      <c r="P333" s="5"/>
      <c r="Q333" s="5"/>
      <c r="R333" s="5"/>
      <c r="S333" s="5"/>
      <c r="T333" s="5"/>
      <c r="U333" s="5"/>
      <c r="V333" s="5"/>
      <c r="W333" s="5"/>
      <c r="X333" s="5"/>
      <c r="Y333" s="5"/>
      <c r="Z333" s="5"/>
      <c r="AA333" s="5"/>
    </row>
    <row r="334">
      <c r="A334" s="5"/>
      <c r="B334" s="5"/>
      <c r="C334" s="5"/>
      <c r="D334" s="5"/>
      <c r="E334" s="64"/>
      <c r="F334" s="5"/>
      <c r="G334" s="5"/>
      <c r="H334" s="5"/>
      <c r="I334" s="5"/>
      <c r="J334" s="5"/>
      <c r="K334" s="64"/>
      <c r="L334" s="64"/>
      <c r="M334" s="96"/>
      <c r="N334" s="5"/>
      <c r="O334" s="5"/>
      <c r="P334" s="5"/>
      <c r="Q334" s="5"/>
      <c r="R334" s="5"/>
      <c r="S334" s="5"/>
      <c r="T334" s="5"/>
      <c r="U334" s="5"/>
      <c r="V334" s="5"/>
      <c r="W334" s="5"/>
      <c r="X334" s="5"/>
      <c r="Y334" s="5"/>
      <c r="Z334" s="5"/>
      <c r="AA334" s="5"/>
    </row>
    <row r="335">
      <c r="A335" s="5"/>
      <c r="B335" s="5"/>
      <c r="C335" s="5"/>
      <c r="D335" s="5"/>
      <c r="E335" s="64"/>
      <c r="F335" s="5"/>
      <c r="G335" s="5"/>
      <c r="H335" s="5"/>
      <c r="I335" s="5"/>
      <c r="J335" s="5"/>
      <c r="K335" s="64"/>
      <c r="L335" s="64"/>
      <c r="M335" s="96"/>
      <c r="N335" s="5"/>
      <c r="O335" s="5"/>
      <c r="P335" s="5"/>
      <c r="Q335" s="5"/>
      <c r="R335" s="5"/>
      <c r="S335" s="5"/>
      <c r="T335" s="5"/>
      <c r="U335" s="5"/>
      <c r="V335" s="5"/>
      <c r="W335" s="5"/>
      <c r="X335" s="5"/>
      <c r="Y335" s="5"/>
      <c r="Z335" s="5"/>
      <c r="AA335" s="5"/>
    </row>
    <row r="336">
      <c r="A336" s="5"/>
      <c r="B336" s="5"/>
      <c r="C336" s="5"/>
      <c r="D336" s="5"/>
      <c r="E336" s="64"/>
      <c r="F336" s="5"/>
      <c r="G336" s="5"/>
      <c r="H336" s="5"/>
      <c r="I336" s="5"/>
      <c r="J336" s="5"/>
      <c r="K336" s="64"/>
      <c r="L336" s="64"/>
      <c r="M336" s="96"/>
      <c r="N336" s="5"/>
      <c r="O336" s="5"/>
      <c r="P336" s="5"/>
      <c r="Q336" s="5"/>
      <c r="R336" s="5"/>
      <c r="S336" s="5"/>
      <c r="T336" s="5"/>
      <c r="U336" s="5"/>
      <c r="V336" s="5"/>
      <c r="W336" s="5"/>
      <c r="X336" s="5"/>
      <c r="Y336" s="5"/>
      <c r="Z336" s="5"/>
      <c r="AA336" s="5"/>
    </row>
    <row r="337">
      <c r="A337" s="5"/>
      <c r="B337" s="5"/>
      <c r="C337" s="5"/>
      <c r="D337" s="5"/>
      <c r="E337" s="64"/>
      <c r="F337" s="5"/>
      <c r="G337" s="5"/>
      <c r="H337" s="5"/>
      <c r="I337" s="5"/>
      <c r="J337" s="5"/>
      <c r="K337" s="64"/>
      <c r="L337" s="64"/>
      <c r="M337" s="96"/>
      <c r="N337" s="5"/>
      <c r="O337" s="5"/>
      <c r="P337" s="5"/>
      <c r="Q337" s="5"/>
      <c r="R337" s="5"/>
      <c r="S337" s="5"/>
      <c r="T337" s="5"/>
      <c r="U337" s="5"/>
      <c r="V337" s="5"/>
      <c r="W337" s="5"/>
      <c r="X337" s="5"/>
      <c r="Y337" s="5"/>
      <c r="Z337" s="5"/>
      <c r="AA337" s="5"/>
    </row>
    <row r="338">
      <c r="A338" s="5"/>
      <c r="B338" s="5"/>
      <c r="C338" s="5"/>
      <c r="D338" s="5"/>
      <c r="E338" s="64"/>
      <c r="F338" s="5"/>
      <c r="G338" s="5"/>
      <c r="H338" s="5"/>
      <c r="I338" s="5"/>
      <c r="J338" s="5"/>
      <c r="K338" s="64"/>
      <c r="L338" s="64"/>
      <c r="M338" s="96"/>
      <c r="N338" s="5"/>
      <c r="O338" s="5"/>
      <c r="P338" s="5"/>
      <c r="Q338" s="5"/>
      <c r="R338" s="5"/>
      <c r="S338" s="5"/>
      <c r="T338" s="5"/>
      <c r="U338" s="5"/>
      <c r="V338" s="5"/>
      <c r="W338" s="5"/>
      <c r="X338" s="5"/>
      <c r="Y338" s="5"/>
      <c r="Z338" s="5"/>
      <c r="AA338" s="5"/>
    </row>
    <row r="339">
      <c r="A339" s="5"/>
      <c r="B339" s="5"/>
      <c r="C339" s="5"/>
      <c r="D339" s="5"/>
      <c r="E339" s="64"/>
      <c r="F339" s="5"/>
      <c r="G339" s="5"/>
      <c r="H339" s="5"/>
      <c r="I339" s="5"/>
      <c r="J339" s="5"/>
      <c r="K339" s="64"/>
      <c r="L339" s="64"/>
      <c r="M339" s="96"/>
      <c r="N339" s="5"/>
      <c r="O339" s="5"/>
      <c r="P339" s="5"/>
      <c r="Q339" s="5"/>
      <c r="R339" s="5"/>
      <c r="S339" s="5"/>
      <c r="T339" s="5"/>
      <c r="U339" s="5"/>
      <c r="V339" s="5"/>
      <c r="W339" s="5"/>
      <c r="X339" s="5"/>
      <c r="Y339" s="5"/>
      <c r="Z339" s="5"/>
      <c r="AA339" s="5"/>
    </row>
    <row r="340">
      <c r="A340" s="5"/>
      <c r="B340" s="5"/>
      <c r="C340" s="5"/>
      <c r="D340" s="5"/>
      <c r="E340" s="64"/>
      <c r="F340" s="5"/>
      <c r="G340" s="5"/>
      <c r="H340" s="5"/>
      <c r="I340" s="5"/>
      <c r="J340" s="5"/>
      <c r="K340" s="64"/>
      <c r="L340" s="64"/>
      <c r="M340" s="96"/>
      <c r="N340" s="5"/>
      <c r="O340" s="5"/>
      <c r="P340" s="5"/>
      <c r="Q340" s="5"/>
      <c r="R340" s="5"/>
      <c r="S340" s="5"/>
      <c r="T340" s="5"/>
      <c r="U340" s="5"/>
      <c r="V340" s="5"/>
      <c r="W340" s="5"/>
      <c r="X340" s="5"/>
      <c r="Y340" s="5"/>
      <c r="Z340" s="5"/>
      <c r="AA340" s="5"/>
    </row>
    <row r="341">
      <c r="A341" s="5"/>
      <c r="B341" s="5"/>
      <c r="C341" s="5"/>
      <c r="D341" s="5"/>
      <c r="E341" s="64"/>
      <c r="F341" s="5"/>
      <c r="G341" s="5"/>
      <c r="H341" s="5"/>
      <c r="I341" s="5"/>
      <c r="J341" s="5"/>
      <c r="K341" s="64"/>
      <c r="L341" s="64"/>
      <c r="M341" s="96"/>
      <c r="N341" s="5"/>
      <c r="O341" s="5"/>
      <c r="P341" s="5"/>
      <c r="Q341" s="5"/>
      <c r="R341" s="5"/>
      <c r="S341" s="5"/>
      <c r="T341" s="5"/>
      <c r="U341" s="5"/>
      <c r="V341" s="5"/>
      <c r="W341" s="5"/>
      <c r="X341" s="5"/>
      <c r="Y341" s="5"/>
      <c r="Z341" s="5"/>
      <c r="AA341" s="5"/>
    </row>
    <row r="342">
      <c r="A342" s="5"/>
      <c r="B342" s="5"/>
      <c r="C342" s="5"/>
      <c r="D342" s="5"/>
      <c r="E342" s="64"/>
      <c r="F342" s="5"/>
      <c r="G342" s="5"/>
      <c r="H342" s="5"/>
      <c r="I342" s="5"/>
      <c r="J342" s="5"/>
      <c r="K342" s="64"/>
      <c r="L342" s="64"/>
      <c r="M342" s="96"/>
      <c r="N342" s="5"/>
      <c r="O342" s="5"/>
      <c r="P342" s="5"/>
      <c r="Q342" s="5"/>
      <c r="R342" s="5"/>
      <c r="S342" s="5"/>
      <c r="T342" s="5"/>
      <c r="U342" s="5"/>
      <c r="V342" s="5"/>
      <c r="W342" s="5"/>
      <c r="X342" s="5"/>
      <c r="Y342" s="5"/>
      <c r="Z342" s="5"/>
      <c r="AA342" s="5"/>
    </row>
    <row r="343">
      <c r="A343" s="5"/>
      <c r="B343" s="5"/>
      <c r="C343" s="5"/>
      <c r="D343" s="5"/>
      <c r="E343" s="64"/>
      <c r="F343" s="5"/>
      <c r="G343" s="5"/>
      <c r="H343" s="5"/>
      <c r="I343" s="5"/>
      <c r="J343" s="5"/>
      <c r="K343" s="64"/>
      <c r="L343" s="64"/>
      <c r="M343" s="96"/>
      <c r="N343" s="5"/>
      <c r="O343" s="5"/>
      <c r="P343" s="5"/>
      <c r="Q343" s="5"/>
      <c r="R343" s="5"/>
      <c r="S343" s="5"/>
      <c r="T343" s="5"/>
      <c r="U343" s="5"/>
      <c r="V343" s="5"/>
      <c r="W343" s="5"/>
      <c r="X343" s="5"/>
      <c r="Y343" s="5"/>
      <c r="Z343" s="5"/>
      <c r="AA343" s="5"/>
    </row>
    <row r="344">
      <c r="A344" s="5"/>
      <c r="B344" s="5"/>
      <c r="C344" s="5"/>
      <c r="D344" s="5"/>
      <c r="E344" s="64"/>
      <c r="F344" s="5"/>
      <c r="G344" s="5"/>
      <c r="H344" s="5"/>
      <c r="I344" s="5"/>
      <c r="J344" s="5"/>
      <c r="K344" s="64"/>
      <c r="L344" s="64"/>
      <c r="M344" s="96"/>
      <c r="N344" s="5"/>
      <c r="O344" s="5"/>
      <c r="P344" s="5"/>
      <c r="Q344" s="5"/>
      <c r="R344" s="5"/>
      <c r="S344" s="5"/>
      <c r="T344" s="5"/>
      <c r="U344" s="5"/>
      <c r="V344" s="5"/>
      <c r="W344" s="5"/>
      <c r="X344" s="5"/>
      <c r="Y344" s="5"/>
      <c r="Z344" s="5"/>
      <c r="AA344" s="5"/>
    </row>
    <row r="345">
      <c r="A345" s="5"/>
      <c r="B345" s="5"/>
      <c r="C345" s="5"/>
      <c r="D345" s="5"/>
      <c r="E345" s="64"/>
      <c r="F345" s="5"/>
      <c r="G345" s="5"/>
      <c r="H345" s="5"/>
      <c r="I345" s="5"/>
      <c r="J345" s="5"/>
      <c r="K345" s="64"/>
      <c r="L345" s="64"/>
      <c r="M345" s="96"/>
      <c r="N345" s="5"/>
      <c r="O345" s="5"/>
      <c r="P345" s="5"/>
      <c r="Q345" s="5"/>
      <c r="R345" s="5"/>
      <c r="S345" s="5"/>
      <c r="T345" s="5"/>
      <c r="U345" s="5"/>
      <c r="V345" s="5"/>
      <c r="W345" s="5"/>
      <c r="X345" s="5"/>
      <c r="Y345" s="5"/>
      <c r="Z345" s="5"/>
      <c r="AA345" s="5"/>
    </row>
    <row r="346">
      <c r="A346" s="5"/>
      <c r="B346" s="5"/>
      <c r="C346" s="5"/>
      <c r="D346" s="5"/>
      <c r="E346" s="64"/>
      <c r="F346" s="5"/>
      <c r="G346" s="5"/>
      <c r="H346" s="5"/>
      <c r="I346" s="5"/>
      <c r="J346" s="5"/>
      <c r="K346" s="64"/>
      <c r="L346" s="64"/>
      <c r="M346" s="96"/>
      <c r="N346" s="5"/>
      <c r="O346" s="5"/>
      <c r="P346" s="5"/>
      <c r="Q346" s="5"/>
      <c r="R346" s="5"/>
      <c r="S346" s="5"/>
      <c r="T346" s="5"/>
      <c r="U346" s="5"/>
      <c r="V346" s="5"/>
      <c r="W346" s="5"/>
      <c r="X346" s="5"/>
      <c r="Y346" s="5"/>
      <c r="Z346" s="5"/>
      <c r="AA346" s="5"/>
    </row>
    <row r="347">
      <c r="A347" s="5"/>
      <c r="B347" s="5"/>
      <c r="C347" s="5"/>
      <c r="D347" s="5"/>
      <c r="E347" s="64"/>
      <c r="F347" s="5"/>
      <c r="G347" s="5"/>
      <c r="H347" s="5"/>
      <c r="I347" s="5"/>
      <c r="J347" s="5"/>
      <c r="K347" s="64"/>
      <c r="L347" s="64"/>
      <c r="M347" s="96"/>
      <c r="N347" s="5"/>
      <c r="O347" s="5"/>
      <c r="P347" s="5"/>
      <c r="Q347" s="5"/>
      <c r="R347" s="5"/>
      <c r="S347" s="5"/>
      <c r="T347" s="5"/>
      <c r="U347" s="5"/>
      <c r="V347" s="5"/>
      <c r="W347" s="5"/>
      <c r="X347" s="5"/>
      <c r="Y347" s="5"/>
      <c r="Z347" s="5"/>
      <c r="AA347" s="5"/>
    </row>
    <row r="348">
      <c r="A348" s="5"/>
      <c r="B348" s="5"/>
      <c r="C348" s="5"/>
      <c r="D348" s="5"/>
      <c r="E348" s="64"/>
      <c r="F348" s="5"/>
      <c r="G348" s="5"/>
      <c r="H348" s="5"/>
      <c r="I348" s="5"/>
      <c r="J348" s="5"/>
      <c r="K348" s="64"/>
      <c r="L348" s="64"/>
      <c r="M348" s="96"/>
      <c r="N348" s="5"/>
      <c r="O348" s="5"/>
      <c r="P348" s="5"/>
      <c r="Q348" s="5"/>
      <c r="R348" s="5"/>
      <c r="S348" s="5"/>
      <c r="T348" s="5"/>
      <c r="U348" s="5"/>
      <c r="V348" s="5"/>
      <c r="W348" s="5"/>
      <c r="X348" s="5"/>
      <c r="Y348" s="5"/>
      <c r="Z348" s="5"/>
      <c r="AA348" s="5"/>
    </row>
    <row r="349">
      <c r="A349" s="5"/>
      <c r="B349" s="5"/>
      <c r="C349" s="5"/>
      <c r="D349" s="5"/>
      <c r="E349" s="64"/>
      <c r="F349" s="5"/>
      <c r="G349" s="5"/>
      <c r="H349" s="5"/>
      <c r="I349" s="5"/>
      <c r="J349" s="5"/>
      <c r="K349" s="64"/>
      <c r="L349" s="64"/>
      <c r="M349" s="96"/>
      <c r="N349" s="5"/>
      <c r="O349" s="5"/>
      <c r="P349" s="5"/>
      <c r="Q349" s="5"/>
      <c r="R349" s="5"/>
      <c r="S349" s="5"/>
      <c r="T349" s="5"/>
      <c r="U349" s="5"/>
      <c r="V349" s="5"/>
      <c r="W349" s="5"/>
      <c r="X349" s="5"/>
      <c r="Y349" s="5"/>
      <c r="Z349" s="5"/>
      <c r="AA349" s="5"/>
    </row>
    <row r="350">
      <c r="A350" s="5"/>
      <c r="B350" s="5"/>
      <c r="C350" s="5"/>
      <c r="D350" s="5"/>
      <c r="E350" s="64"/>
      <c r="F350" s="5"/>
      <c r="G350" s="5"/>
      <c r="H350" s="5"/>
      <c r="I350" s="5"/>
      <c r="J350" s="5"/>
      <c r="K350" s="64"/>
      <c r="L350" s="64"/>
      <c r="M350" s="96"/>
      <c r="N350" s="5"/>
      <c r="O350" s="5"/>
      <c r="P350" s="5"/>
      <c r="Q350" s="5"/>
      <c r="R350" s="5"/>
      <c r="S350" s="5"/>
      <c r="T350" s="5"/>
      <c r="U350" s="5"/>
      <c r="V350" s="5"/>
      <c r="W350" s="5"/>
      <c r="X350" s="5"/>
      <c r="Y350" s="5"/>
      <c r="Z350" s="5"/>
      <c r="AA350" s="5"/>
    </row>
    <row r="351">
      <c r="A351" s="5"/>
      <c r="B351" s="5"/>
      <c r="C351" s="5"/>
      <c r="D351" s="5"/>
      <c r="E351" s="64"/>
      <c r="F351" s="5"/>
      <c r="G351" s="5"/>
      <c r="H351" s="5"/>
      <c r="I351" s="5"/>
      <c r="J351" s="5"/>
      <c r="K351" s="64"/>
      <c r="L351" s="64"/>
      <c r="M351" s="96"/>
      <c r="N351" s="5"/>
      <c r="O351" s="5"/>
      <c r="P351" s="5"/>
      <c r="Q351" s="5"/>
      <c r="R351" s="5"/>
      <c r="S351" s="5"/>
      <c r="T351" s="5"/>
      <c r="U351" s="5"/>
      <c r="V351" s="5"/>
      <c r="W351" s="5"/>
      <c r="X351" s="5"/>
      <c r="Y351" s="5"/>
      <c r="Z351" s="5"/>
      <c r="AA351" s="5"/>
    </row>
    <row r="352">
      <c r="A352" s="5"/>
      <c r="B352" s="5"/>
      <c r="C352" s="5"/>
      <c r="D352" s="5"/>
      <c r="E352" s="64"/>
      <c r="F352" s="5"/>
      <c r="G352" s="5"/>
      <c r="H352" s="5"/>
      <c r="I352" s="5"/>
      <c r="J352" s="5"/>
      <c r="K352" s="64"/>
      <c r="L352" s="64"/>
      <c r="M352" s="96"/>
      <c r="N352" s="5"/>
      <c r="O352" s="5"/>
      <c r="P352" s="5"/>
      <c r="Q352" s="5"/>
      <c r="R352" s="5"/>
      <c r="S352" s="5"/>
      <c r="T352" s="5"/>
      <c r="U352" s="5"/>
      <c r="V352" s="5"/>
      <c r="W352" s="5"/>
      <c r="X352" s="5"/>
      <c r="Y352" s="5"/>
      <c r="Z352" s="5"/>
      <c r="AA352" s="5"/>
    </row>
    <row r="353">
      <c r="A353" s="5"/>
      <c r="B353" s="5"/>
      <c r="C353" s="5"/>
      <c r="D353" s="5"/>
      <c r="E353" s="64"/>
      <c r="F353" s="5"/>
      <c r="G353" s="5"/>
      <c r="H353" s="5"/>
      <c r="I353" s="5"/>
      <c r="J353" s="5"/>
      <c r="K353" s="64"/>
      <c r="L353" s="64"/>
      <c r="M353" s="96"/>
      <c r="N353" s="5"/>
      <c r="O353" s="5"/>
      <c r="P353" s="5"/>
      <c r="Q353" s="5"/>
      <c r="R353" s="5"/>
      <c r="S353" s="5"/>
      <c r="T353" s="5"/>
      <c r="U353" s="5"/>
      <c r="V353" s="5"/>
      <c r="W353" s="5"/>
      <c r="X353" s="5"/>
      <c r="Y353" s="5"/>
      <c r="Z353" s="5"/>
      <c r="AA353" s="5"/>
    </row>
    <row r="354">
      <c r="A354" s="5"/>
      <c r="B354" s="5"/>
      <c r="C354" s="5"/>
      <c r="D354" s="5"/>
      <c r="E354" s="64"/>
      <c r="F354" s="5"/>
      <c r="G354" s="5"/>
      <c r="H354" s="5"/>
      <c r="I354" s="5"/>
      <c r="J354" s="5"/>
      <c r="K354" s="64"/>
      <c r="L354" s="64"/>
      <c r="M354" s="96"/>
      <c r="N354" s="5"/>
      <c r="O354" s="5"/>
      <c r="P354" s="5"/>
      <c r="Q354" s="5"/>
      <c r="R354" s="5"/>
      <c r="S354" s="5"/>
      <c r="T354" s="5"/>
      <c r="U354" s="5"/>
      <c r="V354" s="5"/>
      <c r="W354" s="5"/>
      <c r="X354" s="5"/>
      <c r="Y354" s="5"/>
      <c r="Z354" s="5"/>
      <c r="AA354" s="5"/>
    </row>
    <row r="355">
      <c r="A355" s="5"/>
      <c r="B355" s="5"/>
      <c r="C355" s="5"/>
      <c r="D355" s="5"/>
      <c r="E355" s="64"/>
      <c r="F355" s="5"/>
      <c r="G355" s="5"/>
      <c r="H355" s="5"/>
      <c r="I355" s="5"/>
      <c r="J355" s="5"/>
      <c r="K355" s="64"/>
      <c r="L355" s="64"/>
      <c r="M355" s="96"/>
      <c r="N355" s="5"/>
      <c r="O355" s="5"/>
      <c r="P355" s="5"/>
      <c r="Q355" s="5"/>
      <c r="R355" s="5"/>
      <c r="S355" s="5"/>
      <c r="T355" s="5"/>
      <c r="U355" s="5"/>
      <c r="V355" s="5"/>
      <c r="W355" s="5"/>
      <c r="X355" s="5"/>
      <c r="Y355" s="5"/>
      <c r="Z355" s="5"/>
      <c r="AA355" s="5"/>
    </row>
    <row r="356">
      <c r="A356" s="5"/>
      <c r="B356" s="5"/>
      <c r="C356" s="5"/>
      <c r="D356" s="5"/>
      <c r="E356" s="64"/>
      <c r="F356" s="5"/>
      <c r="G356" s="5"/>
      <c r="H356" s="5"/>
      <c r="I356" s="5"/>
      <c r="J356" s="5"/>
      <c r="K356" s="64"/>
      <c r="L356" s="64"/>
      <c r="M356" s="96"/>
      <c r="N356" s="5"/>
      <c r="O356" s="5"/>
      <c r="P356" s="5"/>
      <c r="Q356" s="5"/>
      <c r="R356" s="5"/>
      <c r="S356" s="5"/>
      <c r="T356" s="5"/>
      <c r="U356" s="5"/>
      <c r="V356" s="5"/>
      <c r="W356" s="5"/>
      <c r="X356" s="5"/>
      <c r="Y356" s="5"/>
      <c r="Z356" s="5"/>
      <c r="AA356" s="5"/>
    </row>
    <row r="357">
      <c r="A357" s="5"/>
      <c r="B357" s="5"/>
      <c r="C357" s="5"/>
      <c r="D357" s="5"/>
      <c r="E357" s="64"/>
      <c r="F357" s="5"/>
      <c r="G357" s="5"/>
      <c r="H357" s="5"/>
      <c r="I357" s="5"/>
      <c r="J357" s="5"/>
      <c r="K357" s="64"/>
      <c r="L357" s="64"/>
      <c r="M357" s="96"/>
      <c r="N357" s="5"/>
      <c r="O357" s="5"/>
      <c r="P357" s="5"/>
      <c r="Q357" s="5"/>
      <c r="R357" s="5"/>
      <c r="S357" s="5"/>
      <c r="T357" s="5"/>
      <c r="U357" s="5"/>
      <c r="V357" s="5"/>
      <c r="W357" s="5"/>
      <c r="X357" s="5"/>
      <c r="Y357" s="5"/>
      <c r="Z357" s="5"/>
      <c r="AA357" s="5"/>
    </row>
    <row r="358">
      <c r="A358" s="5"/>
      <c r="B358" s="5"/>
      <c r="C358" s="5"/>
      <c r="D358" s="5"/>
      <c r="E358" s="64"/>
      <c r="F358" s="5"/>
      <c r="G358" s="5"/>
      <c r="H358" s="5"/>
      <c r="I358" s="5"/>
      <c r="J358" s="5"/>
      <c r="K358" s="64"/>
      <c r="L358" s="64"/>
      <c r="M358" s="96"/>
      <c r="N358" s="5"/>
      <c r="O358" s="5"/>
      <c r="P358" s="5"/>
      <c r="Q358" s="5"/>
      <c r="R358" s="5"/>
      <c r="S358" s="5"/>
      <c r="T358" s="5"/>
      <c r="U358" s="5"/>
      <c r="V358" s="5"/>
      <c r="W358" s="5"/>
      <c r="X358" s="5"/>
      <c r="Y358" s="5"/>
      <c r="Z358" s="5"/>
      <c r="AA358" s="5"/>
    </row>
    <row r="359">
      <c r="A359" s="5"/>
      <c r="B359" s="5"/>
      <c r="C359" s="5"/>
      <c r="D359" s="5"/>
      <c r="E359" s="64"/>
      <c r="F359" s="5"/>
      <c r="G359" s="5"/>
      <c r="H359" s="5"/>
      <c r="I359" s="5"/>
      <c r="J359" s="5"/>
      <c r="K359" s="64"/>
      <c r="L359" s="64"/>
      <c r="M359" s="96"/>
      <c r="N359" s="5"/>
      <c r="O359" s="5"/>
      <c r="P359" s="5"/>
      <c r="Q359" s="5"/>
      <c r="R359" s="5"/>
      <c r="S359" s="5"/>
      <c r="T359" s="5"/>
      <c r="U359" s="5"/>
      <c r="V359" s="5"/>
      <c r="W359" s="5"/>
      <c r="X359" s="5"/>
      <c r="Y359" s="5"/>
      <c r="Z359" s="5"/>
      <c r="AA359" s="5"/>
    </row>
    <row r="360">
      <c r="A360" s="5"/>
      <c r="B360" s="5"/>
      <c r="C360" s="5"/>
      <c r="D360" s="5"/>
      <c r="E360" s="64"/>
      <c r="F360" s="5"/>
      <c r="G360" s="5"/>
      <c r="H360" s="5"/>
      <c r="I360" s="5"/>
      <c r="J360" s="5"/>
      <c r="K360" s="64"/>
      <c r="L360" s="64"/>
      <c r="M360" s="96"/>
      <c r="N360" s="5"/>
      <c r="O360" s="5"/>
      <c r="P360" s="5"/>
      <c r="Q360" s="5"/>
      <c r="R360" s="5"/>
      <c r="S360" s="5"/>
      <c r="T360" s="5"/>
      <c r="U360" s="5"/>
      <c r="V360" s="5"/>
      <c r="W360" s="5"/>
      <c r="X360" s="5"/>
      <c r="Y360" s="5"/>
      <c r="Z360" s="5"/>
      <c r="AA360" s="5"/>
    </row>
    <row r="361">
      <c r="A361" s="5"/>
      <c r="B361" s="5"/>
      <c r="C361" s="5"/>
      <c r="D361" s="5"/>
      <c r="E361" s="64"/>
      <c r="F361" s="5"/>
      <c r="G361" s="5"/>
      <c r="H361" s="5"/>
      <c r="I361" s="5"/>
      <c r="J361" s="5"/>
      <c r="K361" s="64"/>
      <c r="L361" s="64"/>
      <c r="M361" s="96"/>
      <c r="N361" s="5"/>
      <c r="O361" s="5"/>
      <c r="P361" s="5"/>
      <c r="Q361" s="5"/>
      <c r="R361" s="5"/>
      <c r="S361" s="5"/>
      <c r="T361" s="5"/>
      <c r="U361" s="5"/>
      <c r="V361" s="5"/>
      <c r="W361" s="5"/>
      <c r="X361" s="5"/>
      <c r="Y361" s="5"/>
      <c r="Z361" s="5"/>
      <c r="AA361" s="5"/>
    </row>
    <row r="362">
      <c r="A362" s="5"/>
      <c r="B362" s="5"/>
      <c r="C362" s="5"/>
      <c r="D362" s="5"/>
      <c r="E362" s="64"/>
      <c r="F362" s="5"/>
      <c r="G362" s="5"/>
      <c r="H362" s="5"/>
      <c r="I362" s="5"/>
      <c r="J362" s="5"/>
      <c r="K362" s="64"/>
      <c r="L362" s="64"/>
      <c r="M362" s="96"/>
      <c r="N362" s="5"/>
      <c r="O362" s="5"/>
      <c r="P362" s="5"/>
      <c r="Q362" s="5"/>
      <c r="R362" s="5"/>
      <c r="S362" s="5"/>
      <c r="T362" s="5"/>
      <c r="U362" s="5"/>
      <c r="V362" s="5"/>
      <c r="W362" s="5"/>
      <c r="X362" s="5"/>
      <c r="Y362" s="5"/>
      <c r="Z362" s="5"/>
      <c r="AA362" s="5"/>
    </row>
    <row r="363">
      <c r="A363" s="5"/>
      <c r="B363" s="5"/>
      <c r="C363" s="5"/>
      <c r="D363" s="5"/>
      <c r="E363" s="64"/>
      <c r="F363" s="5"/>
      <c r="G363" s="5"/>
      <c r="H363" s="5"/>
      <c r="I363" s="5"/>
      <c r="J363" s="5"/>
      <c r="K363" s="64"/>
      <c r="L363" s="64"/>
      <c r="M363" s="96"/>
      <c r="N363" s="5"/>
      <c r="O363" s="5"/>
      <c r="P363" s="5"/>
      <c r="Q363" s="5"/>
      <c r="R363" s="5"/>
      <c r="S363" s="5"/>
      <c r="T363" s="5"/>
      <c r="U363" s="5"/>
      <c r="V363" s="5"/>
      <c r="W363" s="5"/>
      <c r="X363" s="5"/>
      <c r="Y363" s="5"/>
      <c r="Z363" s="5"/>
      <c r="AA363" s="5"/>
    </row>
    <row r="364">
      <c r="A364" s="5"/>
      <c r="B364" s="5"/>
      <c r="C364" s="5"/>
      <c r="D364" s="5"/>
      <c r="E364" s="64"/>
      <c r="F364" s="5"/>
      <c r="G364" s="5"/>
      <c r="H364" s="5"/>
      <c r="I364" s="5"/>
      <c r="J364" s="5"/>
      <c r="K364" s="64"/>
      <c r="L364" s="64"/>
      <c r="M364" s="96"/>
      <c r="N364" s="5"/>
      <c r="O364" s="5"/>
      <c r="P364" s="5"/>
      <c r="Q364" s="5"/>
      <c r="R364" s="5"/>
      <c r="S364" s="5"/>
      <c r="T364" s="5"/>
      <c r="U364" s="5"/>
      <c r="V364" s="5"/>
      <c r="W364" s="5"/>
      <c r="X364" s="5"/>
      <c r="Y364" s="5"/>
      <c r="Z364" s="5"/>
      <c r="AA364" s="5"/>
    </row>
    <row r="365">
      <c r="A365" s="5"/>
      <c r="B365" s="5"/>
      <c r="C365" s="5"/>
      <c r="D365" s="5"/>
      <c r="E365" s="64"/>
      <c r="F365" s="5"/>
      <c r="G365" s="5"/>
      <c r="H365" s="5"/>
      <c r="I365" s="5"/>
      <c r="J365" s="5"/>
      <c r="K365" s="64"/>
      <c r="L365" s="64"/>
      <c r="M365" s="96"/>
      <c r="N365" s="5"/>
      <c r="O365" s="5"/>
      <c r="P365" s="5"/>
      <c r="Q365" s="5"/>
      <c r="R365" s="5"/>
      <c r="S365" s="5"/>
      <c r="T365" s="5"/>
      <c r="U365" s="5"/>
      <c r="V365" s="5"/>
      <c r="W365" s="5"/>
      <c r="X365" s="5"/>
      <c r="Y365" s="5"/>
      <c r="Z365" s="5"/>
      <c r="AA365" s="5"/>
    </row>
    <row r="366">
      <c r="A366" s="5"/>
      <c r="B366" s="5"/>
      <c r="C366" s="5"/>
      <c r="D366" s="5"/>
      <c r="E366" s="64"/>
      <c r="F366" s="5"/>
      <c r="G366" s="5"/>
      <c r="H366" s="5"/>
      <c r="I366" s="5"/>
      <c r="J366" s="5"/>
      <c r="K366" s="64"/>
      <c r="L366" s="64"/>
      <c r="M366" s="96"/>
      <c r="N366" s="5"/>
      <c r="O366" s="5"/>
      <c r="P366" s="5"/>
      <c r="Q366" s="5"/>
      <c r="R366" s="5"/>
      <c r="S366" s="5"/>
      <c r="T366" s="5"/>
      <c r="U366" s="5"/>
      <c r="V366" s="5"/>
      <c r="W366" s="5"/>
      <c r="X366" s="5"/>
      <c r="Y366" s="5"/>
      <c r="Z366" s="5"/>
      <c r="AA366" s="5"/>
    </row>
    <row r="367">
      <c r="A367" s="5"/>
      <c r="B367" s="5"/>
      <c r="C367" s="5"/>
      <c r="D367" s="5"/>
      <c r="E367" s="64"/>
      <c r="F367" s="5"/>
      <c r="G367" s="5"/>
      <c r="H367" s="5"/>
      <c r="I367" s="5"/>
      <c r="J367" s="5"/>
      <c r="K367" s="64"/>
      <c r="L367" s="64"/>
      <c r="M367" s="96"/>
      <c r="N367" s="5"/>
      <c r="O367" s="5"/>
      <c r="P367" s="5"/>
      <c r="Q367" s="5"/>
      <c r="R367" s="5"/>
      <c r="S367" s="5"/>
      <c r="T367" s="5"/>
      <c r="U367" s="5"/>
      <c r="V367" s="5"/>
      <c r="W367" s="5"/>
      <c r="X367" s="5"/>
      <c r="Y367" s="5"/>
      <c r="Z367" s="5"/>
      <c r="AA367" s="5"/>
    </row>
    <row r="368">
      <c r="A368" s="5"/>
      <c r="B368" s="5"/>
      <c r="C368" s="5"/>
      <c r="D368" s="5"/>
      <c r="E368" s="64"/>
      <c r="F368" s="5"/>
      <c r="G368" s="5"/>
      <c r="H368" s="5"/>
      <c r="I368" s="5"/>
      <c r="J368" s="5"/>
      <c r="K368" s="64"/>
      <c r="L368" s="64"/>
      <c r="M368" s="96"/>
      <c r="N368" s="5"/>
      <c r="O368" s="5"/>
      <c r="P368" s="5"/>
      <c r="Q368" s="5"/>
      <c r="R368" s="5"/>
      <c r="S368" s="5"/>
      <c r="T368" s="5"/>
      <c r="U368" s="5"/>
      <c r="V368" s="5"/>
      <c r="W368" s="5"/>
      <c r="X368" s="5"/>
      <c r="Y368" s="5"/>
      <c r="Z368" s="5"/>
      <c r="AA368" s="5"/>
    </row>
    <row r="369">
      <c r="A369" s="5"/>
      <c r="B369" s="5"/>
      <c r="C369" s="5"/>
      <c r="D369" s="5"/>
      <c r="E369" s="64"/>
      <c r="F369" s="5"/>
      <c r="G369" s="5"/>
      <c r="H369" s="5"/>
      <c r="I369" s="5"/>
      <c r="J369" s="5"/>
      <c r="K369" s="64"/>
      <c r="L369" s="64"/>
      <c r="M369" s="96"/>
      <c r="N369" s="5"/>
      <c r="O369" s="5"/>
      <c r="P369" s="5"/>
      <c r="Q369" s="5"/>
      <c r="R369" s="5"/>
      <c r="S369" s="5"/>
      <c r="T369" s="5"/>
      <c r="U369" s="5"/>
      <c r="V369" s="5"/>
      <c r="W369" s="5"/>
      <c r="X369" s="5"/>
      <c r="Y369" s="5"/>
      <c r="Z369" s="5"/>
      <c r="AA369" s="5"/>
    </row>
    <row r="370">
      <c r="A370" s="5"/>
      <c r="B370" s="5"/>
      <c r="C370" s="5"/>
      <c r="D370" s="5"/>
      <c r="E370" s="64"/>
      <c r="F370" s="5"/>
      <c r="G370" s="5"/>
      <c r="H370" s="5"/>
      <c r="I370" s="5"/>
      <c r="J370" s="5"/>
      <c r="K370" s="64"/>
      <c r="L370" s="64"/>
      <c r="M370" s="96"/>
      <c r="N370" s="5"/>
      <c r="O370" s="5"/>
      <c r="P370" s="5"/>
      <c r="Q370" s="5"/>
      <c r="R370" s="5"/>
      <c r="S370" s="5"/>
      <c r="T370" s="5"/>
      <c r="U370" s="5"/>
      <c r="V370" s="5"/>
      <c r="W370" s="5"/>
      <c r="X370" s="5"/>
      <c r="Y370" s="5"/>
      <c r="Z370" s="5"/>
      <c r="AA370" s="5"/>
    </row>
    <row r="371">
      <c r="A371" s="5"/>
      <c r="B371" s="5"/>
      <c r="C371" s="5"/>
      <c r="D371" s="5"/>
      <c r="E371" s="64"/>
      <c r="F371" s="5"/>
      <c r="G371" s="5"/>
      <c r="H371" s="5"/>
      <c r="I371" s="5"/>
      <c r="J371" s="5"/>
      <c r="K371" s="64"/>
      <c r="L371" s="64"/>
      <c r="M371" s="96"/>
      <c r="N371" s="5"/>
      <c r="O371" s="5"/>
      <c r="P371" s="5"/>
      <c r="Q371" s="5"/>
      <c r="R371" s="5"/>
      <c r="S371" s="5"/>
      <c r="T371" s="5"/>
      <c r="U371" s="5"/>
      <c r="V371" s="5"/>
      <c r="W371" s="5"/>
      <c r="X371" s="5"/>
      <c r="Y371" s="5"/>
      <c r="Z371" s="5"/>
      <c r="AA371" s="5"/>
    </row>
    <row r="372">
      <c r="A372" s="5"/>
      <c r="B372" s="5"/>
      <c r="C372" s="5"/>
      <c r="D372" s="5"/>
      <c r="E372" s="64"/>
      <c r="F372" s="5"/>
      <c r="G372" s="5"/>
      <c r="H372" s="5"/>
      <c r="I372" s="5"/>
      <c r="J372" s="5"/>
      <c r="K372" s="64"/>
      <c r="L372" s="64"/>
      <c r="M372" s="96"/>
      <c r="N372" s="5"/>
      <c r="O372" s="5"/>
      <c r="P372" s="5"/>
      <c r="Q372" s="5"/>
      <c r="R372" s="5"/>
      <c r="S372" s="5"/>
      <c r="T372" s="5"/>
      <c r="U372" s="5"/>
      <c r="V372" s="5"/>
      <c r="W372" s="5"/>
      <c r="X372" s="5"/>
      <c r="Y372" s="5"/>
      <c r="Z372" s="5"/>
      <c r="AA372" s="5"/>
    </row>
    <row r="373">
      <c r="A373" s="5"/>
      <c r="B373" s="5"/>
      <c r="C373" s="5"/>
      <c r="D373" s="5"/>
      <c r="E373" s="64"/>
      <c r="F373" s="5"/>
      <c r="G373" s="5"/>
      <c r="H373" s="5"/>
      <c r="I373" s="5"/>
      <c r="J373" s="5"/>
      <c r="K373" s="64"/>
      <c r="L373" s="64"/>
      <c r="M373" s="96"/>
      <c r="N373" s="5"/>
      <c r="O373" s="5"/>
      <c r="P373" s="5"/>
      <c r="Q373" s="5"/>
      <c r="R373" s="5"/>
      <c r="S373" s="5"/>
      <c r="T373" s="5"/>
      <c r="U373" s="5"/>
      <c r="V373" s="5"/>
      <c r="W373" s="5"/>
      <c r="X373" s="5"/>
      <c r="Y373" s="5"/>
      <c r="Z373" s="5"/>
      <c r="AA373" s="5"/>
    </row>
    <row r="374">
      <c r="A374" s="5"/>
      <c r="B374" s="5"/>
      <c r="C374" s="5"/>
      <c r="D374" s="5"/>
      <c r="E374" s="64"/>
      <c r="F374" s="5"/>
      <c r="G374" s="5"/>
      <c r="H374" s="5"/>
      <c r="I374" s="5"/>
      <c r="J374" s="5"/>
      <c r="K374" s="64"/>
      <c r="L374" s="64"/>
      <c r="M374" s="96"/>
      <c r="N374" s="5"/>
      <c r="O374" s="5"/>
      <c r="P374" s="5"/>
      <c r="Q374" s="5"/>
      <c r="R374" s="5"/>
      <c r="S374" s="5"/>
      <c r="T374" s="5"/>
      <c r="U374" s="5"/>
      <c r="V374" s="5"/>
      <c r="W374" s="5"/>
      <c r="X374" s="5"/>
      <c r="Y374" s="5"/>
      <c r="Z374" s="5"/>
      <c r="AA374" s="5"/>
    </row>
    <row r="375">
      <c r="A375" s="5"/>
      <c r="B375" s="5"/>
      <c r="C375" s="5"/>
      <c r="D375" s="5"/>
      <c r="E375" s="64"/>
      <c r="F375" s="5"/>
      <c r="G375" s="5"/>
      <c r="H375" s="5"/>
      <c r="I375" s="5"/>
      <c r="J375" s="5"/>
      <c r="K375" s="64"/>
      <c r="L375" s="64"/>
      <c r="M375" s="96"/>
      <c r="N375" s="5"/>
      <c r="O375" s="5"/>
      <c r="P375" s="5"/>
      <c r="Q375" s="5"/>
      <c r="R375" s="5"/>
      <c r="S375" s="5"/>
      <c r="T375" s="5"/>
      <c r="U375" s="5"/>
      <c r="V375" s="5"/>
      <c r="W375" s="5"/>
      <c r="X375" s="5"/>
      <c r="Y375" s="5"/>
      <c r="Z375" s="5"/>
      <c r="AA375" s="5"/>
    </row>
    <row r="376">
      <c r="A376" s="5"/>
      <c r="B376" s="5"/>
      <c r="C376" s="5"/>
      <c r="D376" s="5"/>
      <c r="E376" s="64"/>
      <c r="F376" s="5"/>
      <c r="G376" s="5"/>
      <c r="H376" s="5"/>
      <c r="I376" s="5"/>
      <c r="J376" s="5"/>
      <c r="K376" s="64"/>
      <c r="L376" s="64"/>
      <c r="M376" s="96"/>
      <c r="N376" s="5"/>
      <c r="O376" s="5"/>
      <c r="P376" s="5"/>
      <c r="Q376" s="5"/>
      <c r="R376" s="5"/>
      <c r="S376" s="5"/>
      <c r="T376" s="5"/>
      <c r="U376" s="5"/>
      <c r="V376" s="5"/>
      <c r="W376" s="5"/>
      <c r="X376" s="5"/>
      <c r="Y376" s="5"/>
      <c r="Z376" s="5"/>
      <c r="AA376" s="5"/>
    </row>
    <row r="377">
      <c r="A377" s="5"/>
      <c r="B377" s="5"/>
      <c r="C377" s="5"/>
      <c r="D377" s="5"/>
      <c r="E377" s="64"/>
      <c r="F377" s="5"/>
      <c r="G377" s="5"/>
      <c r="H377" s="5"/>
      <c r="I377" s="5"/>
      <c r="J377" s="5"/>
      <c r="K377" s="64"/>
      <c r="L377" s="64"/>
      <c r="M377" s="96"/>
      <c r="N377" s="5"/>
      <c r="O377" s="5"/>
      <c r="P377" s="5"/>
      <c r="Q377" s="5"/>
      <c r="R377" s="5"/>
      <c r="S377" s="5"/>
      <c r="T377" s="5"/>
      <c r="U377" s="5"/>
      <c r="V377" s="5"/>
      <c r="W377" s="5"/>
      <c r="X377" s="5"/>
      <c r="Y377" s="5"/>
      <c r="Z377" s="5"/>
      <c r="AA377" s="5"/>
    </row>
    <row r="378">
      <c r="A378" s="5"/>
      <c r="B378" s="5"/>
      <c r="C378" s="5"/>
      <c r="D378" s="5"/>
      <c r="E378" s="64"/>
      <c r="F378" s="5"/>
      <c r="G378" s="5"/>
      <c r="H378" s="5"/>
      <c r="I378" s="5"/>
      <c r="J378" s="5"/>
      <c r="K378" s="64"/>
      <c r="L378" s="64"/>
      <c r="M378" s="96"/>
      <c r="N378" s="5"/>
      <c r="O378" s="5"/>
      <c r="P378" s="5"/>
      <c r="Q378" s="5"/>
      <c r="R378" s="5"/>
      <c r="S378" s="5"/>
      <c r="T378" s="5"/>
      <c r="U378" s="5"/>
      <c r="V378" s="5"/>
      <c r="W378" s="5"/>
      <c r="X378" s="5"/>
      <c r="Y378" s="5"/>
      <c r="Z378" s="5"/>
      <c r="AA378" s="5"/>
    </row>
    <row r="379">
      <c r="A379" s="5"/>
      <c r="B379" s="5"/>
      <c r="C379" s="5"/>
      <c r="D379" s="5"/>
      <c r="E379" s="64"/>
      <c r="F379" s="5"/>
      <c r="G379" s="5"/>
      <c r="H379" s="5"/>
      <c r="I379" s="5"/>
      <c r="J379" s="5"/>
      <c r="K379" s="64"/>
      <c r="L379" s="64"/>
      <c r="M379" s="96"/>
      <c r="N379" s="5"/>
      <c r="O379" s="5"/>
      <c r="P379" s="5"/>
      <c r="Q379" s="5"/>
      <c r="R379" s="5"/>
      <c r="S379" s="5"/>
      <c r="T379" s="5"/>
      <c r="U379" s="5"/>
      <c r="V379" s="5"/>
      <c r="W379" s="5"/>
      <c r="X379" s="5"/>
      <c r="Y379" s="5"/>
      <c r="Z379" s="5"/>
      <c r="AA379" s="5"/>
    </row>
    <row r="380">
      <c r="A380" s="5"/>
      <c r="B380" s="5"/>
      <c r="C380" s="5"/>
      <c r="D380" s="5"/>
      <c r="E380" s="64"/>
      <c r="F380" s="5"/>
      <c r="G380" s="5"/>
      <c r="H380" s="5"/>
      <c r="I380" s="5"/>
      <c r="J380" s="5"/>
      <c r="K380" s="64"/>
      <c r="L380" s="64"/>
      <c r="M380" s="96"/>
      <c r="N380" s="5"/>
      <c r="O380" s="5"/>
      <c r="P380" s="5"/>
      <c r="Q380" s="5"/>
      <c r="R380" s="5"/>
      <c r="S380" s="5"/>
      <c r="T380" s="5"/>
      <c r="U380" s="5"/>
      <c r="V380" s="5"/>
      <c r="W380" s="5"/>
      <c r="X380" s="5"/>
      <c r="Y380" s="5"/>
      <c r="Z380" s="5"/>
      <c r="AA380" s="5"/>
    </row>
    <row r="381">
      <c r="A381" s="5"/>
      <c r="B381" s="5"/>
      <c r="C381" s="5"/>
      <c r="D381" s="5"/>
      <c r="E381" s="64"/>
      <c r="F381" s="5"/>
      <c r="G381" s="5"/>
      <c r="H381" s="5"/>
      <c r="I381" s="5"/>
      <c r="J381" s="5"/>
      <c r="K381" s="64"/>
      <c r="L381" s="64"/>
      <c r="M381" s="96"/>
      <c r="N381" s="5"/>
      <c r="O381" s="5"/>
      <c r="P381" s="5"/>
      <c r="Q381" s="5"/>
      <c r="R381" s="5"/>
      <c r="S381" s="5"/>
      <c r="T381" s="5"/>
      <c r="U381" s="5"/>
      <c r="V381" s="5"/>
      <c r="W381" s="5"/>
      <c r="X381" s="5"/>
      <c r="Y381" s="5"/>
      <c r="Z381" s="5"/>
      <c r="AA381" s="5"/>
    </row>
    <row r="382">
      <c r="A382" s="5"/>
      <c r="B382" s="5"/>
      <c r="C382" s="5"/>
      <c r="D382" s="5"/>
      <c r="E382" s="64"/>
      <c r="F382" s="5"/>
      <c r="G382" s="5"/>
      <c r="H382" s="5"/>
      <c r="I382" s="5"/>
      <c r="J382" s="5"/>
      <c r="K382" s="64"/>
      <c r="L382" s="64"/>
      <c r="M382" s="96"/>
      <c r="N382" s="5"/>
      <c r="O382" s="5"/>
      <c r="P382" s="5"/>
      <c r="Q382" s="5"/>
      <c r="R382" s="5"/>
      <c r="S382" s="5"/>
      <c r="T382" s="5"/>
      <c r="U382" s="5"/>
      <c r="V382" s="5"/>
      <c r="W382" s="5"/>
      <c r="X382" s="5"/>
      <c r="Y382" s="5"/>
      <c r="Z382" s="5"/>
      <c r="AA382" s="5"/>
    </row>
    <row r="383">
      <c r="A383" s="5"/>
      <c r="B383" s="5"/>
      <c r="C383" s="5"/>
      <c r="D383" s="5"/>
      <c r="E383" s="64"/>
      <c r="F383" s="5"/>
      <c r="G383" s="5"/>
      <c r="H383" s="5"/>
      <c r="I383" s="5"/>
      <c r="J383" s="5"/>
      <c r="K383" s="64"/>
      <c r="L383" s="64"/>
      <c r="M383" s="96"/>
      <c r="N383" s="5"/>
      <c r="O383" s="5"/>
      <c r="P383" s="5"/>
      <c r="Q383" s="5"/>
      <c r="R383" s="5"/>
      <c r="S383" s="5"/>
      <c r="T383" s="5"/>
      <c r="U383" s="5"/>
      <c r="V383" s="5"/>
      <c r="W383" s="5"/>
      <c r="X383" s="5"/>
      <c r="Y383" s="5"/>
      <c r="Z383" s="5"/>
      <c r="AA383" s="5"/>
    </row>
    <row r="384">
      <c r="A384" s="5"/>
      <c r="B384" s="5"/>
      <c r="C384" s="5"/>
      <c r="D384" s="5"/>
      <c r="E384" s="64"/>
      <c r="F384" s="5"/>
      <c r="G384" s="5"/>
      <c r="H384" s="5"/>
      <c r="I384" s="5"/>
      <c r="J384" s="5"/>
      <c r="K384" s="64"/>
      <c r="L384" s="64"/>
      <c r="M384" s="96"/>
      <c r="N384" s="5"/>
      <c r="O384" s="5"/>
      <c r="P384" s="5"/>
      <c r="Q384" s="5"/>
      <c r="R384" s="5"/>
      <c r="S384" s="5"/>
      <c r="T384" s="5"/>
      <c r="U384" s="5"/>
      <c r="V384" s="5"/>
      <c r="W384" s="5"/>
      <c r="X384" s="5"/>
      <c r="Y384" s="5"/>
      <c r="Z384" s="5"/>
      <c r="AA384" s="5"/>
    </row>
    <row r="385">
      <c r="A385" s="5"/>
      <c r="B385" s="5"/>
      <c r="C385" s="5"/>
      <c r="D385" s="5"/>
      <c r="E385" s="64"/>
      <c r="F385" s="5"/>
      <c r="G385" s="5"/>
      <c r="H385" s="5"/>
      <c r="I385" s="5"/>
      <c r="J385" s="5"/>
      <c r="K385" s="64"/>
      <c r="L385" s="64"/>
      <c r="M385" s="96"/>
      <c r="N385" s="5"/>
      <c r="O385" s="5"/>
      <c r="P385" s="5"/>
      <c r="Q385" s="5"/>
      <c r="R385" s="5"/>
      <c r="S385" s="5"/>
      <c r="T385" s="5"/>
      <c r="U385" s="5"/>
      <c r="V385" s="5"/>
      <c r="W385" s="5"/>
      <c r="X385" s="5"/>
      <c r="Y385" s="5"/>
      <c r="Z385" s="5"/>
      <c r="AA385" s="5"/>
    </row>
    <row r="386">
      <c r="A386" s="5"/>
      <c r="B386" s="5"/>
      <c r="C386" s="5"/>
      <c r="D386" s="5"/>
      <c r="E386" s="64"/>
      <c r="F386" s="5"/>
      <c r="G386" s="5"/>
      <c r="H386" s="5"/>
      <c r="I386" s="5"/>
      <c r="J386" s="5"/>
      <c r="K386" s="64"/>
      <c r="L386" s="64"/>
      <c r="M386" s="96"/>
      <c r="N386" s="5"/>
      <c r="O386" s="5"/>
      <c r="P386" s="5"/>
      <c r="Q386" s="5"/>
      <c r="R386" s="5"/>
      <c r="S386" s="5"/>
      <c r="T386" s="5"/>
      <c r="U386" s="5"/>
      <c r="V386" s="5"/>
      <c r="W386" s="5"/>
      <c r="X386" s="5"/>
      <c r="Y386" s="5"/>
      <c r="Z386" s="5"/>
      <c r="AA386" s="5"/>
    </row>
    <row r="387">
      <c r="A387" s="5"/>
      <c r="B387" s="5"/>
      <c r="C387" s="5"/>
      <c r="D387" s="5"/>
      <c r="E387" s="64"/>
      <c r="F387" s="5"/>
      <c r="G387" s="5"/>
      <c r="H387" s="5"/>
      <c r="I387" s="5"/>
      <c r="J387" s="5"/>
      <c r="K387" s="64"/>
      <c r="L387" s="64"/>
      <c r="M387" s="96"/>
      <c r="N387" s="5"/>
      <c r="O387" s="5"/>
      <c r="P387" s="5"/>
      <c r="Q387" s="5"/>
      <c r="R387" s="5"/>
      <c r="S387" s="5"/>
      <c r="T387" s="5"/>
      <c r="U387" s="5"/>
      <c r="V387" s="5"/>
      <c r="W387" s="5"/>
      <c r="X387" s="5"/>
      <c r="Y387" s="5"/>
      <c r="Z387" s="5"/>
      <c r="AA387" s="5"/>
    </row>
    <row r="388">
      <c r="A388" s="5"/>
      <c r="B388" s="5"/>
      <c r="C388" s="5"/>
      <c r="D388" s="5"/>
      <c r="E388" s="64"/>
      <c r="F388" s="5"/>
      <c r="G388" s="5"/>
      <c r="H388" s="5"/>
      <c r="I388" s="5"/>
      <c r="J388" s="5"/>
      <c r="K388" s="64"/>
      <c r="L388" s="64"/>
      <c r="M388" s="96"/>
      <c r="N388" s="5"/>
      <c r="O388" s="5"/>
      <c r="P388" s="5"/>
      <c r="Q388" s="5"/>
      <c r="R388" s="5"/>
      <c r="S388" s="5"/>
      <c r="T388" s="5"/>
      <c r="U388" s="5"/>
      <c r="V388" s="5"/>
      <c r="W388" s="5"/>
      <c r="X388" s="5"/>
      <c r="Y388" s="5"/>
      <c r="Z388" s="5"/>
      <c r="AA388" s="5"/>
    </row>
    <row r="389">
      <c r="A389" s="5"/>
      <c r="B389" s="5"/>
      <c r="C389" s="5"/>
      <c r="D389" s="5"/>
      <c r="E389" s="64"/>
      <c r="F389" s="5"/>
      <c r="G389" s="5"/>
      <c r="H389" s="5"/>
      <c r="I389" s="5"/>
      <c r="J389" s="5"/>
      <c r="K389" s="64"/>
      <c r="L389" s="64"/>
      <c r="M389" s="96"/>
      <c r="N389" s="5"/>
      <c r="O389" s="5"/>
      <c r="P389" s="5"/>
      <c r="Q389" s="5"/>
      <c r="R389" s="5"/>
      <c r="S389" s="5"/>
      <c r="T389" s="5"/>
      <c r="U389" s="5"/>
      <c r="V389" s="5"/>
      <c r="W389" s="5"/>
      <c r="X389" s="5"/>
      <c r="Y389" s="5"/>
      <c r="Z389" s="5"/>
      <c r="AA389" s="5"/>
    </row>
    <row r="390">
      <c r="A390" s="5"/>
      <c r="B390" s="5"/>
      <c r="C390" s="5"/>
      <c r="D390" s="5"/>
      <c r="E390" s="64"/>
      <c r="F390" s="5"/>
      <c r="G390" s="5"/>
      <c r="H390" s="5"/>
      <c r="I390" s="5"/>
      <c r="J390" s="5"/>
      <c r="K390" s="64"/>
      <c r="L390" s="64"/>
      <c r="M390" s="96"/>
      <c r="N390" s="5"/>
      <c r="O390" s="5"/>
      <c r="P390" s="5"/>
      <c r="Q390" s="5"/>
      <c r="R390" s="5"/>
      <c r="S390" s="5"/>
      <c r="T390" s="5"/>
      <c r="U390" s="5"/>
      <c r="V390" s="5"/>
      <c r="W390" s="5"/>
      <c r="X390" s="5"/>
      <c r="Y390" s="5"/>
      <c r="Z390" s="5"/>
      <c r="AA390" s="5"/>
    </row>
    <row r="391">
      <c r="A391" s="5"/>
      <c r="B391" s="5"/>
      <c r="C391" s="5"/>
      <c r="D391" s="5"/>
      <c r="E391" s="64"/>
      <c r="F391" s="5"/>
      <c r="G391" s="5"/>
      <c r="H391" s="5"/>
      <c r="I391" s="5"/>
      <c r="J391" s="5"/>
      <c r="K391" s="64"/>
      <c r="L391" s="64"/>
      <c r="M391" s="96"/>
      <c r="N391" s="5"/>
      <c r="O391" s="5"/>
      <c r="P391" s="5"/>
      <c r="Q391" s="5"/>
      <c r="R391" s="5"/>
      <c r="S391" s="5"/>
      <c r="T391" s="5"/>
      <c r="U391" s="5"/>
      <c r="V391" s="5"/>
      <c r="W391" s="5"/>
      <c r="X391" s="5"/>
      <c r="Y391" s="5"/>
      <c r="Z391" s="5"/>
      <c r="AA391" s="5"/>
    </row>
    <row r="392">
      <c r="A392" s="5"/>
      <c r="B392" s="5"/>
      <c r="C392" s="5"/>
      <c r="D392" s="5"/>
      <c r="E392" s="64"/>
      <c r="F392" s="5"/>
      <c r="G392" s="5"/>
      <c r="H392" s="5"/>
      <c r="I392" s="5"/>
      <c r="J392" s="5"/>
      <c r="K392" s="64"/>
      <c r="L392" s="64"/>
      <c r="M392" s="96"/>
      <c r="N392" s="5"/>
      <c r="O392" s="5"/>
      <c r="P392" s="5"/>
      <c r="Q392" s="5"/>
      <c r="R392" s="5"/>
      <c r="S392" s="5"/>
      <c r="T392" s="5"/>
      <c r="U392" s="5"/>
      <c r="V392" s="5"/>
      <c r="W392" s="5"/>
      <c r="X392" s="5"/>
      <c r="Y392" s="5"/>
      <c r="Z392" s="5"/>
      <c r="AA392" s="5"/>
    </row>
    <row r="393">
      <c r="A393" s="5"/>
      <c r="B393" s="5"/>
      <c r="C393" s="5"/>
      <c r="D393" s="5"/>
      <c r="E393" s="64"/>
      <c r="F393" s="5"/>
      <c r="G393" s="5"/>
      <c r="H393" s="5"/>
      <c r="I393" s="5"/>
      <c r="J393" s="5"/>
      <c r="K393" s="64"/>
      <c r="L393" s="64"/>
      <c r="M393" s="96"/>
      <c r="N393" s="5"/>
      <c r="O393" s="5"/>
      <c r="P393" s="5"/>
      <c r="Q393" s="5"/>
      <c r="R393" s="5"/>
      <c r="S393" s="5"/>
      <c r="T393" s="5"/>
      <c r="U393" s="5"/>
      <c r="V393" s="5"/>
      <c r="W393" s="5"/>
      <c r="X393" s="5"/>
      <c r="Y393" s="5"/>
      <c r="Z393" s="5"/>
      <c r="AA393" s="5"/>
    </row>
    <row r="394">
      <c r="A394" s="5"/>
      <c r="B394" s="5"/>
      <c r="C394" s="5"/>
      <c r="D394" s="5"/>
      <c r="E394" s="64"/>
      <c r="F394" s="5"/>
      <c r="G394" s="5"/>
      <c r="H394" s="5"/>
      <c r="I394" s="5"/>
      <c r="J394" s="5"/>
      <c r="K394" s="64"/>
      <c r="L394" s="64"/>
      <c r="M394" s="96"/>
      <c r="N394" s="5"/>
      <c r="O394" s="5"/>
      <c r="P394" s="5"/>
      <c r="Q394" s="5"/>
      <c r="R394" s="5"/>
      <c r="S394" s="5"/>
      <c r="T394" s="5"/>
      <c r="U394" s="5"/>
      <c r="V394" s="5"/>
      <c r="W394" s="5"/>
      <c r="X394" s="5"/>
      <c r="Y394" s="5"/>
      <c r="Z394" s="5"/>
      <c r="AA394" s="5"/>
    </row>
    <row r="395">
      <c r="A395" s="5"/>
      <c r="B395" s="5"/>
      <c r="C395" s="5"/>
      <c r="D395" s="5"/>
      <c r="E395" s="64"/>
      <c r="F395" s="5"/>
      <c r="G395" s="5"/>
      <c r="H395" s="5"/>
      <c r="I395" s="5"/>
      <c r="J395" s="5"/>
      <c r="K395" s="64"/>
      <c r="L395" s="64"/>
      <c r="M395" s="96"/>
      <c r="N395" s="5"/>
      <c r="O395" s="5"/>
      <c r="P395" s="5"/>
      <c r="Q395" s="5"/>
      <c r="R395" s="5"/>
      <c r="S395" s="5"/>
      <c r="T395" s="5"/>
      <c r="U395" s="5"/>
      <c r="V395" s="5"/>
      <c r="W395" s="5"/>
      <c r="X395" s="5"/>
      <c r="Y395" s="5"/>
      <c r="Z395" s="5"/>
      <c r="AA395" s="5"/>
    </row>
    <row r="396">
      <c r="A396" s="5"/>
      <c r="B396" s="5"/>
      <c r="C396" s="5"/>
      <c r="D396" s="5"/>
      <c r="E396" s="64"/>
      <c r="F396" s="5"/>
      <c r="G396" s="5"/>
      <c r="H396" s="5"/>
      <c r="I396" s="5"/>
      <c r="J396" s="5"/>
      <c r="K396" s="64"/>
      <c r="L396" s="64"/>
      <c r="M396" s="96"/>
      <c r="N396" s="5"/>
      <c r="O396" s="5"/>
      <c r="P396" s="5"/>
      <c r="Q396" s="5"/>
      <c r="R396" s="5"/>
      <c r="S396" s="5"/>
      <c r="T396" s="5"/>
      <c r="U396" s="5"/>
      <c r="V396" s="5"/>
      <c r="W396" s="5"/>
      <c r="X396" s="5"/>
      <c r="Y396" s="5"/>
      <c r="Z396" s="5"/>
      <c r="AA396" s="5"/>
    </row>
    <row r="397">
      <c r="A397" s="5"/>
      <c r="B397" s="5"/>
      <c r="C397" s="5"/>
      <c r="D397" s="5"/>
      <c r="E397" s="64"/>
      <c r="F397" s="5"/>
      <c r="G397" s="5"/>
      <c r="H397" s="5"/>
      <c r="I397" s="5"/>
      <c r="J397" s="5"/>
      <c r="K397" s="64"/>
      <c r="L397" s="64"/>
      <c r="M397" s="96"/>
      <c r="N397" s="5"/>
      <c r="O397" s="5"/>
      <c r="P397" s="5"/>
      <c r="Q397" s="5"/>
      <c r="R397" s="5"/>
      <c r="S397" s="5"/>
      <c r="T397" s="5"/>
      <c r="U397" s="5"/>
      <c r="V397" s="5"/>
      <c r="W397" s="5"/>
      <c r="X397" s="5"/>
      <c r="Y397" s="5"/>
      <c r="Z397" s="5"/>
      <c r="AA397" s="5"/>
    </row>
    <row r="398">
      <c r="A398" s="5"/>
      <c r="B398" s="5"/>
      <c r="C398" s="5"/>
      <c r="D398" s="5"/>
      <c r="E398" s="64"/>
      <c r="F398" s="5"/>
      <c r="G398" s="5"/>
      <c r="H398" s="5"/>
      <c r="I398" s="5"/>
      <c r="J398" s="5"/>
      <c r="K398" s="64"/>
      <c r="L398" s="64"/>
      <c r="M398" s="96"/>
      <c r="N398" s="5"/>
      <c r="O398" s="5"/>
      <c r="P398" s="5"/>
      <c r="Q398" s="5"/>
      <c r="R398" s="5"/>
      <c r="S398" s="5"/>
      <c r="T398" s="5"/>
      <c r="U398" s="5"/>
      <c r="V398" s="5"/>
      <c r="W398" s="5"/>
      <c r="X398" s="5"/>
      <c r="Y398" s="5"/>
      <c r="Z398" s="5"/>
      <c r="AA398" s="5"/>
    </row>
    <row r="399">
      <c r="A399" s="5"/>
      <c r="B399" s="5"/>
      <c r="C399" s="5"/>
      <c r="D399" s="5"/>
      <c r="E399" s="64"/>
      <c r="F399" s="5"/>
      <c r="G399" s="5"/>
      <c r="H399" s="5"/>
      <c r="I399" s="5"/>
      <c r="J399" s="5"/>
      <c r="K399" s="64"/>
      <c r="L399" s="64"/>
      <c r="M399" s="96"/>
      <c r="N399" s="5"/>
      <c r="O399" s="5"/>
      <c r="P399" s="5"/>
      <c r="Q399" s="5"/>
      <c r="R399" s="5"/>
      <c r="S399" s="5"/>
      <c r="T399" s="5"/>
      <c r="U399" s="5"/>
      <c r="V399" s="5"/>
      <c r="W399" s="5"/>
      <c r="X399" s="5"/>
      <c r="Y399" s="5"/>
      <c r="Z399" s="5"/>
      <c r="AA399" s="5"/>
    </row>
    <row r="400">
      <c r="A400" s="5"/>
      <c r="B400" s="5"/>
      <c r="C400" s="5"/>
      <c r="D400" s="5"/>
      <c r="E400" s="64"/>
      <c r="F400" s="5"/>
      <c r="G400" s="5"/>
      <c r="H400" s="5"/>
      <c r="I400" s="5"/>
      <c r="J400" s="5"/>
      <c r="K400" s="64"/>
      <c r="L400" s="64"/>
      <c r="M400" s="96"/>
      <c r="N400" s="5"/>
      <c r="O400" s="5"/>
      <c r="P400" s="5"/>
      <c r="Q400" s="5"/>
      <c r="R400" s="5"/>
      <c r="S400" s="5"/>
      <c r="T400" s="5"/>
      <c r="U400" s="5"/>
      <c r="V400" s="5"/>
      <c r="W400" s="5"/>
      <c r="X400" s="5"/>
      <c r="Y400" s="5"/>
      <c r="Z400" s="5"/>
      <c r="AA400" s="5"/>
    </row>
    <row r="401">
      <c r="A401" s="5"/>
      <c r="B401" s="5"/>
      <c r="C401" s="5"/>
      <c r="D401" s="5"/>
      <c r="E401" s="64"/>
      <c r="F401" s="5"/>
      <c r="G401" s="5"/>
      <c r="H401" s="5"/>
      <c r="I401" s="5"/>
      <c r="J401" s="5"/>
      <c r="K401" s="64"/>
      <c r="L401" s="64"/>
      <c r="M401" s="96"/>
      <c r="N401" s="5"/>
      <c r="O401" s="5"/>
      <c r="P401" s="5"/>
      <c r="Q401" s="5"/>
      <c r="R401" s="5"/>
      <c r="S401" s="5"/>
      <c r="T401" s="5"/>
      <c r="U401" s="5"/>
      <c r="V401" s="5"/>
      <c r="W401" s="5"/>
      <c r="X401" s="5"/>
      <c r="Y401" s="5"/>
      <c r="Z401" s="5"/>
      <c r="AA401" s="5"/>
    </row>
    <row r="402">
      <c r="A402" s="5"/>
      <c r="B402" s="5"/>
      <c r="C402" s="5"/>
      <c r="D402" s="5"/>
      <c r="E402" s="64"/>
      <c r="F402" s="5"/>
      <c r="G402" s="5"/>
      <c r="H402" s="5"/>
      <c r="I402" s="5"/>
      <c r="J402" s="5"/>
      <c r="K402" s="64"/>
      <c r="L402" s="64"/>
      <c r="M402" s="96"/>
      <c r="N402" s="5"/>
      <c r="O402" s="5"/>
      <c r="P402" s="5"/>
      <c r="Q402" s="5"/>
      <c r="R402" s="5"/>
      <c r="S402" s="5"/>
      <c r="T402" s="5"/>
      <c r="U402" s="5"/>
      <c r="V402" s="5"/>
      <c r="W402" s="5"/>
      <c r="X402" s="5"/>
      <c r="Y402" s="5"/>
      <c r="Z402" s="5"/>
      <c r="AA402" s="5"/>
    </row>
    <row r="403">
      <c r="A403" s="5"/>
      <c r="B403" s="5"/>
      <c r="C403" s="5"/>
      <c r="D403" s="5"/>
      <c r="E403" s="64"/>
      <c r="F403" s="5"/>
      <c r="G403" s="5"/>
      <c r="H403" s="5"/>
      <c r="I403" s="5"/>
      <c r="J403" s="5"/>
      <c r="K403" s="64"/>
      <c r="L403" s="64"/>
      <c r="M403" s="96"/>
      <c r="N403" s="5"/>
      <c r="O403" s="5"/>
      <c r="P403" s="5"/>
      <c r="Q403" s="5"/>
      <c r="R403" s="5"/>
      <c r="S403" s="5"/>
      <c r="T403" s="5"/>
      <c r="U403" s="5"/>
      <c r="V403" s="5"/>
      <c r="W403" s="5"/>
      <c r="X403" s="5"/>
      <c r="Y403" s="5"/>
      <c r="Z403" s="5"/>
      <c r="AA403" s="5"/>
    </row>
    <row r="404">
      <c r="A404" s="5"/>
      <c r="B404" s="5"/>
      <c r="C404" s="5"/>
      <c r="D404" s="5"/>
      <c r="E404" s="64"/>
      <c r="F404" s="5"/>
      <c r="G404" s="5"/>
      <c r="H404" s="5"/>
      <c r="I404" s="5"/>
      <c r="J404" s="5"/>
      <c r="K404" s="64"/>
      <c r="L404" s="64"/>
      <c r="M404" s="96"/>
      <c r="N404" s="5"/>
      <c r="O404" s="5"/>
      <c r="P404" s="5"/>
      <c r="Q404" s="5"/>
      <c r="R404" s="5"/>
      <c r="S404" s="5"/>
      <c r="T404" s="5"/>
      <c r="U404" s="5"/>
      <c r="V404" s="5"/>
      <c r="W404" s="5"/>
      <c r="X404" s="5"/>
      <c r="Y404" s="5"/>
      <c r="Z404" s="5"/>
      <c r="AA404" s="5"/>
    </row>
    <row r="405">
      <c r="A405" s="5"/>
      <c r="B405" s="5"/>
      <c r="C405" s="5"/>
      <c r="D405" s="5"/>
      <c r="E405" s="64"/>
      <c r="F405" s="5"/>
      <c r="G405" s="5"/>
      <c r="H405" s="5"/>
      <c r="I405" s="5"/>
      <c r="J405" s="5"/>
      <c r="K405" s="64"/>
      <c r="L405" s="64"/>
      <c r="M405" s="96"/>
      <c r="N405" s="5"/>
      <c r="O405" s="5"/>
      <c r="P405" s="5"/>
      <c r="Q405" s="5"/>
      <c r="R405" s="5"/>
      <c r="S405" s="5"/>
      <c r="T405" s="5"/>
      <c r="U405" s="5"/>
      <c r="V405" s="5"/>
      <c r="W405" s="5"/>
      <c r="X405" s="5"/>
      <c r="Y405" s="5"/>
      <c r="Z405" s="5"/>
      <c r="AA405" s="5"/>
    </row>
    <row r="406">
      <c r="A406" s="5"/>
      <c r="B406" s="5"/>
      <c r="C406" s="5"/>
      <c r="D406" s="5"/>
      <c r="E406" s="64"/>
      <c r="F406" s="5"/>
      <c r="G406" s="5"/>
      <c r="H406" s="5"/>
      <c r="I406" s="5"/>
      <c r="J406" s="5"/>
      <c r="K406" s="64"/>
      <c r="L406" s="64"/>
      <c r="M406" s="96"/>
      <c r="N406" s="5"/>
      <c r="O406" s="5"/>
      <c r="P406" s="5"/>
      <c r="Q406" s="5"/>
      <c r="R406" s="5"/>
      <c r="S406" s="5"/>
      <c r="T406" s="5"/>
      <c r="U406" s="5"/>
      <c r="V406" s="5"/>
      <c r="W406" s="5"/>
      <c r="X406" s="5"/>
      <c r="Y406" s="5"/>
      <c r="Z406" s="5"/>
      <c r="AA406" s="5"/>
    </row>
    <row r="407">
      <c r="A407" s="5"/>
      <c r="B407" s="5"/>
      <c r="C407" s="5"/>
      <c r="D407" s="5"/>
      <c r="E407" s="64"/>
      <c r="F407" s="5"/>
      <c r="G407" s="5"/>
      <c r="H407" s="5"/>
      <c r="I407" s="5"/>
      <c r="J407" s="5"/>
      <c r="K407" s="64"/>
      <c r="L407" s="64"/>
      <c r="M407" s="96"/>
      <c r="N407" s="5"/>
      <c r="O407" s="5"/>
      <c r="P407" s="5"/>
      <c r="Q407" s="5"/>
      <c r="R407" s="5"/>
      <c r="S407" s="5"/>
      <c r="T407" s="5"/>
      <c r="U407" s="5"/>
      <c r="V407" s="5"/>
      <c r="W407" s="5"/>
      <c r="X407" s="5"/>
      <c r="Y407" s="5"/>
      <c r="Z407" s="5"/>
      <c r="AA407" s="5"/>
    </row>
    <row r="408">
      <c r="A408" s="5"/>
      <c r="B408" s="5"/>
      <c r="C408" s="5"/>
      <c r="D408" s="5"/>
      <c r="E408" s="64"/>
      <c r="F408" s="5"/>
      <c r="G408" s="5"/>
      <c r="H408" s="5"/>
      <c r="I408" s="5"/>
      <c r="J408" s="5"/>
      <c r="K408" s="64"/>
      <c r="L408" s="64"/>
      <c r="M408" s="96"/>
      <c r="N408" s="5"/>
      <c r="O408" s="5"/>
      <c r="P408" s="5"/>
      <c r="Q408" s="5"/>
      <c r="R408" s="5"/>
      <c r="S408" s="5"/>
      <c r="T408" s="5"/>
      <c r="U408" s="5"/>
      <c r="V408" s="5"/>
      <c r="W408" s="5"/>
      <c r="X408" s="5"/>
      <c r="Y408" s="5"/>
      <c r="Z408" s="5"/>
      <c r="AA408" s="5"/>
    </row>
    <row r="409">
      <c r="A409" s="5"/>
      <c r="B409" s="5"/>
      <c r="C409" s="5"/>
      <c r="D409" s="5"/>
      <c r="E409" s="64"/>
      <c r="F409" s="5"/>
      <c r="G409" s="5"/>
      <c r="H409" s="5"/>
      <c r="I409" s="5"/>
      <c r="J409" s="5"/>
      <c r="K409" s="64"/>
      <c r="L409" s="64"/>
      <c r="M409" s="96"/>
      <c r="N409" s="5"/>
      <c r="O409" s="5"/>
      <c r="P409" s="5"/>
      <c r="Q409" s="5"/>
      <c r="R409" s="5"/>
      <c r="S409" s="5"/>
      <c r="T409" s="5"/>
      <c r="U409" s="5"/>
      <c r="V409" s="5"/>
      <c r="W409" s="5"/>
      <c r="X409" s="5"/>
      <c r="Y409" s="5"/>
      <c r="Z409" s="5"/>
      <c r="AA409" s="5"/>
    </row>
    <row r="410">
      <c r="A410" s="5"/>
      <c r="B410" s="5"/>
      <c r="C410" s="5"/>
      <c r="D410" s="5"/>
      <c r="E410" s="64"/>
      <c r="F410" s="5"/>
      <c r="G410" s="5"/>
      <c r="H410" s="5"/>
      <c r="I410" s="5"/>
      <c r="J410" s="5"/>
      <c r="K410" s="64"/>
      <c r="L410" s="64"/>
      <c r="M410" s="96"/>
      <c r="N410" s="5"/>
      <c r="O410" s="5"/>
      <c r="P410" s="5"/>
      <c r="Q410" s="5"/>
      <c r="R410" s="5"/>
      <c r="S410" s="5"/>
      <c r="T410" s="5"/>
      <c r="U410" s="5"/>
      <c r="V410" s="5"/>
      <c r="W410" s="5"/>
      <c r="X410" s="5"/>
      <c r="Y410" s="5"/>
      <c r="Z410" s="5"/>
      <c r="AA410" s="5"/>
    </row>
    <row r="411">
      <c r="A411" s="5"/>
      <c r="B411" s="5"/>
      <c r="C411" s="5"/>
      <c r="D411" s="5"/>
      <c r="E411" s="64"/>
      <c r="F411" s="5"/>
      <c r="G411" s="5"/>
      <c r="H411" s="5"/>
      <c r="I411" s="5"/>
      <c r="J411" s="5"/>
      <c r="K411" s="64"/>
      <c r="L411" s="64"/>
      <c r="M411" s="96"/>
      <c r="N411" s="5"/>
      <c r="O411" s="5"/>
      <c r="P411" s="5"/>
      <c r="Q411" s="5"/>
      <c r="R411" s="5"/>
      <c r="S411" s="5"/>
      <c r="T411" s="5"/>
      <c r="U411" s="5"/>
      <c r="V411" s="5"/>
      <c r="W411" s="5"/>
      <c r="X411" s="5"/>
      <c r="Y411" s="5"/>
      <c r="Z411" s="5"/>
      <c r="AA411" s="5"/>
    </row>
    <row r="412">
      <c r="A412" s="5"/>
      <c r="B412" s="5"/>
      <c r="C412" s="5"/>
      <c r="D412" s="5"/>
      <c r="E412" s="64"/>
      <c r="F412" s="5"/>
      <c r="G412" s="5"/>
      <c r="H412" s="5"/>
      <c r="I412" s="5"/>
      <c r="J412" s="5"/>
      <c r="K412" s="64"/>
      <c r="L412" s="64"/>
      <c r="M412" s="96"/>
      <c r="N412" s="5"/>
      <c r="O412" s="5"/>
      <c r="P412" s="5"/>
      <c r="Q412" s="5"/>
      <c r="R412" s="5"/>
      <c r="S412" s="5"/>
      <c r="T412" s="5"/>
      <c r="U412" s="5"/>
      <c r="V412" s="5"/>
      <c r="W412" s="5"/>
      <c r="X412" s="5"/>
      <c r="Y412" s="5"/>
      <c r="Z412" s="5"/>
      <c r="AA412" s="5"/>
    </row>
    <row r="413">
      <c r="A413" s="5"/>
      <c r="B413" s="5"/>
      <c r="C413" s="5"/>
      <c r="D413" s="5"/>
      <c r="E413" s="64"/>
      <c r="F413" s="5"/>
      <c r="G413" s="5"/>
      <c r="H413" s="5"/>
      <c r="I413" s="5"/>
      <c r="J413" s="5"/>
      <c r="K413" s="64"/>
      <c r="L413" s="64"/>
      <c r="M413" s="96"/>
      <c r="N413" s="5"/>
      <c r="O413" s="5"/>
      <c r="P413" s="5"/>
      <c r="Q413" s="5"/>
      <c r="R413" s="5"/>
      <c r="S413" s="5"/>
      <c r="T413" s="5"/>
      <c r="U413" s="5"/>
      <c r="V413" s="5"/>
      <c r="W413" s="5"/>
      <c r="X413" s="5"/>
      <c r="Y413" s="5"/>
      <c r="Z413" s="5"/>
      <c r="AA413" s="5"/>
    </row>
    <row r="414">
      <c r="A414" s="5"/>
      <c r="B414" s="5"/>
      <c r="C414" s="5"/>
      <c r="D414" s="5"/>
      <c r="E414" s="64"/>
      <c r="F414" s="5"/>
      <c r="G414" s="5"/>
      <c r="H414" s="5"/>
      <c r="I414" s="5"/>
      <c r="J414" s="5"/>
      <c r="K414" s="64"/>
      <c r="L414" s="64"/>
      <c r="M414" s="96"/>
      <c r="N414" s="5"/>
      <c r="O414" s="5"/>
      <c r="P414" s="5"/>
      <c r="Q414" s="5"/>
      <c r="R414" s="5"/>
      <c r="S414" s="5"/>
      <c r="T414" s="5"/>
      <c r="U414" s="5"/>
      <c r="V414" s="5"/>
      <c r="W414" s="5"/>
      <c r="X414" s="5"/>
      <c r="Y414" s="5"/>
      <c r="Z414" s="5"/>
      <c r="AA414" s="5"/>
    </row>
    <row r="415">
      <c r="A415" s="5"/>
      <c r="B415" s="5"/>
      <c r="C415" s="5"/>
      <c r="D415" s="5"/>
      <c r="E415" s="64"/>
      <c r="F415" s="5"/>
      <c r="G415" s="5"/>
      <c r="H415" s="5"/>
      <c r="I415" s="5"/>
      <c r="J415" s="5"/>
      <c r="K415" s="64"/>
      <c r="L415" s="64"/>
      <c r="M415" s="96"/>
      <c r="N415" s="5"/>
      <c r="O415" s="5"/>
      <c r="P415" s="5"/>
      <c r="Q415" s="5"/>
      <c r="R415" s="5"/>
      <c r="S415" s="5"/>
      <c r="T415" s="5"/>
      <c r="U415" s="5"/>
      <c r="V415" s="5"/>
      <c r="W415" s="5"/>
      <c r="X415" s="5"/>
      <c r="Y415" s="5"/>
      <c r="Z415" s="5"/>
      <c r="AA415" s="5"/>
    </row>
    <row r="416">
      <c r="A416" s="5"/>
      <c r="B416" s="5"/>
      <c r="C416" s="5"/>
      <c r="D416" s="5"/>
      <c r="E416" s="64"/>
      <c r="F416" s="5"/>
      <c r="G416" s="5"/>
      <c r="H416" s="5"/>
      <c r="I416" s="5"/>
      <c r="J416" s="5"/>
      <c r="K416" s="64"/>
      <c r="L416" s="64"/>
      <c r="M416" s="96"/>
      <c r="N416" s="5"/>
      <c r="O416" s="5"/>
      <c r="P416" s="5"/>
      <c r="Q416" s="5"/>
      <c r="R416" s="5"/>
      <c r="S416" s="5"/>
      <c r="T416" s="5"/>
      <c r="U416" s="5"/>
      <c r="V416" s="5"/>
      <c r="W416" s="5"/>
      <c r="X416" s="5"/>
      <c r="Y416" s="5"/>
      <c r="Z416" s="5"/>
      <c r="AA416" s="5"/>
    </row>
    <row r="417">
      <c r="A417" s="5"/>
      <c r="B417" s="5"/>
      <c r="C417" s="5"/>
      <c r="D417" s="5"/>
      <c r="E417" s="64"/>
      <c r="F417" s="5"/>
      <c r="G417" s="5"/>
      <c r="H417" s="5"/>
      <c r="I417" s="5"/>
      <c r="J417" s="5"/>
      <c r="K417" s="64"/>
      <c r="L417" s="64"/>
      <c r="M417" s="96"/>
      <c r="N417" s="5"/>
      <c r="O417" s="5"/>
      <c r="P417" s="5"/>
      <c r="Q417" s="5"/>
      <c r="R417" s="5"/>
      <c r="S417" s="5"/>
      <c r="T417" s="5"/>
      <c r="U417" s="5"/>
      <c r="V417" s="5"/>
      <c r="W417" s="5"/>
      <c r="X417" s="5"/>
      <c r="Y417" s="5"/>
      <c r="Z417" s="5"/>
      <c r="AA417" s="5"/>
    </row>
    <row r="418">
      <c r="A418" s="5"/>
      <c r="B418" s="5"/>
      <c r="C418" s="5"/>
      <c r="D418" s="5"/>
      <c r="E418" s="64"/>
      <c r="F418" s="5"/>
      <c r="G418" s="5"/>
      <c r="H418" s="5"/>
      <c r="I418" s="5"/>
      <c r="J418" s="5"/>
      <c r="K418" s="64"/>
      <c r="L418" s="64"/>
      <c r="M418" s="96"/>
      <c r="N418" s="5"/>
      <c r="O418" s="5"/>
      <c r="P418" s="5"/>
      <c r="Q418" s="5"/>
      <c r="R418" s="5"/>
      <c r="S418" s="5"/>
      <c r="T418" s="5"/>
      <c r="U418" s="5"/>
      <c r="V418" s="5"/>
      <c r="W418" s="5"/>
      <c r="X418" s="5"/>
      <c r="Y418" s="5"/>
      <c r="Z418" s="5"/>
      <c r="AA418" s="5"/>
    </row>
    <row r="419">
      <c r="A419" s="5"/>
      <c r="B419" s="5"/>
      <c r="C419" s="5"/>
      <c r="D419" s="5"/>
      <c r="E419" s="64"/>
      <c r="F419" s="5"/>
      <c r="G419" s="5"/>
      <c r="H419" s="5"/>
      <c r="I419" s="5"/>
      <c r="J419" s="5"/>
      <c r="K419" s="64"/>
      <c r="L419" s="64"/>
      <c r="M419" s="96"/>
      <c r="N419" s="5"/>
      <c r="O419" s="5"/>
      <c r="P419" s="5"/>
      <c r="Q419" s="5"/>
      <c r="R419" s="5"/>
      <c r="S419" s="5"/>
      <c r="T419" s="5"/>
      <c r="U419" s="5"/>
      <c r="V419" s="5"/>
      <c r="W419" s="5"/>
      <c r="X419" s="5"/>
      <c r="Y419" s="5"/>
      <c r="Z419" s="5"/>
      <c r="AA419" s="5"/>
    </row>
    <row r="420">
      <c r="A420" s="5"/>
      <c r="B420" s="5"/>
      <c r="C420" s="5"/>
      <c r="D420" s="5"/>
      <c r="E420" s="64"/>
      <c r="F420" s="5"/>
      <c r="G420" s="5"/>
      <c r="H420" s="5"/>
      <c r="I420" s="5"/>
      <c r="J420" s="5"/>
      <c r="K420" s="64"/>
      <c r="L420" s="64"/>
      <c r="M420" s="96"/>
      <c r="N420" s="5"/>
      <c r="O420" s="5"/>
      <c r="P420" s="5"/>
      <c r="Q420" s="5"/>
      <c r="R420" s="5"/>
      <c r="S420" s="5"/>
      <c r="T420" s="5"/>
      <c r="U420" s="5"/>
      <c r="V420" s="5"/>
      <c r="W420" s="5"/>
      <c r="X420" s="5"/>
      <c r="Y420" s="5"/>
      <c r="Z420" s="5"/>
      <c r="AA420" s="5"/>
    </row>
    <row r="421">
      <c r="A421" s="5"/>
      <c r="B421" s="5"/>
      <c r="C421" s="5"/>
      <c r="D421" s="5"/>
      <c r="E421" s="64"/>
      <c r="F421" s="5"/>
      <c r="G421" s="5"/>
      <c r="H421" s="5"/>
      <c r="I421" s="5"/>
      <c r="J421" s="5"/>
      <c r="K421" s="64"/>
      <c r="L421" s="64"/>
      <c r="M421" s="96"/>
      <c r="N421" s="5"/>
      <c r="O421" s="5"/>
      <c r="P421" s="5"/>
      <c r="Q421" s="5"/>
      <c r="R421" s="5"/>
      <c r="S421" s="5"/>
      <c r="T421" s="5"/>
      <c r="U421" s="5"/>
      <c r="V421" s="5"/>
      <c r="W421" s="5"/>
      <c r="X421" s="5"/>
      <c r="Y421" s="5"/>
      <c r="Z421" s="5"/>
      <c r="AA421" s="5"/>
    </row>
    <row r="422">
      <c r="A422" s="5"/>
      <c r="B422" s="5"/>
      <c r="C422" s="5"/>
      <c r="D422" s="5"/>
      <c r="E422" s="64"/>
      <c r="F422" s="5"/>
      <c r="G422" s="5"/>
      <c r="H422" s="5"/>
      <c r="I422" s="5"/>
      <c r="J422" s="5"/>
      <c r="K422" s="64"/>
      <c r="L422" s="64"/>
      <c r="M422" s="96"/>
      <c r="N422" s="5"/>
      <c r="O422" s="5"/>
      <c r="P422" s="5"/>
      <c r="Q422" s="5"/>
      <c r="R422" s="5"/>
      <c r="S422" s="5"/>
      <c r="T422" s="5"/>
      <c r="U422" s="5"/>
      <c r="V422" s="5"/>
      <c r="W422" s="5"/>
      <c r="X422" s="5"/>
      <c r="Y422" s="5"/>
      <c r="Z422" s="5"/>
      <c r="AA422" s="5"/>
    </row>
    <row r="423">
      <c r="A423" s="5"/>
      <c r="B423" s="5"/>
      <c r="C423" s="5"/>
      <c r="D423" s="5"/>
      <c r="E423" s="64"/>
      <c r="F423" s="5"/>
      <c r="G423" s="5"/>
      <c r="H423" s="5"/>
      <c r="I423" s="5"/>
      <c r="J423" s="5"/>
      <c r="K423" s="64"/>
      <c r="L423" s="64"/>
      <c r="M423" s="96"/>
      <c r="N423" s="5"/>
      <c r="O423" s="5"/>
      <c r="P423" s="5"/>
      <c r="Q423" s="5"/>
      <c r="R423" s="5"/>
      <c r="S423" s="5"/>
      <c r="T423" s="5"/>
      <c r="U423" s="5"/>
      <c r="V423" s="5"/>
      <c r="W423" s="5"/>
      <c r="X423" s="5"/>
      <c r="Y423" s="5"/>
      <c r="Z423" s="5"/>
      <c r="AA423" s="5"/>
    </row>
    <row r="424">
      <c r="A424" s="5"/>
      <c r="B424" s="5"/>
      <c r="C424" s="5"/>
      <c r="D424" s="5"/>
      <c r="E424" s="64"/>
      <c r="F424" s="5"/>
      <c r="G424" s="5"/>
      <c r="H424" s="5"/>
      <c r="I424" s="5"/>
      <c r="J424" s="5"/>
      <c r="K424" s="64"/>
      <c r="L424" s="64"/>
      <c r="M424" s="96"/>
      <c r="N424" s="5"/>
      <c r="O424" s="5"/>
      <c r="P424" s="5"/>
      <c r="Q424" s="5"/>
      <c r="R424" s="5"/>
      <c r="S424" s="5"/>
      <c r="T424" s="5"/>
      <c r="U424" s="5"/>
      <c r="V424" s="5"/>
      <c r="W424" s="5"/>
      <c r="X424" s="5"/>
      <c r="Y424" s="5"/>
      <c r="Z424" s="5"/>
      <c r="AA424" s="5"/>
    </row>
    <row r="425">
      <c r="A425" s="5"/>
      <c r="B425" s="5"/>
      <c r="C425" s="5"/>
      <c r="D425" s="5"/>
      <c r="E425" s="64"/>
      <c r="F425" s="5"/>
      <c r="G425" s="5"/>
      <c r="H425" s="5"/>
      <c r="I425" s="5"/>
      <c r="J425" s="5"/>
      <c r="K425" s="64"/>
      <c r="L425" s="64"/>
      <c r="M425" s="96"/>
      <c r="N425" s="5"/>
      <c r="O425" s="5"/>
      <c r="P425" s="5"/>
      <c r="Q425" s="5"/>
      <c r="R425" s="5"/>
      <c r="S425" s="5"/>
      <c r="T425" s="5"/>
      <c r="U425" s="5"/>
      <c r="V425" s="5"/>
      <c r="W425" s="5"/>
      <c r="X425" s="5"/>
      <c r="Y425" s="5"/>
      <c r="Z425" s="5"/>
      <c r="AA425" s="5"/>
    </row>
    <row r="426">
      <c r="A426" s="5"/>
      <c r="B426" s="5"/>
      <c r="C426" s="5"/>
      <c r="D426" s="5"/>
      <c r="E426" s="64"/>
      <c r="F426" s="5"/>
      <c r="G426" s="5"/>
      <c r="H426" s="5"/>
      <c r="I426" s="5"/>
      <c r="J426" s="5"/>
      <c r="K426" s="64"/>
      <c r="L426" s="64"/>
      <c r="M426" s="96"/>
      <c r="N426" s="5"/>
      <c r="O426" s="5"/>
      <c r="P426" s="5"/>
      <c r="Q426" s="5"/>
      <c r="R426" s="5"/>
      <c r="S426" s="5"/>
      <c r="T426" s="5"/>
      <c r="U426" s="5"/>
      <c r="V426" s="5"/>
      <c r="W426" s="5"/>
      <c r="X426" s="5"/>
      <c r="Y426" s="5"/>
      <c r="Z426" s="5"/>
      <c r="AA426" s="5"/>
    </row>
    <row r="427">
      <c r="A427" s="5"/>
      <c r="B427" s="5"/>
      <c r="C427" s="5"/>
      <c r="D427" s="5"/>
      <c r="E427" s="64"/>
      <c r="F427" s="5"/>
      <c r="G427" s="5"/>
      <c r="H427" s="5"/>
      <c r="I427" s="5"/>
      <c r="J427" s="5"/>
      <c r="K427" s="64"/>
      <c r="L427" s="64"/>
      <c r="M427" s="96"/>
      <c r="N427" s="5"/>
      <c r="O427" s="5"/>
      <c r="P427" s="5"/>
      <c r="Q427" s="5"/>
      <c r="R427" s="5"/>
      <c r="S427" s="5"/>
      <c r="T427" s="5"/>
      <c r="U427" s="5"/>
      <c r="V427" s="5"/>
      <c r="W427" s="5"/>
      <c r="X427" s="5"/>
      <c r="Y427" s="5"/>
      <c r="Z427" s="5"/>
      <c r="AA427" s="5"/>
    </row>
    <row r="428">
      <c r="A428" s="5"/>
      <c r="B428" s="5"/>
      <c r="C428" s="5"/>
      <c r="D428" s="5"/>
      <c r="E428" s="64"/>
      <c r="F428" s="5"/>
      <c r="G428" s="5"/>
      <c r="H428" s="5"/>
      <c r="I428" s="5"/>
      <c r="J428" s="5"/>
      <c r="K428" s="64"/>
      <c r="L428" s="64"/>
      <c r="M428" s="96"/>
      <c r="N428" s="5"/>
      <c r="O428" s="5"/>
      <c r="P428" s="5"/>
      <c r="Q428" s="5"/>
      <c r="R428" s="5"/>
      <c r="S428" s="5"/>
      <c r="T428" s="5"/>
      <c r="U428" s="5"/>
      <c r="V428" s="5"/>
      <c r="W428" s="5"/>
      <c r="X428" s="5"/>
      <c r="Y428" s="5"/>
      <c r="Z428" s="5"/>
      <c r="AA428" s="5"/>
    </row>
    <row r="429">
      <c r="A429" s="5"/>
      <c r="B429" s="5"/>
      <c r="C429" s="5"/>
      <c r="D429" s="5"/>
      <c r="E429" s="64"/>
      <c r="F429" s="5"/>
      <c r="G429" s="5"/>
      <c r="H429" s="5"/>
      <c r="I429" s="5"/>
      <c r="J429" s="5"/>
      <c r="K429" s="64"/>
      <c r="L429" s="64"/>
      <c r="M429" s="96"/>
      <c r="N429" s="5"/>
      <c r="O429" s="5"/>
      <c r="P429" s="5"/>
      <c r="Q429" s="5"/>
      <c r="R429" s="5"/>
      <c r="S429" s="5"/>
      <c r="T429" s="5"/>
      <c r="U429" s="5"/>
      <c r="V429" s="5"/>
      <c r="W429" s="5"/>
      <c r="X429" s="5"/>
      <c r="Y429" s="5"/>
      <c r="Z429" s="5"/>
      <c r="AA429" s="5"/>
    </row>
    <row r="430">
      <c r="A430" s="5"/>
      <c r="B430" s="5"/>
      <c r="C430" s="5"/>
      <c r="D430" s="5"/>
      <c r="E430" s="64"/>
      <c r="F430" s="5"/>
      <c r="G430" s="5"/>
      <c r="H430" s="5"/>
      <c r="I430" s="5"/>
      <c r="J430" s="5"/>
      <c r="K430" s="64"/>
      <c r="L430" s="64"/>
      <c r="M430" s="96"/>
      <c r="N430" s="5"/>
      <c r="O430" s="5"/>
      <c r="P430" s="5"/>
      <c r="Q430" s="5"/>
      <c r="R430" s="5"/>
      <c r="S430" s="5"/>
      <c r="T430" s="5"/>
      <c r="U430" s="5"/>
      <c r="V430" s="5"/>
      <c r="W430" s="5"/>
      <c r="X430" s="5"/>
      <c r="Y430" s="5"/>
      <c r="Z430" s="5"/>
      <c r="AA430" s="5"/>
    </row>
    <row r="431">
      <c r="A431" s="5"/>
      <c r="B431" s="5"/>
      <c r="C431" s="5"/>
      <c r="D431" s="5"/>
      <c r="E431" s="64"/>
      <c r="F431" s="5"/>
      <c r="G431" s="5"/>
      <c r="H431" s="5"/>
      <c r="I431" s="5"/>
      <c r="J431" s="5"/>
      <c r="K431" s="64"/>
      <c r="L431" s="64"/>
      <c r="M431" s="96"/>
      <c r="N431" s="5"/>
      <c r="O431" s="5"/>
      <c r="P431" s="5"/>
      <c r="Q431" s="5"/>
      <c r="R431" s="5"/>
      <c r="S431" s="5"/>
      <c r="T431" s="5"/>
      <c r="U431" s="5"/>
      <c r="V431" s="5"/>
      <c r="W431" s="5"/>
      <c r="X431" s="5"/>
      <c r="Y431" s="5"/>
      <c r="Z431" s="5"/>
      <c r="AA431" s="5"/>
    </row>
    <row r="432">
      <c r="A432" s="5"/>
      <c r="B432" s="5"/>
      <c r="C432" s="5"/>
      <c r="D432" s="5"/>
      <c r="E432" s="64"/>
      <c r="F432" s="5"/>
      <c r="G432" s="5"/>
      <c r="H432" s="5"/>
      <c r="I432" s="5"/>
      <c r="J432" s="5"/>
      <c r="K432" s="64"/>
      <c r="L432" s="64"/>
      <c r="M432" s="96"/>
      <c r="N432" s="5"/>
      <c r="O432" s="5"/>
      <c r="P432" s="5"/>
      <c r="Q432" s="5"/>
      <c r="R432" s="5"/>
      <c r="S432" s="5"/>
      <c r="T432" s="5"/>
      <c r="U432" s="5"/>
      <c r="V432" s="5"/>
      <c r="W432" s="5"/>
      <c r="X432" s="5"/>
      <c r="Y432" s="5"/>
      <c r="Z432" s="5"/>
      <c r="AA432" s="5"/>
    </row>
    <row r="433">
      <c r="A433" s="5"/>
      <c r="B433" s="5"/>
      <c r="C433" s="5"/>
      <c r="D433" s="5"/>
      <c r="E433" s="64"/>
      <c r="F433" s="5"/>
      <c r="G433" s="5"/>
      <c r="H433" s="5"/>
      <c r="I433" s="5"/>
      <c r="J433" s="5"/>
      <c r="K433" s="64"/>
      <c r="L433" s="64"/>
      <c r="M433" s="96"/>
      <c r="N433" s="5"/>
      <c r="O433" s="5"/>
      <c r="P433" s="5"/>
      <c r="Q433" s="5"/>
      <c r="R433" s="5"/>
      <c r="S433" s="5"/>
      <c r="T433" s="5"/>
      <c r="U433" s="5"/>
      <c r="V433" s="5"/>
      <c r="W433" s="5"/>
      <c r="X433" s="5"/>
      <c r="Y433" s="5"/>
      <c r="Z433" s="5"/>
      <c r="AA433" s="5"/>
    </row>
    <row r="434">
      <c r="A434" s="5"/>
      <c r="B434" s="5"/>
      <c r="C434" s="5"/>
      <c r="D434" s="5"/>
      <c r="E434" s="64"/>
      <c r="F434" s="5"/>
      <c r="G434" s="5"/>
      <c r="H434" s="5"/>
      <c r="I434" s="5"/>
      <c r="J434" s="5"/>
      <c r="K434" s="64"/>
      <c r="L434" s="64"/>
      <c r="M434" s="96"/>
      <c r="N434" s="5"/>
      <c r="O434" s="5"/>
      <c r="P434" s="5"/>
      <c r="Q434" s="5"/>
      <c r="R434" s="5"/>
      <c r="S434" s="5"/>
      <c r="T434" s="5"/>
      <c r="U434" s="5"/>
      <c r="V434" s="5"/>
      <c r="W434" s="5"/>
      <c r="X434" s="5"/>
      <c r="Y434" s="5"/>
      <c r="Z434" s="5"/>
      <c r="AA434" s="5"/>
    </row>
    <row r="435">
      <c r="A435" s="5"/>
      <c r="B435" s="5"/>
      <c r="C435" s="5"/>
      <c r="D435" s="5"/>
      <c r="E435" s="64"/>
      <c r="F435" s="5"/>
      <c r="G435" s="5"/>
      <c r="H435" s="5"/>
      <c r="I435" s="5"/>
      <c r="J435" s="5"/>
      <c r="K435" s="64"/>
      <c r="L435" s="64"/>
      <c r="M435" s="96"/>
      <c r="N435" s="5"/>
      <c r="O435" s="5"/>
      <c r="P435" s="5"/>
      <c r="Q435" s="5"/>
      <c r="R435" s="5"/>
      <c r="S435" s="5"/>
      <c r="T435" s="5"/>
      <c r="U435" s="5"/>
      <c r="V435" s="5"/>
      <c r="W435" s="5"/>
      <c r="X435" s="5"/>
      <c r="Y435" s="5"/>
      <c r="Z435" s="5"/>
      <c r="AA435" s="5"/>
    </row>
    <row r="436">
      <c r="A436" s="5"/>
      <c r="B436" s="5"/>
      <c r="C436" s="5"/>
      <c r="D436" s="5"/>
      <c r="E436" s="64"/>
      <c r="F436" s="5"/>
      <c r="G436" s="5"/>
      <c r="H436" s="5"/>
      <c r="I436" s="5"/>
      <c r="J436" s="5"/>
      <c r="K436" s="64"/>
      <c r="L436" s="64"/>
      <c r="M436" s="96"/>
      <c r="N436" s="5"/>
      <c r="O436" s="5"/>
      <c r="P436" s="5"/>
      <c r="Q436" s="5"/>
      <c r="R436" s="5"/>
      <c r="S436" s="5"/>
      <c r="T436" s="5"/>
      <c r="U436" s="5"/>
      <c r="V436" s="5"/>
      <c r="W436" s="5"/>
      <c r="X436" s="5"/>
      <c r="Y436" s="5"/>
      <c r="Z436" s="5"/>
      <c r="AA436" s="5"/>
    </row>
    <row r="437">
      <c r="A437" s="5"/>
      <c r="B437" s="5"/>
      <c r="C437" s="5"/>
      <c r="D437" s="5"/>
      <c r="E437" s="64"/>
      <c r="F437" s="5"/>
      <c r="G437" s="5"/>
      <c r="H437" s="5"/>
      <c r="I437" s="5"/>
      <c r="J437" s="5"/>
      <c r="K437" s="64"/>
      <c r="L437" s="64"/>
      <c r="M437" s="96"/>
      <c r="N437" s="5"/>
      <c r="O437" s="5"/>
      <c r="P437" s="5"/>
      <c r="Q437" s="5"/>
      <c r="R437" s="5"/>
      <c r="S437" s="5"/>
      <c r="T437" s="5"/>
      <c r="U437" s="5"/>
      <c r="V437" s="5"/>
      <c r="W437" s="5"/>
      <c r="X437" s="5"/>
      <c r="Y437" s="5"/>
      <c r="Z437" s="5"/>
      <c r="AA437" s="5"/>
    </row>
    <row r="438">
      <c r="A438" s="5"/>
      <c r="B438" s="5"/>
      <c r="C438" s="5"/>
      <c r="D438" s="5"/>
      <c r="E438" s="64"/>
      <c r="F438" s="5"/>
      <c r="G438" s="5"/>
      <c r="H438" s="5"/>
      <c r="I438" s="5"/>
      <c r="J438" s="5"/>
      <c r="K438" s="64"/>
      <c r="L438" s="64"/>
      <c r="M438" s="96"/>
      <c r="N438" s="5"/>
      <c r="O438" s="5"/>
      <c r="P438" s="5"/>
      <c r="Q438" s="5"/>
      <c r="R438" s="5"/>
      <c r="S438" s="5"/>
      <c r="T438" s="5"/>
      <c r="U438" s="5"/>
      <c r="V438" s="5"/>
      <c r="W438" s="5"/>
      <c r="X438" s="5"/>
      <c r="Y438" s="5"/>
      <c r="Z438" s="5"/>
      <c r="AA438" s="5"/>
    </row>
    <row r="439">
      <c r="A439" s="5"/>
      <c r="B439" s="5"/>
      <c r="C439" s="5"/>
      <c r="D439" s="5"/>
      <c r="E439" s="64"/>
      <c r="F439" s="5"/>
      <c r="G439" s="5"/>
      <c r="H439" s="5"/>
      <c r="I439" s="5"/>
      <c r="J439" s="5"/>
      <c r="K439" s="64"/>
      <c r="L439" s="64"/>
      <c r="M439" s="96"/>
      <c r="N439" s="5"/>
      <c r="O439" s="5"/>
      <c r="P439" s="5"/>
      <c r="Q439" s="5"/>
      <c r="R439" s="5"/>
      <c r="S439" s="5"/>
      <c r="T439" s="5"/>
      <c r="U439" s="5"/>
      <c r="V439" s="5"/>
      <c r="W439" s="5"/>
      <c r="X439" s="5"/>
      <c r="Y439" s="5"/>
      <c r="Z439" s="5"/>
      <c r="AA439" s="5"/>
    </row>
    <row r="440">
      <c r="A440" s="5"/>
      <c r="B440" s="5"/>
      <c r="C440" s="5"/>
      <c r="D440" s="5"/>
      <c r="E440" s="64"/>
      <c r="F440" s="5"/>
      <c r="G440" s="5"/>
      <c r="H440" s="5"/>
      <c r="I440" s="5"/>
      <c r="J440" s="5"/>
      <c r="K440" s="64"/>
      <c r="L440" s="64"/>
      <c r="M440" s="96"/>
      <c r="N440" s="5"/>
      <c r="O440" s="5"/>
      <c r="P440" s="5"/>
      <c r="Q440" s="5"/>
      <c r="R440" s="5"/>
      <c r="S440" s="5"/>
      <c r="T440" s="5"/>
      <c r="U440" s="5"/>
      <c r="V440" s="5"/>
      <c r="W440" s="5"/>
      <c r="X440" s="5"/>
      <c r="Y440" s="5"/>
      <c r="Z440" s="5"/>
      <c r="AA440" s="5"/>
    </row>
    <row r="441">
      <c r="A441" s="5"/>
      <c r="B441" s="5"/>
      <c r="C441" s="5"/>
      <c r="D441" s="5"/>
      <c r="E441" s="64"/>
      <c r="F441" s="5"/>
      <c r="G441" s="5"/>
      <c r="H441" s="5"/>
      <c r="I441" s="5"/>
      <c r="J441" s="5"/>
      <c r="K441" s="64"/>
      <c r="L441" s="64"/>
      <c r="M441" s="96"/>
      <c r="N441" s="5"/>
      <c r="O441" s="5"/>
      <c r="P441" s="5"/>
      <c r="Q441" s="5"/>
      <c r="R441" s="5"/>
      <c r="S441" s="5"/>
      <c r="T441" s="5"/>
      <c r="U441" s="5"/>
      <c r="V441" s="5"/>
      <c r="W441" s="5"/>
      <c r="X441" s="5"/>
      <c r="Y441" s="5"/>
      <c r="Z441" s="5"/>
      <c r="AA441" s="5"/>
    </row>
    <row r="442">
      <c r="A442" s="5"/>
      <c r="B442" s="5"/>
      <c r="C442" s="5"/>
      <c r="D442" s="5"/>
      <c r="E442" s="64"/>
      <c r="F442" s="5"/>
      <c r="G442" s="5"/>
      <c r="H442" s="5"/>
      <c r="I442" s="5"/>
      <c r="J442" s="5"/>
      <c r="K442" s="64"/>
      <c r="L442" s="64"/>
      <c r="M442" s="96"/>
      <c r="N442" s="5"/>
      <c r="O442" s="5"/>
      <c r="P442" s="5"/>
      <c r="Q442" s="5"/>
      <c r="R442" s="5"/>
      <c r="S442" s="5"/>
      <c r="T442" s="5"/>
      <c r="U442" s="5"/>
      <c r="V442" s="5"/>
      <c r="W442" s="5"/>
      <c r="X442" s="5"/>
      <c r="Y442" s="5"/>
      <c r="Z442" s="5"/>
      <c r="AA442" s="5"/>
    </row>
    <row r="443">
      <c r="A443" s="5"/>
      <c r="B443" s="5"/>
      <c r="C443" s="5"/>
      <c r="D443" s="5"/>
      <c r="E443" s="64"/>
      <c r="F443" s="5"/>
      <c r="G443" s="5"/>
      <c r="H443" s="5"/>
      <c r="I443" s="5"/>
      <c r="J443" s="5"/>
      <c r="K443" s="64"/>
      <c r="L443" s="64"/>
      <c r="M443" s="96"/>
      <c r="N443" s="5"/>
      <c r="O443" s="5"/>
      <c r="P443" s="5"/>
      <c r="Q443" s="5"/>
      <c r="R443" s="5"/>
      <c r="S443" s="5"/>
      <c r="T443" s="5"/>
      <c r="U443" s="5"/>
      <c r="V443" s="5"/>
      <c r="W443" s="5"/>
      <c r="X443" s="5"/>
      <c r="Y443" s="5"/>
      <c r="Z443" s="5"/>
      <c r="AA443" s="5"/>
    </row>
    <row r="444">
      <c r="A444" s="5"/>
      <c r="B444" s="5"/>
      <c r="C444" s="5"/>
      <c r="D444" s="5"/>
      <c r="E444" s="64"/>
      <c r="F444" s="5"/>
      <c r="G444" s="5"/>
      <c r="H444" s="5"/>
      <c r="I444" s="5"/>
      <c r="J444" s="5"/>
      <c r="K444" s="64"/>
      <c r="L444" s="64"/>
      <c r="M444" s="96"/>
      <c r="N444" s="5"/>
      <c r="O444" s="5"/>
      <c r="P444" s="5"/>
      <c r="Q444" s="5"/>
      <c r="R444" s="5"/>
      <c r="S444" s="5"/>
      <c r="T444" s="5"/>
      <c r="U444" s="5"/>
      <c r="V444" s="5"/>
      <c r="W444" s="5"/>
      <c r="X444" s="5"/>
      <c r="Y444" s="5"/>
      <c r="Z444" s="5"/>
      <c r="AA444" s="5"/>
    </row>
    <row r="445">
      <c r="A445" s="5"/>
      <c r="B445" s="5"/>
      <c r="C445" s="5"/>
      <c r="D445" s="5"/>
      <c r="E445" s="64"/>
      <c r="F445" s="5"/>
      <c r="G445" s="5"/>
      <c r="H445" s="5"/>
      <c r="I445" s="5"/>
      <c r="J445" s="5"/>
      <c r="K445" s="64"/>
      <c r="L445" s="64"/>
      <c r="M445" s="96"/>
      <c r="N445" s="5"/>
      <c r="O445" s="5"/>
      <c r="P445" s="5"/>
      <c r="Q445" s="5"/>
      <c r="R445" s="5"/>
      <c r="S445" s="5"/>
      <c r="T445" s="5"/>
      <c r="U445" s="5"/>
      <c r="V445" s="5"/>
      <c r="W445" s="5"/>
      <c r="X445" s="5"/>
      <c r="Y445" s="5"/>
      <c r="Z445" s="5"/>
      <c r="AA445" s="5"/>
    </row>
    <row r="446">
      <c r="A446" s="5"/>
      <c r="B446" s="5"/>
      <c r="C446" s="5"/>
      <c r="D446" s="5"/>
      <c r="E446" s="64"/>
      <c r="F446" s="5"/>
      <c r="G446" s="5"/>
      <c r="H446" s="5"/>
      <c r="I446" s="5"/>
      <c r="J446" s="5"/>
      <c r="K446" s="64"/>
      <c r="L446" s="64"/>
      <c r="M446" s="96"/>
      <c r="N446" s="5"/>
      <c r="O446" s="5"/>
      <c r="P446" s="5"/>
      <c r="Q446" s="5"/>
      <c r="R446" s="5"/>
      <c r="S446" s="5"/>
      <c r="T446" s="5"/>
      <c r="U446" s="5"/>
      <c r="V446" s="5"/>
      <c r="W446" s="5"/>
      <c r="X446" s="5"/>
      <c r="Y446" s="5"/>
      <c r="Z446" s="5"/>
      <c r="AA446" s="5"/>
    </row>
    <row r="447">
      <c r="A447" s="5"/>
      <c r="B447" s="5"/>
      <c r="C447" s="5"/>
      <c r="D447" s="5"/>
      <c r="E447" s="64"/>
      <c r="F447" s="5"/>
      <c r="G447" s="5"/>
      <c r="H447" s="5"/>
      <c r="I447" s="5"/>
      <c r="J447" s="5"/>
      <c r="K447" s="64"/>
      <c r="L447" s="64"/>
      <c r="M447" s="96"/>
      <c r="N447" s="5"/>
      <c r="O447" s="5"/>
      <c r="P447" s="5"/>
      <c r="Q447" s="5"/>
      <c r="R447" s="5"/>
      <c r="S447" s="5"/>
      <c r="T447" s="5"/>
      <c r="U447" s="5"/>
      <c r="V447" s="5"/>
      <c r="W447" s="5"/>
      <c r="X447" s="5"/>
      <c r="Y447" s="5"/>
      <c r="Z447" s="5"/>
      <c r="AA447" s="5"/>
    </row>
    <row r="448">
      <c r="A448" s="5"/>
      <c r="B448" s="5"/>
      <c r="C448" s="5"/>
      <c r="D448" s="5"/>
      <c r="E448" s="64"/>
      <c r="F448" s="5"/>
      <c r="G448" s="5"/>
      <c r="H448" s="5"/>
      <c r="I448" s="5"/>
      <c r="J448" s="5"/>
      <c r="K448" s="64"/>
      <c r="L448" s="64"/>
      <c r="M448" s="96"/>
      <c r="N448" s="5"/>
      <c r="O448" s="5"/>
      <c r="P448" s="5"/>
      <c r="Q448" s="5"/>
      <c r="R448" s="5"/>
      <c r="S448" s="5"/>
      <c r="T448" s="5"/>
      <c r="U448" s="5"/>
      <c r="V448" s="5"/>
      <c r="W448" s="5"/>
      <c r="X448" s="5"/>
      <c r="Y448" s="5"/>
      <c r="Z448" s="5"/>
      <c r="AA448" s="5"/>
    </row>
    <row r="449">
      <c r="A449" s="5"/>
      <c r="B449" s="5"/>
      <c r="C449" s="5"/>
      <c r="D449" s="5"/>
      <c r="E449" s="64"/>
      <c r="F449" s="5"/>
      <c r="G449" s="5"/>
      <c r="H449" s="5"/>
      <c r="I449" s="5"/>
      <c r="J449" s="5"/>
      <c r="K449" s="64"/>
      <c r="L449" s="64"/>
      <c r="M449" s="96"/>
      <c r="N449" s="5"/>
      <c r="O449" s="5"/>
      <c r="P449" s="5"/>
      <c r="Q449" s="5"/>
      <c r="R449" s="5"/>
      <c r="S449" s="5"/>
      <c r="T449" s="5"/>
      <c r="U449" s="5"/>
      <c r="V449" s="5"/>
      <c r="W449" s="5"/>
      <c r="X449" s="5"/>
      <c r="Y449" s="5"/>
      <c r="Z449" s="5"/>
      <c r="AA449" s="5"/>
    </row>
    <row r="450">
      <c r="A450" s="5"/>
      <c r="B450" s="5"/>
      <c r="C450" s="5"/>
      <c r="D450" s="5"/>
      <c r="E450" s="64"/>
      <c r="F450" s="5"/>
      <c r="G450" s="5"/>
      <c r="H450" s="5"/>
      <c r="I450" s="5"/>
      <c r="J450" s="5"/>
      <c r="K450" s="64"/>
      <c r="L450" s="64"/>
      <c r="M450" s="96"/>
      <c r="N450" s="5"/>
      <c r="O450" s="5"/>
      <c r="P450" s="5"/>
      <c r="Q450" s="5"/>
      <c r="R450" s="5"/>
      <c r="S450" s="5"/>
      <c r="T450" s="5"/>
      <c r="U450" s="5"/>
      <c r="V450" s="5"/>
      <c r="W450" s="5"/>
      <c r="X450" s="5"/>
      <c r="Y450" s="5"/>
      <c r="Z450" s="5"/>
      <c r="AA450" s="5"/>
    </row>
    <row r="451">
      <c r="A451" s="5"/>
      <c r="B451" s="5"/>
      <c r="C451" s="5"/>
      <c r="D451" s="5"/>
      <c r="E451" s="64"/>
      <c r="F451" s="5"/>
      <c r="G451" s="5"/>
      <c r="H451" s="5"/>
      <c r="I451" s="5"/>
      <c r="J451" s="5"/>
      <c r="K451" s="64"/>
      <c r="L451" s="64"/>
      <c r="M451" s="96"/>
      <c r="N451" s="5"/>
      <c r="O451" s="5"/>
      <c r="P451" s="5"/>
      <c r="Q451" s="5"/>
      <c r="R451" s="5"/>
      <c r="S451" s="5"/>
      <c r="T451" s="5"/>
      <c r="U451" s="5"/>
      <c r="V451" s="5"/>
      <c r="W451" s="5"/>
      <c r="X451" s="5"/>
      <c r="Y451" s="5"/>
      <c r="Z451" s="5"/>
      <c r="AA451" s="5"/>
    </row>
    <row r="452">
      <c r="A452" s="5"/>
      <c r="B452" s="5"/>
      <c r="C452" s="5"/>
      <c r="D452" s="5"/>
      <c r="E452" s="64"/>
      <c r="F452" s="5"/>
      <c r="G452" s="5"/>
      <c r="H452" s="5"/>
      <c r="I452" s="5"/>
      <c r="J452" s="5"/>
      <c r="K452" s="64"/>
      <c r="L452" s="64"/>
      <c r="M452" s="96"/>
      <c r="N452" s="5"/>
      <c r="O452" s="5"/>
      <c r="P452" s="5"/>
      <c r="Q452" s="5"/>
      <c r="R452" s="5"/>
      <c r="S452" s="5"/>
      <c r="T452" s="5"/>
      <c r="U452" s="5"/>
      <c r="V452" s="5"/>
      <c r="W452" s="5"/>
      <c r="X452" s="5"/>
      <c r="Y452" s="5"/>
      <c r="Z452" s="5"/>
      <c r="AA452" s="5"/>
    </row>
    <row r="453">
      <c r="A453" s="5"/>
      <c r="B453" s="5"/>
      <c r="C453" s="5"/>
      <c r="D453" s="5"/>
      <c r="E453" s="64"/>
      <c r="F453" s="5"/>
      <c r="G453" s="5"/>
      <c r="H453" s="5"/>
      <c r="I453" s="5"/>
      <c r="J453" s="5"/>
      <c r="K453" s="64"/>
      <c r="L453" s="64"/>
      <c r="M453" s="96"/>
      <c r="N453" s="5"/>
      <c r="O453" s="5"/>
      <c r="P453" s="5"/>
      <c r="Q453" s="5"/>
      <c r="R453" s="5"/>
      <c r="S453" s="5"/>
      <c r="T453" s="5"/>
      <c r="U453" s="5"/>
      <c r="V453" s="5"/>
      <c r="W453" s="5"/>
      <c r="X453" s="5"/>
      <c r="Y453" s="5"/>
      <c r="Z453" s="5"/>
      <c r="AA453" s="5"/>
    </row>
    <row r="454">
      <c r="A454" s="5"/>
      <c r="B454" s="5"/>
      <c r="C454" s="5"/>
      <c r="D454" s="5"/>
      <c r="E454" s="64"/>
      <c r="F454" s="5"/>
      <c r="G454" s="5"/>
      <c r="H454" s="5"/>
      <c r="I454" s="5"/>
      <c r="J454" s="5"/>
      <c r="K454" s="64"/>
      <c r="L454" s="64"/>
      <c r="M454" s="96"/>
      <c r="N454" s="5"/>
      <c r="O454" s="5"/>
      <c r="P454" s="5"/>
      <c r="Q454" s="5"/>
      <c r="R454" s="5"/>
      <c r="S454" s="5"/>
      <c r="T454" s="5"/>
      <c r="U454" s="5"/>
      <c r="V454" s="5"/>
      <c r="W454" s="5"/>
      <c r="X454" s="5"/>
      <c r="Y454" s="5"/>
      <c r="Z454" s="5"/>
      <c r="AA454" s="5"/>
    </row>
    <row r="455">
      <c r="A455" s="5"/>
      <c r="B455" s="5"/>
      <c r="C455" s="5"/>
      <c r="D455" s="5"/>
      <c r="E455" s="64"/>
      <c r="F455" s="5"/>
      <c r="G455" s="5"/>
      <c r="H455" s="5"/>
      <c r="I455" s="5"/>
      <c r="J455" s="5"/>
      <c r="K455" s="64"/>
      <c r="L455" s="64"/>
      <c r="M455" s="96"/>
      <c r="N455" s="5"/>
      <c r="O455" s="5"/>
      <c r="P455" s="5"/>
      <c r="Q455" s="5"/>
      <c r="R455" s="5"/>
      <c r="S455" s="5"/>
      <c r="T455" s="5"/>
      <c r="U455" s="5"/>
      <c r="V455" s="5"/>
      <c r="W455" s="5"/>
      <c r="X455" s="5"/>
      <c r="Y455" s="5"/>
      <c r="Z455" s="5"/>
      <c r="AA455" s="5"/>
    </row>
    <row r="456">
      <c r="A456" s="5"/>
      <c r="B456" s="5"/>
      <c r="C456" s="5"/>
      <c r="D456" s="5"/>
      <c r="E456" s="64"/>
      <c r="F456" s="5"/>
      <c r="G456" s="5"/>
      <c r="H456" s="5"/>
      <c r="I456" s="5"/>
      <c r="J456" s="5"/>
      <c r="K456" s="64"/>
      <c r="L456" s="64"/>
      <c r="M456" s="96"/>
      <c r="N456" s="5"/>
      <c r="O456" s="5"/>
      <c r="P456" s="5"/>
      <c r="Q456" s="5"/>
      <c r="R456" s="5"/>
      <c r="S456" s="5"/>
      <c r="T456" s="5"/>
      <c r="U456" s="5"/>
      <c r="V456" s="5"/>
      <c r="W456" s="5"/>
      <c r="X456" s="5"/>
      <c r="Y456" s="5"/>
      <c r="Z456" s="5"/>
      <c r="AA456" s="5"/>
    </row>
    <row r="457">
      <c r="A457" s="5"/>
      <c r="B457" s="5"/>
      <c r="C457" s="5"/>
      <c r="D457" s="5"/>
      <c r="E457" s="64"/>
      <c r="F457" s="5"/>
      <c r="G457" s="5"/>
      <c r="H457" s="5"/>
      <c r="I457" s="5"/>
      <c r="J457" s="5"/>
      <c r="K457" s="64"/>
      <c r="L457" s="64"/>
      <c r="M457" s="96"/>
      <c r="N457" s="5"/>
      <c r="O457" s="5"/>
      <c r="P457" s="5"/>
      <c r="Q457" s="5"/>
      <c r="R457" s="5"/>
      <c r="S457" s="5"/>
      <c r="T457" s="5"/>
      <c r="U457" s="5"/>
      <c r="V457" s="5"/>
      <c r="W457" s="5"/>
      <c r="X457" s="5"/>
      <c r="Y457" s="5"/>
      <c r="Z457" s="5"/>
      <c r="AA457" s="5"/>
    </row>
    <row r="458">
      <c r="A458" s="5"/>
      <c r="B458" s="5"/>
      <c r="C458" s="5"/>
      <c r="D458" s="5"/>
      <c r="E458" s="64"/>
      <c r="F458" s="5"/>
      <c r="G458" s="5"/>
      <c r="H458" s="5"/>
      <c r="I458" s="5"/>
      <c r="J458" s="5"/>
      <c r="K458" s="64"/>
      <c r="L458" s="64"/>
      <c r="M458" s="96"/>
      <c r="N458" s="5"/>
      <c r="O458" s="5"/>
      <c r="P458" s="5"/>
      <c r="Q458" s="5"/>
      <c r="R458" s="5"/>
      <c r="S458" s="5"/>
      <c r="T458" s="5"/>
      <c r="U458" s="5"/>
      <c r="V458" s="5"/>
      <c r="W458" s="5"/>
      <c r="X458" s="5"/>
      <c r="Y458" s="5"/>
      <c r="Z458" s="5"/>
      <c r="AA458" s="5"/>
    </row>
    <row r="459">
      <c r="A459" s="5"/>
      <c r="B459" s="5"/>
      <c r="C459" s="5"/>
      <c r="D459" s="5"/>
      <c r="E459" s="64"/>
      <c r="F459" s="5"/>
      <c r="G459" s="5"/>
      <c r="H459" s="5"/>
      <c r="I459" s="5"/>
      <c r="J459" s="5"/>
      <c r="K459" s="64"/>
      <c r="L459" s="64"/>
      <c r="M459" s="96"/>
      <c r="N459" s="5"/>
      <c r="O459" s="5"/>
      <c r="P459" s="5"/>
      <c r="Q459" s="5"/>
      <c r="R459" s="5"/>
      <c r="S459" s="5"/>
      <c r="T459" s="5"/>
      <c r="U459" s="5"/>
      <c r="V459" s="5"/>
      <c r="W459" s="5"/>
      <c r="X459" s="5"/>
      <c r="Y459" s="5"/>
      <c r="Z459" s="5"/>
      <c r="AA459" s="5"/>
    </row>
    <row r="460">
      <c r="A460" s="5"/>
      <c r="B460" s="5"/>
      <c r="C460" s="5"/>
      <c r="D460" s="5"/>
      <c r="E460" s="64"/>
      <c r="F460" s="5"/>
      <c r="G460" s="5"/>
      <c r="H460" s="5"/>
      <c r="I460" s="5"/>
      <c r="J460" s="5"/>
      <c r="K460" s="64"/>
      <c r="L460" s="64"/>
      <c r="M460" s="96"/>
      <c r="N460" s="5"/>
      <c r="O460" s="5"/>
      <c r="P460" s="5"/>
      <c r="Q460" s="5"/>
      <c r="R460" s="5"/>
      <c r="S460" s="5"/>
      <c r="T460" s="5"/>
      <c r="U460" s="5"/>
      <c r="V460" s="5"/>
      <c r="W460" s="5"/>
      <c r="X460" s="5"/>
      <c r="Y460" s="5"/>
      <c r="Z460" s="5"/>
      <c r="AA460" s="5"/>
    </row>
    <row r="461">
      <c r="A461" s="5"/>
      <c r="B461" s="5"/>
      <c r="C461" s="5"/>
      <c r="D461" s="5"/>
      <c r="E461" s="64"/>
      <c r="F461" s="5"/>
      <c r="G461" s="5"/>
      <c r="H461" s="5"/>
      <c r="I461" s="5"/>
      <c r="J461" s="5"/>
      <c r="K461" s="64"/>
      <c r="L461" s="64"/>
      <c r="M461" s="96"/>
      <c r="N461" s="5"/>
      <c r="O461" s="5"/>
      <c r="P461" s="5"/>
      <c r="Q461" s="5"/>
      <c r="R461" s="5"/>
      <c r="S461" s="5"/>
      <c r="T461" s="5"/>
      <c r="U461" s="5"/>
      <c r="V461" s="5"/>
      <c r="W461" s="5"/>
      <c r="X461" s="5"/>
      <c r="Y461" s="5"/>
      <c r="Z461" s="5"/>
      <c r="AA461" s="5"/>
    </row>
    <row r="462">
      <c r="A462" s="5"/>
      <c r="B462" s="5"/>
      <c r="C462" s="5"/>
      <c r="D462" s="5"/>
      <c r="E462" s="64"/>
      <c r="F462" s="5"/>
      <c r="G462" s="5"/>
      <c r="H462" s="5"/>
      <c r="I462" s="5"/>
      <c r="J462" s="5"/>
      <c r="K462" s="64"/>
      <c r="L462" s="64"/>
      <c r="M462" s="96"/>
      <c r="N462" s="5"/>
      <c r="O462" s="5"/>
      <c r="P462" s="5"/>
      <c r="Q462" s="5"/>
      <c r="R462" s="5"/>
      <c r="S462" s="5"/>
      <c r="T462" s="5"/>
      <c r="U462" s="5"/>
      <c r="V462" s="5"/>
      <c r="W462" s="5"/>
      <c r="X462" s="5"/>
      <c r="Y462" s="5"/>
      <c r="Z462" s="5"/>
      <c r="AA462" s="5"/>
    </row>
    <row r="463">
      <c r="A463" s="5"/>
      <c r="B463" s="5"/>
      <c r="C463" s="5"/>
      <c r="D463" s="5"/>
      <c r="E463" s="64"/>
      <c r="F463" s="5"/>
      <c r="G463" s="5"/>
      <c r="H463" s="5"/>
      <c r="I463" s="5"/>
      <c r="J463" s="5"/>
      <c r="K463" s="64"/>
      <c r="L463" s="64"/>
      <c r="M463" s="96"/>
      <c r="N463" s="5"/>
      <c r="O463" s="5"/>
      <c r="P463" s="5"/>
      <c r="Q463" s="5"/>
      <c r="R463" s="5"/>
      <c r="S463" s="5"/>
      <c r="T463" s="5"/>
      <c r="U463" s="5"/>
      <c r="V463" s="5"/>
      <c r="W463" s="5"/>
      <c r="X463" s="5"/>
      <c r="Y463" s="5"/>
      <c r="Z463" s="5"/>
      <c r="AA463" s="5"/>
    </row>
    <row r="464">
      <c r="A464" s="5"/>
      <c r="B464" s="5"/>
      <c r="C464" s="5"/>
      <c r="D464" s="5"/>
      <c r="E464" s="64"/>
      <c r="F464" s="5"/>
      <c r="G464" s="5"/>
      <c r="H464" s="5"/>
      <c r="I464" s="5"/>
      <c r="J464" s="5"/>
      <c r="K464" s="64"/>
      <c r="L464" s="64"/>
      <c r="M464" s="96"/>
      <c r="N464" s="5"/>
      <c r="O464" s="5"/>
      <c r="P464" s="5"/>
      <c r="Q464" s="5"/>
      <c r="R464" s="5"/>
      <c r="S464" s="5"/>
      <c r="T464" s="5"/>
      <c r="U464" s="5"/>
      <c r="V464" s="5"/>
      <c r="W464" s="5"/>
      <c r="X464" s="5"/>
      <c r="Y464" s="5"/>
      <c r="Z464" s="5"/>
      <c r="AA464" s="5"/>
    </row>
    <row r="465">
      <c r="A465" s="5"/>
      <c r="B465" s="5"/>
      <c r="C465" s="5"/>
      <c r="D465" s="5"/>
      <c r="E465" s="64"/>
      <c r="F465" s="5"/>
      <c r="G465" s="5"/>
      <c r="H465" s="5"/>
      <c r="I465" s="5"/>
      <c r="J465" s="5"/>
      <c r="K465" s="64"/>
      <c r="L465" s="64"/>
      <c r="M465" s="96"/>
      <c r="N465" s="5"/>
      <c r="O465" s="5"/>
      <c r="P465" s="5"/>
      <c r="Q465" s="5"/>
      <c r="R465" s="5"/>
      <c r="S465" s="5"/>
      <c r="T465" s="5"/>
      <c r="U465" s="5"/>
      <c r="V465" s="5"/>
      <c r="W465" s="5"/>
      <c r="X465" s="5"/>
      <c r="Y465" s="5"/>
      <c r="Z465" s="5"/>
      <c r="AA465" s="5"/>
    </row>
    <row r="466">
      <c r="A466" s="5"/>
      <c r="B466" s="5"/>
      <c r="C466" s="5"/>
      <c r="D466" s="5"/>
      <c r="E466" s="64"/>
      <c r="F466" s="5"/>
      <c r="G466" s="5"/>
      <c r="H466" s="5"/>
      <c r="I466" s="5"/>
      <c r="J466" s="5"/>
      <c r="K466" s="64"/>
      <c r="L466" s="64"/>
      <c r="M466" s="96"/>
      <c r="N466" s="5"/>
      <c r="O466" s="5"/>
      <c r="P466" s="5"/>
      <c r="Q466" s="5"/>
      <c r="R466" s="5"/>
      <c r="S466" s="5"/>
      <c r="T466" s="5"/>
      <c r="U466" s="5"/>
      <c r="V466" s="5"/>
      <c r="W466" s="5"/>
      <c r="X466" s="5"/>
      <c r="Y466" s="5"/>
      <c r="Z466" s="5"/>
      <c r="AA466" s="5"/>
    </row>
    <row r="467">
      <c r="A467" s="5"/>
      <c r="B467" s="5"/>
      <c r="C467" s="5"/>
      <c r="D467" s="5"/>
      <c r="E467" s="64"/>
      <c r="F467" s="5"/>
      <c r="G467" s="5"/>
      <c r="H467" s="5"/>
      <c r="I467" s="5"/>
      <c r="J467" s="5"/>
      <c r="K467" s="64"/>
      <c r="L467" s="64"/>
      <c r="M467" s="96"/>
      <c r="N467" s="5"/>
      <c r="O467" s="5"/>
      <c r="P467" s="5"/>
      <c r="Q467" s="5"/>
      <c r="R467" s="5"/>
      <c r="S467" s="5"/>
      <c r="T467" s="5"/>
      <c r="U467" s="5"/>
      <c r="V467" s="5"/>
      <c r="W467" s="5"/>
      <c r="X467" s="5"/>
      <c r="Y467" s="5"/>
      <c r="Z467" s="5"/>
      <c r="AA467" s="5"/>
    </row>
    <row r="468">
      <c r="A468" s="5"/>
      <c r="B468" s="5"/>
      <c r="C468" s="5"/>
      <c r="D468" s="5"/>
      <c r="E468" s="64"/>
      <c r="F468" s="5"/>
      <c r="G468" s="5"/>
      <c r="H468" s="5"/>
      <c r="I468" s="5"/>
      <c r="J468" s="5"/>
      <c r="K468" s="64"/>
      <c r="L468" s="64"/>
      <c r="M468" s="96"/>
      <c r="N468" s="5"/>
      <c r="O468" s="5"/>
      <c r="P468" s="5"/>
      <c r="Q468" s="5"/>
      <c r="R468" s="5"/>
      <c r="S468" s="5"/>
      <c r="T468" s="5"/>
      <c r="U468" s="5"/>
      <c r="V468" s="5"/>
      <c r="W468" s="5"/>
      <c r="X468" s="5"/>
      <c r="Y468" s="5"/>
      <c r="Z468" s="5"/>
      <c r="AA468" s="5"/>
    </row>
    <row r="469">
      <c r="A469" s="5"/>
      <c r="B469" s="5"/>
      <c r="C469" s="5"/>
      <c r="D469" s="5"/>
      <c r="E469" s="64"/>
      <c r="F469" s="5"/>
      <c r="G469" s="5"/>
      <c r="H469" s="5"/>
      <c r="I469" s="5"/>
      <c r="J469" s="5"/>
      <c r="K469" s="64"/>
      <c r="L469" s="64"/>
      <c r="M469" s="96"/>
      <c r="N469" s="5"/>
      <c r="O469" s="5"/>
      <c r="P469" s="5"/>
      <c r="Q469" s="5"/>
      <c r="R469" s="5"/>
      <c r="S469" s="5"/>
      <c r="T469" s="5"/>
      <c r="U469" s="5"/>
      <c r="V469" s="5"/>
      <c r="W469" s="5"/>
      <c r="X469" s="5"/>
      <c r="Y469" s="5"/>
      <c r="Z469" s="5"/>
      <c r="AA469" s="5"/>
    </row>
    <row r="470">
      <c r="A470" s="5"/>
      <c r="B470" s="5"/>
      <c r="C470" s="5"/>
      <c r="D470" s="5"/>
      <c r="E470" s="64"/>
      <c r="F470" s="5"/>
      <c r="G470" s="5"/>
      <c r="H470" s="5"/>
      <c r="I470" s="5"/>
      <c r="J470" s="5"/>
      <c r="K470" s="64"/>
      <c r="L470" s="64"/>
      <c r="M470" s="96"/>
      <c r="N470" s="5"/>
      <c r="O470" s="5"/>
      <c r="P470" s="5"/>
      <c r="Q470" s="5"/>
      <c r="R470" s="5"/>
      <c r="S470" s="5"/>
      <c r="T470" s="5"/>
      <c r="U470" s="5"/>
      <c r="V470" s="5"/>
      <c r="W470" s="5"/>
      <c r="X470" s="5"/>
      <c r="Y470" s="5"/>
      <c r="Z470" s="5"/>
      <c r="AA470" s="5"/>
    </row>
    <row r="471">
      <c r="A471" s="5"/>
      <c r="B471" s="5"/>
      <c r="C471" s="5"/>
      <c r="D471" s="5"/>
      <c r="E471" s="64"/>
      <c r="F471" s="5"/>
      <c r="G471" s="5"/>
      <c r="H471" s="5"/>
      <c r="I471" s="5"/>
      <c r="J471" s="5"/>
      <c r="K471" s="64"/>
      <c r="L471" s="64"/>
      <c r="M471" s="96"/>
      <c r="N471" s="5"/>
      <c r="O471" s="5"/>
      <c r="P471" s="5"/>
      <c r="Q471" s="5"/>
      <c r="R471" s="5"/>
      <c r="S471" s="5"/>
      <c r="T471" s="5"/>
      <c r="U471" s="5"/>
      <c r="V471" s="5"/>
      <c r="W471" s="5"/>
      <c r="X471" s="5"/>
      <c r="Y471" s="5"/>
      <c r="Z471" s="5"/>
      <c r="AA471" s="5"/>
    </row>
    <row r="472">
      <c r="A472" s="5"/>
      <c r="B472" s="5"/>
      <c r="C472" s="5"/>
      <c r="D472" s="5"/>
      <c r="E472" s="64"/>
      <c r="F472" s="5"/>
      <c r="G472" s="5"/>
      <c r="H472" s="5"/>
      <c r="I472" s="5"/>
      <c r="J472" s="5"/>
      <c r="K472" s="64"/>
      <c r="L472" s="64"/>
      <c r="M472" s="96"/>
      <c r="N472" s="5"/>
      <c r="O472" s="5"/>
      <c r="P472" s="5"/>
      <c r="Q472" s="5"/>
      <c r="R472" s="5"/>
      <c r="S472" s="5"/>
      <c r="T472" s="5"/>
      <c r="U472" s="5"/>
      <c r="V472" s="5"/>
      <c r="W472" s="5"/>
      <c r="X472" s="5"/>
      <c r="Y472" s="5"/>
      <c r="Z472" s="5"/>
      <c r="AA472" s="5"/>
    </row>
    <row r="473">
      <c r="A473" s="5"/>
      <c r="B473" s="5"/>
      <c r="C473" s="5"/>
      <c r="D473" s="5"/>
      <c r="E473" s="64"/>
      <c r="F473" s="5"/>
      <c r="G473" s="5"/>
      <c r="H473" s="5"/>
      <c r="I473" s="5"/>
      <c r="J473" s="5"/>
      <c r="K473" s="64"/>
      <c r="L473" s="64"/>
      <c r="M473" s="96"/>
      <c r="N473" s="5"/>
      <c r="O473" s="5"/>
      <c r="P473" s="5"/>
      <c r="Q473" s="5"/>
      <c r="R473" s="5"/>
      <c r="S473" s="5"/>
      <c r="T473" s="5"/>
      <c r="U473" s="5"/>
      <c r="V473" s="5"/>
      <c r="W473" s="5"/>
      <c r="X473" s="5"/>
      <c r="Y473" s="5"/>
      <c r="Z473" s="5"/>
      <c r="AA473" s="5"/>
    </row>
    <row r="474">
      <c r="A474" s="5"/>
      <c r="B474" s="5"/>
      <c r="C474" s="5"/>
      <c r="D474" s="5"/>
      <c r="E474" s="64"/>
      <c r="F474" s="5"/>
      <c r="G474" s="5"/>
      <c r="H474" s="5"/>
      <c r="I474" s="5"/>
      <c r="J474" s="5"/>
      <c r="K474" s="64"/>
      <c r="L474" s="64"/>
      <c r="M474" s="96"/>
      <c r="N474" s="5"/>
      <c r="O474" s="5"/>
      <c r="P474" s="5"/>
      <c r="Q474" s="5"/>
      <c r="R474" s="5"/>
      <c r="S474" s="5"/>
      <c r="T474" s="5"/>
      <c r="U474" s="5"/>
      <c r="V474" s="5"/>
      <c r="W474" s="5"/>
      <c r="X474" s="5"/>
      <c r="Y474" s="5"/>
      <c r="Z474" s="5"/>
      <c r="AA474" s="5"/>
    </row>
    <row r="475">
      <c r="A475" s="5"/>
      <c r="B475" s="5"/>
      <c r="C475" s="5"/>
      <c r="D475" s="5"/>
      <c r="E475" s="64"/>
      <c r="F475" s="5"/>
      <c r="G475" s="5"/>
      <c r="H475" s="5"/>
      <c r="I475" s="5"/>
      <c r="J475" s="5"/>
      <c r="K475" s="64"/>
      <c r="L475" s="64"/>
      <c r="M475" s="96"/>
      <c r="N475" s="5"/>
      <c r="O475" s="5"/>
      <c r="P475" s="5"/>
      <c r="Q475" s="5"/>
      <c r="R475" s="5"/>
      <c r="S475" s="5"/>
      <c r="T475" s="5"/>
      <c r="U475" s="5"/>
      <c r="V475" s="5"/>
      <c r="W475" s="5"/>
      <c r="X475" s="5"/>
      <c r="Y475" s="5"/>
      <c r="Z475" s="5"/>
      <c r="AA475" s="5"/>
    </row>
    <row r="476">
      <c r="A476" s="5"/>
      <c r="B476" s="5"/>
      <c r="C476" s="5"/>
      <c r="D476" s="5"/>
      <c r="E476" s="64"/>
      <c r="F476" s="5"/>
      <c r="G476" s="5"/>
      <c r="H476" s="5"/>
      <c r="I476" s="5"/>
      <c r="J476" s="5"/>
      <c r="K476" s="64"/>
      <c r="L476" s="64"/>
      <c r="M476" s="96"/>
      <c r="N476" s="5"/>
      <c r="O476" s="5"/>
      <c r="P476" s="5"/>
      <c r="Q476" s="5"/>
      <c r="R476" s="5"/>
      <c r="S476" s="5"/>
      <c r="T476" s="5"/>
      <c r="U476" s="5"/>
      <c r="V476" s="5"/>
      <c r="W476" s="5"/>
      <c r="X476" s="5"/>
      <c r="Y476" s="5"/>
      <c r="Z476" s="5"/>
      <c r="AA476" s="5"/>
    </row>
    <row r="477">
      <c r="A477" s="5"/>
      <c r="B477" s="5"/>
      <c r="C477" s="5"/>
      <c r="D477" s="5"/>
      <c r="E477" s="64"/>
      <c r="F477" s="5"/>
      <c r="G477" s="5"/>
      <c r="H477" s="5"/>
      <c r="I477" s="5"/>
      <c r="J477" s="5"/>
      <c r="K477" s="64"/>
      <c r="L477" s="64"/>
      <c r="M477" s="96"/>
      <c r="N477" s="5"/>
      <c r="O477" s="5"/>
      <c r="P477" s="5"/>
      <c r="Q477" s="5"/>
      <c r="R477" s="5"/>
      <c r="S477" s="5"/>
      <c r="T477" s="5"/>
      <c r="U477" s="5"/>
      <c r="V477" s="5"/>
      <c r="W477" s="5"/>
      <c r="X477" s="5"/>
      <c r="Y477" s="5"/>
      <c r="Z477" s="5"/>
      <c r="AA477" s="5"/>
    </row>
    <row r="478">
      <c r="A478" s="5"/>
      <c r="B478" s="5"/>
      <c r="C478" s="5"/>
      <c r="D478" s="5"/>
      <c r="E478" s="64"/>
      <c r="F478" s="5"/>
      <c r="G478" s="5"/>
      <c r="H478" s="5"/>
      <c r="I478" s="5"/>
      <c r="J478" s="5"/>
      <c r="K478" s="64"/>
      <c r="L478" s="64"/>
      <c r="M478" s="96"/>
      <c r="N478" s="5"/>
      <c r="O478" s="5"/>
      <c r="P478" s="5"/>
      <c r="Q478" s="5"/>
      <c r="R478" s="5"/>
      <c r="S478" s="5"/>
      <c r="T478" s="5"/>
      <c r="U478" s="5"/>
      <c r="V478" s="5"/>
      <c r="W478" s="5"/>
      <c r="X478" s="5"/>
      <c r="Y478" s="5"/>
      <c r="Z478" s="5"/>
      <c r="AA478" s="5"/>
    </row>
    <row r="479">
      <c r="A479" s="5"/>
      <c r="B479" s="5"/>
      <c r="C479" s="5"/>
      <c r="D479" s="5"/>
      <c r="E479" s="64"/>
      <c r="F479" s="5"/>
      <c r="G479" s="5"/>
      <c r="H479" s="5"/>
      <c r="I479" s="5"/>
      <c r="J479" s="5"/>
      <c r="K479" s="64"/>
      <c r="L479" s="64"/>
      <c r="M479" s="96"/>
      <c r="N479" s="5"/>
      <c r="O479" s="5"/>
      <c r="P479" s="5"/>
      <c r="Q479" s="5"/>
      <c r="R479" s="5"/>
      <c r="S479" s="5"/>
      <c r="T479" s="5"/>
      <c r="U479" s="5"/>
      <c r="V479" s="5"/>
      <c r="W479" s="5"/>
      <c r="X479" s="5"/>
      <c r="Y479" s="5"/>
      <c r="Z479" s="5"/>
      <c r="AA479" s="5"/>
    </row>
    <row r="480">
      <c r="A480" s="5"/>
      <c r="B480" s="5"/>
      <c r="C480" s="5"/>
      <c r="D480" s="5"/>
      <c r="E480" s="64"/>
      <c r="F480" s="5"/>
      <c r="G480" s="5"/>
      <c r="H480" s="5"/>
      <c r="I480" s="5"/>
      <c r="J480" s="5"/>
      <c r="K480" s="64"/>
      <c r="L480" s="64"/>
      <c r="M480" s="96"/>
      <c r="N480" s="5"/>
      <c r="O480" s="5"/>
      <c r="P480" s="5"/>
      <c r="Q480" s="5"/>
      <c r="R480" s="5"/>
      <c r="S480" s="5"/>
      <c r="T480" s="5"/>
      <c r="U480" s="5"/>
      <c r="V480" s="5"/>
      <c r="W480" s="5"/>
      <c r="X480" s="5"/>
      <c r="Y480" s="5"/>
      <c r="Z480" s="5"/>
      <c r="AA480" s="5"/>
    </row>
    <row r="481">
      <c r="A481" s="5"/>
      <c r="B481" s="5"/>
      <c r="C481" s="5"/>
      <c r="D481" s="5"/>
      <c r="E481" s="64"/>
      <c r="F481" s="5"/>
      <c r="G481" s="5"/>
      <c r="H481" s="5"/>
      <c r="I481" s="5"/>
      <c r="J481" s="5"/>
      <c r="K481" s="64"/>
      <c r="L481" s="64"/>
      <c r="M481" s="96"/>
      <c r="N481" s="5"/>
      <c r="O481" s="5"/>
      <c r="P481" s="5"/>
      <c r="Q481" s="5"/>
      <c r="R481" s="5"/>
      <c r="S481" s="5"/>
      <c r="T481" s="5"/>
      <c r="U481" s="5"/>
      <c r="V481" s="5"/>
      <c r="W481" s="5"/>
      <c r="X481" s="5"/>
      <c r="Y481" s="5"/>
      <c r="Z481" s="5"/>
      <c r="AA481" s="5"/>
    </row>
    <row r="482">
      <c r="A482" s="5"/>
      <c r="B482" s="5"/>
      <c r="C482" s="5"/>
      <c r="D482" s="5"/>
      <c r="E482" s="64"/>
      <c r="F482" s="5"/>
      <c r="G482" s="5"/>
      <c r="H482" s="5"/>
      <c r="I482" s="5"/>
      <c r="J482" s="5"/>
      <c r="K482" s="64"/>
      <c r="L482" s="64"/>
      <c r="M482" s="96"/>
      <c r="N482" s="5"/>
      <c r="O482" s="5"/>
      <c r="P482" s="5"/>
      <c r="Q482" s="5"/>
      <c r="R482" s="5"/>
      <c r="S482" s="5"/>
      <c r="T482" s="5"/>
      <c r="U482" s="5"/>
      <c r="V482" s="5"/>
      <c r="W482" s="5"/>
      <c r="X482" s="5"/>
      <c r="Y482" s="5"/>
      <c r="Z482" s="5"/>
      <c r="AA482" s="5"/>
    </row>
    <row r="483">
      <c r="A483" s="5"/>
      <c r="B483" s="5"/>
      <c r="C483" s="5"/>
      <c r="D483" s="5"/>
      <c r="E483" s="64"/>
      <c r="F483" s="5"/>
      <c r="G483" s="5"/>
      <c r="H483" s="5"/>
      <c r="I483" s="5"/>
      <c r="J483" s="5"/>
      <c r="K483" s="64"/>
      <c r="L483" s="64"/>
      <c r="M483" s="96"/>
      <c r="N483" s="5"/>
      <c r="O483" s="5"/>
      <c r="P483" s="5"/>
      <c r="Q483" s="5"/>
      <c r="R483" s="5"/>
      <c r="S483" s="5"/>
      <c r="T483" s="5"/>
      <c r="U483" s="5"/>
      <c r="V483" s="5"/>
      <c r="W483" s="5"/>
      <c r="X483" s="5"/>
      <c r="Y483" s="5"/>
      <c r="Z483" s="5"/>
      <c r="AA483" s="5"/>
    </row>
    <row r="484">
      <c r="A484" s="5"/>
      <c r="B484" s="5"/>
      <c r="C484" s="5"/>
      <c r="D484" s="5"/>
      <c r="E484" s="64"/>
      <c r="F484" s="5"/>
      <c r="G484" s="5"/>
      <c r="H484" s="5"/>
      <c r="I484" s="5"/>
      <c r="J484" s="5"/>
      <c r="K484" s="64"/>
      <c r="L484" s="64"/>
      <c r="M484" s="96"/>
      <c r="N484" s="5"/>
      <c r="O484" s="5"/>
      <c r="P484" s="5"/>
      <c r="Q484" s="5"/>
      <c r="R484" s="5"/>
      <c r="S484" s="5"/>
      <c r="T484" s="5"/>
      <c r="U484" s="5"/>
      <c r="V484" s="5"/>
      <c r="W484" s="5"/>
      <c r="X484" s="5"/>
      <c r="Y484" s="5"/>
      <c r="Z484" s="5"/>
      <c r="AA484" s="5"/>
    </row>
    <row r="485">
      <c r="A485" s="5"/>
      <c r="B485" s="5"/>
      <c r="C485" s="5"/>
      <c r="D485" s="5"/>
      <c r="E485" s="64"/>
      <c r="F485" s="5"/>
      <c r="G485" s="5"/>
      <c r="H485" s="5"/>
      <c r="I485" s="5"/>
      <c r="J485" s="5"/>
      <c r="K485" s="64"/>
      <c r="L485" s="64"/>
      <c r="M485" s="96"/>
      <c r="N485" s="5"/>
      <c r="O485" s="5"/>
      <c r="P485" s="5"/>
      <c r="Q485" s="5"/>
      <c r="R485" s="5"/>
      <c r="S485" s="5"/>
      <c r="T485" s="5"/>
      <c r="U485" s="5"/>
      <c r="V485" s="5"/>
      <c r="W485" s="5"/>
      <c r="X485" s="5"/>
      <c r="Y485" s="5"/>
      <c r="Z485" s="5"/>
      <c r="AA485" s="5"/>
    </row>
    <row r="486">
      <c r="A486" s="5"/>
      <c r="B486" s="5"/>
      <c r="C486" s="5"/>
      <c r="D486" s="5"/>
      <c r="E486" s="64"/>
      <c r="F486" s="5"/>
      <c r="G486" s="5"/>
      <c r="H486" s="5"/>
      <c r="I486" s="5"/>
      <c r="J486" s="5"/>
      <c r="K486" s="64"/>
      <c r="L486" s="64"/>
      <c r="M486" s="96"/>
      <c r="N486" s="5"/>
      <c r="O486" s="5"/>
      <c r="P486" s="5"/>
      <c r="Q486" s="5"/>
      <c r="R486" s="5"/>
      <c r="S486" s="5"/>
      <c r="T486" s="5"/>
      <c r="U486" s="5"/>
      <c r="V486" s="5"/>
      <c r="W486" s="5"/>
      <c r="X486" s="5"/>
      <c r="Y486" s="5"/>
      <c r="Z486" s="5"/>
      <c r="AA486" s="5"/>
    </row>
    <row r="487">
      <c r="A487" s="5"/>
      <c r="B487" s="5"/>
      <c r="C487" s="5"/>
      <c r="D487" s="5"/>
      <c r="E487" s="64"/>
      <c r="F487" s="5"/>
      <c r="G487" s="5"/>
      <c r="H487" s="5"/>
      <c r="I487" s="5"/>
      <c r="J487" s="5"/>
      <c r="K487" s="64"/>
      <c r="L487" s="64"/>
      <c r="M487" s="96"/>
      <c r="N487" s="5"/>
      <c r="O487" s="5"/>
      <c r="P487" s="5"/>
      <c r="Q487" s="5"/>
      <c r="R487" s="5"/>
      <c r="S487" s="5"/>
      <c r="T487" s="5"/>
      <c r="U487" s="5"/>
      <c r="V487" s="5"/>
      <c r="W487" s="5"/>
      <c r="X487" s="5"/>
      <c r="Y487" s="5"/>
      <c r="Z487" s="5"/>
      <c r="AA487" s="5"/>
    </row>
    <row r="488">
      <c r="A488" s="5"/>
      <c r="B488" s="5"/>
      <c r="C488" s="5"/>
      <c r="D488" s="5"/>
      <c r="E488" s="64"/>
      <c r="F488" s="5"/>
      <c r="G488" s="5"/>
      <c r="H488" s="5"/>
      <c r="I488" s="5"/>
      <c r="J488" s="5"/>
      <c r="K488" s="64"/>
      <c r="L488" s="64"/>
      <c r="M488" s="96"/>
      <c r="N488" s="5"/>
      <c r="O488" s="5"/>
      <c r="P488" s="5"/>
      <c r="Q488" s="5"/>
      <c r="R488" s="5"/>
      <c r="S488" s="5"/>
      <c r="T488" s="5"/>
      <c r="U488" s="5"/>
      <c r="V488" s="5"/>
      <c r="W488" s="5"/>
      <c r="X488" s="5"/>
      <c r="Y488" s="5"/>
      <c r="Z488" s="5"/>
      <c r="AA488" s="5"/>
    </row>
    <row r="489">
      <c r="A489" s="5"/>
      <c r="B489" s="5"/>
      <c r="C489" s="5"/>
      <c r="D489" s="5"/>
      <c r="E489" s="64"/>
      <c r="F489" s="5"/>
      <c r="G489" s="5"/>
      <c r="H489" s="5"/>
      <c r="I489" s="5"/>
      <c r="J489" s="5"/>
      <c r="K489" s="64"/>
      <c r="L489" s="64"/>
      <c r="M489" s="96"/>
      <c r="N489" s="5"/>
      <c r="O489" s="5"/>
      <c r="P489" s="5"/>
      <c r="Q489" s="5"/>
      <c r="R489" s="5"/>
      <c r="S489" s="5"/>
      <c r="T489" s="5"/>
      <c r="U489" s="5"/>
      <c r="V489" s="5"/>
      <c r="W489" s="5"/>
      <c r="X489" s="5"/>
      <c r="Y489" s="5"/>
      <c r="Z489" s="5"/>
      <c r="AA489" s="5"/>
    </row>
    <row r="490">
      <c r="A490" s="5"/>
      <c r="B490" s="5"/>
      <c r="C490" s="5"/>
      <c r="D490" s="5"/>
      <c r="E490" s="64"/>
      <c r="F490" s="5"/>
      <c r="G490" s="5"/>
      <c r="H490" s="5"/>
      <c r="I490" s="5"/>
      <c r="J490" s="5"/>
      <c r="K490" s="64"/>
      <c r="L490" s="64"/>
      <c r="M490" s="96"/>
      <c r="N490" s="5"/>
      <c r="O490" s="5"/>
      <c r="P490" s="5"/>
      <c r="Q490" s="5"/>
      <c r="R490" s="5"/>
      <c r="S490" s="5"/>
      <c r="T490" s="5"/>
      <c r="U490" s="5"/>
      <c r="V490" s="5"/>
      <c r="W490" s="5"/>
      <c r="X490" s="5"/>
      <c r="Y490" s="5"/>
      <c r="Z490" s="5"/>
      <c r="AA490" s="5"/>
    </row>
    <row r="491">
      <c r="A491" s="5"/>
      <c r="B491" s="5"/>
      <c r="C491" s="5"/>
      <c r="D491" s="5"/>
      <c r="E491" s="64"/>
      <c r="F491" s="5"/>
      <c r="G491" s="5"/>
      <c r="H491" s="5"/>
      <c r="I491" s="5"/>
      <c r="J491" s="5"/>
      <c r="K491" s="64"/>
      <c r="L491" s="64"/>
      <c r="M491" s="96"/>
      <c r="N491" s="5"/>
      <c r="O491" s="5"/>
      <c r="P491" s="5"/>
      <c r="Q491" s="5"/>
      <c r="R491" s="5"/>
      <c r="S491" s="5"/>
      <c r="T491" s="5"/>
      <c r="U491" s="5"/>
      <c r="V491" s="5"/>
      <c r="W491" s="5"/>
      <c r="X491" s="5"/>
      <c r="Y491" s="5"/>
      <c r="Z491" s="5"/>
      <c r="AA491" s="5"/>
    </row>
    <row r="492">
      <c r="A492" s="5"/>
      <c r="B492" s="5"/>
      <c r="C492" s="5"/>
      <c r="D492" s="5"/>
      <c r="E492" s="64"/>
      <c r="F492" s="5"/>
      <c r="G492" s="5"/>
      <c r="H492" s="5"/>
      <c r="I492" s="5"/>
      <c r="J492" s="5"/>
      <c r="K492" s="64"/>
      <c r="L492" s="64"/>
      <c r="M492" s="96"/>
      <c r="N492" s="5"/>
      <c r="O492" s="5"/>
      <c r="P492" s="5"/>
      <c r="Q492" s="5"/>
      <c r="R492" s="5"/>
      <c r="S492" s="5"/>
      <c r="T492" s="5"/>
      <c r="U492" s="5"/>
      <c r="V492" s="5"/>
      <c r="W492" s="5"/>
      <c r="X492" s="5"/>
      <c r="Y492" s="5"/>
      <c r="Z492" s="5"/>
      <c r="AA492" s="5"/>
    </row>
    <row r="493">
      <c r="A493" s="5"/>
      <c r="B493" s="5"/>
      <c r="C493" s="5"/>
      <c r="D493" s="5"/>
      <c r="E493" s="64"/>
      <c r="F493" s="5"/>
      <c r="G493" s="5"/>
      <c r="H493" s="5"/>
      <c r="I493" s="5"/>
      <c r="J493" s="5"/>
      <c r="K493" s="64"/>
      <c r="L493" s="64"/>
      <c r="M493" s="96"/>
      <c r="N493" s="5"/>
      <c r="O493" s="5"/>
      <c r="P493" s="5"/>
      <c r="Q493" s="5"/>
      <c r="R493" s="5"/>
      <c r="S493" s="5"/>
      <c r="T493" s="5"/>
      <c r="U493" s="5"/>
      <c r="V493" s="5"/>
      <c r="W493" s="5"/>
      <c r="X493" s="5"/>
      <c r="Y493" s="5"/>
      <c r="Z493" s="5"/>
      <c r="AA493" s="5"/>
    </row>
    <row r="494">
      <c r="A494" s="5"/>
      <c r="B494" s="5"/>
      <c r="C494" s="5"/>
      <c r="D494" s="5"/>
      <c r="E494" s="64"/>
      <c r="F494" s="5"/>
      <c r="G494" s="5"/>
      <c r="H494" s="5"/>
      <c r="I494" s="5"/>
      <c r="J494" s="5"/>
      <c r="K494" s="64"/>
      <c r="L494" s="64"/>
      <c r="M494" s="96"/>
      <c r="N494" s="5"/>
      <c r="O494" s="5"/>
      <c r="P494" s="5"/>
      <c r="Q494" s="5"/>
      <c r="R494" s="5"/>
      <c r="S494" s="5"/>
      <c r="T494" s="5"/>
      <c r="U494" s="5"/>
      <c r="V494" s="5"/>
      <c r="W494" s="5"/>
      <c r="X494" s="5"/>
      <c r="Y494" s="5"/>
      <c r="Z494" s="5"/>
      <c r="AA494" s="5"/>
    </row>
    <row r="495">
      <c r="A495" s="5"/>
      <c r="B495" s="5"/>
      <c r="C495" s="5"/>
      <c r="D495" s="5"/>
      <c r="E495" s="64"/>
      <c r="F495" s="5"/>
      <c r="G495" s="5"/>
      <c r="H495" s="5"/>
      <c r="I495" s="5"/>
      <c r="J495" s="5"/>
      <c r="K495" s="64"/>
      <c r="L495" s="64"/>
      <c r="M495" s="96"/>
      <c r="N495" s="5"/>
      <c r="O495" s="5"/>
      <c r="P495" s="5"/>
      <c r="Q495" s="5"/>
      <c r="R495" s="5"/>
      <c r="S495" s="5"/>
      <c r="T495" s="5"/>
      <c r="U495" s="5"/>
      <c r="V495" s="5"/>
      <c r="W495" s="5"/>
      <c r="X495" s="5"/>
      <c r="Y495" s="5"/>
      <c r="Z495" s="5"/>
      <c r="AA495" s="5"/>
    </row>
    <row r="496">
      <c r="A496" s="5"/>
      <c r="B496" s="5"/>
      <c r="C496" s="5"/>
      <c r="D496" s="5"/>
      <c r="E496" s="64"/>
      <c r="F496" s="5"/>
      <c r="G496" s="5"/>
      <c r="H496" s="5"/>
      <c r="I496" s="5"/>
      <c r="J496" s="5"/>
      <c r="K496" s="64"/>
      <c r="L496" s="64"/>
      <c r="M496" s="96"/>
      <c r="N496" s="5"/>
      <c r="O496" s="5"/>
      <c r="P496" s="5"/>
      <c r="Q496" s="5"/>
      <c r="R496" s="5"/>
      <c r="S496" s="5"/>
      <c r="T496" s="5"/>
      <c r="U496" s="5"/>
      <c r="V496" s="5"/>
      <c r="W496" s="5"/>
      <c r="X496" s="5"/>
      <c r="Y496" s="5"/>
      <c r="Z496" s="5"/>
      <c r="AA496" s="5"/>
    </row>
    <row r="497">
      <c r="A497" s="5"/>
      <c r="B497" s="5"/>
      <c r="C497" s="5"/>
      <c r="D497" s="5"/>
      <c r="E497" s="64"/>
      <c r="F497" s="5"/>
      <c r="G497" s="5"/>
      <c r="H497" s="5"/>
      <c r="I497" s="5"/>
      <c r="J497" s="5"/>
      <c r="K497" s="64"/>
      <c r="L497" s="64"/>
      <c r="M497" s="96"/>
      <c r="N497" s="5"/>
      <c r="O497" s="5"/>
      <c r="P497" s="5"/>
      <c r="Q497" s="5"/>
      <c r="R497" s="5"/>
      <c r="S497" s="5"/>
      <c r="T497" s="5"/>
      <c r="U497" s="5"/>
      <c r="V497" s="5"/>
      <c r="W497" s="5"/>
      <c r="X497" s="5"/>
      <c r="Y497" s="5"/>
      <c r="Z497" s="5"/>
      <c r="AA497" s="5"/>
    </row>
    <row r="498">
      <c r="A498" s="5"/>
      <c r="B498" s="5"/>
      <c r="C498" s="5"/>
      <c r="D498" s="5"/>
      <c r="E498" s="64"/>
      <c r="F498" s="5"/>
      <c r="G498" s="5"/>
      <c r="H498" s="5"/>
      <c r="I498" s="5"/>
      <c r="J498" s="5"/>
      <c r="K498" s="64"/>
      <c r="L498" s="64"/>
      <c r="M498" s="96"/>
      <c r="N498" s="5"/>
      <c r="O498" s="5"/>
      <c r="P498" s="5"/>
      <c r="Q498" s="5"/>
      <c r="R498" s="5"/>
      <c r="S498" s="5"/>
      <c r="T498" s="5"/>
      <c r="U498" s="5"/>
      <c r="V498" s="5"/>
      <c r="W498" s="5"/>
      <c r="X498" s="5"/>
      <c r="Y498" s="5"/>
      <c r="Z498" s="5"/>
      <c r="AA498" s="5"/>
    </row>
    <row r="499">
      <c r="A499" s="5"/>
      <c r="B499" s="5"/>
      <c r="C499" s="5"/>
      <c r="D499" s="5"/>
      <c r="E499" s="64"/>
      <c r="F499" s="5"/>
      <c r="G499" s="5"/>
      <c r="H499" s="5"/>
      <c r="I499" s="5"/>
      <c r="J499" s="5"/>
      <c r="K499" s="64"/>
      <c r="L499" s="64"/>
      <c r="M499" s="96"/>
      <c r="N499" s="5"/>
      <c r="O499" s="5"/>
      <c r="P499" s="5"/>
      <c r="Q499" s="5"/>
      <c r="R499" s="5"/>
      <c r="S499" s="5"/>
      <c r="T499" s="5"/>
      <c r="U499" s="5"/>
      <c r="V499" s="5"/>
      <c r="W499" s="5"/>
      <c r="X499" s="5"/>
      <c r="Y499" s="5"/>
      <c r="Z499" s="5"/>
      <c r="AA499" s="5"/>
    </row>
    <row r="500">
      <c r="A500" s="5"/>
      <c r="B500" s="5"/>
      <c r="C500" s="5"/>
      <c r="D500" s="5"/>
      <c r="E500" s="64"/>
      <c r="F500" s="5"/>
      <c r="G500" s="5"/>
      <c r="H500" s="5"/>
      <c r="I500" s="5"/>
      <c r="J500" s="5"/>
      <c r="K500" s="64"/>
      <c r="L500" s="64"/>
      <c r="M500" s="96"/>
      <c r="N500" s="5"/>
      <c r="O500" s="5"/>
      <c r="P500" s="5"/>
      <c r="Q500" s="5"/>
      <c r="R500" s="5"/>
      <c r="S500" s="5"/>
      <c r="T500" s="5"/>
      <c r="U500" s="5"/>
      <c r="V500" s="5"/>
      <c r="W500" s="5"/>
      <c r="X500" s="5"/>
      <c r="Y500" s="5"/>
      <c r="Z500" s="5"/>
      <c r="AA500" s="5"/>
    </row>
    <row r="501">
      <c r="A501" s="5"/>
      <c r="B501" s="5"/>
      <c r="C501" s="5"/>
      <c r="D501" s="5"/>
      <c r="E501" s="64"/>
      <c r="F501" s="5"/>
      <c r="G501" s="5"/>
      <c r="H501" s="5"/>
      <c r="I501" s="5"/>
      <c r="J501" s="5"/>
      <c r="K501" s="64"/>
      <c r="L501" s="64"/>
      <c r="M501" s="96"/>
      <c r="N501" s="5"/>
      <c r="O501" s="5"/>
      <c r="P501" s="5"/>
      <c r="Q501" s="5"/>
      <c r="R501" s="5"/>
      <c r="S501" s="5"/>
      <c r="T501" s="5"/>
      <c r="U501" s="5"/>
      <c r="V501" s="5"/>
      <c r="W501" s="5"/>
      <c r="X501" s="5"/>
      <c r="Y501" s="5"/>
      <c r="Z501" s="5"/>
      <c r="AA501" s="5"/>
    </row>
    <row r="502">
      <c r="A502" s="5"/>
      <c r="B502" s="5"/>
      <c r="C502" s="5"/>
      <c r="D502" s="5"/>
      <c r="E502" s="64"/>
      <c r="F502" s="5"/>
      <c r="G502" s="5"/>
      <c r="H502" s="5"/>
      <c r="I502" s="5"/>
      <c r="J502" s="5"/>
      <c r="K502" s="64"/>
      <c r="L502" s="64"/>
      <c r="M502" s="96"/>
      <c r="N502" s="5"/>
      <c r="O502" s="5"/>
      <c r="P502" s="5"/>
      <c r="Q502" s="5"/>
      <c r="R502" s="5"/>
      <c r="S502" s="5"/>
      <c r="T502" s="5"/>
      <c r="U502" s="5"/>
      <c r="V502" s="5"/>
      <c r="W502" s="5"/>
      <c r="X502" s="5"/>
      <c r="Y502" s="5"/>
      <c r="Z502" s="5"/>
      <c r="AA502" s="5"/>
    </row>
    <row r="503">
      <c r="A503" s="5"/>
      <c r="B503" s="5"/>
      <c r="C503" s="5"/>
      <c r="D503" s="5"/>
      <c r="E503" s="64"/>
      <c r="F503" s="5"/>
      <c r="G503" s="5"/>
      <c r="H503" s="5"/>
      <c r="I503" s="5"/>
      <c r="J503" s="5"/>
      <c r="K503" s="64"/>
      <c r="L503" s="64"/>
      <c r="M503" s="96"/>
      <c r="N503" s="5"/>
      <c r="O503" s="5"/>
      <c r="P503" s="5"/>
      <c r="Q503" s="5"/>
      <c r="R503" s="5"/>
      <c r="S503" s="5"/>
      <c r="T503" s="5"/>
      <c r="U503" s="5"/>
      <c r="V503" s="5"/>
      <c r="W503" s="5"/>
      <c r="X503" s="5"/>
      <c r="Y503" s="5"/>
      <c r="Z503" s="5"/>
      <c r="AA503" s="5"/>
    </row>
    <row r="504">
      <c r="A504" s="5"/>
      <c r="B504" s="5"/>
      <c r="C504" s="5"/>
      <c r="D504" s="5"/>
      <c r="E504" s="64"/>
      <c r="F504" s="5"/>
      <c r="G504" s="5"/>
      <c r="H504" s="5"/>
      <c r="I504" s="5"/>
      <c r="J504" s="5"/>
      <c r="K504" s="64"/>
      <c r="L504" s="64"/>
      <c r="M504" s="96"/>
      <c r="N504" s="5"/>
      <c r="O504" s="5"/>
      <c r="P504" s="5"/>
      <c r="Q504" s="5"/>
      <c r="R504" s="5"/>
      <c r="S504" s="5"/>
      <c r="T504" s="5"/>
      <c r="U504" s="5"/>
      <c r="V504" s="5"/>
      <c r="W504" s="5"/>
      <c r="X504" s="5"/>
      <c r="Y504" s="5"/>
      <c r="Z504" s="5"/>
      <c r="AA504" s="5"/>
    </row>
    <row r="505">
      <c r="A505" s="5"/>
      <c r="B505" s="5"/>
      <c r="C505" s="5"/>
      <c r="D505" s="5"/>
      <c r="E505" s="64"/>
      <c r="F505" s="5"/>
      <c r="G505" s="5"/>
      <c r="H505" s="5"/>
      <c r="I505" s="5"/>
      <c r="J505" s="5"/>
      <c r="K505" s="64"/>
      <c r="L505" s="64"/>
      <c r="M505" s="96"/>
      <c r="N505" s="5"/>
      <c r="O505" s="5"/>
      <c r="P505" s="5"/>
      <c r="Q505" s="5"/>
      <c r="R505" s="5"/>
      <c r="S505" s="5"/>
      <c r="T505" s="5"/>
      <c r="U505" s="5"/>
      <c r="V505" s="5"/>
      <c r="W505" s="5"/>
      <c r="X505" s="5"/>
      <c r="Y505" s="5"/>
      <c r="Z505" s="5"/>
      <c r="AA505" s="5"/>
    </row>
    <row r="506">
      <c r="A506" s="5"/>
      <c r="B506" s="5"/>
      <c r="C506" s="5"/>
      <c r="D506" s="5"/>
      <c r="E506" s="64"/>
      <c r="F506" s="5"/>
      <c r="G506" s="5"/>
      <c r="H506" s="5"/>
      <c r="I506" s="5"/>
      <c r="J506" s="5"/>
      <c r="K506" s="64"/>
      <c r="L506" s="64"/>
      <c r="M506" s="96"/>
      <c r="N506" s="5"/>
      <c r="O506" s="5"/>
      <c r="P506" s="5"/>
      <c r="Q506" s="5"/>
      <c r="R506" s="5"/>
      <c r="S506" s="5"/>
      <c r="T506" s="5"/>
      <c r="U506" s="5"/>
      <c r="V506" s="5"/>
      <c r="W506" s="5"/>
      <c r="X506" s="5"/>
      <c r="Y506" s="5"/>
      <c r="Z506" s="5"/>
      <c r="AA506" s="5"/>
    </row>
    <row r="507">
      <c r="A507" s="5"/>
      <c r="B507" s="5"/>
      <c r="C507" s="5"/>
      <c r="D507" s="5"/>
      <c r="E507" s="64"/>
      <c r="F507" s="5"/>
      <c r="G507" s="5"/>
      <c r="H507" s="5"/>
      <c r="I507" s="5"/>
      <c r="J507" s="5"/>
      <c r="K507" s="64"/>
      <c r="L507" s="64"/>
      <c r="M507" s="96"/>
      <c r="N507" s="5"/>
      <c r="O507" s="5"/>
      <c r="P507" s="5"/>
      <c r="Q507" s="5"/>
      <c r="R507" s="5"/>
      <c r="S507" s="5"/>
      <c r="T507" s="5"/>
      <c r="U507" s="5"/>
      <c r="V507" s="5"/>
      <c r="W507" s="5"/>
      <c r="X507" s="5"/>
      <c r="Y507" s="5"/>
      <c r="Z507" s="5"/>
      <c r="AA507" s="5"/>
    </row>
    <row r="508">
      <c r="A508" s="5"/>
      <c r="B508" s="5"/>
      <c r="C508" s="5"/>
      <c r="D508" s="5"/>
      <c r="E508" s="64"/>
      <c r="F508" s="5"/>
      <c r="G508" s="5"/>
      <c r="H508" s="5"/>
      <c r="I508" s="5"/>
      <c r="J508" s="5"/>
      <c r="K508" s="64"/>
      <c r="L508" s="64"/>
      <c r="M508" s="96"/>
      <c r="N508" s="5"/>
      <c r="O508" s="5"/>
      <c r="P508" s="5"/>
      <c r="Q508" s="5"/>
      <c r="R508" s="5"/>
      <c r="S508" s="5"/>
      <c r="T508" s="5"/>
      <c r="U508" s="5"/>
      <c r="V508" s="5"/>
      <c r="W508" s="5"/>
      <c r="X508" s="5"/>
      <c r="Y508" s="5"/>
      <c r="Z508" s="5"/>
      <c r="AA508" s="5"/>
    </row>
    <row r="509">
      <c r="A509" s="5"/>
      <c r="B509" s="5"/>
      <c r="C509" s="5"/>
      <c r="D509" s="5"/>
      <c r="E509" s="64"/>
      <c r="F509" s="5"/>
      <c r="G509" s="5"/>
      <c r="H509" s="5"/>
      <c r="I509" s="5"/>
      <c r="J509" s="5"/>
      <c r="K509" s="64"/>
      <c r="L509" s="64"/>
      <c r="M509" s="96"/>
      <c r="N509" s="5"/>
      <c r="O509" s="5"/>
      <c r="P509" s="5"/>
      <c r="Q509" s="5"/>
      <c r="R509" s="5"/>
      <c r="S509" s="5"/>
      <c r="T509" s="5"/>
      <c r="U509" s="5"/>
      <c r="V509" s="5"/>
      <c r="W509" s="5"/>
      <c r="X509" s="5"/>
      <c r="Y509" s="5"/>
      <c r="Z509" s="5"/>
      <c r="AA509" s="5"/>
    </row>
    <row r="510">
      <c r="A510" s="5"/>
      <c r="B510" s="5"/>
      <c r="C510" s="5"/>
      <c r="D510" s="5"/>
      <c r="E510" s="64"/>
      <c r="F510" s="5"/>
      <c r="G510" s="5"/>
      <c r="H510" s="5"/>
      <c r="I510" s="5"/>
      <c r="J510" s="5"/>
      <c r="K510" s="64"/>
      <c r="L510" s="64"/>
      <c r="M510" s="96"/>
      <c r="N510" s="5"/>
      <c r="O510" s="5"/>
      <c r="P510" s="5"/>
      <c r="Q510" s="5"/>
      <c r="R510" s="5"/>
      <c r="S510" s="5"/>
      <c r="T510" s="5"/>
      <c r="U510" s="5"/>
      <c r="V510" s="5"/>
      <c r="W510" s="5"/>
      <c r="X510" s="5"/>
      <c r="Y510" s="5"/>
      <c r="Z510" s="5"/>
      <c r="AA510" s="5"/>
    </row>
    <row r="511">
      <c r="A511" s="5"/>
      <c r="B511" s="5"/>
      <c r="C511" s="5"/>
      <c r="D511" s="5"/>
      <c r="E511" s="64"/>
      <c r="F511" s="5"/>
      <c r="G511" s="5"/>
      <c r="H511" s="5"/>
      <c r="I511" s="5"/>
      <c r="J511" s="5"/>
      <c r="K511" s="64"/>
      <c r="L511" s="64"/>
      <c r="M511" s="96"/>
      <c r="N511" s="5"/>
      <c r="O511" s="5"/>
      <c r="P511" s="5"/>
      <c r="Q511" s="5"/>
      <c r="R511" s="5"/>
      <c r="S511" s="5"/>
      <c r="T511" s="5"/>
      <c r="U511" s="5"/>
      <c r="V511" s="5"/>
      <c r="W511" s="5"/>
      <c r="X511" s="5"/>
      <c r="Y511" s="5"/>
      <c r="Z511" s="5"/>
      <c r="AA511" s="5"/>
    </row>
    <row r="512">
      <c r="A512" s="5"/>
      <c r="B512" s="5"/>
      <c r="C512" s="5"/>
      <c r="D512" s="5"/>
      <c r="E512" s="64"/>
      <c r="F512" s="5"/>
      <c r="G512" s="5"/>
      <c r="H512" s="5"/>
      <c r="I512" s="5"/>
      <c r="J512" s="5"/>
      <c r="K512" s="64"/>
      <c r="L512" s="64"/>
      <c r="M512" s="96"/>
      <c r="N512" s="5"/>
      <c r="O512" s="5"/>
      <c r="P512" s="5"/>
      <c r="Q512" s="5"/>
      <c r="R512" s="5"/>
      <c r="S512" s="5"/>
      <c r="T512" s="5"/>
      <c r="U512" s="5"/>
      <c r="V512" s="5"/>
      <c r="W512" s="5"/>
      <c r="X512" s="5"/>
      <c r="Y512" s="5"/>
      <c r="Z512" s="5"/>
      <c r="AA512" s="5"/>
    </row>
    <row r="513">
      <c r="A513" s="5"/>
      <c r="B513" s="5"/>
      <c r="C513" s="5"/>
      <c r="D513" s="5"/>
      <c r="E513" s="64"/>
      <c r="F513" s="5"/>
      <c r="G513" s="5"/>
      <c r="H513" s="5"/>
      <c r="I513" s="5"/>
      <c r="J513" s="5"/>
      <c r="K513" s="64"/>
      <c r="L513" s="64"/>
      <c r="M513" s="96"/>
      <c r="N513" s="5"/>
      <c r="O513" s="5"/>
      <c r="P513" s="5"/>
      <c r="Q513" s="5"/>
      <c r="R513" s="5"/>
      <c r="S513" s="5"/>
      <c r="T513" s="5"/>
      <c r="U513" s="5"/>
      <c r="V513" s="5"/>
      <c r="W513" s="5"/>
      <c r="X513" s="5"/>
      <c r="Y513" s="5"/>
      <c r="Z513" s="5"/>
      <c r="AA513" s="5"/>
    </row>
    <row r="514">
      <c r="A514" s="5"/>
      <c r="B514" s="5"/>
      <c r="C514" s="5"/>
      <c r="D514" s="5"/>
      <c r="E514" s="64"/>
      <c r="F514" s="5"/>
      <c r="G514" s="5"/>
      <c r="H514" s="5"/>
      <c r="I514" s="5"/>
      <c r="J514" s="5"/>
      <c r="K514" s="64"/>
      <c r="L514" s="64"/>
      <c r="M514" s="96"/>
      <c r="N514" s="5"/>
      <c r="O514" s="5"/>
      <c r="P514" s="5"/>
      <c r="Q514" s="5"/>
      <c r="R514" s="5"/>
      <c r="S514" s="5"/>
      <c r="T514" s="5"/>
      <c r="U514" s="5"/>
      <c r="V514" s="5"/>
      <c r="W514" s="5"/>
      <c r="X514" s="5"/>
      <c r="Y514" s="5"/>
      <c r="Z514" s="5"/>
      <c r="AA514" s="5"/>
    </row>
    <row r="515">
      <c r="A515" s="5"/>
      <c r="B515" s="5"/>
      <c r="C515" s="5"/>
      <c r="D515" s="5"/>
      <c r="E515" s="64"/>
      <c r="F515" s="5"/>
      <c r="G515" s="5"/>
      <c r="H515" s="5"/>
      <c r="I515" s="5"/>
      <c r="J515" s="5"/>
      <c r="K515" s="64"/>
      <c r="L515" s="64"/>
      <c r="M515" s="96"/>
      <c r="N515" s="5"/>
      <c r="O515" s="5"/>
      <c r="P515" s="5"/>
      <c r="Q515" s="5"/>
      <c r="R515" s="5"/>
      <c r="S515" s="5"/>
      <c r="T515" s="5"/>
      <c r="U515" s="5"/>
      <c r="V515" s="5"/>
      <c r="W515" s="5"/>
      <c r="X515" s="5"/>
      <c r="Y515" s="5"/>
      <c r="Z515" s="5"/>
      <c r="AA515" s="5"/>
    </row>
    <row r="516">
      <c r="A516" s="5"/>
      <c r="B516" s="5"/>
      <c r="C516" s="5"/>
      <c r="D516" s="5"/>
      <c r="E516" s="64"/>
      <c r="F516" s="5"/>
      <c r="G516" s="5"/>
      <c r="H516" s="5"/>
      <c r="I516" s="5"/>
      <c r="J516" s="5"/>
      <c r="K516" s="64"/>
      <c r="L516" s="64"/>
      <c r="M516" s="96"/>
      <c r="N516" s="5"/>
      <c r="O516" s="5"/>
      <c r="P516" s="5"/>
      <c r="Q516" s="5"/>
      <c r="R516" s="5"/>
      <c r="S516" s="5"/>
      <c r="T516" s="5"/>
      <c r="U516" s="5"/>
      <c r="V516" s="5"/>
      <c r="W516" s="5"/>
      <c r="X516" s="5"/>
      <c r="Y516" s="5"/>
      <c r="Z516" s="5"/>
      <c r="AA516" s="5"/>
    </row>
    <row r="517">
      <c r="A517" s="5"/>
      <c r="B517" s="5"/>
      <c r="C517" s="5"/>
      <c r="D517" s="5"/>
      <c r="E517" s="64"/>
      <c r="F517" s="5"/>
      <c r="G517" s="5"/>
      <c r="H517" s="5"/>
      <c r="I517" s="5"/>
      <c r="J517" s="5"/>
      <c r="K517" s="64"/>
      <c r="L517" s="64"/>
      <c r="M517" s="96"/>
      <c r="N517" s="5"/>
      <c r="O517" s="5"/>
      <c r="P517" s="5"/>
      <c r="Q517" s="5"/>
      <c r="R517" s="5"/>
      <c r="S517" s="5"/>
      <c r="T517" s="5"/>
      <c r="U517" s="5"/>
      <c r="V517" s="5"/>
      <c r="W517" s="5"/>
      <c r="X517" s="5"/>
      <c r="Y517" s="5"/>
      <c r="Z517" s="5"/>
      <c r="AA517" s="5"/>
    </row>
    <row r="518">
      <c r="A518" s="5"/>
      <c r="B518" s="5"/>
      <c r="C518" s="5"/>
      <c r="D518" s="5"/>
      <c r="E518" s="64"/>
      <c r="F518" s="5"/>
      <c r="G518" s="5"/>
      <c r="H518" s="5"/>
      <c r="I518" s="5"/>
      <c r="J518" s="5"/>
      <c r="K518" s="64"/>
      <c r="L518" s="64"/>
      <c r="M518" s="96"/>
      <c r="N518" s="5"/>
      <c r="O518" s="5"/>
      <c r="P518" s="5"/>
      <c r="Q518" s="5"/>
      <c r="R518" s="5"/>
      <c r="S518" s="5"/>
      <c r="T518" s="5"/>
      <c r="U518" s="5"/>
      <c r="V518" s="5"/>
      <c r="W518" s="5"/>
      <c r="X518" s="5"/>
      <c r="Y518" s="5"/>
      <c r="Z518" s="5"/>
      <c r="AA518" s="5"/>
    </row>
    <row r="519">
      <c r="A519" s="5"/>
      <c r="B519" s="5"/>
      <c r="C519" s="5"/>
      <c r="D519" s="5"/>
      <c r="E519" s="64"/>
      <c r="F519" s="5"/>
      <c r="G519" s="5"/>
      <c r="H519" s="5"/>
      <c r="I519" s="5"/>
      <c r="J519" s="5"/>
      <c r="K519" s="64"/>
      <c r="L519" s="64"/>
      <c r="M519" s="96"/>
      <c r="N519" s="5"/>
      <c r="O519" s="5"/>
      <c r="P519" s="5"/>
      <c r="Q519" s="5"/>
      <c r="R519" s="5"/>
      <c r="S519" s="5"/>
      <c r="T519" s="5"/>
      <c r="U519" s="5"/>
      <c r="V519" s="5"/>
      <c r="W519" s="5"/>
      <c r="X519" s="5"/>
      <c r="Y519" s="5"/>
      <c r="Z519" s="5"/>
      <c r="AA519" s="5"/>
    </row>
    <row r="520">
      <c r="A520" s="5"/>
      <c r="B520" s="5"/>
      <c r="C520" s="5"/>
      <c r="D520" s="5"/>
      <c r="E520" s="64"/>
      <c r="F520" s="5"/>
      <c r="G520" s="5"/>
      <c r="H520" s="5"/>
      <c r="I520" s="5"/>
      <c r="J520" s="5"/>
      <c r="K520" s="64"/>
      <c r="L520" s="64"/>
      <c r="M520" s="96"/>
      <c r="N520" s="5"/>
      <c r="O520" s="5"/>
      <c r="P520" s="5"/>
      <c r="Q520" s="5"/>
      <c r="R520" s="5"/>
      <c r="S520" s="5"/>
      <c r="T520" s="5"/>
      <c r="U520" s="5"/>
      <c r="V520" s="5"/>
      <c r="W520" s="5"/>
      <c r="X520" s="5"/>
      <c r="Y520" s="5"/>
      <c r="Z520" s="5"/>
      <c r="AA520" s="5"/>
    </row>
    <row r="521">
      <c r="A521" s="5"/>
      <c r="B521" s="5"/>
      <c r="C521" s="5"/>
      <c r="D521" s="5"/>
      <c r="E521" s="64"/>
      <c r="F521" s="5"/>
      <c r="G521" s="5"/>
      <c r="H521" s="5"/>
      <c r="I521" s="5"/>
      <c r="J521" s="5"/>
      <c r="K521" s="64"/>
      <c r="L521" s="64"/>
      <c r="M521" s="96"/>
      <c r="N521" s="5"/>
      <c r="O521" s="5"/>
      <c r="P521" s="5"/>
      <c r="Q521" s="5"/>
      <c r="R521" s="5"/>
      <c r="S521" s="5"/>
      <c r="T521" s="5"/>
      <c r="U521" s="5"/>
      <c r="V521" s="5"/>
      <c r="W521" s="5"/>
      <c r="X521" s="5"/>
      <c r="Y521" s="5"/>
      <c r="Z521" s="5"/>
      <c r="AA521" s="5"/>
    </row>
    <row r="522">
      <c r="A522" s="5"/>
      <c r="B522" s="5"/>
      <c r="C522" s="5"/>
      <c r="D522" s="5"/>
      <c r="E522" s="64"/>
      <c r="F522" s="5"/>
      <c r="G522" s="5"/>
      <c r="H522" s="5"/>
      <c r="I522" s="5"/>
      <c r="J522" s="5"/>
      <c r="K522" s="64"/>
      <c r="L522" s="64"/>
      <c r="M522" s="96"/>
      <c r="N522" s="5"/>
      <c r="O522" s="5"/>
      <c r="P522" s="5"/>
      <c r="Q522" s="5"/>
      <c r="R522" s="5"/>
      <c r="S522" s="5"/>
      <c r="T522" s="5"/>
      <c r="U522" s="5"/>
      <c r="V522" s="5"/>
      <c r="W522" s="5"/>
      <c r="X522" s="5"/>
      <c r="Y522" s="5"/>
      <c r="Z522" s="5"/>
      <c r="AA522" s="5"/>
    </row>
    <row r="523">
      <c r="A523" s="5"/>
      <c r="B523" s="5"/>
      <c r="C523" s="5"/>
      <c r="D523" s="5"/>
      <c r="E523" s="64"/>
      <c r="F523" s="5"/>
      <c r="G523" s="5"/>
      <c r="H523" s="5"/>
      <c r="I523" s="5"/>
      <c r="J523" s="5"/>
      <c r="K523" s="64"/>
      <c r="L523" s="64"/>
      <c r="M523" s="96"/>
      <c r="N523" s="5"/>
      <c r="O523" s="5"/>
      <c r="P523" s="5"/>
      <c r="Q523" s="5"/>
      <c r="R523" s="5"/>
      <c r="S523" s="5"/>
      <c r="T523" s="5"/>
      <c r="U523" s="5"/>
      <c r="V523" s="5"/>
      <c r="W523" s="5"/>
      <c r="X523" s="5"/>
      <c r="Y523" s="5"/>
      <c r="Z523" s="5"/>
      <c r="AA523" s="5"/>
    </row>
    <row r="524">
      <c r="A524" s="5"/>
      <c r="B524" s="5"/>
      <c r="C524" s="5"/>
      <c r="D524" s="5"/>
      <c r="E524" s="64"/>
      <c r="F524" s="5"/>
      <c r="G524" s="5"/>
      <c r="H524" s="5"/>
      <c r="I524" s="5"/>
      <c r="J524" s="5"/>
      <c r="K524" s="64"/>
      <c r="L524" s="64"/>
      <c r="M524" s="96"/>
      <c r="N524" s="5"/>
      <c r="O524" s="5"/>
      <c r="P524" s="5"/>
      <c r="Q524" s="5"/>
      <c r="R524" s="5"/>
      <c r="S524" s="5"/>
      <c r="T524" s="5"/>
      <c r="U524" s="5"/>
      <c r="V524" s="5"/>
      <c r="W524" s="5"/>
      <c r="X524" s="5"/>
      <c r="Y524" s="5"/>
      <c r="Z524" s="5"/>
      <c r="AA524" s="5"/>
    </row>
    <row r="525">
      <c r="A525" s="5"/>
      <c r="B525" s="5"/>
      <c r="C525" s="5"/>
      <c r="D525" s="5"/>
      <c r="E525" s="64"/>
      <c r="F525" s="5"/>
      <c r="G525" s="5"/>
      <c r="H525" s="5"/>
      <c r="I525" s="5"/>
      <c r="J525" s="5"/>
      <c r="K525" s="64"/>
      <c r="L525" s="64"/>
      <c r="M525" s="96"/>
      <c r="N525" s="5"/>
      <c r="O525" s="5"/>
      <c r="P525" s="5"/>
      <c r="Q525" s="5"/>
      <c r="R525" s="5"/>
      <c r="S525" s="5"/>
      <c r="T525" s="5"/>
      <c r="U525" s="5"/>
      <c r="V525" s="5"/>
      <c r="W525" s="5"/>
      <c r="X525" s="5"/>
      <c r="Y525" s="5"/>
      <c r="Z525" s="5"/>
      <c r="AA525" s="5"/>
    </row>
    <row r="526">
      <c r="A526" s="5"/>
      <c r="B526" s="5"/>
      <c r="C526" s="5"/>
      <c r="D526" s="5"/>
      <c r="E526" s="64"/>
      <c r="F526" s="5"/>
      <c r="G526" s="5"/>
      <c r="H526" s="5"/>
      <c r="I526" s="5"/>
      <c r="J526" s="5"/>
      <c r="K526" s="64"/>
      <c r="L526" s="64"/>
      <c r="M526" s="96"/>
      <c r="N526" s="5"/>
      <c r="O526" s="5"/>
      <c r="P526" s="5"/>
      <c r="Q526" s="5"/>
      <c r="R526" s="5"/>
      <c r="S526" s="5"/>
      <c r="T526" s="5"/>
      <c r="U526" s="5"/>
      <c r="V526" s="5"/>
      <c r="W526" s="5"/>
      <c r="X526" s="5"/>
      <c r="Y526" s="5"/>
      <c r="Z526" s="5"/>
      <c r="AA526" s="5"/>
    </row>
    <row r="527">
      <c r="A527" s="5"/>
      <c r="B527" s="5"/>
      <c r="C527" s="5"/>
      <c r="D527" s="5"/>
      <c r="E527" s="64"/>
      <c r="F527" s="5"/>
      <c r="G527" s="5"/>
      <c r="H527" s="5"/>
      <c r="I527" s="5"/>
      <c r="J527" s="5"/>
      <c r="K527" s="64"/>
      <c r="L527" s="64"/>
      <c r="M527" s="96"/>
      <c r="N527" s="5"/>
      <c r="O527" s="5"/>
      <c r="P527" s="5"/>
      <c r="Q527" s="5"/>
      <c r="R527" s="5"/>
      <c r="S527" s="5"/>
      <c r="T527" s="5"/>
      <c r="U527" s="5"/>
      <c r="V527" s="5"/>
      <c r="W527" s="5"/>
      <c r="X527" s="5"/>
      <c r="Y527" s="5"/>
      <c r="Z527" s="5"/>
      <c r="AA527" s="5"/>
    </row>
    <row r="528">
      <c r="A528" s="5"/>
      <c r="B528" s="5"/>
      <c r="C528" s="5"/>
      <c r="D528" s="5"/>
      <c r="E528" s="64"/>
      <c r="F528" s="5"/>
      <c r="G528" s="5"/>
      <c r="H528" s="5"/>
      <c r="I528" s="5"/>
      <c r="J528" s="5"/>
      <c r="K528" s="64"/>
      <c r="L528" s="64"/>
      <c r="M528" s="96"/>
      <c r="N528" s="5"/>
      <c r="O528" s="5"/>
      <c r="P528" s="5"/>
      <c r="Q528" s="5"/>
      <c r="R528" s="5"/>
      <c r="S528" s="5"/>
      <c r="T528" s="5"/>
      <c r="U528" s="5"/>
      <c r="V528" s="5"/>
      <c r="W528" s="5"/>
      <c r="X528" s="5"/>
      <c r="Y528" s="5"/>
      <c r="Z528" s="5"/>
      <c r="AA528" s="5"/>
    </row>
    <row r="529">
      <c r="A529" s="5"/>
      <c r="B529" s="5"/>
      <c r="C529" s="5"/>
      <c r="D529" s="5"/>
      <c r="E529" s="64"/>
      <c r="F529" s="5"/>
      <c r="G529" s="5"/>
      <c r="H529" s="5"/>
      <c r="I529" s="5"/>
      <c r="J529" s="5"/>
      <c r="K529" s="64"/>
      <c r="L529" s="64"/>
      <c r="M529" s="96"/>
      <c r="N529" s="5"/>
      <c r="O529" s="5"/>
      <c r="P529" s="5"/>
      <c r="Q529" s="5"/>
      <c r="R529" s="5"/>
      <c r="S529" s="5"/>
      <c r="T529" s="5"/>
      <c r="U529" s="5"/>
      <c r="V529" s="5"/>
      <c r="W529" s="5"/>
      <c r="X529" s="5"/>
      <c r="Y529" s="5"/>
      <c r="Z529" s="5"/>
      <c r="AA529" s="5"/>
    </row>
    <row r="530">
      <c r="A530" s="5"/>
      <c r="B530" s="5"/>
      <c r="C530" s="5"/>
      <c r="D530" s="5"/>
      <c r="E530" s="64"/>
      <c r="F530" s="5"/>
      <c r="G530" s="5"/>
      <c r="H530" s="5"/>
      <c r="I530" s="5"/>
      <c r="J530" s="5"/>
      <c r="K530" s="64"/>
      <c r="L530" s="64"/>
      <c r="M530" s="96"/>
      <c r="N530" s="5"/>
      <c r="O530" s="5"/>
      <c r="P530" s="5"/>
      <c r="Q530" s="5"/>
      <c r="R530" s="5"/>
      <c r="S530" s="5"/>
      <c r="T530" s="5"/>
      <c r="U530" s="5"/>
      <c r="V530" s="5"/>
      <c r="W530" s="5"/>
      <c r="X530" s="5"/>
      <c r="Y530" s="5"/>
      <c r="Z530" s="5"/>
      <c r="AA530" s="5"/>
    </row>
    <row r="531">
      <c r="A531" s="5"/>
      <c r="B531" s="5"/>
      <c r="C531" s="5"/>
      <c r="D531" s="5"/>
      <c r="E531" s="64"/>
      <c r="F531" s="5"/>
      <c r="G531" s="5"/>
      <c r="H531" s="5"/>
      <c r="I531" s="5"/>
      <c r="J531" s="5"/>
      <c r="K531" s="64"/>
      <c r="L531" s="64"/>
      <c r="M531" s="96"/>
      <c r="N531" s="5"/>
      <c r="O531" s="5"/>
      <c r="P531" s="5"/>
      <c r="Q531" s="5"/>
      <c r="R531" s="5"/>
      <c r="S531" s="5"/>
      <c r="T531" s="5"/>
      <c r="U531" s="5"/>
      <c r="V531" s="5"/>
      <c r="W531" s="5"/>
      <c r="X531" s="5"/>
      <c r="Y531" s="5"/>
      <c r="Z531" s="5"/>
      <c r="AA531" s="5"/>
    </row>
    <row r="532">
      <c r="A532" s="5"/>
      <c r="B532" s="5"/>
      <c r="C532" s="5"/>
      <c r="D532" s="5"/>
      <c r="E532" s="64"/>
      <c r="F532" s="5"/>
      <c r="G532" s="5"/>
      <c r="H532" s="5"/>
      <c r="I532" s="5"/>
      <c r="J532" s="5"/>
      <c r="K532" s="64"/>
      <c r="L532" s="64"/>
      <c r="M532" s="96"/>
      <c r="N532" s="5"/>
      <c r="O532" s="5"/>
      <c r="P532" s="5"/>
      <c r="Q532" s="5"/>
      <c r="R532" s="5"/>
      <c r="S532" s="5"/>
      <c r="T532" s="5"/>
      <c r="U532" s="5"/>
      <c r="V532" s="5"/>
      <c r="W532" s="5"/>
      <c r="X532" s="5"/>
      <c r="Y532" s="5"/>
      <c r="Z532" s="5"/>
      <c r="AA532" s="5"/>
    </row>
    <row r="533">
      <c r="A533" s="5"/>
      <c r="B533" s="5"/>
      <c r="C533" s="5"/>
      <c r="D533" s="5"/>
      <c r="E533" s="64"/>
      <c r="F533" s="5"/>
      <c r="G533" s="5"/>
      <c r="H533" s="5"/>
      <c r="I533" s="5"/>
      <c r="J533" s="5"/>
      <c r="K533" s="64"/>
      <c r="L533" s="64"/>
      <c r="M533" s="96"/>
      <c r="N533" s="5"/>
      <c r="O533" s="5"/>
      <c r="P533" s="5"/>
      <c r="Q533" s="5"/>
      <c r="R533" s="5"/>
      <c r="S533" s="5"/>
      <c r="T533" s="5"/>
      <c r="U533" s="5"/>
      <c r="V533" s="5"/>
      <c r="W533" s="5"/>
      <c r="X533" s="5"/>
      <c r="Y533" s="5"/>
      <c r="Z533" s="5"/>
      <c r="AA533" s="5"/>
    </row>
    <row r="534">
      <c r="A534" s="5"/>
      <c r="B534" s="5"/>
      <c r="C534" s="5"/>
      <c r="D534" s="5"/>
      <c r="E534" s="64"/>
      <c r="F534" s="5"/>
      <c r="G534" s="5"/>
      <c r="H534" s="5"/>
      <c r="I534" s="5"/>
      <c r="J534" s="5"/>
      <c r="K534" s="64"/>
      <c r="L534" s="64"/>
      <c r="M534" s="96"/>
      <c r="N534" s="5"/>
      <c r="O534" s="5"/>
      <c r="P534" s="5"/>
      <c r="Q534" s="5"/>
      <c r="R534" s="5"/>
      <c r="S534" s="5"/>
      <c r="T534" s="5"/>
      <c r="U534" s="5"/>
      <c r="V534" s="5"/>
      <c r="W534" s="5"/>
      <c r="X534" s="5"/>
      <c r="Y534" s="5"/>
      <c r="Z534" s="5"/>
      <c r="AA534" s="5"/>
    </row>
    <row r="535">
      <c r="A535" s="5"/>
      <c r="B535" s="5"/>
      <c r="C535" s="5"/>
      <c r="D535" s="5"/>
      <c r="E535" s="64"/>
      <c r="F535" s="5"/>
      <c r="G535" s="5"/>
      <c r="H535" s="5"/>
      <c r="I535" s="5"/>
      <c r="J535" s="5"/>
      <c r="K535" s="64"/>
      <c r="L535" s="64"/>
      <c r="M535" s="96"/>
      <c r="N535" s="5"/>
      <c r="O535" s="5"/>
      <c r="P535" s="5"/>
      <c r="Q535" s="5"/>
      <c r="R535" s="5"/>
      <c r="S535" s="5"/>
      <c r="T535" s="5"/>
      <c r="U535" s="5"/>
      <c r="V535" s="5"/>
      <c r="W535" s="5"/>
      <c r="X535" s="5"/>
      <c r="Y535" s="5"/>
      <c r="Z535" s="5"/>
      <c r="AA535" s="5"/>
    </row>
    <row r="536">
      <c r="A536" s="5"/>
      <c r="B536" s="5"/>
      <c r="C536" s="5"/>
      <c r="D536" s="5"/>
      <c r="E536" s="64"/>
      <c r="F536" s="5"/>
      <c r="G536" s="5"/>
      <c r="H536" s="5"/>
      <c r="I536" s="5"/>
      <c r="J536" s="5"/>
      <c r="K536" s="64"/>
      <c r="L536" s="64"/>
      <c r="M536" s="96"/>
      <c r="N536" s="5"/>
      <c r="O536" s="5"/>
      <c r="P536" s="5"/>
      <c r="Q536" s="5"/>
      <c r="R536" s="5"/>
      <c r="S536" s="5"/>
      <c r="T536" s="5"/>
      <c r="U536" s="5"/>
      <c r="V536" s="5"/>
      <c r="W536" s="5"/>
      <c r="X536" s="5"/>
      <c r="Y536" s="5"/>
      <c r="Z536" s="5"/>
      <c r="AA536" s="5"/>
    </row>
    <row r="537">
      <c r="A537" s="5"/>
      <c r="B537" s="5"/>
      <c r="C537" s="5"/>
      <c r="D537" s="5"/>
      <c r="E537" s="64"/>
      <c r="F537" s="5"/>
      <c r="G537" s="5"/>
      <c r="H537" s="5"/>
      <c r="I537" s="5"/>
      <c r="J537" s="5"/>
      <c r="K537" s="64"/>
      <c r="L537" s="64"/>
      <c r="M537" s="96"/>
      <c r="N537" s="5"/>
      <c r="O537" s="5"/>
      <c r="P537" s="5"/>
      <c r="Q537" s="5"/>
      <c r="R537" s="5"/>
      <c r="S537" s="5"/>
      <c r="T537" s="5"/>
      <c r="U537" s="5"/>
      <c r="V537" s="5"/>
      <c r="W537" s="5"/>
      <c r="X537" s="5"/>
      <c r="Y537" s="5"/>
      <c r="Z537" s="5"/>
      <c r="AA537" s="5"/>
    </row>
    <row r="538">
      <c r="A538" s="5"/>
      <c r="B538" s="5"/>
      <c r="C538" s="5"/>
      <c r="D538" s="5"/>
      <c r="E538" s="64"/>
      <c r="F538" s="5"/>
      <c r="G538" s="5"/>
      <c r="H538" s="5"/>
      <c r="I538" s="5"/>
      <c r="J538" s="5"/>
      <c r="K538" s="64"/>
      <c r="L538" s="64"/>
      <c r="M538" s="96"/>
      <c r="N538" s="5"/>
      <c r="O538" s="5"/>
      <c r="P538" s="5"/>
      <c r="Q538" s="5"/>
      <c r="R538" s="5"/>
      <c r="S538" s="5"/>
      <c r="T538" s="5"/>
      <c r="U538" s="5"/>
      <c r="V538" s="5"/>
      <c r="W538" s="5"/>
      <c r="X538" s="5"/>
      <c r="Y538" s="5"/>
      <c r="Z538" s="5"/>
      <c r="AA538" s="5"/>
    </row>
    <row r="539">
      <c r="A539" s="5"/>
      <c r="B539" s="5"/>
      <c r="C539" s="5"/>
      <c r="D539" s="5"/>
      <c r="E539" s="64"/>
      <c r="F539" s="5"/>
      <c r="G539" s="5"/>
      <c r="H539" s="5"/>
      <c r="I539" s="5"/>
      <c r="J539" s="5"/>
      <c r="K539" s="64"/>
      <c r="L539" s="64"/>
      <c r="M539" s="96"/>
      <c r="N539" s="5"/>
      <c r="O539" s="5"/>
      <c r="P539" s="5"/>
      <c r="Q539" s="5"/>
      <c r="R539" s="5"/>
      <c r="S539" s="5"/>
      <c r="T539" s="5"/>
      <c r="U539" s="5"/>
      <c r="V539" s="5"/>
      <c r="W539" s="5"/>
      <c r="X539" s="5"/>
      <c r="Y539" s="5"/>
      <c r="Z539" s="5"/>
      <c r="AA539" s="5"/>
    </row>
    <row r="540">
      <c r="A540" s="5"/>
      <c r="B540" s="5"/>
      <c r="C540" s="5"/>
      <c r="D540" s="5"/>
      <c r="E540" s="64"/>
      <c r="F540" s="5"/>
      <c r="G540" s="5"/>
      <c r="H540" s="5"/>
      <c r="I540" s="5"/>
      <c r="J540" s="5"/>
      <c r="K540" s="64"/>
      <c r="L540" s="64"/>
      <c r="M540" s="96"/>
      <c r="N540" s="5"/>
      <c r="O540" s="5"/>
      <c r="P540" s="5"/>
      <c r="Q540" s="5"/>
      <c r="R540" s="5"/>
      <c r="S540" s="5"/>
      <c r="T540" s="5"/>
      <c r="U540" s="5"/>
      <c r="V540" s="5"/>
      <c r="W540" s="5"/>
      <c r="X540" s="5"/>
      <c r="Y540" s="5"/>
      <c r="Z540" s="5"/>
      <c r="AA540" s="5"/>
    </row>
    <row r="541">
      <c r="A541" s="5"/>
      <c r="B541" s="5"/>
      <c r="C541" s="5"/>
      <c r="D541" s="5"/>
      <c r="E541" s="64"/>
      <c r="F541" s="5"/>
      <c r="G541" s="5"/>
      <c r="H541" s="5"/>
      <c r="I541" s="5"/>
      <c r="J541" s="5"/>
      <c r="K541" s="64"/>
      <c r="L541" s="64"/>
      <c r="M541" s="96"/>
      <c r="N541" s="5"/>
      <c r="O541" s="5"/>
      <c r="P541" s="5"/>
      <c r="Q541" s="5"/>
      <c r="R541" s="5"/>
      <c r="S541" s="5"/>
      <c r="T541" s="5"/>
      <c r="U541" s="5"/>
      <c r="V541" s="5"/>
      <c r="W541" s="5"/>
      <c r="X541" s="5"/>
      <c r="Y541" s="5"/>
      <c r="Z541" s="5"/>
      <c r="AA541" s="5"/>
    </row>
    <row r="542">
      <c r="A542" s="5"/>
      <c r="B542" s="5"/>
      <c r="C542" s="5"/>
      <c r="D542" s="5"/>
      <c r="E542" s="64"/>
      <c r="F542" s="5"/>
      <c r="G542" s="5"/>
      <c r="H542" s="5"/>
      <c r="I542" s="5"/>
      <c r="J542" s="5"/>
      <c r="K542" s="64"/>
      <c r="L542" s="64"/>
      <c r="M542" s="96"/>
      <c r="N542" s="5"/>
      <c r="O542" s="5"/>
      <c r="P542" s="5"/>
      <c r="Q542" s="5"/>
      <c r="R542" s="5"/>
      <c r="S542" s="5"/>
      <c r="T542" s="5"/>
      <c r="U542" s="5"/>
      <c r="V542" s="5"/>
      <c r="W542" s="5"/>
      <c r="X542" s="5"/>
      <c r="Y542" s="5"/>
      <c r="Z542" s="5"/>
      <c r="AA542" s="5"/>
    </row>
    <row r="543">
      <c r="A543" s="5"/>
      <c r="B543" s="5"/>
      <c r="C543" s="5"/>
      <c r="D543" s="5"/>
      <c r="E543" s="64"/>
      <c r="F543" s="5"/>
      <c r="G543" s="5"/>
      <c r="H543" s="5"/>
      <c r="I543" s="5"/>
      <c r="J543" s="5"/>
      <c r="K543" s="64"/>
      <c r="L543" s="64"/>
      <c r="M543" s="96"/>
      <c r="N543" s="5"/>
      <c r="O543" s="5"/>
      <c r="P543" s="5"/>
      <c r="Q543" s="5"/>
      <c r="R543" s="5"/>
      <c r="S543" s="5"/>
      <c r="T543" s="5"/>
      <c r="U543" s="5"/>
      <c r="V543" s="5"/>
      <c r="W543" s="5"/>
      <c r="X543" s="5"/>
      <c r="Y543" s="5"/>
      <c r="Z543" s="5"/>
      <c r="AA543" s="5"/>
    </row>
    <row r="544">
      <c r="A544" s="5"/>
      <c r="B544" s="5"/>
      <c r="C544" s="5"/>
      <c r="D544" s="5"/>
      <c r="E544" s="64"/>
      <c r="F544" s="5"/>
      <c r="G544" s="5"/>
      <c r="H544" s="5"/>
      <c r="I544" s="5"/>
      <c r="J544" s="5"/>
      <c r="K544" s="64"/>
      <c r="L544" s="64"/>
      <c r="M544" s="96"/>
      <c r="N544" s="5"/>
      <c r="O544" s="5"/>
      <c r="P544" s="5"/>
      <c r="Q544" s="5"/>
      <c r="R544" s="5"/>
      <c r="S544" s="5"/>
      <c r="T544" s="5"/>
      <c r="U544" s="5"/>
      <c r="V544" s="5"/>
      <c r="W544" s="5"/>
      <c r="X544" s="5"/>
      <c r="Y544" s="5"/>
      <c r="Z544" s="5"/>
      <c r="AA544" s="5"/>
    </row>
    <row r="545">
      <c r="A545" s="5"/>
      <c r="B545" s="5"/>
      <c r="C545" s="5"/>
      <c r="D545" s="5"/>
      <c r="E545" s="64"/>
      <c r="F545" s="5"/>
      <c r="G545" s="5"/>
      <c r="H545" s="5"/>
      <c r="I545" s="5"/>
      <c r="J545" s="5"/>
      <c r="K545" s="64"/>
      <c r="L545" s="64"/>
      <c r="M545" s="96"/>
      <c r="N545" s="5"/>
      <c r="O545" s="5"/>
      <c r="P545" s="5"/>
      <c r="Q545" s="5"/>
      <c r="R545" s="5"/>
      <c r="S545" s="5"/>
      <c r="T545" s="5"/>
      <c r="U545" s="5"/>
      <c r="V545" s="5"/>
      <c r="W545" s="5"/>
      <c r="X545" s="5"/>
      <c r="Y545" s="5"/>
      <c r="Z545" s="5"/>
      <c r="AA545" s="5"/>
    </row>
    <row r="546">
      <c r="A546" s="5"/>
      <c r="B546" s="5"/>
      <c r="C546" s="5"/>
      <c r="D546" s="5"/>
      <c r="E546" s="64"/>
      <c r="F546" s="5"/>
      <c r="G546" s="5"/>
      <c r="H546" s="5"/>
      <c r="I546" s="5"/>
      <c r="J546" s="5"/>
      <c r="K546" s="64"/>
      <c r="L546" s="64"/>
      <c r="M546" s="96"/>
      <c r="N546" s="5"/>
      <c r="O546" s="5"/>
      <c r="P546" s="5"/>
      <c r="Q546" s="5"/>
      <c r="R546" s="5"/>
      <c r="S546" s="5"/>
      <c r="T546" s="5"/>
      <c r="U546" s="5"/>
      <c r="V546" s="5"/>
      <c r="W546" s="5"/>
      <c r="X546" s="5"/>
      <c r="Y546" s="5"/>
      <c r="Z546" s="5"/>
      <c r="AA546" s="5"/>
    </row>
    <row r="547">
      <c r="A547" s="5"/>
      <c r="B547" s="5"/>
      <c r="C547" s="5"/>
      <c r="D547" s="5"/>
      <c r="E547" s="64"/>
      <c r="F547" s="5"/>
      <c r="G547" s="5"/>
      <c r="H547" s="5"/>
      <c r="I547" s="5"/>
      <c r="J547" s="5"/>
      <c r="K547" s="64"/>
      <c r="L547" s="64"/>
      <c r="M547" s="96"/>
      <c r="N547" s="5"/>
      <c r="O547" s="5"/>
      <c r="P547" s="5"/>
      <c r="Q547" s="5"/>
      <c r="R547" s="5"/>
      <c r="S547" s="5"/>
      <c r="T547" s="5"/>
      <c r="U547" s="5"/>
      <c r="V547" s="5"/>
      <c r="W547" s="5"/>
      <c r="X547" s="5"/>
      <c r="Y547" s="5"/>
      <c r="Z547" s="5"/>
      <c r="AA547" s="5"/>
    </row>
    <row r="548">
      <c r="A548" s="5"/>
      <c r="B548" s="5"/>
      <c r="C548" s="5"/>
      <c r="D548" s="5"/>
      <c r="E548" s="64"/>
      <c r="F548" s="5"/>
      <c r="G548" s="5"/>
      <c r="H548" s="5"/>
      <c r="I548" s="5"/>
      <c r="J548" s="5"/>
      <c r="K548" s="64"/>
      <c r="L548" s="64"/>
      <c r="M548" s="96"/>
      <c r="N548" s="5"/>
      <c r="O548" s="5"/>
      <c r="P548" s="5"/>
      <c r="Q548" s="5"/>
      <c r="R548" s="5"/>
      <c r="S548" s="5"/>
      <c r="T548" s="5"/>
      <c r="U548" s="5"/>
      <c r="V548" s="5"/>
      <c r="W548" s="5"/>
      <c r="X548" s="5"/>
      <c r="Y548" s="5"/>
      <c r="Z548" s="5"/>
      <c r="AA548" s="5"/>
    </row>
    <row r="549">
      <c r="A549" s="5"/>
      <c r="B549" s="5"/>
      <c r="C549" s="5"/>
      <c r="D549" s="5"/>
      <c r="E549" s="64"/>
      <c r="F549" s="5"/>
      <c r="G549" s="5"/>
      <c r="H549" s="5"/>
      <c r="I549" s="5"/>
      <c r="J549" s="5"/>
      <c r="K549" s="64"/>
      <c r="L549" s="64"/>
      <c r="M549" s="96"/>
      <c r="N549" s="5"/>
      <c r="O549" s="5"/>
      <c r="P549" s="5"/>
      <c r="Q549" s="5"/>
      <c r="R549" s="5"/>
      <c r="S549" s="5"/>
      <c r="T549" s="5"/>
      <c r="U549" s="5"/>
      <c r="V549" s="5"/>
      <c r="W549" s="5"/>
      <c r="X549" s="5"/>
      <c r="Y549" s="5"/>
      <c r="Z549" s="5"/>
      <c r="AA549" s="5"/>
    </row>
    <row r="550">
      <c r="A550" s="5"/>
      <c r="B550" s="5"/>
      <c r="C550" s="5"/>
      <c r="D550" s="5"/>
      <c r="E550" s="64"/>
      <c r="F550" s="5"/>
      <c r="G550" s="5"/>
      <c r="H550" s="5"/>
      <c r="I550" s="5"/>
      <c r="J550" s="5"/>
      <c r="K550" s="64"/>
      <c r="L550" s="64"/>
      <c r="M550" s="96"/>
      <c r="N550" s="5"/>
      <c r="O550" s="5"/>
      <c r="P550" s="5"/>
      <c r="Q550" s="5"/>
      <c r="R550" s="5"/>
      <c r="S550" s="5"/>
      <c r="T550" s="5"/>
      <c r="U550" s="5"/>
      <c r="V550" s="5"/>
      <c r="W550" s="5"/>
      <c r="X550" s="5"/>
      <c r="Y550" s="5"/>
      <c r="Z550" s="5"/>
      <c r="AA550" s="5"/>
    </row>
    <row r="551">
      <c r="A551" s="5"/>
      <c r="B551" s="5"/>
      <c r="C551" s="5"/>
      <c r="D551" s="5"/>
      <c r="E551" s="64"/>
      <c r="F551" s="5"/>
      <c r="G551" s="5"/>
      <c r="H551" s="5"/>
      <c r="I551" s="5"/>
      <c r="J551" s="5"/>
      <c r="K551" s="64"/>
      <c r="L551" s="64"/>
      <c r="M551" s="96"/>
      <c r="N551" s="5"/>
      <c r="O551" s="5"/>
      <c r="P551" s="5"/>
      <c r="Q551" s="5"/>
      <c r="R551" s="5"/>
      <c r="S551" s="5"/>
      <c r="T551" s="5"/>
      <c r="U551" s="5"/>
      <c r="V551" s="5"/>
      <c r="W551" s="5"/>
      <c r="X551" s="5"/>
      <c r="Y551" s="5"/>
      <c r="Z551" s="5"/>
      <c r="AA551" s="5"/>
    </row>
    <row r="552">
      <c r="A552" s="5"/>
      <c r="B552" s="5"/>
      <c r="C552" s="5"/>
      <c r="D552" s="5"/>
      <c r="E552" s="64"/>
      <c r="F552" s="5"/>
      <c r="G552" s="5"/>
      <c r="H552" s="5"/>
      <c r="I552" s="5"/>
      <c r="J552" s="5"/>
      <c r="K552" s="64"/>
      <c r="L552" s="64"/>
      <c r="M552" s="96"/>
      <c r="N552" s="5"/>
      <c r="O552" s="5"/>
      <c r="P552" s="5"/>
      <c r="Q552" s="5"/>
      <c r="R552" s="5"/>
      <c r="S552" s="5"/>
      <c r="T552" s="5"/>
      <c r="U552" s="5"/>
      <c r="V552" s="5"/>
      <c r="W552" s="5"/>
      <c r="X552" s="5"/>
      <c r="Y552" s="5"/>
      <c r="Z552" s="5"/>
      <c r="AA552" s="5"/>
    </row>
    <row r="553">
      <c r="A553" s="5"/>
      <c r="B553" s="5"/>
      <c r="C553" s="5"/>
      <c r="D553" s="5"/>
      <c r="E553" s="64"/>
      <c r="F553" s="5"/>
      <c r="G553" s="5"/>
      <c r="H553" s="5"/>
      <c r="I553" s="5"/>
      <c r="J553" s="5"/>
      <c r="K553" s="64"/>
      <c r="L553" s="64"/>
      <c r="M553" s="96"/>
      <c r="N553" s="5"/>
      <c r="O553" s="5"/>
      <c r="P553" s="5"/>
      <c r="Q553" s="5"/>
      <c r="R553" s="5"/>
      <c r="S553" s="5"/>
      <c r="T553" s="5"/>
      <c r="U553" s="5"/>
      <c r="V553" s="5"/>
      <c r="W553" s="5"/>
      <c r="X553" s="5"/>
      <c r="Y553" s="5"/>
      <c r="Z553" s="5"/>
      <c r="AA553" s="5"/>
    </row>
    <row r="554">
      <c r="A554" s="5"/>
      <c r="B554" s="5"/>
      <c r="C554" s="5"/>
      <c r="D554" s="5"/>
      <c r="E554" s="64"/>
      <c r="F554" s="5"/>
      <c r="G554" s="5"/>
      <c r="H554" s="5"/>
      <c r="I554" s="5"/>
      <c r="J554" s="5"/>
      <c r="K554" s="64"/>
      <c r="L554" s="64"/>
      <c r="M554" s="96"/>
      <c r="N554" s="5"/>
      <c r="O554" s="5"/>
      <c r="P554" s="5"/>
      <c r="Q554" s="5"/>
      <c r="R554" s="5"/>
      <c r="S554" s="5"/>
      <c r="T554" s="5"/>
      <c r="U554" s="5"/>
      <c r="V554" s="5"/>
      <c r="W554" s="5"/>
      <c r="X554" s="5"/>
      <c r="Y554" s="5"/>
      <c r="Z554" s="5"/>
      <c r="AA554" s="5"/>
    </row>
    <row r="555">
      <c r="A555" s="5"/>
      <c r="B555" s="5"/>
      <c r="C555" s="5"/>
      <c r="D555" s="5"/>
      <c r="E555" s="64"/>
      <c r="F555" s="5"/>
      <c r="G555" s="5"/>
      <c r="H555" s="5"/>
      <c r="I555" s="5"/>
      <c r="J555" s="5"/>
      <c r="K555" s="64"/>
      <c r="L555" s="64"/>
      <c r="M555" s="96"/>
      <c r="N555" s="5"/>
      <c r="O555" s="5"/>
      <c r="P555" s="5"/>
      <c r="Q555" s="5"/>
      <c r="R555" s="5"/>
      <c r="S555" s="5"/>
      <c r="T555" s="5"/>
      <c r="U555" s="5"/>
      <c r="V555" s="5"/>
      <c r="W555" s="5"/>
      <c r="X555" s="5"/>
      <c r="Y555" s="5"/>
      <c r="Z555" s="5"/>
      <c r="AA555" s="5"/>
    </row>
    <row r="556">
      <c r="A556" s="5"/>
      <c r="B556" s="5"/>
      <c r="C556" s="5"/>
      <c r="D556" s="5"/>
      <c r="E556" s="64"/>
      <c r="F556" s="5"/>
      <c r="G556" s="5"/>
      <c r="H556" s="5"/>
      <c r="I556" s="5"/>
      <c r="J556" s="5"/>
      <c r="K556" s="64"/>
      <c r="L556" s="64"/>
      <c r="M556" s="96"/>
      <c r="N556" s="5"/>
      <c r="O556" s="5"/>
      <c r="P556" s="5"/>
      <c r="Q556" s="5"/>
      <c r="R556" s="5"/>
      <c r="S556" s="5"/>
      <c r="T556" s="5"/>
      <c r="U556" s="5"/>
      <c r="V556" s="5"/>
      <c r="W556" s="5"/>
      <c r="X556" s="5"/>
      <c r="Y556" s="5"/>
      <c r="Z556" s="5"/>
      <c r="AA556" s="5"/>
    </row>
    <row r="557">
      <c r="A557" s="5"/>
      <c r="B557" s="5"/>
      <c r="C557" s="5"/>
      <c r="D557" s="5"/>
      <c r="E557" s="64"/>
      <c r="F557" s="5"/>
      <c r="G557" s="5"/>
      <c r="H557" s="5"/>
      <c r="I557" s="5"/>
      <c r="J557" s="5"/>
      <c r="K557" s="64"/>
      <c r="L557" s="64"/>
      <c r="M557" s="96"/>
      <c r="N557" s="5"/>
      <c r="O557" s="5"/>
      <c r="P557" s="5"/>
      <c r="Q557" s="5"/>
      <c r="R557" s="5"/>
      <c r="S557" s="5"/>
      <c r="T557" s="5"/>
      <c r="U557" s="5"/>
      <c r="V557" s="5"/>
      <c r="W557" s="5"/>
      <c r="X557" s="5"/>
      <c r="Y557" s="5"/>
      <c r="Z557" s="5"/>
      <c r="AA557" s="5"/>
    </row>
    <row r="558">
      <c r="A558" s="5"/>
      <c r="B558" s="5"/>
      <c r="C558" s="5"/>
      <c r="D558" s="5"/>
      <c r="E558" s="64"/>
      <c r="F558" s="5"/>
      <c r="G558" s="5"/>
      <c r="H558" s="5"/>
      <c r="I558" s="5"/>
      <c r="J558" s="5"/>
      <c r="K558" s="64"/>
      <c r="L558" s="64"/>
      <c r="M558" s="96"/>
      <c r="N558" s="5"/>
      <c r="O558" s="5"/>
      <c r="P558" s="5"/>
      <c r="Q558" s="5"/>
      <c r="R558" s="5"/>
      <c r="S558" s="5"/>
      <c r="T558" s="5"/>
      <c r="U558" s="5"/>
      <c r="V558" s="5"/>
      <c r="W558" s="5"/>
      <c r="X558" s="5"/>
      <c r="Y558" s="5"/>
      <c r="Z558" s="5"/>
      <c r="AA558" s="5"/>
    </row>
    <row r="559">
      <c r="A559" s="5"/>
      <c r="B559" s="5"/>
      <c r="C559" s="5"/>
      <c r="D559" s="5"/>
      <c r="E559" s="64"/>
      <c r="F559" s="5"/>
      <c r="G559" s="5"/>
      <c r="H559" s="5"/>
      <c r="I559" s="5"/>
      <c r="J559" s="5"/>
      <c r="K559" s="64"/>
      <c r="L559" s="64"/>
      <c r="M559" s="96"/>
      <c r="N559" s="5"/>
      <c r="O559" s="5"/>
      <c r="P559" s="5"/>
      <c r="Q559" s="5"/>
      <c r="R559" s="5"/>
      <c r="S559" s="5"/>
      <c r="T559" s="5"/>
      <c r="U559" s="5"/>
      <c r="V559" s="5"/>
      <c r="W559" s="5"/>
      <c r="X559" s="5"/>
      <c r="Y559" s="5"/>
      <c r="Z559" s="5"/>
      <c r="AA559" s="5"/>
    </row>
    <row r="560">
      <c r="A560" s="5"/>
      <c r="B560" s="5"/>
      <c r="C560" s="5"/>
      <c r="D560" s="5"/>
      <c r="E560" s="64"/>
      <c r="F560" s="5"/>
      <c r="G560" s="5"/>
      <c r="H560" s="5"/>
      <c r="I560" s="5"/>
      <c r="J560" s="5"/>
      <c r="K560" s="64"/>
      <c r="L560" s="64"/>
      <c r="M560" s="96"/>
      <c r="N560" s="5"/>
      <c r="O560" s="5"/>
      <c r="P560" s="5"/>
      <c r="Q560" s="5"/>
      <c r="R560" s="5"/>
      <c r="S560" s="5"/>
      <c r="T560" s="5"/>
      <c r="U560" s="5"/>
      <c r="V560" s="5"/>
      <c r="W560" s="5"/>
      <c r="X560" s="5"/>
      <c r="Y560" s="5"/>
      <c r="Z560" s="5"/>
      <c r="AA560" s="5"/>
    </row>
    <row r="561">
      <c r="A561" s="5"/>
      <c r="B561" s="5"/>
      <c r="C561" s="5"/>
      <c r="D561" s="5"/>
      <c r="E561" s="64"/>
      <c r="F561" s="5"/>
      <c r="G561" s="5"/>
      <c r="H561" s="5"/>
      <c r="I561" s="5"/>
      <c r="J561" s="5"/>
      <c r="K561" s="64"/>
      <c r="L561" s="64"/>
      <c r="M561" s="96"/>
      <c r="N561" s="5"/>
      <c r="O561" s="5"/>
      <c r="P561" s="5"/>
      <c r="Q561" s="5"/>
      <c r="R561" s="5"/>
      <c r="S561" s="5"/>
      <c r="T561" s="5"/>
      <c r="U561" s="5"/>
      <c r="V561" s="5"/>
      <c r="W561" s="5"/>
      <c r="X561" s="5"/>
      <c r="Y561" s="5"/>
      <c r="Z561" s="5"/>
      <c r="AA561" s="5"/>
    </row>
    <row r="562">
      <c r="A562" s="5"/>
      <c r="B562" s="5"/>
      <c r="C562" s="5"/>
      <c r="D562" s="5"/>
      <c r="E562" s="64"/>
      <c r="F562" s="5"/>
      <c r="G562" s="5"/>
      <c r="H562" s="5"/>
      <c r="I562" s="5"/>
      <c r="J562" s="5"/>
      <c r="K562" s="64"/>
      <c r="L562" s="64"/>
      <c r="M562" s="96"/>
      <c r="N562" s="5"/>
      <c r="O562" s="5"/>
      <c r="P562" s="5"/>
      <c r="Q562" s="5"/>
      <c r="R562" s="5"/>
      <c r="S562" s="5"/>
      <c r="T562" s="5"/>
      <c r="U562" s="5"/>
      <c r="V562" s="5"/>
      <c r="W562" s="5"/>
      <c r="X562" s="5"/>
      <c r="Y562" s="5"/>
      <c r="Z562" s="5"/>
      <c r="AA562" s="5"/>
    </row>
    <row r="563">
      <c r="A563" s="5"/>
      <c r="B563" s="5"/>
      <c r="C563" s="5"/>
      <c r="D563" s="5"/>
      <c r="E563" s="64"/>
      <c r="F563" s="5"/>
      <c r="G563" s="5"/>
      <c r="H563" s="5"/>
      <c r="I563" s="5"/>
      <c r="J563" s="5"/>
      <c r="K563" s="64"/>
      <c r="L563" s="64"/>
      <c r="M563" s="96"/>
      <c r="N563" s="5"/>
      <c r="O563" s="5"/>
      <c r="P563" s="5"/>
      <c r="Q563" s="5"/>
      <c r="R563" s="5"/>
      <c r="S563" s="5"/>
      <c r="T563" s="5"/>
      <c r="U563" s="5"/>
      <c r="V563" s="5"/>
      <c r="W563" s="5"/>
      <c r="X563" s="5"/>
      <c r="Y563" s="5"/>
      <c r="Z563" s="5"/>
      <c r="AA563" s="5"/>
    </row>
    <row r="564">
      <c r="A564" s="5"/>
      <c r="B564" s="5"/>
      <c r="C564" s="5"/>
      <c r="D564" s="5"/>
      <c r="E564" s="64"/>
      <c r="F564" s="5"/>
      <c r="G564" s="5"/>
      <c r="H564" s="5"/>
      <c r="I564" s="5"/>
      <c r="J564" s="5"/>
      <c r="K564" s="64"/>
      <c r="L564" s="64"/>
      <c r="M564" s="96"/>
      <c r="N564" s="5"/>
      <c r="O564" s="5"/>
      <c r="P564" s="5"/>
      <c r="Q564" s="5"/>
      <c r="R564" s="5"/>
      <c r="S564" s="5"/>
      <c r="T564" s="5"/>
      <c r="U564" s="5"/>
      <c r="V564" s="5"/>
      <c r="W564" s="5"/>
      <c r="X564" s="5"/>
      <c r="Y564" s="5"/>
      <c r="Z564" s="5"/>
      <c r="AA564" s="5"/>
    </row>
    <row r="565">
      <c r="A565" s="5"/>
      <c r="B565" s="5"/>
      <c r="C565" s="5"/>
      <c r="D565" s="5"/>
      <c r="E565" s="64"/>
      <c r="F565" s="5"/>
      <c r="G565" s="5"/>
      <c r="H565" s="5"/>
      <c r="I565" s="5"/>
      <c r="J565" s="5"/>
      <c r="K565" s="64"/>
      <c r="L565" s="64"/>
      <c r="M565" s="96"/>
      <c r="N565" s="5"/>
      <c r="O565" s="5"/>
      <c r="P565" s="5"/>
      <c r="Q565" s="5"/>
      <c r="R565" s="5"/>
      <c r="S565" s="5"/>
      <c r="T565" s="5"/>
      <c r="U565" s="5"/>
      <c r="V565" s="5"/>
      <c r="W565" s="5"/>
      <c r="X565" s="5"/>
      <c r="Y565" s="5"/>
      <c r="Z565" s="5"/>
      <c r="AA565" s="5"/>
    </row>
    <row r="566">
      <c r="A566" s="5"/>
      <c r="B566" s="5"/>
      <c r="C566" s="5"/>
      <c r="D566" s="5"/>
      <c r="E566" s="64"/>
      <c r="F566" s="5"/>
      <c r="G566" s="5"/>
      <c r="H566" s="5"/>
      <c r="I566" s="5"/>
      <c r="J566" s="5"/>
      <c r="K566" s="64"/>
      <c r="L566" s="64"/>
      <c r="M566" s="96"/>
      <c r="N566" s="5"/>
      <c r="O566" s="5"/>
      <c r="P566" s="5"/>
      <c r="Q566" s="5"/>
      <c r="R566" s="5"/>
      <c r="S566" s="5"/>
      <c r="T566" s="5"/>
      <c r="U566" s="5"/>
      <c r="V566" s="5"/>
      <c r="W566" s="5"/>
      <c r="X566" s="5"/>
      <c r="Y566" s="5"/>
      <c r="Z566" s="5"/>
      <c r="AA566" s="5"/>
    </row>
    <row r="567">
      <c r="A567" s="5"/>
      <c r="B567" s="5"/>
      <c r="C567" s="5"/>
      <c r="D567" s="5"/>
      <c r="E567" s="64"/>
      <c r="F567" s="5"/>
      <c r="G567" s="5"/>
      <c r="H567" s="5"/>
      <c r="I567" s="5"/>
      <c r="J567" s="5"/>
      <c r="K567" s="64"/>
      <c r="L567" s="64"/>
      <c r="M567" s="96"/>
      <c r="N567" s="5"/>
      <c r="O567" s="5"/>
      <c r="P567" s="5"/>
      <c r="Q567" s="5"/>
      <c r="R567" s="5"/>
      <c r="S567" s="5"/>
      <c r="T567" s="5"/>
      <c r="U567" s="5"/>
      <c r="V567" s="5"/>
      <c r="W567" s="5"/>
      <c r="X567" s="5"/>
      <c r="Y567" s="5"/>
      <c r="Z567" s="5"/>
      <c r="AA567" s="5"/>
    </row>
    <row r="568">
      <c r="A568" s="5"/>
      <c r="B568" s="5"/>
      <c r="C568" s="5"/>
      <c r="D568" s="5"/>
      <c r="E568" s="64"/>
      <c r="F568" s="5"/>
      <c r="G568" s="5"/>
      <c r="H568" s="5"/>
      <c r="I568" s="5"/>
      <c r="J568" s="5"/>
      <c r="K568" s="64"/>
      <c r="L568" s="64"/>
      <c r="M568" s="96"/>
      <c r="N568" s="5"/>
      <c r="O568" s="5"/>
      <c r="P568" s="5"/>
      <c r="Q568" s="5"/>
      <c r="R568" s="5"/>
      <c r="S568" s="5"/>
      <c r="T568" s="5"/>
      <c r="U568" s="5"/>
      <c r="V568" s="5"/>
      <c r="W568" s="5"/>
      <c r="X568" s="5"/>
      <c r="Y568" s="5"/>
      <c r="Z568" s="5"/>
      <c r="AA568" s="5"/>
    </row>
    <row r="569">
      <c r="A569" s="5"/>
      <c r="B569" s="5"/>
      <c r="C569" s="5"/>
      <c r="D569" s="5"/>
      <c r="E569" s="64"/>
      <c r="F569" s="5"/>
      <c r="G569" s="5"/>
      <c r="H569" s="5"/>
      <c r="I569" s="5"/>
      <c r="J569" s="5"/>
      <c r="K569" s="64"/>
      <c r="L569" s="64"/>
      <c r="M569" s="96"/>
      <c r="N569" s="5"/>
      <c r="O569" s="5"/>
      <c r="P569" s="5"/>
      <c r="Q569" s="5"/>
      <c r="R569" s="5"/>
      <c r="S569" s="5"/>
      <c r="T569" s="5"/>
      <c r="U569" s="5"/>
      <c r="V569" s="5"/>
      <c r="W569" s="5"/>
      <c r="X569" s="5"/>
      <c r="Y569" s="5"/>
      <c r="Z569" s="5"/>
      <c r="AA569" s="5"/>
    </row>
    <row r="570">
      <c r="A570" s="5"/>
      <c r="B570" s="5"/>
      <c r="C570" s="5"/>
      <c r="D570" s="5"/>
      <c r="E570" s="64"/>
      <c r="F570" s="5"/>
      <c r="G570" s="5"/>
      <c r="H570" s="5"/>
      <c r="I570" s="5"/>
      <c r="J570" s="5"/>
      <c r="K570" s="64"/>
      <c r="L570" s="64"/>
      <c r="M570" s="96"/>
      <c r="N570" s="5"/>
      <c r="O570" s="5"/>
      <c r="P570" s="5"/>
      <c r="Q570" s="5"/>
      <c r="R570" s="5"/>
      <c r="S570" s="5"/>
      <c r="T570" s="5"/>
      <c r="U570" s="5"/>
      <c r="V570" s="5"/>
      <c r="W570" s="5"/>
      <c r="X570" s="5"/>
      <c r="Y570" s="5"/>
      <c r="Z570" s="5"/>
      <c r="AA570" s="5"/>
    </row>
    <row r="571">
      <c r="A571" s="5"/>
      <c r="B571" s="5"/>
      <c r="C571" s="5"/>
      <c r="D571" s="5"/>
      <c r="E571" s="64"/>
      <c r="F571" s="5"/>
      <c r="G571" s="5"/>
      <c r="H571" s="5"/>
      <c r="I571" s="5"/>
      <c r="J571" s="5"/>
      <c r="K571" s="64"/>
      <c r="L571" s="64"/>
      <c r="M571" s="96"/>
      <c r="N571" s="5"/>
      <c r="O571" s="5"/>
      <c r="P571" s="5"/>
      <c r="Q571" s="5"/>
      <c r="R571" s="5"/>
      <c r="S571" s="5"/>
      <c r="T571" s="5"/>
      <c r="U571" s="5"/>
      <c r="V571" s="5"/>
      <c r="W571" s="5"/>
      <c r="X571" s="5"/>
      <c r="Y571" s="5"/>
      <c r="Z571" s="5"/>
      <c r="AA571" s="5"/>
    </row>
    <row r="572">
      <c r="A572" s="5"/>
      <c r="B572" s="5"/>
      <c r="C572" s="5"/>
      <c r="D572" s="5"/>
      <c r="E572" s="64"/>
      <c r="F572" s="5"/>
      <c r="G572" s="5"/>
      <c r="H572" s="5"/>
      <c r="I572" s="5"/>
      <c r="J572" s="5"/>
      <c r="K572" s="64"/>
      <c r="L572" s="64"/>
      <c r="M572" s="96"/>
      <c r="N572" s="5"/>
      <c r="O572" s="5"/>
      <c r="P572" s="5"/>
      <c r="Q572" s="5"/>
      <c r="R572" s="5"/>
      <c r="S572" s="5"/>
      <c r="T572" s="5"/>
      <c r="U572" s="5"/>
      <c r="V572" s="5"/>
      <c r="W572" s="5"/>
      <c r="X572" s="5"/>
      <c r="Y572" s="5"/>
      <c r="Z572" s="5"/>
      <c r="AA572" s="5"/>
    </row>
    <row r="573">
      <c r="A573" s="5"/>
      <c r="B573" s="5"/>
      <c r="C573" s="5"/>
      <c r="D573" s="5"/>
      <c r="E573" s="64"/>
      <c r="F573" s="5"/>
      <c r="G573" s="5"/>
      <c r="H573" s="5"/>
      <c r="I573" s="5"/>
      <c r="J573" s="5"/>
      <c r="K573" s="64"/>
      <c r="L573" s="64"/>
      <c r="M573" s="96"/>
      <c r="N573" s="5"/>
      <c r="O573" s="5"/>
      <c r="P573" s="5"/>
      <c r="Q573" s="5"/>
      <c r="R573" s="5"/>
      <c r="S573" s="5"/>
      <c r="T573" s="5"/>
      <c r="U573" s="5"/>
      <c r="V573" s="5"/>
      <c r="W573" s="5"/>
      <c r="X573" s="5"/>
      <c r="Y573" s="5"/>
      <c r="Z573" s="5"/>
      <c r="AA573" s="5"/>
    </row>
    <row r="574">
      <c r="A574" s="5"/>
      <c r="B574" s="5"/>
      <c r="C574" s="5"/>
      <c r="D574" s="5"/>
      <c r="E574" s="64"/>
      <c r="F574" s="5"/>
      <c r="G574" s="5"/>
      <c r="H574" s="5"/>
      <c r="I574" s="5"/>
      <c r="J574" s="5"/>
      <c r="K574" s="64"/>
      <c r="L574" s="64"/>
      <c r="M574" s="96"/>
      <c r="N574" s="5"/>
      <c r="O574" s="5"/>
      <c r="P574" s="5"/>
      <c r="Q574" s="5"/>
      <c r="R574" s="5"/>
      <c r="S574" s="5"/>
      <c r="T574" s="5"/>
      <c r="U574" s="5"/>
      <c r="V574" s="5"/>
      <c r="W574" s="5"/>
      <c r="X574" s="5"/>
      <c r="Y574" s="5"/>
      <c r="Z574" s="5"/>
      <c r="AA574" s="5"/>
    </row>
    <row r="575">
      <c r="A575" s="5"/>
      <c r="B575" s="5"/>
      <c r="C575" s="5"/>
      <c r="D575" s="5"/>
      <c r="E575" s="64"/>
      <c r="F575" s="5"/>
      <c r="G575" s="5"/>
      <c r="H575" s="5"/>
      <c r="I575" s="5"/>
      <c r="J575" s="5"/>
      <c r="K575" s="64"/>
      <c r="L575" s="64"/>
      <c r="M575" s="96"/>
      <c r="N575" s="5"/>
      <c r="O575" s="5"/>
      <c r="P575" s="5"/>
      <c r="Q575" s="5"/>
      <c r="R575" s="5"/>
      <c r="S575" s="5"/>
      <c r="T575" s="5"/>
      <c r="U575" s="5"/>
      <c r="V575" s="5"/>
      <c r="W575" s="5"/>
      <c r="X575" s="5"/>
      <c r="Y575" s="5"/>
      <c r="Z575" s="5"/>
      <c r="AA575" s="5"/>
    </row>
    <row r="576">
      <c r="A576" s="5"/>
      <c r="B576" s="5"/>
      <c r="C576" s="5"/>
      <c r="D576" s="5"/>
      <c r="E576" s="64"/>
      <c r="F576" s="5"/>
      <c r="G576" s="5"/>
      <c r="H576" s="5"/>
      <c r="I576" s="5"/>
      <c r="J576" s="5"/>
      <c r="K576" s="64"/>
      <c r="L576" s="64"/>
      <c r="M576" s="96"/>
      <c r="N576" s="5"/>
      <c r="O576" s="5"/>
      <c r="P576" s="5"/>
      <c r="Q576" s="5"/>
      <c r="R576" s="5"/>
      <c r="S576" s="5"/>
      <c r="T576" s="5"/>
      <c r="U576" s="5"/>
      <c r="V576" s="5"/>
      <c r="W576" s="5"/>
      <c r="X576" s="5"/>
      <c r="Y576" s="5"/>
      <c r="Z576" s="5"/>
      <c r="AA576" s="5"/>
    </row>
    <row r="577">
      <c r="A577" s="5"/>
      <c r="B577" s="5"/>
      <c r="C577" s="5"/>
      <c r="D577" s="5"/>
      <c r="E577" s="64"/>
      <c r="F577" s="5"/>
      <c r="G577" s="5"/>
      <c r="H577" s="5"/>
      <c r="I577" s="5"/>
      <c r="J577" s="5"/>
      <c r="K577" s="64"/>
      <c r="L577" s="64"/>
      <c r="M577" s="96"/>
      <c r="N577" s="5"/>
      <c r="O577" s="5"/>
      <c r="P577" s="5"/>
      <c r="Q577" s="5"/>
      <c r="R577" s="5"/>
      <c r="S577" s="5"/>
      <c r="T577" s="5"/>
      <c r="U577" s="5"/>
      <c r="V577" s="5"/>
      <c r="W577" s="5"/>
      <c r="X577" s="5"/>
      <c r="Y577" s="5"/>
      <c r="Z577" s="5"/>
      <c r="AA577" s="5"/>
    </row>
    <row r="578">
      <c r="A578" s="5"/>
      <c r="B578" s="5"/>
      <c r="C578" s="5"/>
      <c r="D578" s="5"/>
      <c r="E578" s="64"/>
      <c r="F578" s="5"/>
      <c r="G578" s="5"/>
      <c r="H578" s="5"/>
      <c r="I578" s="5"/>
      <c r="J578" s="5"/>
      <c r="K578" s="64"/>
      <c r="L578" s="64"/>
      <c r="M578" s="96"/>
      <c r="N578" s="5"/>
      <c r="O578" s="5"/>
      <c r="P578" s="5"/>
      <c r="Q578" s="5"/>
      <c r="R578" s="5"/>
      <c r="S578" s="5"/>
      <c r="T578" s="5"/>
      <c r="U578" s="5"/>
      <c r="V578" s="5"/>
      <c r="W578" s="5"/>
      <c r="X578" s="5"/>
      <c r="Y578" s="5"/>
      <c r="Z578" s="5"/>
      <c r="AA578" s="5"/>
    </row>
    <row r="579">
      <c r="A579" s="5"/>
      <c r="B579" s="5"/>
      <c r="C579" s="5"/>
      <c r="D579" s="5"/>
      <c r="E579" s="64"/>
      <c r="F579" s="5"/>
      <c r="G579" s="5"/>
      <c r="H579" s="5"/>
      <c r="I579" s="5"/>
      <c r="J579" s="5"/>
      <c r="K579" s="64"/>
      <c r="L579" s="64"/>
      <c r="M579" s="96"/>
      <c r="N579" s="5"/>
      <c r="O579" s="5"/>
      <c r="P579" s="5"/>
      <c r="Q579" s="5"/>
      <c r="R579" s="5"/>
      <c r="S579" s="5"/>
      <c r="T579" s="5"/>
      <c r="U579" s="5"/>
      <c r="V579" s="5"/>
      <c r="W579" s="5"/>
      <c r="X579" s="5"/>
      <c r="Y579" s="5"/>
      <c r="Z579" s="5"/>
      <c r="AA579" s="5"/>
    </row>
    <row r="580">
      <c r="A580" s="5"/>
      <c r="B580" s="5"/>
      <c r="C580" s="5"/>
      <c r="D580" s="5"/>
      <c r="E580" s="64"/>
      <c r="F580" s="5"/>
      <c r="G580" s="5"/>
      <c r="H580" s="5"/>
      <c r="I580" s="5"/>
      <c r="J580" s="5"/>
      <c r="K580" s="64"/>
      <c r="L580" s="64"/>
      <c r="M580" s="96"/>
      <c r="N580" s="5"/>
      <c r="O580" s="5"/>
      <c r="P580" s="5"/>
      <c r="Q580" s="5"/>
      <c r="R580" s="5"/>
      <c r="S580" s="5"/>
      <c r="T580" s="5"/>
      <c r="U580" s="5"/>
      <c r="V580" s="5"/>
      <c r="W580" s="5"/>
      <c r="X580" s="5"/>
      <c r="Y580" s="5"/>
      <c r="Z580" s="5"/>
      <c r="AA580" s="5"/>
    </row>
    <row r="581">
      <c r="A581" s="5"/>
      <c r="B581" s="5"/>
      <c r="C581" s="5"/>
      <c r="D581" s="5"/>
      <c r="E581" s="64"/>
      <c r="F581" s="5"/>
      <c r="G581" s="5"/>
      <c r="H581" s="5"/>
      <c r="I581" s="5"/>
      <c r="J581" s="5"/>
      <c r="K581" s="64"/>
      <c r="L581" s="64"/>
      <c r="M581" s="96"/>
      <c r="N581" s="5"/>
      <c r="O581" s="5"/>
      <c r="P581" s="5"/>
      <c r="Q581" s="5"/>
      <c r="R581" s="5"/>
      <c r="S581" s="5"/>
      <c r="T581" s="5"/>
      <c r="U581" s="5"/>
      <c r="V581" s="5"/>
      <c r="W581" s="5"/>
      <c r="X581" s="5"/>
      <c r="Y581" s="5"/>
      <c r="Z581" s="5"/>
      <c r="AA581" s="5"/>
    </row>
    <row r="582">
      <c r="A582" s="5"/>
      <c r="B582" s="5"/>
      <c r="C582" s="5"/>
      <c r="D582" s="5"/>
      <c r="E582" s="64"/>
      <c r="F582" s="5"/>
      <c r="G582" s="5"/>
      <c r="H582" s="5"/>
      <c r="I582" s="5"/>
      <c r="J582" s="5"/>
      <c r="K582" s="64"/>
      <c r="L582" s="64"/>
      <c r="M582" s="96"/>
      <c r="N582" s="5"/>
      <c r="O582" s="5"/>
      <c r="P582" s="5"/>
      <c r="Q582" s="5"/>
      <c r="R582" s="5"/>
      <c r="S582" s="5"/>
      <c r="T582" s="5"/>
      <c r="U582" s="5"/>
      <c r="V582" s="5"/>
      <c r="W582" s="5"/>
      <c r="X582" s="5"/>
      <c r="Y582" s="5"/>
      <c r="Z582" s="5"/>
      <c r="AA582" s="5"/>
    </row>
    <row r="583">
      <c r="A583" s="5"/>
      <c r="B583" s="5"/>
      <c r="C583" s="5"/>
      <c r="D583" s="5"/>
      <c r="E583" s="64"/>
      <c r="F583" s="5"/>
      <c r="G583" s="5"/>
      <c r="H583" s="5"/>
      <c r="I583" s="5"/>
      <c r="J583" s="5"/>
      <c r="K583" s="64"/>
      <c r="L583" s="64"/>
      <c r="M583" s="96"/>
      <c r="N583" s="5"/>
      <c r="O583" s="5"/>
      <c r="P583" s="5"/>
      <c r="Q583" s="5"/>
      <c r="R583" s="5"/>
      <c r="S583" s="5"/>
      <c r="T583" s="5"/>
      <c r="U583" s="5"/>
      <c r="V583" s="5"/>
      <c r="W583" s="5"/>
      <c r="X583" s="5"/>
      <c r="Y583" s="5"/>
      <c r="Z583" s="5"/>
      <c r="AA583" s="5"/>
    </row>
    <row r="584">
      <c r="A584" s="5"/>
      <c r="B584" s="5"/>
      <c r="C584" s="5"/>
      <c r="D584" s="5"/>
      <c r="E584" s="64"/>
      <c r="F584" s="5"/>
      <c r="G584" s="5"/>
      <c r="H584" s="5"/>
      <c r="I584" s="5"/>
      <c r="J584" s="5"/>
      <c r="K584" s="64"/>
      <c r="L584" s="64"/>
      <c r="M584" s="96"/>
      <c r="N584" s="5"/>
      <c r="O584" s="5"/>
      <c r="P584" s="5"/>
      <c r="Q584" s="5"/>
      <c r="R584" s="5"/>
      <c r="S584" s="5"/>
      <c r="T584" s="5"/>
      <c r="U584" s="5"/>
      <c r="V584" s="5"/>
      <c r="W584" s="5"/>
      <c r="X584" s="5"/>
      <c r="Y584" s="5"/>
      <c r="Z584" s="5"/>
      <c r="AA584" s="5"/>
    </row>
    <row r="585">
      <c r="A585" s="5"/>
      <c r="B585" s="5"/>
      <c r="C585" s="5"/>
      <c r="D585" s="5"/>
      <c r="E585" s="64"/>
      <c r="F585" s="5"/>
      <c r="G585" s="5"/>
      <c r="H585" s="5"/>
      <c r="I585" s="5"/>
      <c r="J585" s="5"/>
      <c r="K585" s="64"/>
      <c r="L585" s="64"/>
      <c r="M585" s="96"/>
      <c r="N585" s="5"/>
      <c r="O585" s="5"/>
      <c r="P585" s="5"/>
      <c r="Q585" s="5"/>
      <c r="R585" s="5"/>
      <c r="S585" s="5"/>
      <c r="T585" s="5"/>
      <c r="U585" s="5"/>
      <c r="V585" s="5"/>
      <c r="W585" s="5"/>
      <c r="X585" s="5"/>
      <c r="Y585" s="5"/>
      <c r="Z585" s="5"/>
      <c r="AA585" s="5"/>
    </row>
    <row r="586">
      <c r="A586" s="5"/>
      <c r="B586" s="5"/>
      <c r="C586" s="5"/>
      <c r="D586" s="5"/>
      <c r="E586" s="64"/>
      <c r="F586" s="5"/>
      <c r="G586" s="5"/>
      <c r="H586" s="5"/>
      <c r="I586" s="5"/>
      <c r="J586" s="5"/>
      <c r="K586" s="64"/>
      <c r="L586" s="64"/>
      <c r="M586" s="96"/>
      <c r="N586" s="5"/>
      <c r="O586" s="5"/>
      <c r="P586" s="5"/>
      <c r="Q586" s="5"/>
      <c r="R586" s="5"/>
      <c r="S586" s="5"/>
      <c r="T586" s="5"/>
      <c r="U586" s="5"/>
      <c r="V586" s="5"/>
      <c r="W586" s="5"/>
      <c r="X586" s="5"/>
      <c r="Y586" s="5"/>
      <c r="Z586" s="5"/>
      <c r="AA586" s="5"/>
    </row>
    <row r="587">
      <c r="A587" s="5"/>
      <c r="B587" s="5"/>
      <c r="C587" s="5"/>
      <c r="D587" s="5"/>
      <c r="E587" s="64"/>
      <c r="F587" s="5"/>
      <c r="G587" s="5"/>
      <c r="H587" s="5"/>
      <c r="I587" s="5"/>
      <c r="J587" s="5"/>
      <c r="K587" s="64"/>
      <c r="L587" s="64"/>
      <c r="M587" s="96"/>
      <c r="N587" s="5"/>
      <c r="O587" s="5"/>
      <c r="P587" s="5"/>
      <c r="Q587" s="5"/>
      <c r="R587" s="5"/>
      <c r="S587" s="5"/>
      <c r="T587" s="5"/>
      <c r="U587" s="5"/>
      <c r="V587" s="5"/>
      <c r="W587" s="5"/>
      <c r="X587" s="5"/>
      <c r="Y587" s="5"/>
      <c r="Z587" s="5"/>
      <c r="AA587" s="5"/>
    </row>
    <row r="588">
      <c r="A588" s="5"/>
      <c r="B588" s="5"/>
      <c r="C588" s="5"/>
      <c r="D588" s="5"/>
      <c r="E588" s="64"/>
      <c r="F588" s="5"/>
      <c r="G588" s="5"/>
      <c r="H588" s="5"/>
      <c r="I588" s="5"/>
      <c r="J588" s="5"/>
      <c r="K588" s="64"/>
      <c r="L588" s="64"/>
      <c r="M588" s="96"/>
      <c r="N588" s="5"/>
      <c r="O588" s="5"/>
      <c r="P588" s="5"/>
      <c r="Q588" s="5"/>
      <c r="R588" s="5"/>
      <c r="S588" s="5"/>
      <c r="T588" s="5"/>
      <c r="U588" s="5"/>
      <c r="V588" s="5"/>
      <c r="W588" s="5"/>
      <c r="X588" s="5"/>
      <c r="Y588" s="5"/>
      <c r="Z588" s="5"/>
      <c r="AA588" s="5"/>
    </row>
    <row r="589">
      <c r="A589" s="5"/>
      <c r="B589" s="5"/>
      <c r="C589" s="5"/>
      <c r="D589" s="5"/>
      <c r="E589" s="64"/>
      <c r="F589" s="5"/>
      <c r="G589" s="5"/>
      <c r="H589" s="5"/>
      <c r="I589" s="5"/>
      <c r="J589" s="5"/>
      <c r="K589" s="64"/>
      <c r="L589" s="64"/>
      <c r="M589" s="96"/>
      <c r="N589" s="5"/>
      <c r="O589" s="5"/>
      <c r="P589" s="5"/>
      <c r="Q589" s="5"/>
      <c r="R589" s="5"/>
      <c r="S589" s="5"/>
      <c r="T589" s="5"/>
      <c r="U589" s="5"/>
      <c r="V589" s="5"/>
      <c r="W589" s="5"/>
      <c r="X589" s="5"/>
      <c r="Y589" s="5"/>
      <c r="Z589" s="5"/>
      <c r="AA589" s="5"/>
    </row>
    <row r="590">
      <c r="A590" s="5"/>
      <c r="B590" s="5"/>
      <c r="C590" s="5"/>
      <c r="D590" s="5"/>
      <c r="E590" s="64"/>
      <c r="F590" s="5"/>
      <c r="G590" s="5"/>
      <c r="H590" s="5"/>
      <c r="I590" s="5"/>
      <c r="J590" s="5"/>
      <c r="K590" s="64"/>
      <c r="L590" s="64"/>
      <c r="M590" s="96"/>
      <c r="N590" s="5"/>
      <c r="O590" s="5"/>
      <c r="P590" s="5"/>
      <c r="Q590" s="5"/>
      <c r="R590" s="5"/>
      <c r="S590" s="5"/>
      <c r="T590" s="5"/>
      <c r="U590" s="5"/>
      <c r="V590" s="5"/>
      <c r="W590" s="5"/>
      <c r="X590" s="5"/>
      <c r="Y590" s="5"/>
      <c r="Z590" s="5"/>
      <c r="AA590" s="5"/>
    </row>
    <row r="591">
      <c r="A591" s="5"/>
      <c r="B591" s="5"/>
      <c r="C591" s="5"/>
      <c r="D591" s="5"/>
      <c r="E591" s="64"/>
      <c r="F591" s="5"/>
      <c r="G591" s="5"/>
      <c r="H591" s="5"/>
      <c r="I591" s="5"/>
      <c r="J591" s="5"/>
      <c r="K591" s="64"/>
      <c r="L591" s="64"/>
      <c r="M591" s="96"/>
      <c r="N591" s="5"/>
      <c r="O591" s="5"/>
      <c r="P591" s="5"/>
      <c r="Q591" s="5"/>
      <c r="R591" s="5"/>
      <c r="S591" s="5"/>
      <c r="T591" s="5"/>
      <c r="U591" s="5"/>
      <c r="V591" s="5"/>
      <c r="W591" s="5"/>
      <c r="X591" s="5"/>
      <c r="Y591" s="5"/>
      <c r="Z591" s="5"/>
      <c r="AA591" s="5"/>
    </row>
    <row r="592">
      <c r="A592" s="5"/>
      <c r="B592" s="5"/>
      <c r="C592" s="5"/>
      <c r="D592" s="5"/>
      <c r="E592" s="64"/>
      <c r="F592" s="5"/>
      <c r="G592" s="5"/>
      <c r="H592" s="5"/>
      <c r="I592" s="5"/>
      <c r="J592" s="5"/>
      <c r="K592" s="64"/>
      <c r="L592" s="64"/>
      <c r="M592" s="96"/>
      <c r="N592" s="5"/>
      <c r="O592" s="5"/>
      <c r="P592" s="5"/>
      <c r="Q592" s="5"/>
      <c r="R592" s="5"/>
      <c r="S592" s="5"/>
      <c r="T592" s="5"/>
      <c r="U592" s="5"/>
      <c r="V592" s="5"/>
      <c r="W592" s="5"/>
      <c r="X592" s="5"/>
      <c r="Y592" s="5"/>
      <c r="Z592" s="5"/>
      <c r="AA592" s="5"/>
    </row>
    <row r="593">
      <c r="A593" s="5"/>
      <c r="B593" s="5"/>
      <c r="C593" s="5"/>
      <c r="D593" s="5"/>
      <c r="E593" s="64"/>
      <c r="F593" s="5"/>
      <c r="G593" s="5"/>
      <c r="H593" s="5"/>
      <c r="I593" s="5"/>
      <c r="J593" s="5"/>
      <c r="K593" s="64"/>
      <c r="L593" s="64"/>
      <c r="M593" s="96"/>
      <c r="N593" s="5"/>
      <c r="O593" s="5"/>
      <c r="P593" s="5"/>
      <c r="Q593" s="5"/>
      <c r="R593" s="5"/>
      <c r="S593" s="5"/>
      <c r="T593" s="5"/>
      <c r="U593" s="5"/>
      <c r="V593" s="5"/>
      <c r="W593" s="5"/>
      <c r="X593" s="5"/>
      <c r="Y593" s="5"/>
      <c r="Z593" s="5"/>
      <c r="AA593" s="5"/>
    </row>
    <row r="594">
      <c r="A594" s="5"/>
      <c r="B594" s="5"/>
      <c r="C594" s="5"/>
      <c r="D594" s="5"/>
      <c r="E594" s="64"/>
      <c r="F594" s="5"/>
      <c r="G594" s="5"/>
      <c r="H594" s="5"/>
      <c r="I594" s="5"/>
      <c r="J594" s="5"/>
      <c r="K594" s="64"/>
      <c r="L594" s="64"/>
      <c r="M594" s="96"/>
      <c r="N594" s="5"/>
      <c r="O594" s="5"/>
      <c r="P594" s="5"/>
      <c r="Q594" s="5"/>
      <c r="R594" s="5"/>
      <c r="S594" s="5"/>
      <c r="T594" s="5"/>
      <c r="U594" s="5"/>
      <c r="V594" s="5"/>
      <c r="W594" s="5"/>
      <c r="X594" s="5"/>
      <c r="Y594" s="5"/>
      <c r="Z594" s="5"/>
      <c r="AA594" s="5"/>
    </row>
    <row r="595">
      <c r="A595" s="5"/>
      <c r="B595" s="5"/>
      <c r="C595" s="5"/>
      <c r="D595" s="5"/>
      <c r="E595" s="64"/>
      <c r="F595" s="5"/>
      <c r="G595" s="5"/>
      <c r="H595" s="5"/>
      <c r="I595" s="5"/>
      <c r="J595" s="5"/>
      <c r="K595" s="64"/>
      <c r="L595" s="64"/>
      <c r="M595" s="96"/>
      <c r="N595" s="5"/>
      <c r="O595" s="5"/>
      <c r="P595" s="5"/>
      <c r="Q595" s="5"/>
      <c r="R595" s="5"/>
      <c r="S595" s="5"/>
      <c r="T595" s="5"/>
      <c r="U595" s="5"/>
      <c r="V595" s="5"/>
      <c r="W595" s="5"/>
      <c r="X595" s="5"/>
      <c r="Y595" s="5"/>
      <c r="Z595" s="5"/>
      <c r="AA595" s="5"/>
    </row>
    <row r="596">
      <c r="A596" s="5"/>
      <c r="B596" s="5"/>
      <c r="C596" s="5"/>
      <c r="D596" s="5"/>
      <c r="E596" s="64"/>
      <c r="F596" s="5"/>
      <c r="G596" s="5"/>
      <c r="H596" s="5"/>
      <c r="I596" s="5"/>
      <c r="J596" s="5"/>
      <c r="K596" s="64"/>
      <c r="L596" s="64"/>
      <c r="M596" s="96"/>
      <c r="N596" s="5"/>
      <c r="O596" s="5"/>
      <c r="P596" s="5"/>
      <c r="Q596" s="5"/>
      <c r="R596" s="5"/>
      <c r="S596" s="5"/>
      <c r="T596" s="5"/>
      <c r="U596" s="5"/>
      <c r="V596" s="5"/>
      <c r="W596" s="5"/>
      <c r="X596" s="5"/>
      <c r="Y596" s="5"/>
      <c r="Z596" s="5"/>
      <c r="AA596" s="5"/>
    </row>
    <row r="597">
      <c r="A597" s="5"/>
      <c r="B597" s="5"/>
      <c r="C597" s="5"/>
      <c r="D597" s="5"/>
      <c r="E597" s="64"/>
      <c r="F597" s="5"/>
      <c r="G597" s="5"/>
      <c r="H597" s="5"/>
      <c r="I597" s="5"/>
      <c r="J597" s="5"/>
      <c r="K597" s="64"/>
      <c r="L597" s="64"/>
      <c r="M597" s="96"/>
      <c r="N597" s="5"/>
      <c r="O597" s="5"/>
      <c r="P597" s="5"/>
      <c r="Q597" s="5"/>
      <c r="R597" s="5"/>
      <c r="S597" s="5"/>
      <c r="T597" s="5"/>
      <c r="U597" s="5"/>
      <c r="V597" s="5"/>
      <c r="W597" s="5"/>
      <c r="X597" s="5"/>
      <c r="Y597" s="5"/>
      <c r="Z597" s="5"/>
      <c r="AA597" s="5"/>
    </row>
    <row r="598">
      <c r="A598" s="5"/>
      <c r="B598" s="5"/>
      <c r="C598" s="5"/>
      <c r="D598" s="5"/>
      <c r="E598" s="64"/>
      <c r="F598" s="5"/>
      <c r="G598" s="5"/>
      <c r="H598" s="5"/>
      <c r="I598" s="5"/>
      <c r="J598" s="5"/>
      <c r="K598" s="64"/>
      <c r="L598" s="64"/>
      <c r="M598" s="96"/>
      <c r="N598" s="5"/>
      <c r="O598" s="5"/>
      <c r="P598" s="5"/>
      <c r="Q598" s="5"/>
      <c r="R598" s="5"/>
      <c r="S598" s="5"/>
      <c r="T598" s="5"/>
      <c r="U598" s="5"/>
      <c r="V598" s="5"/>
      <c r="W598" s="5"/>
      <c r="X598" s="5"/>
      <c r="Y598" s="5"/>
      <c r="Z598" s="5"/>
      <c r="AA598" s="5"/>
    </row>
    <row r="599">
      <c r="A599" s="5"/>
      <c r="B599" s="5"/>
      <c r="C599" s="5"/>
      <c r="D599" s="5"/>
      <c r="E599" s="64"/>
      <c r="F599" s="5"/>
      <c r="G599" s="5"/>
      <c r="H599" s="5"/>
      <c r="I599" s="5"/>
      <c r="J599" s="5"/>
      <c r="K599" s="64"/>
      <c r="L599" s="64"/>
      <c r="M599" s="96"/>
      <c r="N599" s="5"/>
      <c r="O599" s="5"/>
      <c r="P599" s="5"/>
      <c r="Q599" s="5"/>
      <c r="R599" s="5"/>
      <c r="S599" s="5"/>
      <c r="T599" s="5"/>
      <c r="U599" s="5"/>
      <c r="V599" s="5"/>
      <c r="W599" s="5"/>
      <c r="X599" s="5"/>
      <c r="Y599" s="5"/>
      <c r="Z599" s="5"/>
      <c r="AA599" s="5"/>
    </row>
    <row r="600">
      <c r="A600" s="5"/>
      <c r="B600" s="5"/>
      <c r="C600" s="5"/>
      <c r="D600" s="5"/>
      <c r="E600" s="64"/>
      <c r="F600" s="5"/>
      <c r="G600" s="5"/>
      <c r="H600" s="5"/>
      <c r="I600" s="5"/>
      <c r="J600" s="5"/>
      <c r="K600" s="64"/>
      <c r="L600" s="64"/>
      <c r="M600" s="96"/>
      <c r="N600" s="5"/>
      <c r="O600" s="5"/>
      <c r="P600" s="5"/>
      <c r="Q600" s="5"/>
      <c r="R600" s="5"/>
      <c r="S600" s="5"/>
      <c r="T600" s="5"/>
      <c r="U600" s="5"/>
      <c r="V600" s="5"/>
      <c r="W600" s="5"/>
      <c r="X600" s="5"/>
      <c r="Y600" s="5"/>
      <c r="Z600" s="5"/>
      <c r="AA600" s="5"/>
    </row>
    <row r="601">
      <c r="A601" s="5"/>
      <c r="B601" s="5"/>
      <c r="C601" s="5"/>
      <c r="D601" s="5"/>
      <c r="E601" s="64"/>
      <c r="F601" s="5"/>
      <c r="G601" s="5"/>
      <c r="H601" s="5"/>
      <c r="I601" s="5"/>
      <c r="J601" s="5"/>
      <c r="K601" s="64"/>
      <c r="L601" s="64"/>
      <c r="M601" s="96"/>
      <c r="N601" s="5"/>
      <c r="O601" s="5"/>
      <c r="P601" s="5"/>
      <c r="Q601" s="5"/>
      <c r="R601" s="5"/>
      <c r="S601" s="5"/>
      <c r="T601" s="5"/>
      <c r="U601" s="5"/>
      <c r="V601" s="5"/>
      <c r="W601" s="5"/>
      <c r="X601" s="5"/>
      <c r="Y601" s="5"/>
      <c r="Z601" s="5"/>
      <c r="AA601" s="5"/>
    </row>
    <row r="602">
      <c r="A602" s="5"/>
      <c r="B602" s="5"/>
      <c r="C602" s="5"/>
      <c r="D602" s="5"/>
      <c r="E602" s="64"/>
      <c r="F602" s="5"/>
      <c r="G602" s="5"/>
      <c r="H602" s="5"/>
      <c r="I602" s="5"/>
      <c r="J602" s="5"/>
      <c r="K602" s="64"/>
      <c r="L602" s="64"/>
      <c r="M602" s="96"/>
      <c r="N602" s="5"/>
      <c r="O602" s="5"/>
      <c r="P602" s="5"/>
      <c r="Q602" s="5"/>
      <c r="R602" s="5"/>
      <c r="S602" s="5"/>
      <c r="T602" s="5"/>
      <c r="U602" s="5"/>
      <c r="V602" s="5"/>
      <c r="W602" s="5"/>
      <c r="X602" s="5"/>
      <c r="Y602" s="5"/>
      <c r="Z602" s="5"/>
      <c r="AA602" s="5"/>
    </row>
    <row r="603">
      <c r="A603" s="5"/>
      <c r="B603" s="5"/>
      <c r="C603" s="5"/>
      <c r="D603" s="5"/>
      <c r="E603" s="64"/>
      <c r="F603" s="5"/>
      <c r="G603" s="5"/>
      <c r="H603" s="5"/>
      <c r="I603" s="5"/>
      <c r="J603" s="5"/>
      <c r="K603" s="64"/>
      <c r="L603" s="64"/>
      <c r="M603" s="96"/>
      <c r="N603" s="5"/>
      <c r="O603" s="5"/>
      <c r="P603" s="5"/>
      <c r="Q603" s="5"/>
      <c r="R603" s="5"/>
      <c r="S603" s="5"/>
      <c r="T603" s="5"/>
      <c r="U603" s="5"/>
      <c r="V603" s="5"/>
      <c r="W603" s="5"/>
      <c r="X603" s="5"/>
      <c r="Y603" s="5"/>
      <c r="Z603" s="5"/>
      <c r="AA603" s="5"/>
    </row>
    <row r="604">
      <c r="A604" s="5"/>
      <c r="B604" s="5"/>
      <c r="C604" s="5"/>
      <c r="D604" s="5"/>
      <c r="E604" s="64"/>
      <c r="F604" s="5"/>
      <c r="G604" s="5"/>
      <c r="H604" s="5"/>
      <c r="I604" s="5"/>
      <c r="J604" s="5"/>
      <c r="K604" s="64"/>
      <c r="L604" s="64"/>
      <c r="M604" s="96"/>
      <c r="N604" s="5"/>
      <c r="O604" s="5"/>
      <c r="P604" s="5"/>
      <c r="Q604" s="5"/>
      <c r="R604" s="5"/>
      <c r="S604" s="5"/>
      <c r="T604" s="5"/>
      <c r="U604" s="5"/>
      <c r="V604" s="5"/>
      <c r="W604" s="5"/>
      <c r="X604" s="5"/>
      <c r="Y604" s="5"/>
      <c r="Z604" s="5"/>
      <c r="AA604" s="5"/>
    </row>
    <row r="605">
      <c r="A605" s="5"/>
      <c r="B605" s="5"/>
      <c r="C605" s="5"/>
      <c r="D605" s="5"/>
      <c r="E605" s="64"/>
      <c r="F605" s="5"/>
      <c r="G605" s="5"/>
      <c r="H605" s="5"/>
      <c r="I605" s="5"/>
      <c r="J605" s="5"/>
      <c r="K605" s="64"/>
      <c r="L605" s="64"/>
      <c r="M605" s="96"/>
      <c r="N605" s="5"/>
      <c r="O605" s="5"/>
      <c r="P605" s="5"/>
      <c r="Q605" s="5"/>
      <c r="R605" s="5"/>
      <c r="S605" s="5"/>
      <c r="T605" s="5"/>
      <c r="U605" s="5"/>
      <c r="V605" s="5"/>
      <c r="W605" s="5"/>
      <c r="X605" s="5"/>
      <c r="Y605" s="5"/>
      <c r="Z605" s="5"/>
      <c r="AA605" s="5"/>
    </row>
    <row r="606">
      <c r="A606" s="5"/>
      <c r="B606" s="5"/>
      <c r="C606" s="5"/>
      <c r="D606" s="5"/>
      <c r="E606" s="64"/>
      <c r="F606" s="5"/>
      <c r="G606" s="5"/>
      <c r="H606" s="5"/>
      <c r="I606" s="5"/>
      <c r="J606" s="5"/>
      <c r="K606" s="64"/>
      <c r="L606" s="64"/>
      <c r="M606" s="96"/>
      <c r="N606" s="5"/>
      <c r="O606" s="5"/>
      <c r="P606" s="5"/>
      <c r="Q606" s="5"/>
      <c r="R606" s="5"/>
      <c r="S606" s="5"/>
      <c r="T606" s="5"/>
      <c r="U606" s="5"/>
      <c r="V606" s="5"/>
      <c r="W606" s="5"/>
      <c r="X606" s="5"/>
      <c r="Y606" s="5"/>
      <c r="Z606" s="5"/>
      <c r="AA606" s="5"/>
    </row>
    <row r="607">
      <c r="A607" s="5"/>
      <c r="B607" s="5"/>
      <c r="C607" s="5"/>
      <c r="D607" s="5"/>
      <c r="E607" s="64"/>
      <c r="F607" s="5"/>
      <c r="G607" s="5"/>
      <c r="H607" s="5"/>
      <c r="I607" s="5"/>
      <c r="J607" s="5"/>
      <c r="K607" s="64"/>
      <c r="L607" s="64"/>
      <c r="M607" s="96"/>
      <c r="N607" s="5"/>
      <c r="O607" s="5"/>
      <c r="P607" s="5"/>
      <c r="Q607" s="5"/>
      <c r="R607" s="5"/>
      <c r="S607" s="5"/>
      <c r="T607" s="5"/>
      <c r="U607" s="5"/>
      <c r="V607" s="5"/>
      <c r="W607" s="5"/>
      <c r="X607" s="5"/>
      <c r="Y607" s="5"/>
      <c r="Z607" s="5"/>
      <c r="AA607" s="5"/>
    </row>
    <row r="608">
      <c r="A608" s="5"/>
      <c r="B608" s="5"/>
      <c r="C608" s="5"/>
      <c r="D608" s="5"/>
      <c r="E608" s="64"/>
      <c r="F608" s="5"/>
      <c r="G608" s="5"/>
      <c r="H608" s="5"/>
      <c r="I608" s="5"/>
      <c r="J608" s="5"/>
      <c r="K608" s="64"/>
      <c r="L608" s="64"/>
      <c r="M608" s="96"/>
      <c r="N608" s="5"/>
      <c r="O608" s="5"/>
      <c r="P608" s="5"/>
      <c r="Q608" s="5"/>
      <c r="R608" s="5"/>
      <c r="S608" s="5"/>
      <c r="T608" s="5"/>
      <c r="U608" s="5"/>
      <c r="V608" s="5"/>
      <c r="W608" s="5"/>
      <c r="X608" s="5"/>
      <c r="Y608" s="5"/>
      <c r="Z608" s="5"/>
      <c r="AA608" s="5"/>
    </row>
    <row r="609">
      <c r="A609" s="5"/>
      <c r="B609" s="5"/>
      <c r="C609" s="5"/>
      <c r="D609" s="5"/>
      <c r="E609" s="64"/>
      <c r="F609" s="5"/>
      <c r="G609" s="5"/>
      <c r="H609" s="5"/>
      <c r="I609" s="5"/>
      <c r="J609" s="5"/>
      <c r="K609" s="64"/>
      <c r="L609" s="64"/>
      <c r="M609" s="96"/>
      <c r="N609" s="5"/>
      <c r="O609" s="5"/>
      <c r="P609" s="5"/>
      <c r="Q609" s="5"/>
      <c r="R609" s="5"/>
      <c r="S609" s="5"/>
      <c r="T609" s="5"/>
      <c r="U609" s="5"/>
      <c r="V609" s="5"/>
      <c r="W609" s="5"/>
      <c r="X609" s="5"/>
      <c r="Y609" s="5"/>
      <c r="Z609" s="5"/>
      <c r="AA609" s="5"/>
    </row>
    <row r="610">
      <c r="A610" s="5"/>
      <c r="B610" s="5"/>
      <c r="C610" s="5"/>
      <c r="D610" s="5"/>
      <c r="E610" s="64"/>
      <c r="F610" s="5"/>
      <c r="G610" s="5"/>
      <c r="H610" s="5"/>
      <c r="I610" s="5"/>
      <c r="J610" s="5"/>
      <c r="K610" s="64"/>
      <c r="L610" s="64"/>
      <c r="M610" s="96"/>
      <c r="N610" s="5"/>
      <c r="O610" s="5"/>
      <c r="P610" s="5"/>
      <c r="Q610" s="5"/>
      <c r="R610" s="5"/>
      <c r="S610" s="5"/>
      <c r="T610" s="5"/>
      <c r="U610" s="5"/>
      <c r="V610" s="5"/>
      <c r="W610" s="5"/>
      <c r="X610" s="5"/>
      <c r="Y610" s="5"/>
      <c r="Z610" s="5"/>
      <c r="AA610" s="5"/>
    </row>
    <row r="611">
      <c r="A611" s="5"/>
      <c r="B611" s="5"/>
      <c r="C611" s="5"/>
      <c r="D611" s="5"/>
      <c r="E611" s="64"/>
      <c r="F611" s="5"/>
      <c r="G611" s="5"/>
      <c r="H611" s="5"/>
      <c r="I611" s="5"/>
      <c r="J611" s="5"/>
      <c r="K611" s="64"/>
      <c r="L611" s="64"/>
      <c r="M611" s="96"/>
      <c r="N611" s="5"/>
      <c r="O611" s="5"/>
      <c r="P611" s="5"/>
      <c r="Q611" s="5"/>
      <c r="R611" s="5"/>
      <c r="S611" s="5"/>
      <c r="T611" s="5"/>
      <c r="U611" s="5"/>
      <c r="V611" s="5"/>
      <c r="W611" s="5"/>
      <c r="X611" s="5"/>
      <c r="Y611" s="5"/>
      <c r="Z611" s="5"/>
      <c r="AA611" s="5"/>
    </row>
    <row r="612">
      <c r="A612" s="5"/>
      <c r="B612" s="5"/>
      <c r="C612" s="5"/>
      <c r="D612" s="5"/>
      <c r="E612" s="64"/>
      <c r="F612" s="5"/>
      <c r="G612" s="5"/>
      <c r="H612" s="5"/>
      <c r="I612" s="5"/>
      <c r="J612" s="5"/>
      <c r="K612" s="64"/>
      <c r="L612" s="64"/>
      <c r="M612" s="96"/>
      <c r="N612" s="5"/>
      <c r="O612" s="5"/>
      <c r="P612" s="5"/>
      <c r="Q612" s="5"/>
      <c r="R612" s="5"/>
      <c r="S612" s="5"/>
      <c r="T612" s="5"/>
      <c r="U612" s="5"/>
      <c r="V612" s="5"/>
      <c r="W612" s="5"/>
      <c r="X612" s="5"/>
      <c r="Y612" s="5"/>
      <c r="Z612" s="5"/>
      <c r="AA612" s="5"/>
    </row>
    <row r="613">
      <c r="A613" s="5"/>
      <c r="B613" s="5"/>
      <c r="C613" s="5"/>
      <c r="D613" s="5"/>
      <c r="E613" s="64"/>
      <c r="F613" s="5"/>
      <c r="G613" s="5"/>
      <c r="H613" s="5"/>
      <c r="I613" s="5"/>
      <c r="J613" s="5"/>
      <c r="K613" s="64"/>
      <c r="L613" s="64"/>
      <c r="M613" s="96"/>
      <c r="N613" s="5"/>
      <c r="O613" s="5"/>
      <c r="P613" s="5"/>
      <c r="Q613" s="5"/>
      <c r="R613" s="5"/>
      <c r="S613" s="5"/>
      <c r="T613" s="5"/>
      <c r="U613" s="5"/>
      <c r="V613" s="5"/>
      <c r="W613" s="5"/>
      <c r="X613" s="5"/>
      <c r="Y613" s="5"/>
      <c r="Z613" s="5"/>
      <c r="AA613" s="5"/>
    </row>
    <row r="614">
      <c r="A614" s="5"/>
      <c r="B614" s="5"/>
      <c r="C614" s="5"/>
      <c r="D614" s="5"/>
      <c r="E614" s="64"/>
      <c r="F614" s="5"/>
      <c r="G614" s="5"/>
      <c r="H614" s="5"/>
      <c r="I614" s="5"/>
      <c r="J614" s="5"/>
      <c r="K614" s="64"/>
      <c r="L614" s="64"/>
      <c r="M614" s="96"/>
      <c r="N614" s="5"/>
      <c r="O614" s="5"/>
      <c r="P614" s="5"/>
      <c r="Q614" s="5"/>
      <c r="R614" s="5"/>
      <c r="S614" s="5"/>
      <c r="T614" s="5"/>
      <c r="U614" s="5"/>
      <c r="V614" s="5"/>
      <c r="W614" s="5"/>
      <c r="X614" s="5"/>
      <c r="Y614" s="5"/>
      <c r="Z614" s="5"/>
      <c r="AA614" s="5"/>
    </row>
    <row r="615">
      <c r="A615" s="5"/>
      <c r="B615" s="5"/>
      <c r="C615" s="5"/>
      <c r="D615" s="5"/>
      <c r="E615" s="64"/>
      <c r="F615" s="5"/>
      <c r="G615" s="5"/>
      <c r="H615" s="5"/>
      <c r="I615" s="5"/>
      <c r="J615" s="5"/>
      <c r="K615" s="64"/>
      <c r="L615" s="64"/>
      <c r="M615" s="96"/>
      <c r="N615" s="5"/>
      <c r="O615" s="5"/>
      <c r="P615" s="5"/>
      <c r="Q615" s="5"/>
      <c r="R615" s="5"/>
      <c r="S615" s="5"/>
      <c r="T615" s="5"/>
      <c r="U615" s="5"/>
      <c r="V615" s="5"/>
      <c r="W615" s="5"/>
      <c r="X615" s="5"/>
      <c r="Y615" s="5"/>
      <c r="Z615" s="5"/>
      <c r="AA615" s="5"/>
    </row>
    <row r="616">
      <c r="A616" s="5"/>
      <c r="B616" s="5"/>
      <c r="C616" s="5"/>
      <c r="D616" s="5"/>
      <c r="E616" s="64"/>
      <c r="F616" s="5"/>
      <c r="G616" s="5"/>
      <c r="H616" s="5"/>
      <c r="I616" s="5"/>
      <c r="J616" s="5"/>
      <c r="K616" s="64"/>
      <c r="L616" s="64"/>
      <c r="M616" s="96"/>
      <c r="N616" s="5"/>
      <c r="O616" s="5"/>
      <c r="P616" s="5"/>
      <c r="Q616" s="5"/>
      <c r="R616" s="5"/>
      <c r="S616" s="5"/>
      <c r="T616" s="5"/>
      <c r="U616" s="5"/>
      <c r="V616" s="5"/>
      <c r="W616" s="5"/>
      <c r="X616" s="5"/>
      <c r="Y616" s="5"/>
      <c r="Z616" s="5"/>
      <c r="AA616" s="5"/>
    </row>
    <row r="617">
      <c r="A617" s="5"/>
      <c r="B617" s="5"/>
      <c r="C617" s="5"/>
      <c r="D617" s="5"/>
      <c r="E617" s="64"/>
      <c r="F617" s="5"/>
      <c r="G617" s="5"/>
      <c r="H617" s="5"/>
      <c r="I617" s="5"/>
      <c r="J617" s="5"/>
      <c r="K617" s="64"/>
      <c r="L617" s="64"/>
      <c r="M617" s="96"/>
      <c r="N617" s="5"/>
      <c r="O617" s="5"/>
      <c r="P617" s="5"/>
      <c r="Q617" s="5"/>
      <c r="R617" s="5"/>
      <c r="S617" s="5"/>
      <c r="T617" s="5"/>
      <c r="U617" s="5"/>
      <c r="V617" s="5"/>
      <c r="W617" s="5"/>
      <c r="X617" s="5"/>
      <c r="Y617" s="5"/>
      <c r="Z617" s="5"/>
      <c r="AA617" s="5"/>
    </row>
    <row r="618">
      <c r="A618" s="5"/>
      <c r="B618" s="5"/>
      <c r="C618" s="5"/>
      <c r="D618" s="5"/>
      <c r="E618" s="64"/>
      <c r="F618" s="5"/>
      <c r="G618" s="5"/>
      <c r="H618" s="5"/>
      <c r="I618" s="5"/>
      <c r="J618" s="5"/>
      <c r="K618" s="64"/>
      <c r="L618" s="64"/>
      <c r="M618" s="96"/>
      <c r="N618" s="5"/>
      <c r="O618" s="5"/>
      <c r="P618" s="5"/>
      <c r="Q618" s="5"/>
      <c r="R618" s="5"/>
      <c r="S618" s="5"/>
      <c r="T618" s="5"/>
      <c r="U618" s="5"/>
      <c r="V618" s="5"/>
      <c r="W618" s="5"/>
      <c r="X618" s="5"/>
      <c r="Y618" s="5"/>
      <c r="Z618" s="5"/>
      <c r="AA618" s="5"/>
    </row>
    <row r="619">
      <c r="A619" s="5"/>
      <c r="B619" s="5"/>
      <c r="C619" s="5"/>
      <c r="D619" s="5"/>
      <c r="E619" s="64"/>
      <c r="F619" s="5"/>
      <c r="G619" s="5"/>
      <c r="H619" s="5"/>
      <c r="I619" s="5"/>
      <c r="J619" s="5"/>
      <c r="K619" s="64"/>
      <c r="L619" s="64"/>
      <c r="M619" s="96"/>
      <c r="N619" s="5"/>
      <c r="O619" s="5"/>
      <c r="P619" s="5"/>
      <c r="Q619" s="5"/>
      <c r="R619" s="5"/>
      <c r="S619" s="5"/>
      <c r="T619" s="5"/>
      <c r="U619" s="5"/>
      <c r="V619" s="5"/>
      <c r="W619" s="5"/>
      <c r="X619" s="5"/>
      <c r="Y619" s="5"/>
      <c r="Z619" s="5"/>
      <c r="AA619" s="5"/>
    </row>
    <row r="620">
      <c r="A620" s="5"/>
      <c r="B620" s="5"/>
      <c r="C620" s="5"/>
      <c r="D620" s="5"/>
      <c r="E620" s="64"/>
      <c r="F620" s="5"/>
      <c r="G620" s="5"/>
      <c r="H620" s="5"/>
      <c r="I620" s="5"/>
      <c r="J620" s="5"/>
      <c r="K620" s="64"/>
      <c r="L620" s="64"/>
      <c r="M620" s="96"/>
      <c r="N620" s="5"/>
      <c r="O620" s="5"/>
      <c r="P620" s="5"/>
      <c r="Q620" s="5"/>
      <c r="R620" s="5"/>
      <c r="S620" s="5"/>
      <c r="T620" s="5"/>
      <c r="U620" s="5"/>
      <c r="V620" s="5"/>
      <c r="W620" s="5"/>
      <c r="X620" s="5"/>
      <c r="Y620" s="5"/>
      <c r="Z620" s="5"/>
      <c r="AA620" s="5"/>
    </row>
    <row r="621">
      <c r="A621" s="5"/>
      <c r="B621" s="5"/>
      <c r="C621" s="5"/>
      <c r="D621" s="5"/>
      <c r="E621" s="64"/>
      <c r="F621" s="5"/>
      <c r="G621" s="5"/>
      <c r="H621" s="5"/>
      <c r="I621" s="5"/>
      <c r="J621" s="5"/>
      <c r="K621" s="64"/>
      <c r="L621" s="64"/>
      <c r="M621" s="96"/>
      <c r="N621" s="5"/>
      <c r="O621" s="5"/>
      <c r="P621" s="5"/>
      <c r="Q621" s="5"/>
      <c r="R621" s="5"/>
      <c r="S621" s="5"/>
      <c r="T621" s="5"/>
      <c r="U621" s="5"/>
      <c r="V621" s="5"/>
      <c r="W621" s="5"/>
      <c r="X621" s="5"/>
      <c r="Y621" s="5"/>
      <c r="Z621" s="5"/>
      <c r="AA621" s="5"/>
    </row>
    <row r="622">
      <c r="A622" s="5"/>
      <c r="B622" s="5"/>
      <c r="C622" s="5"/>
      <c r="D622" s="5"/>
      <c r="E622" s="64"/>
      <c r="F622" s="5"/>
      <c r="G622" s="5"/>
      <c r="H622" s="5"/>
      <c r="I622" s="5"/>
      <c r="J622" s="5"/>
      <c r="K622" s="64"/>
      <c r="L622" s="64"/>
      <c r="M622" s="96"/>
      <c r="N622" s="5"/>
      <c r="O622" s="5"/>
      <c r="P622" s="5"/>
      <c r="Q622" s="5"/>
      <c r="R622" s="5"/>
      <c r="S622" s="5"/>
      <c r="T622" s="5"/>
      <c r="U622" s="5"/>
      <c r="V622" s="5"/>
      <c r="W622" s="5"/>
      <c r="X622" s="5"/>
      <c r="Y622" s="5"/>
      <c r="Z622" s="5"/>
      <c r="AA622" s="5"/>
    </row>
    <row r="623">
      <c r="A623" s="5"/>
      <c r="B623" s="5"/>
      <c r="C623" s="5"/>
      <c r="D623" s="5"/>
      <c r="E623" s="64"/>
      <c r="F623" s="5"/>
      <c r="G623" s="5"/>
      <c r="H623" s="5"/>
      <c r="I623" s="5"/>
      <c r="J623" s="5"/>
      <c r="K623" s="64"/>
      <c r="L623" s="64"/>
      <c r="M623" s="96"/>
      <c r="N623" s="5"/>
      <c r="O623" s="5"/>
      <c r="P623" s="5"/>
      <c r="Q623" s="5"/>
      <c r="R623" s="5"/>
      <c r="S623" s="5"/>
      <c r="T623" s="5"/>
      <c r="U623" s="5"/>
      <c r="V623" s="5"/>
      <c r="W623" s="5"/>
      <c r="X623" s="5"/>
      <c r="Y623" s="5"/>
      <c r="Z623" s="5"/>
      <c r="AA623" s="5"/>
    </row>
    <row r="624">
      <c r="A624" s="5"/>
      <c r="B624" s="5"/>
      <c r="C624" s="5"/>
      <c r="D624" s="5"/>
      <c r="E624" s="64"/>
      <c r="F624" s="5"/>
      <c r="G624" s="5"/>
      <c r="H624" s="5"/>
      <c r="I624" s="5"/>
      <c r="J624" s="5"/>
      <c r="K624" s="64"/>
      <c r="L624" s="64"/>
      <c r="M624" s="96"/>
      <c r="N624" s="5"/>
      <c r="O624" s="5"/>
      <c r="P624" s="5"/>
      <c r="Q624" s="5"/>
      <c r="R624" s="5"/>
      <c r="S624" s="5"/>
      <c r="T624" s="5"/>
      <c r="U624" s="5"/>
      <c r="V624" s="5"/>
      <c r="W624" s="5"/>
      <c r="X624" s="5"/>
      <c r="Y624" s="5"/>
      <c r="Z624" s="5"/>
      <c r="AA624" s="5"/>
    </row>
    <row r="625">
      <c r="A625" s="5"/>
      <c r="B625" s="5"/>
      <c r="C625" s="5"/>
      <c r="D625" s="5"/>
      <c r="E625" s="64"/>
      <c r="F625" s="5"/>
      <c r="G625" s="5"/>
      <c r="H625" s="5"/>
      <c r="I625" s="5"/>
      <c r="J625" s="5"/>
      <c r="K625" s="64"/>
      <c r="L625" s="64"/>
      <c r="M625" s="96"/>
      <c r="N625" s="5"/>
      <c r="O625" s="5"/>
      <c r="P625" s="5"/>
      <c r="Q625" s="5"/>
      <c r="R625" s="5"/>
      <c r="S625" s="5"/>
      <c r="T625" s="5"/>
      <c r="U625" s="5"/>
      <c r="V625" s="5"/>
      <c r="W625" s="5"/>
      <c r="X625" s="5"/>
      <c r="Y625" s="5"/>
      <c r="Z625" s="5"/>
      <c r="AA625" s="5"/>
    </row>
    <row r="626">
      <c r="A626" s="5"/>
      <c r="B626" s="5"/>
      <c r="C626" s="5"/>
      <c r="D626" s="5"/>
      <c r="E626" s="64"/>
      <c r="F626" s="5"/>
      <c r="G626" s="5"/>
      <c r="H626" s="5"/>
      <c r="I626" s="5"/>
      <c r="J626" s="5"/>
      <c r="K626" s="64"/>
      <c r="L626" s="64"/>
      <c r="M626" s="96"/>
      <c r="N626" s="5"/>
      <c r="O626" s="5"/>
      <c r="P626" s="5"/>
      <c r="Q626" s="5"/>
      <c r="R626" s="5"/>
      <c r="S626" s="5"/>
      <c r="T626" s="5"/>
      <c r="U626" s="5"/>
      <c r="V626" s="5"/>
      <c r="W626" s="5"/>
      <c r="X626" s="5"/>
      <c r="Y626" s="5"/>
      <c r="Z626" s="5"/>
      <c r="AA626" s="5"/>
    </row>
    <row r="627">
      <c r="A627" s="5"/>
      <c r="B627" s="5"/>
      <c r="C627" s="5"/>
      <c r="D627" s="5"/>
      <c r="E627" s="64"/>
      <c r="F627" s="5"/>
      <c r="G627" s="5"/>
      <c r="H627" s="5"/>
      <c r="I627" s="5"/>
      <c r="J627" s="5"/>
      <c r="K627" s="64"/>
      <c r="L627" s="64"/>
      <c r="M627" s="96"/>
      <c r="N627" s="5"/>
      <c r="O627" s="5"/>
      <c r="P627" s="5"/>
      <c r="Q627" s="5"/>
      <c r="R627" s="5"/>
      <c r="S627" s="5"/>
      <c r="T627" s="5"/>
      <c r="U627" s="5"/>
      <c r="V627" s="5"/>
      <c r="W627" s="5"/>
      <c r="X627" s="5"/>
      <c r="Y627" s="5"/>
      <c r="Z627" s="5"/>
      <c r="AA627" s="5"/>
    </row>
    <row r="628">
      <c r="A628" s="5"/>
      <c r="B628" s="5"/>
      <c r="C628" s="5"/>
      <c r="D628" s="5"/>
      <c r="E628" s="64"/>
      <c r="F628" s="5"/>
      <c r="G628" s="5"/>
      <c r="H628" s="5"/>
      <c r="I628" s="5"/>
      <c r="J628" s="5"/>
      <c r="K628" s="64"/>
      <c r="L628" s="64"/>
      <c r="M628" s="96"/>
      <c r="N628" s="5"/>
      <c r="O628" s="5"/>
      <c r="P628" s="5"/>
      <c r="Q628" s="5"/>
      <c r="R628" s="5"/>
      <c r="S628" s="5"/>
      <c r="T628" s="5"/>
      <c r="U628" s="5"/>
      <c r="V628" s="5"/>
      <c r="W628" s="5"/>
      <c r="X628" s="5"/>
      <c r="Y628" s="5"/>
      <c r="Z628" s="5"/>
      <c r="AA628" s="5"/>
    </row>
    <row r="629">
      <c r="A629" s="5"/>
      <c r="B629" s="5"/>
      <c r="C629" s="5"/>
      <c r="D629" s="5"/>
      <c r="E629" s="64"/>
      <c r="F629" s="5"/>
      <c r="G629" s="5"/>
      <c r="H629" s="5"/>
      <c r="I629" s="5"/>
      <c r="J629" s="5"/>
      <c r="K629" s="64"/>
      <c r="L629" s="64"/>
      <c r="M629" s="96"/>
      <c r="N629" s="5"/>
      <c r="O629" s="5"/>
      <c r="P629" s="5"/>
      <c r="Q629" s="5"/>
      <c r="R629" s="5"/>
      <c r="S629" s="5"/>
      <c r="T629" s="5"/>
      <c r="U629" s="5"/>
      <c r="V629" s="5"/>
      <c r="W629" s="5"/>
      <c r="X629" s="5"/>
      <c r="Y629" s="5"/>
      <c r="Z629" s="5"/>
      <c r="AA629" s="5"/>
    </row>
    <row r="630">
      <c r="A630" s="5"/>
      <c r="B630" s="5"/>
      <c r="C630" s="5"/>
      <c r="D630" s="5"/>
      <c r="E630" s="64"/>
      <c r="F630" s="5"/>
      <c r="G630" s="5"/>
      <c r="H630" s="5"/>
      <c r="I630" s="5"/>
      <c r="J630" s="5"/>
      <c r="K630" s="64"/>
      <c r="L630" s="64"/>
      <c r="M630" s="96"/>
      <c r="N630" s="5"/>
      <c r="O630" s="5"/>
      <c r="P630" s="5"/>
      <c r="Q630" s="5"/>
      <c r="R630" s="5"/>
      <c r="S630" s="5"/>
      <c r="T630" s="5"/>
      <c r="U630" s="5"/>
      <c r="V630" s="5"/>
      <c r="W630" s="5"/>
      <c r="X630" s="5"/>
      <c r="Y630" s="5"/>
      <c r="Z630" s="5"/>
      <c r="AA630" s="5"/>
    </row>
    <row r="631">
      <c r="A631" s="5"/>
      <c r="B631" s="5"/>
      <c r="C631" s="5"/>
      <c r="D631" s="5"/>
      <c r="E631" s="64"/>
      <c r="F631" s="5"/>
      <c r="G631" s="5"/>
      <c r="H631" s="5"/>
      <c r="I631" s="5"/>
      <c r="J631" s="5"/>
      <c r="K631" s="64"/>
      <c r="L631" s="64"/>
      <c r="M631" s="96"/>
      <c r="N631" s="5"/>
      <c r="O631" s="5"/>
      <c r="P631" s="5"/>
      <c r="Q631" s="5"/>
      <c r="R631" s="5"/>
      <c r="S631" s="5"/>
      <c r="T631" s="5"/>
      <c r="U631" s="5"/>
      <c r="V631" s="5"/>
      <c r="W631" s="5"/>
      <c r="X631" s="5"/>
      <c r="Y631" s="5"/>
      <c r="Z631" s="5"/>
      <c r="AA631" s="5"/>
    </row>
    <row r="632">
      <c r="A632" s="5"/>
      <c r="B632" s="5"/>
      <c r="C632" s="5"/>
      <c r="D632" s="5"/>
      <c r="E632" s="64"/>
      <c r="F632" s="5"/>
      <c r="G632" s="5"/>
      <c r="H632" s="5"/>
      <c r="I632" s="5"/>
      <c r="J632" s="5"/>
      <c r="K632" s="64"/>
      <c r="L632" s="64"/>
      <c r="M632" s="96"/>
      <c r="N632" s="5"/>
      <c r="O632" s="5"/>
      <c r="P632" s="5"/>
      <c r="Q632" s="5"/>
      <c r="R632" s="5"/>
      <c r="S632" s="5"/>
      <c r="T632" s="5"/>
      <c r="U632" s="5"/>
      <c r="V632" s="5"/>
      <c r="W632" s="5"/>
      <c r="X632" s="5"/>
      <c r="Y632" s="5"/>
      <c r="Z632" s="5"/>
      <c r="AA632" s="5"/>
    </row>
    <row r="633">
      <c r="A633" s="5"/>
      <c r="B633" s="5"/>
      <c r="C633" s="5"/>
      <c r="D633" s="5"/>
      <c r="E633" s="64"/>
      <c r="F633" s="5"/>
      <c r="G633" s="5"/>
      <c r="H633" s="5"/>
      <c r="I633" s="5"/>
      <c r="J633" s="5"/>
      <c r="K633" s="64"/>
      <c r="L633" s="64"/>
      <c r="M633" s="96"/>
      <c r="N633" s="5"/>
      <c r="O633" s="5"/>
      <c r="P633" s="5"/>
      <c r="Q633" s="5"/>
      <c r="R633" s="5"/>
      <c r="S633" s="5"/>
      <c r="T633" s="5"/>
      <c r="U633" s="5"/>
      <c r="V633" s="5"/>
      <c r="W633" s="5"/>
      <c r="X633" s="5"/>
      <c r="Y633" s="5"/>
      <c r="Z633" s="5"/>
      <c r="AA633" s="5"/>
    </row>
    <row r="634">
      <c r="A634" s="5"/>
      <c r="B634" s="5"/>
      <c r="C634" s="5"/>
      <c r="D634" s="5"/>
      <c r="E634" s="64"/>
      <c r="F634" s="5"/>
      <c r="G634" s="5"/>
      <c r="H634" s="5"/>
      <c r="I634" s="5"/>
      <c r="J634" s="5"/>
      <c r="K634" s="64"/>
      <c r="L634" s="64"/>
      <c r="M634" s="96"/>
      <c r="N634" s="5"/>
      <c r="O634" s="5"/>
      <c r="P634" s="5"/>
      <c r="Q634" s="5"/>
      <c r="R634" s="5"/>
      <c r="S634" s="5"/>
      <c r="T634" s="5"/>
      <c r="U634" s="5"/>
      <c r="V634" s="5"/>
      <c r="W634" s="5"/>
      <c r="X634" s="5"/>
      <c r="Y634" s="5"/>
      <c r="Z634" s="5"/>
      <c r="AA634" s="5"/>
    </row>
    <row r="635">
      <c r="A635" s="5"/>
      <c r="B635" s="5"/>
      <c r="C635" s="5"/>
      <c r="D635" s="5"/>
      <c r="E635" s="64"/>
      <c r="F635" s="5"/>
      <c r="G635" s="5"/>
      <c r="H635" s="5"/>
      <c r="I635" s="5"/>
      <c r="J635" s="5"/>
      <c r="K635" s="64"/>
      <c r="L635" s="64"/>
      <c r="M635" s="96"/>
      <c r="N635" s="5"/>
      <c r="O635" s="5"/>
      <c r="P635" s="5"/>
      <c r="Q635" s="5"/>
      <c r="R635" s="5"/>
      <c r="S635" s="5"/>
      <c r="T635" s="5"/>
      <c r="U635" s="5"/>
      <c r="V635" s="5"/>
      <c r="W635" s="5"/>
      <c r="X635" s="5"/>
      <c r="Y635" s="5"/>
      <c r="Z635" s="5"/>
      <c r="AA635" s="5"/>
    </row>
    <row r="636">
      <c r="A636" s="5"/>
      <c r="B636" s="5"/>
      <c r="C636" s="5"/>
      <c r="D636" s="5"/>
      <c r="E636" s="64"/>
      <c r="F636" s="5"/>
      <c r="G636" s="5"/>
      <c r="H636" s="5"/>
      <c r="I636" s="5"/>
      <c r="J636" s="5"/>
      <c r="K636" s="64"/>
      <c r="L636" s="64"/>
      <c r="M636" s="96"/>
      <c r="N636" s="5"/>
      <c r="O636" s="5"/>
      <c r="P636" s="5"/>
      <c r="Q636" s="5"/>
      <c r="R636" s="5"/>
      <c r="S636" s="5"/>
      <c r="T636" s="5"/>
      <c r="U636" s="5"/>
      <c r="V636" s="5"/>
      <c r="W636" s="5"/>
      <c r="X636" s="5"/>
      <c r="Y636" s="5"/>
      <c r="Z636" s="5"/>
      <c r="AA636" s="5"/>
    </row>
    <row r="637">
      <c r="A637" s="5"/>
      <c r="B637" s="5"/>
      <c r="C637" s="5"/>
      <c r="D637" s="5"/>
      <c r="E637" s="64"/>
      <c r="F637" s="5"/>
      <c r="G637" s="5"/>
      <c r="H637" s="5"/>
      <c r="I637" s="5"/>
      <c r="J637" s="5"/>
      <c r="K637" s="64"/>
      <c r="L637" s="64"/>
      <c r="M637" s="96"/>
      <c r="N637" s="5"/>
      <c r="O637" s="5"/>
      <c r="P637" s="5"/>
      <c r="Q637" s="5"/>
      <c r="R637" s="5"/>
      <c r="S637" s="5"/>
      <c r="T637" s="5"/>
      <c r="U637" s="5"/>
      <c r="V637" s="5"/>
      <c r="W637" s="5"/>
      <c r="X637" s="5"/>
      <c r="Y637" s="5"/>
      <c r="Z637" s="5"/>
      <c r="AA637" s="5"/>
    </row>
    <row r="638">
      <c r="A638" s="5"/>
      <c r="B638" s="5"/>
      <c r="C638" s="5"/>
      <c r="D638" s="5"/>
      <c r="E638" s="64"/>
      <c r="F638" s="5"/>
      <c r="G638" s="5"/>
      <c r="H638" s="5"/>
      <c r="I638" s="5"/>
      <c r="J638" s="5"/>
      <c r="K638" s="64"/>
      <c r="L638" s="64"/>
      <c r="M638" s="96"/>
      <c r="N638" s="5"/>
      <c r="O638" s="5"/>
      <c r="P638" s="5"/>
      <c r="Q638" s="5"/>
      <c r="R638" s="5"/>
      <c r="S638" s="5"/>
      <c r="T638" s="5"/>
      <c r="U638" s="5"/>
      <c r="V638" s="5"/>
      <c r="W638" s="5"/>
      <c r="X638" s="5"/>
      <c r="Y638" s="5"/>
      <c r="Z638" s="5"/>
      <c r="AA638" s="5"/>
    </row>
    <row r="639">
      <c r="A639" s="5"/>
      <c r="B639" s="5"/>
      <c r="C639" s="5"/>
      <c r="D639" s="5"/>
      <c r="E639" s="64"/>
      <c r="F639" s="5"/>
      <c r="G639" s="5"/>
      <c r="H639" s="5"/>
      <c r="I639" s="5"/>
      <c r="J639" s="5"/>
      <c r="K639" s="64"/>
      <c r="L639" s="64"/>
      <c r="M639" s="96"/>
      <c r="N639" s="5"/>
      <c r="O639" s="5"/>
      <c r="P639" s="5"/>
      <c r="Q639" s="5"/>
      <c r="R639" s="5"/>
      <c r="S639" s="5"/>
      <c r="T639" s="5"/>
      <c r="U639" s="5"/>
      <c r="V639" s="5"/>
      <c r="W639" s="5"/>
      <c r="X639" s="5"/>
      <c r="Y639" s="5"/>
      <c r="Z639" s="5"/>
      <c r="AA639" s="5"/>
    </row>
    <row r="640">
      <c r="A640" s="5"/>
      <c r="B640" s="5"/>
      <c r="C640" s="5"/>
      <c r="D640" s="5"/>
      <c r="E640" s="64"/>
      <c r="F640" s="5"/>
      <c r="G640" s="5"/>
      <c r="H640" s="5"/>
      <c r="I640" s="5"/>
      <c r="J640" s="5"/>
      <c r="K640" s="64"/>
      <c r="L640" s="64"/>
      <c r="M640" s="96"/>
      <c r="N640" s="5"/>
      <c r="O640" s="5"/>
      <c r="P640" s="5"/>
      <c r="Q640" s="5"/>
      <c r="R640" s="5"/>
      <c r="S640" s="5"/>
      <c r="T640" s="5"/>
      <c r="U640" s="5"/>
      <c r="V640" s="5"/>
      <c r="W640" s="5"/>
      <c r="X640" s="5"/>
      <c r="Y640" s="5"/>
      <c r="Z640" s="5"/>
      <c r="AA640" s="5"/>
    </row>
    <row r="641">
      <c r="A641" s="5"/>
      <c r="B641" s="5"/>
      <c r="C641" s="5"/>
      <c r="D641" s="5"/>
      <c r="E641" s="64"/>
      <c r="F641" s="5"/>
      <c r="G641" s="5"/>
      <c r="H641" s="5"/>
      <c r="I641" s="5"/>
      <c r="J641" s="5"/>
      <c r="K641" s="64"/>
      <c r="L641" s="64"/>
      <c r="M641" s="96"/>
      <c r="N641" s="5"/>
      <c r="O641" s="5"/>
      <c r="P641" s="5"/>
      <c r="Q641" s="5"/>
      <c r="R641" s="5"/>
      <c r="S641" s="5"/>
      <c r="T641" s="5"/>
      <c r="U641" s="5"/>
      <c r="V641" s="5"/>
      <c r="W641" s="5"/>
      <c r="X641" s="5"/>
      <c r="Y641" s="5"/>
      <c r="Z641" s="5"/>
      <c r="AA641" s="5"/>
    </row>
    <row r="642">
      <c r="A642" s="5"/>
      <c r="B642" s="5"/>
      <c r="C642" s="5"/>
      <c r="D642" s="5"/>
      <c r="E642" s="64"/>
      <c r="F642" s="5"/>
      <c r="G642" s="5"/>
      <c r="H642" s="5"/>
      <c r="I642" s="5"/>
      <c r="J642" s="5"/>
      <c r="K642" s="64"/>
      <c r="L642" s="64"/>
      <c r="M642" s="96"/>
      <c r="N642" s="5"/>
      <c r="O642" s="5"/>
      <c r="P642" s="5"/>
      <c r="Q642" s="5"/>
      <c r="R642" s="5"/>
      <c r="S642" s="5"/>
      <c r="T642" s="5"/>
      <c r="U642" s="5"/>
      <c r="V642" s="5"/>
      <c r="W642" s="5"/>
      <c r="X642" s="5"/>
      <c r="Y642" s="5"/>
      <c r="Z642" s="5"/>
      <c r="AA642" s="5"/>
    </row>
    <row r="643">
      <c r="A643" s="5"/>
      <c r="B643" s="5"/>
      <c r="C643" s="5"/>
      <c r="D643" s="5"/>
      <c r="E643" s="64"/>
      <c r="F643" s="5"/>
      <c r="G643" s="5"/>
      <c r="H643" s="5"/>
      <c r="I643" s="5"/>
      <c r="J643" s="5"/>
      <c r="K643" s="64"/>
      <c r="L643" s="64"/>
      <c r="M643" s="96"/>
      <c r="N643" s="5"/>
      <c r="O643" s="5"/>
      <c r="P643" s="5"/>
      <c r="Q643" s="5"/>
      <c r="R643" s="5"/>
      <c r="S643" s="5"/>
      <c r="T643" s="5"/>
      <c r="U643" s="5"/>
      <c r="V643" s="5"/>
      <c r="W643" s="5"/>
      <c r="X643" s="5"/>
      <c r="Y643" s="5"/>
      <c r="Z643" s="5"/>
      <c r="AA643" s="5"/>
    </row>
    <row r="644">
      <c r="A644" s="5"/>
      <c r="B644" s="5"/>
      <c r="C644" s="5"/>
      <c r="D644" s="5"/>
      <c r="E644" s="64"/>
      <c r="F644" s="5"/>
      <c r="G644" s="5"/>
      <c r="H644" s="5"/>
      <c r="I644" s="5"/>
      <c r="J644" s="5"/>
      <c r="K644" s="64"/>
      <c r="L644" s="64"/>
      <c r="M644" s="96"/>
      <c r="N644" s="5"/>
      <c r="O644" s="5"/>
      <c r="P644" s="5"/>
      <c r="Q644" s="5"/>
      <c r="R644" s="5"/>
      <c r="S644" s="5"/>
      <c r="T644" s="5"/>
      <c r="U644" s="5"/>
      <c r="V644" s="5"/>
      <c r="W644" s="5"/>
      <c r="X644" s="5"/>
      <c r="Y644" s="5"/>
      <c r="Z644" s="5"/>
      <c r="AA644" s="5"/>
    </row>
    <row r="645">
      <c r="A645" s="5"/>
      <c r="B645" s="5"/>
      <c r="C645" s="5"/>
      <c r="D645" s="5"/>
      <c r="E645" s="64"/>
      <c r="F645" s="5"/>
      <c r="G645" s="5"/>
      <c r="H645" s="5"/>
      <c r="I645" s="5"/>
      <c r="J645" s="5"/>
      <c r="K645" s="64"/>
      <c r="L645" s="64"/>
      <c r="M645" s="96"/>
      <c r="N645" s="5"/>
      <c r="O645" s="5"/>
      <c r="P645" s="5"/>
      <c r="Q645" s="5"/>
      <c r="R645" s="5"/>
      <c r="S645" s="5"/>
      <c r="T645" s="5"/>
      <c r="U645" s="5"/>
      <c r="V645" s="5"/>
      <c r="W645" s="5"/>
      <c r="X645" s="5"/>
      <c r="Y645" s="5"/>
      <c r="Z645" s="5"/>
      <c r="AA645" s="5"/>
    </row>
    <row r="646">
      <c r="A646" s="5"/>
      <c r="B646" s="5"/>
      <c r="C646" s="5"/>
      <c r="D646" s="5"/>
      <c r="E646" s="64"/>
      <c r="F646" s="5"/>
      <c r="G646" s="5"/>
      <c r="H646" s="5"/>
      <c r="I646" s="5"/>
      <c r="J646" s="5"/>
      <c r="K646" s="64"/>
      <c r="L646" s="64"/>
      <c r="M646" s="96"/>
      <c r="N646" s="5"/>
      <c r="O646" s="5"/>
      <c r="P646" s="5"/>
      <c r="Q646" s="5"/>
      <c r="R646" s="5"/>
      <c r="S646" s="5"/>
      <c r="T646" s="5"/>
      <c r="U646" s="5"/>
      <c r="V646" s="5"/>
      <c r="W646" s="5"/>
      <c r="X646" s="5"/>
      <c r="Y646" s="5"/>
      <c r="Z646" s="5"/>
      <c r="AA646" s="5"/>
    </row>
    <row r="647">
      <c r="A647" s="5"/>
      <c r="B647" s="5"/>
      <c r="C647" s="5"/>
      <c r="D647" s="5"/>
      <c r="E647" s="64"/>
      <c r="F647" s="5"/>
      <c r="G647" s="5"/>
      <c r="H647" s="5"/>
      <c r="I647" s="5"/>
      <c r="J647" s="5"/>
      <c r="K647" s="64"/>
      <c r="L647" s="64"/>
      <c r="M647" s="96"/>
      <c r="N647" s="5"/>
      <c r="O647" s="5"/>
      <c r="P647" s="5"/>
      <c r="Q647" s="5"/>
      <c r="R647" s="5"/>
      <c r="S647" s="5"/>
      <c r="T647" s="5"/>
      <c r="U647" s="5"/>
      <c r="V647" s="5"/>
      <c r="W647" s="5"/>
      <c r="X647" s="5"/>
      <c r="Y647" s="5"/>
      <c r="Z647" s="5"/>
      <c r="AA647" s="5"/>
    </row>
    <row r="648">
      <c r="A648" s="5"/>
      <c r="B648" s="5"/>
      <c r="C648" s="5"/>
      <c r="D648" s="5"/>
      <c r="E648" s="64"/>
      <c r="F648" s="5"/>
      <c r="G648" s="5"/>
      <c r="H648" s="5"/>
      <c r="I648" s="5"/>
      <c r="J648" s="5"/>
      <c r="K648" s="64"/>
      <c r="L648" s="64"/>
      <c r="M648" s="96"/>
      <c r="N648" s="5"/>
      <c r="O648" s="5"/>
      <c r="P648" s="5"/>
      <c r="Q648" s="5"/>
      <c r="R648" s="5"/>
      <c r="S648" s="5"/>
      <c r="T648" s="5"/>
      <c r="U648" s="5"/>
      <c r="V648" s="5"/>
      <c r="W648" s="5"/>
      <c r="X648" s="5"/>
      <c r="Y648" s="5"/>
      <c r="Z648" s="5"/>
      <c r="AA648" s="5"/>
    </row>
    <row r="649">
      <c r="A649" s="5"/>
      <c r="B649" s="5"/>
      <c r="C649" s="5"/>
      <c r="D649" s="5"/>
      <c r="E649" s="64"/>
      <c r="F649" s="5"/>
      <c r="G649" s="5"/>
      <c r="H649" s="5"/>
      <c r="I649" s="5"/>
      <c r="J649" s="5"/>
      <c r="K649" s="64"/>
      <c r="L649" s="64"/>
      <c r="M649" s="96"/>
      <c r="N649" s="5"/>
      <c r="O649" s="5"/>
      <c r="P649" s="5"/>
      <c r="Q649" s="5"/>
      <c r="R649" s="5"/>
      <c r="S649" s="5"/>
      <c r="T649" s="5"/>
      <c r="U649" s="5"/>
      <c r="V649" s="5"/>
      <c r="W649" s="5"/>
      <c r="X649" s="5"/>
      <c r="Y649" s="5"/>
      <c r="Z649" s="5"/>
      <c r="AA649" s="5"/>
    </row>
    <row r="650">
      <c r="A650" s="5"/>
      <c r="B650" s="5"/>
      <c r="C650" s="5"/>
      <c r="D650" s="5"/>
      <c r="E650" s="64"/>
      <c r="F650" s="5"/>
      <c r="G650" s="5"/>
      <c r="H650" s="5"/>
      <c r="I650" s="5"/>
      <c r="J650" s="5"/>
      <c r="K650" s="64"/>
      <c r="L650" s="64"/>
      <c r="M650" s="96"/>
      <c r="N650" s="5"/>
      <c r="O650" s="5"/>
      <c r="P650" s="5"/>
      <c r="Q650" s="5"/>
      <c r="R650" s="5"/>
      <c r="S650" s="5"/>
      <c r="T650" s="5"/>
      <c r="U650" s="5"/>
      <c r="V650" s="5"/>
      <c r="W650" s="5"/>
      <c r="X650" s="5"/>
      <c r="Y650" s="5"/>
      <c r="Z650" s="5"/>
      <c r="AA650" s="5"/>
    </row>
    <row r="651">
      <c r="A651" s="5"/>
      <c r="B651" s="5"/>
      <c r="C651" s="5"/>
      <c r="D651" s="5"/>
      <c r="E651" s="64"/>
      <c r="F651" s="5"/>
      <c r="G651" s="5"/>
      <c r="H651" s="5"/>
      <c r="I651" s="5"/>
      <c r="J651" s="5"/>
      <c r="K651" s="64"/>
      <c r="L651" s="64"/>
      <c r="M651" s="96"/>
      <c r="N651" s="5"/>
      <c r="O651" s="5"/>
      <c r="P651" s="5"/>
      <c r="Q651" s="5"/>
      <c r="R651" s="5"/>
      <c r="S651" s="5"/>
      <c r="T651" s="5"/>
      <c r="U651" s="5"/>
      <c r="V651" s="5"/>
      <c r="W651" s="5"/>
      <c r="X651" s="5"/>
      <c r="Y651" s="5"/>
      <c r="Z651" s="5"/>
      <c r="AA651" s="5"/>
    </row>
    <row r="652">
      <c r="A652" s="5"/>
      <c r="B652" s="5"/>
      <c r="C652" s="5"/>
      <c r="D652" s="5"/>
      <c r="E652" s="64"/>
      <c r="F652" s="5"/>
      <c r="G652" s="5"/>
      <c r="H652" s="5"/>
      <c r="I652" s="5"/>
      <c r="J652" s="5"/>
      <c r="K652" s="64"/>
      <c r="L652" s="64"/>
      <c r="M652" s="96"/>
      <c r="N652" s="5"/>
      <c r="O652" s="5"/>
      <c r="P652" s="5"/>
      <c r="Q652" s="5"/>
      <c r="R652" s="5"/>
      <c r="S652" s="5"/>
      <c r="T652" s="5"/>
      <c r="U652" s="5"/>
      <c r="V652" s="5"/>
      <c r="W652" s="5"/>
      <c r="X652" s="5"/>
      <c r="Y652" s="5"/>
      <c r="Z652" s="5"/>
      <c r="AA652" s="5"/>
    </row>
    <row r="653">
      <c r="A653" s="5"/>
      <c r="B653" s="5"/>
      <c r="C653" s="5"/>
      <c r="D653" s="5"/>
      <c r="E653" s="64"/>
      <c r="F653" s="5"/>
      <c r="G653" s="5"/>
      <c r="H653" s="5"/>
      <c r="I653" s="5"/>
      <c r="J653" s="5"/>
      <c r="K653" s="64"/>
      <c r="L653" s="64"/>
      <c r="M653" s="96"/>
      <c r="N653" s="5"/>
      <c r="O653" s="5"/>
      <c r="P653" s="5"/>
      <c r="Q653" s="5"/>
      <c r="R653" s="5"/>
      <c r="S653" s="5"/>
      <c r="T653" s="5"/>
      <c r="U653" s="5"/>
      <c r="V653" s="5"/>
      <c r="W653" s="5"/>
      <c r="X653" s="5"/>
      <c r="Y653" s="5"/>
      <c r="Z653" s="5"/>
      <c r="AA653" s="5"/>
    </row>
    <row r="654">
      <c r="A654" s="5"/>
      <c r="B654" s="5"/>
      <c r="C654" s="5"/>
      <c r="D654" s="5"/>
      <c r="E654" s="64"/>
      <c r="F654" s="5"/>
      <c r="G654" s="5"/>
      <c r="H654" s="5"/>
      <c r="I654" s="5"/>
      <c r="J654" s="5"/>
      <c r="K654" s="64"/>
      <c r="L654" s="64"/>
      <c r="M654" s="96"/>
      <c r="N654" s="5"/>
      <c r="O654" s="5"/>
      <c r="P654" s="5"/>
      <c r="Q654" s="5"/>
      <c r="R654" s="5"/>
      <c r="S654" s="5"/>
      <c r="T654" s="5"/>
      <c r="U654" s="5"/>
      <c r="V654" s="5"/>
      <c r="W654" s="5"/>
      <c r="X654" s="5"/>
      <c r="Y654" s="5"/>
      <c r="Z654" s="5"/>
      <c r="AA654" s="5"/>
    </row>
    <row r="655">
      <c r="A655" s="5"/>
      <c r="B655" s="5"/>
      <c r="C655" s="5"/>
      <c r="D655" s="5"/>
      <c r="E655" s="64"/>
      <c r="F655" s="5"/>
      <c r="G655" s="5"/>
      <c r="H655" s="5"/>
      <c r="I655" s="5"/>
      <c r="J655" s="5"/>
      <c r="K655" s="64"/>
      <c r="L655" s="64"/>
      <c r="M655" s="96"/>
      <c r="N655" s="5"/>
      <c r="O655" s="5"/>
      <c r="P655" s="5"/>
      <c r="Q655" s="5"/>
      <c r="R655" s="5"/>
      <c r="S655" s="5"/>
      <c r="T655" s="5"/>
      <c r="U655" s="5"/>
      <c r="V655" s="5"/>
      <c r="W655" s="5"/>
      <c r="X655" s="5"/>
      <c r="Y655" s="5"/>
      <c r="Z655" s="5"/>
      <c r="AA655" s="5"/>
    </row>
    <row r="656">
      <c r="A656" s="5"/>
      <c r="B656" s="5"/>
      <c r="C656" s="5"/>
      <c r="D656" s="5"/>
      <c r="E656" s="64"/>
      <c r="F656" s="5"/>
      <c r="G656" s="5"/>
      <c r="H656" s="5"/>
      <c r="I656" s="5"/>
      <c r="J656" s="5"/>
      <c r="K656" s="64"/>
      <c r="L656" s="64"/>
      <c r="M656" s="96"/>
      <c r="N656" s="5"/>
      <c r="O656" s="5"/>
      <c r="P656" s="5"/>
      <c r="Q656" s="5"/>
      <c r="R656" s="5"/>
      <c r="S656" s="5"/>
      <c r="T656" s="5"/>
      <c r="U656" s="5"/>
      <c r="V656" s="5"/>
      <c r="W656" s="5"/>
      <c r="X656" s="5"/>
      <c r="Y656" s="5"/>
      <c r="Z656" s="5"/>
      <c r="AA656" s="5"/>
    </row>
    <row r="657">
      <c r="A657" s="5"/>
      <c r="B657" s="5"/>
      <c r="C657" s="5"/>
      <c r="D657" s="5"/>
      <c r="E657" s="64"/>
      <c r="F657" s="5"/>
      <c r="G657" s="5"/>
      <c r="H657" s="5"/>
      <c r="I657" s="5"/>
      <c r="J657" s="5"/>
      <c r="K657" s="64"/>
      <c r="L657" s="64"/>
      <c r="M657" s="96"/>
      <c r="N657" s="5"/>
      <c r="O657" s="5"/>
      <c r="P657" s="5"/>
      <c r="Q657" s="5"/>
      <c r="R657" s="5"/>
      <c r="S657" s="5"/>
      <c r="T657" s="5"/>
      <c r="U657" s="5"/>
      <c r="V657" s="5"/>
      <c r="W657" s="5"/>
      <c r="X657" s="5"/>
      <c r="Y657" s="5"/>
      <c r="Z657" s="5"/>
      <c r="AA657" s="5"/>
    </row>
    <row r="658">
      <c r="A658" s="5"/>
      <c r="B658" s="5"/>
      <c r="C658" s="5"/>
      <c r="D658" s="5"/>
      <c r="E658" s="64"/>
      <c r="F658" s="5"/>
      <c r="G658" s="5"/>
      <c r="H658" s="5"/>
      <c r="I658" s="5"/>
      <c r="J658" s="5"/>
      <c r="K658" s="64"/>
      <c r="L658" s="64"/>
      <c r="M658" s="96"/>
      <c r="N658" s="5"/>
      <c r="O658" s="5"/>
      <c r="P658" s="5"/>
      <c r="Q658" s="5"/>
      <c r="R658" s="5"/>
      <c r="S658" s="5"/>
      <c r="T658" s="5"/>
      <c r="U658" s="5"/>
      <c r="V658" s="5"/>
      <c r="W658" s="5"/>
      <c r="X658" s="5"/>
      <c r="Y658" s="5"/>
      <c r="Z658" s="5"/>
      <c r="AA658" s="5"/>
    </row>
    <row r="659">
      <c r="A659" s="5"/>
      <c r="B659" s="5"/>
      <c r="C659" s="5"/>
      <c r="D659" s="5"/>
      <c r="E659" s="64"/>
      <c r="F659" s="5"/>
      <c r="G659" s="5"/>
      <c r="H659" s="5"/>
      <c r="I659" s="5"/>
      <c r="J659" s="5"/>
      <c r="K659" s="64"/>
      <c r="L659" s="64"/>
      <c r="M659" s="96"/>
      <c r="N659" s="5"/>
      <c r="O659" s="5"/>
      <c r="P659" s="5"/>
      <c r="Q659" s="5"/>
      <c r="R659" s="5"/>
      <c r="S659" s="5"/>
      <c r="T659" s="5"/>
      <c r="U659" s="5"/>
      <c r="V659" s="5"/>
      <c r="W659" s="5"/>
      <c r="X659" s="5"/>
      <c r="Y659" s="5"/>
      <c r="Z659" s="5"/>
      <c r="AA659" s="5"/>
    </row>
    <row r="660">
      <c r="A660" s="5"/>
      <c r="B660" s="5"/>
      <c r="C660" s="5"/>
      <c r="D660" s="5"/>
      <c r="E660" s="64"/>
      <c r="F660" s="5"/>
      <c r="G660" s="5"/>
      <c r="H660" s="5"/>
      <c r="I660" s="5"/>
      <c r="J660" s="5"/>
      <c r="K660" s="64"/>
      <c r="L660" s="64"/>
      <c r="M660" s="96"/>
      <c r="N660" s="5"/>
      <c r="O660" s="5"/>
      <c r="P660" s="5"/>
      <c r="Q660" s="5"/>
      <c r="R660" s="5"/>
      <c r="S660" s="5"/>
      <c r="T660" s="5"/>
      <c r="U660" s="5"/>
      <c r="V660" s="5"/>
      <c r="W660" s="5"/>
      <c r="X660" s="5"/>
      <c r="Y660" s="5"/>
      <c r="Z660" s="5"/>
      <c r="AA660" s="5"/>
    </row>
    <row r="661">
      <c r="A661" s="5"/>
      <c r="B661" s="5"/>
      <c r="C661" s="5"/>
      <c r="D661" s="5"/>
      <c r="E661" s="64"/>
      <c r="F661" s="5"/>
      <c r="G661" s="5"/>
      <c r="H661" s="5"/>
      <c r="I661" s="5"/>
      <c r="J661" s="5"/>
      <c r="K661" s="64"/>
      <c r="L661" s="64"/>
      <c r="M661" s="96"/>
      <c r="N661" s="5"/>
      <c r="O661" s="5"/>
      <c r="P661" s="5"/>
      <c r="Q661" s="5"/>
      <c r="R661" s="5"/>
      <c r="S661" s="5"/>
      <c r="T661" s="5"/>
      <c r="U661" s="5"/>
      <c r="V661" s="5"/>
      <c r="W661" s="5"/>
      <c r="X661" s="5"/>
      <c r="Y661" s="5"/>
      <c r="Z661" s="5"/>
      <c r="AA661" s="5"/>
    </row>
    <row r="662">
      <c r="A662" s="5"/>
      <c r="B662" s="5"/>
      <c r="C662" s="5"/>
      <c r="D662" s="5"/>
      <c r="E662" s="64"/>
      <c r="F662" s="5"/>
      <c r="G662" s="5"/>
      <c r="H662" s="5"/>
      <c r="I662" s="5"/>
      <c r="J662" s="5"/>
      <c r="K662" s="64"/>
      <c r="L662" s="64"/>
      <c r="M662" s="96"/>
      <c r="N662" s="5"/>
      <c r="O662" s="5"/>
      <c r="P662" s="5"/>
      <c r="Q662" s="5"/>
      <c r="R662" s="5"/>
      <c r="S662" s="5"/>
      <c r="T662" s="5"/>
      <c r="U662" s="5"/>
      <c r="V662" s="5"/>
      <c r="W662" s="5"/>
      <c r="X662" s="5"/>
      <c r="Y662" s="5"/>
      <c r="Z662" s="5"/>
      <c r="AA662" s="5"/>
    </row>
    <row r="663">
      <c r="A663" s="5"/>
      <c r="B663" s="5"/>
      <c r="C663" s="5"/>
      <c r="D663" s="5"/>
      <c r="E663" s="64"/>
      <c r="F663" s="5"/>
      <c r="G663" s="5"/>
      <c r="H663" s="5"/>
      <c r="I663" s="5"/>
      <c r="J663" s="5"/>
      <c r="K663" s="64"/>
      <c r="L663" s="64"/>
      <c r="M663" s="96"/>
      <c r="N663" s="5"/>
      <c r="O663" s="5"/>
      <c r="P663" s="5"/>
      <c r="Q663" s="5"/>
      <c r="R663" s="5"/>
      <c r="S663" s="5"/>
      <c r="T663" s="5"/>
      <c r="U663" s="5"/>
      <c r="V663" s="5"/>
      <c r="W663" s="5"/>
      <c r="X663" s="5"/>
      <c r="Y663" s="5"/>
      <c r="Z663" s="5"/>
      <c r="AA663" s="5"/>
    </row>
    <row r="664">
      <c r="A664" s="5"/>
      <c r="B664" s="5"/>
      <c r="C664" s="5"/>
      <c r="D664" s="5"/>
      <c r="E664" s="64"/>
      <c r="F664" s="5"/>
      <c r="G664" s="5"/>
      <c r="H664" s="5"/>
      <c r="I664" s="5"/>
      <c r="J664" s="5"/>
      <c r="K664" s="64"/>
      <c r="L664" s="64"/>
      <c r="M664" s="96"/>
      <c r="N664" s="5"/>
      <c r="O664" s="5"/>
      <c r="P664" s="5"/>
      <c r="Q664" s="5"/>
      <c r="R664" s="5"/>
      <c r="S664" s="5"/>
      <c r="T664" s="5"/>
      <c r="U664" s="5"/>
      <c r="V664" s="5"/>
      <c r="W664" s="5"/>
      <c r="X664" s="5"/>
      <c r="Y664" s="5"/>
      <c r="Z664" s="5"/>
      <c r="AA664" s="5"/>
    </row>
    <row r="665">
      <c r="A665" s="5"/>
      <c r="B665" s="5"/>
      <c r="C665" s="5"/>
      <c r="D665" s="5"/>
      <c r="E665" s="64"/>
      <c r="F665" s="5"/>
      <c r="G665" s="5"/>
      <c r="H665" s="5"/>
      <c r="I665" s="5"/>
      <c r="J665" s="5"/>
      <c r="K665" s="64"/>
      <c r="L665" s="64"/>
      <c r="M665" s="96"/>
      <c r="N665" s="5"/>
      <c r="O665" s="5"/>
      <c r="P665" s="5"/>
      <c r="Q665" s="5"/>
      <c r="R665" s="5"/>
      <c r="S665" s="5"/>
      <c r="T665" s="5"/>
      <c r="U665" s="5"/>
      <c r="V665" s="5"/>
      <c r="W665" s="5"/>
      <c r="X665" s="5"/>
      <c r="Y665" s="5"/>
      <c r="Z665" s="5"/>
      <c r="AA665" s="5"/>
    </row>
    <row r="666">
      <c r="A666" s="5"/>
      <c r="B666" s="5"/>
      <c r="C666" s="5"/>
      <c r="D666" s="5"/>
      <c r="E666" s="64"/>
      <c r="F666" s="5"/>
      <c r="G666" s="5"/>
      <c r="H666" s="5"/>
      <c r="I666" s="5"/>
      <c r="J666" s="5"/>
      <c r="K666" s="64"/>
      <c r="L666" s="64"/>
      <c r="M666" s="96"/>
      <c r="N666" s="5"/>
      <c r="O666" s="5"/>
      <c r="P666" s="5"/>
      <c r="Q666" s="5"/>
      <c r="R666" s="5"/>
      <c r="S666" s="5"/>
      <c r="T666" s="5"/>
      <c r="U666" s="5"/>
      <c r="V666" s="5"/>
      <c r="W666" s="5"/>
      <c r="X666" s="5"/>
      <c r="Y666" s="5"/>
      <c r="Z666" s="5"/>
      <c r="AA666" s="5"/>
    </row>
    <row r="667">
      <c r="A667" s="5"/>
      <c r="B667" s="5"/>
      <c r="C667" s="5"/>
      <c r="D667" s="5"/>
      <c r="E667" s="64"/>
      <c r="F667" s="5"/>
      <c r="G667" s="5"/>
      <c r="H667" s="5"/>
      <c r="I667" s="5"/>
      <c r="J667" s="5"/>
      <c r="K667" s="64"/>
      <c r="L667" s="64"/>
      <c r="M667" s="96"/>
      <c r="N667" s="5"/>
      <c r="O667" s="5"/>
      <c r="P667" s="5"/>
      <c r="Q667" s="5"/>
      <c r="R667" s="5"/>
      <c r="S667" s="5"/>
      <c r="T667" s="5"/>
      <c r="U667" s="5"/>
      <c r="V667" s="5"/>
      <c r="W667" s="5"/>
      <c r="X667" s="5"/>
      <c r="Y667" s="5"/>
      <c r="Z667" s="5"/>
      <c r="AA667" s="5"/>
    </row>
    <row r="668">
      <c r="A668" s="5"/>
      <c r="B668" s="5"/>
      <c r="C668" s="5"/>
      <c r="D668" s="5"/>
      <c r="E668" s="64"/>
      <c r="F668" s="5"/>
      <c r="G668" s="5"/>
      <c r="H668" s="5"/>
      <c r="I668" s="5"/>
      <c r="J668" s="5"/>
      <c r="K668" s="64"/>
      <c r="L668" s="64"/>
      <c r="M668" s="96"/>
      <c r="N668" s="5"/>
      <c r="O668" s="5"/>
      <c r="P668" s="5"/>
      <c r="Q668" s="5"/>
      <c r="R668" s="5"/>
      <c r="S668" s="5"/>
      <c r="T668" s="5"/>
      <c r="U668" s="5"/>
      <c r="V668" s="5"/>
      <c r="W668" s="5"/>
      <c r="X668" s="5"/>
      <c r="Y668" s="5"/>
      <c r="Z668" s="5"/>
      <c r="AA668" s="5"/>
    </row>
    <row r="669">
      <c r="A669" s="5"/>
      <c r="B669" s="5"/>
      <c r="C669" s="5"/>
      <c r="D669" s="5"/>
      <c r="E669" s="64"/>
      <c r="F669" s="5"/>
      <c r="G669" s="5"/>
      <c r="H669" s="5"/>
      <c r="I669" s="5"/>
      <c r="J669" s="5"/>
      <c r="K669" s="64"/>
      <c r="L669" s="64"/>
      <c r="M669" s="96"/>
      <c r="N669" s="5"/>
      <c r="O669" s="5"/>
      <c r="P669" s="5"/>
      <c r="Q669" s="5"/>
      <c r="R669" s="5"/>
      <c r="S669" s="5"/>
      <c r="T669" s="5"/>
      <c r="U669" s="5"/>
      <c r="V669" s="5"/>
      <c r="W669" s="5"/>
      <c r="X669" s="5"/>
      <c r="Y669" s="5"/>
      <c r="Z669" s="5"/>
      <c r="AA669" s="5"/>
    </row>
    <row r="670">
      <c r="A670" s="5"/>
      <c r="B670" s="5"/>
      <c r="C670" s="5"/>
      <c r="D670" s="5"/>
      <c r="E670" s="64"/>
      <c r="F670" s="5"/>
      <c r="G670" s="5"/>
      <c r="H670" s="5"/>
      <c r="I670" s="5"/>
      <c r="J670" s="5"/>
      <c r="K670" s="64"/>
      <c r="L670" s="64"/>
      <c r="M670" s="96"/>
      <c r="N670" s="5"/>
      <c r="O670" s="5"/>
      <c r="P670" s="5"/>
      <c r="Q670" s="5"/>
      <c r="R670" s="5"/>
      <c r="S670" s="5"/>
      <c r="T670" s="5"/>
      <c r="U670" s="5"/>
      <c r="V670" s="5"/>
      <c r="W670" s="5"/>
      <c r="X670" s="5"/>
      <c r="Y670" s="5"/>
      <c r="Z670" s="5"/>
      <c r="AA670" s="5"/>
    </row>
    <row r="671">
      <c r="A671" s="5"/>
      <c r="B671" s="5"/>
      <c r="C671" s="5"/>
      <c r="D671" s="5"/>
      <c r="E671" s="64"/>
      <c r="F671" s="5"/>
      <c r="G671" s="5"/>
      <c r="H671" s="5"/>
      <c r="I671" s="5"/>
      <c r="J671" s="5"/>
      <c r="K671" s="64"/>
      <c r="L671" s="64"/>
      <c r="M671" s="96"/>
      <c r="N671" s="5"/>
      <c r="O671" s="5"/>
      <c r="P671" s="5"/>
      <c r="Q671" s="5"/>
      <c r="R671" s="5"/>
      <c r="S671" s="5"/>
      <c r="T671" s="5"/>
      <c r="U671" s="5"/>
      <c r="V671" s="5"/>
      <c r="W671" s="5"/>
      <c r="X671" s="5"/>
      <c r="Y671" s="5"/>
      <c r="Z671" s="5"/>
      <c r="AA671" s="5"/>
    </row>
    <row r="672">
      <c r="A672" s="5"/>
      <c r="B672" s="5"/>
      <c r="C672" s="5"/>
      <c r="D672" s="5"/>
      <c r="E672" s="64"/>
      <c r="F672" s="5"/>
      <c r="G672" s="5"/>
      <c r="H672" s="5"/>
      <c r="I672" s="5"/>
      <c r="J672" s="5"/>
      <c r="K672" s="64"/>
      <c r="L672" s="64"/>
      <c r="M672" s="96"/>
      <c r="N672" s="5"/>
      <c r="O672" s="5"/>
      <c r="P672" s="5"/>
      <c r="Q672" s="5"/>
      <c r="R672" s="5"/>
      <c r="S672" s="5"/>
      <c r="T672" s="5"/>
      <c r="U672" s="5"/>
      <c r="V672" s="5"/>
      <c r="W672" s="5"/>
      <c r="X672" s="5"/>
      <c r="Y672" s="5"/>
      <c r="Z672" s="5"/>
      <c r="AA672" s="5"/>
    </row>
    <row r="673">
      <c r="A673" s="5"/>
      <c r="B673" s="5"/>
      <c r="C673" s="5"/>
      <c r="D673" s="5"/>
      <c r="E673" s="64"/>
      <c r="F673" s="5"/>
      <c r="G673" s="5"/>
      <c r="H673" s="5"/>
      <c r="I673" s="5"/>
      <c r="J673" s="5"/>
      <c r="K673" s="64"/>
      <c r="L673" s="64"/>
      <c r="M673" s="96"/>
      <c r="N673" s="5"/>
      <c r="O673" s="5"/>
      <c r="P673" s="5"/>
      <c r="Q673" s="5"/>
      <c r="R673" s="5"/>
      <c r="S673" s="5"/>
      <c r="T673" s="5"/>
      <c r="U673" s="5"/>
      <c r="V673" s="5"/>
      <c r="W673" s="5"/>
      <c r="X673" s="5"/>
      <c r="Y673" s="5"/>
      <c r="Z673" s="5"/>
      <c r="AA673" s="5"/>
    </row>
    <row r="674">
      <c r="A674" s="5"/>
      <c r="B674" s="5"/>
      <c r="C674" s="5"/>
      <c r="D674" s="5"/>
      <c r="E674" s="64"/>
      <c r="F674" s="5"/>
      <c r="G674" s="5"/>
      <c r="H674" s="5"/>
      <c r="I674" s="5"/>
      <c r="J674" s="5"/>
      <c r="K674" s="64"/>
      <c r="L674" s="64"/>
      <c r="M674" s="96"/>
      <c r="N674" s="5"/>
      <c r="O674" s="5"/>
      <c r="P674" s="5"/>
      <c r="Q674" s="5"/>
      <c r="R674" s="5"/>
      <c r="S674" s="5"/>
      <c r="T674" s="5"/>
      <c r="U674" s="5"/>
      <c r="V674" s="5"/>
      <c r="W674" s="5"/>
      <c r="X674" s="5"/>
      <c r="Y674" s="5"/>
      <c r="Z674" s="5"/>
      <c r="AA674" s="5"/>
    </row>
    <row r="675">
      <c r="A675" s="5"/>
      <c r="B675" s="5"/>
      <c r="C675" s="5"/>
      <c r="D675" s="5"/>
      <c r="E675" s="64"/>
      <c r="F675" s="5"/>
      <c r="G675" s="5"/>
      <c r="H675" s="5"/>
      <c r="I675" s="5"/>
      <c r="J675" s="5"/>
      <c r="K675" s="64"/>
      <c r="L675" s="64"/>
      <c r="M675" s="96"/>
      <c r="N675" s="5"/>
      <c r="O675" s="5"/>
      <c r="P675" s="5"/>
      <c r="Q675" s="5"/>
      <c r="R675" s="5"/>
      <c r="S675" s="5"/>
      <c r="T675" s="5"/>
      <c r="U675" s="5"/>
      <c r="V675" s="5"/>
      <c r="W675" s="5"/>
      <c r="X675" s="5"/>
      <c r="Y675" s="5"/>
      <c r="Z675" s="5"/>
      <c r="AA675" s="5"/>
    </row>
    <row r="676">
      <c r="A676" s="5"/>
      <c r="B676" s="5"/>
      <c r="C676" s="5"/>
      <c r="D676" s="5"/>
      <c r="E676" s="64"/>
      <c r="F676" s="5"/>
      <c r="G676" s="5"/>
      <c r="H676" s="5"/>
      <c r="I676" s="5"/>
      <c r="J676" s="5"/>
      <c r="K676" s="64"/>
      <c r="L676" s="64"/>
      <c r="M676" s="96"/>
      <c r="N676" s="5"/>
      <c r="O676" s="5"/>
      <c r="P676" s="5"/>
      <c r="Q676" s="5"/>
      <c r="R676" s="5"/>
      <c r="S676" s="5"/>
      <c r="T676" s="5"/>
      <c r="U676" s="5"/>
      <c r="V676" s="5"/>
      <c r="W676" s="5"/>
      <c r="X676" s="5"/>
      <c r="Y676" s="5"/>
      <c r="Z676" s="5"/>
      <c r="AA676" s="5"/>
    </row>
    <row r="677">
      <c r="A677" s="5"/>
      <c r="B677" s="5"/>
      <c r="C677" s="5"/>
      <c r="D677" s="5"/>
      <c r="E677" s="64"/>
      <c r="F677" s="5"/>
      <c r="G677" s="5"/>
      <c r="H677" s="5"/>
      <c r="I677" s="5"/>
      <c r="J677" s="5"/>
      <c r="K677" s="64"/>
      <c r="L677" s="64"/>
      <c r="M677" s="96"/>
      <c r="N677" s="5"/>
      <c r="O677" s="5"/>
      <c r="P677" s="5"/>
      <c r="Q677" s="5"/>
      <c r="R677" s="5"/>
      <c r="S677" s="5"/>
      <c r="T677" s="5"/>
      <c r="U677" s="5"/>
      <c r="V677" s="5"/>
      <c r="W677" s="5"/>
      <c r="X677" s="5"/>
      <c r="Y677" s="5"/>
      <c r="Z677" s="5"/>
      <c r="AA677" s="5"/>
    </row>
    <row r="678">
      <c r="A678" s="5"/>
      <c r="B678" s="5"/>
      <c r="C678" s="5"/>
      <c r="D678" s="5"/>
      <c r="E678" s="64"/>
      <c r="F678" s="5"/>
      <c r="G678" s="5"/>
      <c r="H678" s="5"/>
      <c r="I678" s="5"/>
      <c r="J678" s="5"/>
      <c r="K678" s="64"/>
      <c r="L678" s="64"/>
      <c r="M678" s="96"/>
      <c r="N678" s="5"/>
      <c r="O678" s="5"/>
      <c r="P678" s="5"/>
      <c r="Q678" s="5"/>
      <c r="R678" s="5"/>
      <c r="S678" s="5"/>
      <c r="T678" s="5"/>
      <c r="U678" s="5"/>
      <c r="V678" s="5"/>
      <c r="W678" s="5"/>
      <c r="X678" s="5"/>
      <c r="Y678" s="5"/>
      <c r="Z678" s="5"/>
      <c r="AA678" s="5"/>
    </row>
    <row r="679">
      <c r="A679" s="5"/>
      <c r="B679" s="5"/>
      <c r="C679" s="5"/>
      <c r="D679" s="5"/>
      <c r="E679" s="64"/>
      <c r="F679" s="5"/>
      <c r="G679" s="5"/>
      <c r="H679" s="5"/>
      <c r="I679" s="5"/>
      <c r="J679" s="5"/>
      <c r="K679" s="64"/>
      <c r="L679" s="64"/>
      <c r="M679" s="96"/>
      <c r="N679" s="5"/>
      <c r="O679" s="5"/>
      <c r="P679" s="5"/>
      <c r="Q679" s="5"/>
      <c r="R679" s="5"/>
      <c r="S679" s="5"/>
      <c r="T679" s="5"/>
      <c r="U679" s="5"/>
      <c r="V679" s="5"/>
      <c r="W679" s="5"/>
      <c r="X679" s="5"/>
      <c r="Y679" s="5"/>
      <c r="Z679" s="5"/>
      <c r="AA679" s="5"/>
    </row>
    <row r="680">
      <c r="A680" s="5"/>
      <c r="B680" s="5"/>
      <c r="C680" s="5"/>
      <c r="D680" s="5"/>
      <c r="E680" s="64"/>
      <c r="F680" s="5"/>
      <c r="G680" s="5"/>
      <c r="H680" s="5"/>
      <c r="I680" s="5"/>
      <c r="J680" s="5"/>
      <c r="K680" s="64"/>
      <c r="L680" s="64"/>
      <c r="M680" s="96"/>
      <c r="N680" s="5"/>
      <c r="O680" s="5"/>
      <c r="P680" s="5"/>
      <c r="Q680" s="5"/>
      <c r="R680" s="5"/>
      <c r="S680" s="5"/>
      <c r="T680" s="5"/>
      <c r="U680" s="5"/>
      <c r="V680" s="5"/>
      <c r="W680" s="5"/>
      <c r="X680" s="5"/>
      <c r="Y680" s="5"/>
      <c r="Z680" s="5"/>
      <c r="AA680" s="5"/>
    </row>
    <row r="681">
      <c r="A681" s="5"/>
      <c r="B681" s="5"/>
      <c r="C681" s="5"/>
      <c r="D681" s="5"/>
      <c r="E681" s="64"/>
      <c r="F681" s="5"/>
      <c r="G681" s="5"/>
      <c r="H681" s="5"/>
      <c r="I681" s="5"/>
      <c r="J681" s="5"/>
      <c r="K681" s="64"/>
      <c r="L681" s="64"/>
      <c r="M681" s="96"/>
      <c r="N681" s="5"/>
      <c r="O681" s="5"/>
      <c r="P681" s="5"/>
      <c r="Q681" s="5"/>
      <c r="R681" s="5"/>
      <c r="S681" s="5"/>
      <c r="T681" s="5"/>
      <c r="U681" s="5"/>
      <c r="V681" s="5"/>
      <c r="W681" s="5"/>
      <c r="X681" s="5"/>
      <c r="Y681" s="5"/>
      <c r="Z681" s="5"/>
      <c r="AA681" s="5"/>
    </row>
    <row r="682">
      <c r="A682" s="5"/>
      <c r="B682" s="5"/>
      <c r="C682" s="5"/>
      <c r="D682" s="5"/>
      <c r="E682" s="64"/>
      <c r="F682" s="5"/>
      <c r="G682" s="5"/>
      <c r="H682" s="5"/>
      <c r="I682" s="5"/>
      <c r="J682" s="5"/>
      <c r="K682" s="64"/>
      <c r="L682" s="64"/>
      <c r="M682" s="96"/>
      <c r="N682" s="5"/>
      <c r="O682" s="5"/>
      <c r="P682" s="5"/>
      <c r="Q682" s="5"/>
      <c r="R682" s="5"/>
      <c r="S682" s="5"/>
      <c r="T682" s="5"/>
      <c r="U682" s="5"/>
      <c r="V682" s="5"/>
      <c r="W682" s="5"/>
      <c r="X682" s="5"/>
      <c r="Y682" s="5"/>
      <c r="Z682" s="5"/>
      <c r="AA682" s="5"/>
    </row>
    <row r="683">
      <c r="A683" s="5"/>
      <c r="B683" s="5"/>
      <c r="C683" s="5"/>
      <c r="D683" s="5"/>
      <c r="E683" s="64"/>
      <c r="F683" s="5"/>
      <c r="G683" s="5"/>
      <c r="H683" s="5"/>
      <c r="I683" s="5"/>
      <c r="J683" s="5"/>
      <c r="K683" s="64"/>
      <c r="L683" s="64"/>
      <c r="M683" s="96"/>
      <c r="N683" s="5"/>
      <c r="O683" s="5"/>
      <c r="P683" s="5"/>
      <c r="Q683" s="5"/>
      <c r="R683" s="5"/>
      <c r="S683" s="5"/>
      <c r="T683" s="5"/>
      <c r="U683" s="5"/>
      <c r="V683" s="5"/>
      <c r="W683" s="5"/>
      <c r="X683" s="5"/>
      <c r="Y683" s="5"/>
      <c r="Z683" s="5"/>
      <c r="AA683" s="5"/>
    </row>
    <row r="684">
      <c r="A684" s="5"/>
      <c r="B684" s="5"/>
      <c r="C684" s="5"/>
      <c r="D684" s="5"/>
      <c r="E684" s="64"/>
      <c r="F684" s="5"/>
      <c r="G684" s="5"/>
      <c r="H684" s="5"/>
      <c r="I684" s="5"/>
      <c r="J684" s="5"/>
      <c r="K684" s="64"/>
      <c r="L684" s="64"/>
      <c r="M684" s="96"/>
      <c r="N684" s="5"/>
      <c r="O684" s="5"/>
      <c r="P684" s="5"/>
      <c r="Q684" s="5"/>
      <c r="R684" s="5"/>
      <c r="S684" s="5"/>
      <c r="T684" s="5"/>
      <c r="U684" s="5"/>
      <c r="V684" s="5"/>
      <c r="W684" s="5"/>
      <c r="X684" s="5"/>
      <c r="Y684" s="5"/>
      <c r="Z684" s="5"/>
      <c r="AA684" s="5"/>
    </row>
    <row r="685">
      <c r="A685" s="5"/>
      <c r="B685" s="5"/>
      <c r="C685" s="5"/>
      <c r="D685" s="5"/>
      <c r="E685" s="64"/>
      <c r="F685" s="5"/>
      <c r="G685" s="5"/>
      <c r="H685" s="5"/>
      <c r="I685" s="5"/>
      <c r="J685" s="5"/>
      <c r="K685" s="64"/>
      <c r="L685" s="64"/>
      <c r="M685" s="96"/>
      <c r="N685" s="5"/>
      <c r="O685" s="5"/>
      <c r="P685" s="5"/>
      <c r="Q685" s="5"/>
      <c r="R685" s="5"/>
      <c r="S685" s="5"/>
      <c r="T685" s="5"/>
      <c r="U685" s="5"/>
      <c r="V685" s="5"/>
      <c r="W685" s="5"/>
      <c r="X685" s="5"/>
      <c r="Y685" s="5"/>
      <c r="Z685" s="5"/>
      <c r="AA685" s="5"/>
    </row>
    <row r="686">
      <c r="A686" s="5"/>
      <c r="B686" s="5"/>
      <c r="C686" s="5"/>
      <c r="D686" s="5"/>
      <c r="E686" s="64"/>
      <c r="F686" s="5"/>
      <c r="G686" s="5"/>
      <c r="H686" s="5"/>
      <c r="I686" s="5"/>
      <c r="J686" s="5"/>
      <c r="K686" s="64"/>
      <c r="L686" s="64"/>
      <c r="M686" s="96"/>
      <c r="N686" s="5"/>
      <c r="O686" s="5"/>
      <c r="P686" s="5"/>
      <c r="Q686" s="5"/>
      <c r="R686" s="5"/>
      <c r="S686" s="5"/>
      <c r="T686" s="5"/>
      <c r="U686" s="5"/>
      <c r="V686" s="5"/>
      <c r="W686" s="5"/>
      <c r="X686" s="5"/>
      <c r="Y686" s="5"/>
      <c r="Z686" s="5"/>
      <c r="AA686" s="5"/>
    </row>
    <row r="687">
      <c r="A687" s="5"/>
      <c r="B687" s="5"/>
      <c r="C687" s="5"/>
      <c r="D687" s="5"/>
      <c r="E687" s="64"/>
      <c r="F687" s="5"/>
      <c r="G687" s="5"/>
      <c r="H687" s="5"/>
      <c r="I687" s="5"/>
      <c r="J687" s="5"/>
      <c r="K687" s="64"/>
      <c r="L687" s="64"/>
      <c r="M687" s="96"/>
      <c r="N687" s="5"/>
      <c r="O687" s="5"/>
      <c r="P687" s="5"/>
      <c r="Q687" s="5"/>
      <c r="R687" s="5"/>
      <c r="S687" s="5"/>
      <c r="T687" s="5"/>
      <c r="U687" s="5"/>
      <c r="V687" s="5"/>
      <c r="W687" s="5"/>
      <c r="X687" s="5"/>
      <c r="Y687" s="5"/>
      <c r="Z687" s="5"/>
      <c r="AA687" s="5"/>
    </row>
    <row r="688">
      <c r="A688" s="5"/>
      <c r="B688" s="5"/>
      <c r="C688" s="5"/>
      <c r="D688" s="5"/>
      <c r="E688" s="64"/>
      <c r="F688" s="5"/>
      <c r="G688" s="5"/>
      <c r="H688" s="5"/>
      <c r="I688" s="5"/>
      <c r="J688" s="5"/>
      <c r="K688" s="64"/>
      <c r="L688" s="64"/>
      <c r="M688" s="96"/>
      <c r="N688" s="5"/>
      <c r="O688" s="5"/>
      <c r="P688" s="5"/>
      <c r="Q688" s="5"/>
      <c r="R688" s="5"/>
      <c r="S688" s="5"/>
      <c r="T688" s="5"/>
      <c r="U688" s="5"/>
      <c r="V688" s="5"/>
      <c r="W688" s="5"/>
      <c r="X688" s="5"/>
      <c r="Y688" s="5"/>
      <c r="Z688" s="5"/>
      <c r="AA688" s="5"/>
    </row>
    <row r="689">
      <c r="A689" s="5"/>
      <c r="B689" s="5"/>
      <c r="C689" s="5"/>
      <c r="D689" s="5"/>
      <c r="E689" s="64"/>
      <c r="F689" s="5"/>
      <c r="G689" s="5"/>
      <c r="H689" s="5"/>
      <c r="I689" s="5"/>
      <c r="J689" s="5"/>
      <c r="K689" s="64"/>
      <c r="L689" s="64"/>
      <c r="M689" s="96"/>
      <c r="N689" s="5"/>
      <c r="O689" s="5"/>
      <c r="P689" s="5"/>
      <c r="Q689" s="5"/>
      <c r="R689" s="5"/>
      <c r="S689" s="5"/>
      <c r="T689" s="5"/>
      <c r="U689" s="5"/>
      <c r="V689" s="5"/>
      <c r="W689" s="5"/>
      <c r="X689" s="5"/>
      <c r="Y689" s="5"/>
      <c r="Z689" s="5"/>
      <c r="AA689" s="5"/>
    </row>
    <row r="690">
      <c r="A690" s="5"/>
      <c r="B690" s="5"/>
      <c r="C690" s="5"/>
      <c r="D690" s="5"/>
      <c r="E690" s="64"/>
      <c r="F690" s="5"/>
      <c r="G690" s="5"/>
      <c r="H690" s="5"/>
      <c r="I690" s="5"/>
      <c r="J690" s="5"/>
      <c r="K690" s="64"/>
      <c r="L690" s="64"/>
      <c r="M690" s="96"/>
      <c r="N690" s="5"/>
      <c r="O690" s="5"/>
      <c r="P690" s="5"/>
      <c r="Q690" s="5"/>
      <c r="R690" s="5"/>
      <c r="S690" s="5"/>
      <c r="T690" s="5"/>
      <c r="U690" s="5"/>
      <c r="V690" s="5"/>
      <c r="W690" s="5"/>
      <c r="X690" s="5"/>
      <c r="Y690" s="5"/>
      <c r="Z690" s="5"/>
      <c r="AA690" s="5"/>
    </row>
    <row r="691">
      <c r="A691" s="5"/>
      <c r="B691" s="5"/>
      <c r="C691" s="5"/>
      <c r="D691" s="5"/>
      <c r="E691" s="64"/>
      <c r="F691" s="5"/>
      <c r="G691" s="5"/>
      <c r="H691" s="5"/>
      <c r="I691" s="5"/>
      <c r="J691" s="5"/>
      <c r="K691" s="64"/>
      <c r="L691" s="64"/>
      <c r="M691" s="96"/>
      <c r="N691" s="5"/>
      <c r="O691" s="5"/>
      <c r="P691" s="5"/>
      <c r="Q691" s="5"/>
      <c r="R691" s="5"/>
      <c r="S691" s="5"/>
      <c r="T691" s="5"/>
      <c r="U691" s="5"/>
      <c r="V691" s="5"/>
      <c r="W691" s="5"/>
      <c r="X691" s="5"/>
      <c r="Y691" s="5"/>
      <c r="Z691" s="5"/>
      <c r="AA691" s="5"/>
    </row>
    <row r="692">
      <c r="A692" s="5"/>
      <c r="B692" s="5"/>
      <c r="C692" s="5"/>
      <c r="D692" s="5"/>
      <c r="E692" s="64"/>
      <c r="F692" s="5"/>
      <c r="G692" s="5"/>
      <c r="H692" s="5"/>
      <c r="I692" s="5"/>
      <c r="J692" s="5"/>
      <c r="K692" s="64"/>
      <c r="L692" s="64"/>
      <c r="M692" s="96"/>
      <c r="N692" s="5"/>
      <c r="O692" s="5"/>
      <c r="P692" s="5"/>
      <c r="Q692" s="5"/>
      <c r="R692" s="5"/>
      <c r="S692" s="5"/>
      <c r="T692" s="5"/>
      <c r="U692" s="5"/>
      <c r="V692" s="5"/>
      <c r="W692" s="5"/>
      <c r="X692" s="5"/>
      <c r="Y692" s="5"/>
      <c r="Z692" s="5"/>
      <c r="AA692" s="5"/>
    </row>
    <row r="693">
      <c r="A693" s="5"/>
      <c r="B693" s="5"/>
      <c r="C693" s="5"/>
      <c r="D693" s="5"/>
      <c r="E693" s="64"/>
      <c r="F693" s="5"/>
      <c r="G693" s="5"/>
      <c r="H693" s="5"/>
      <c r="I693" s="5"/>
      <c r="J693" s="5"/>
      <c r="K693" s="64"/>
      <c r="L693" s="64"/>
      <c r="M693" s="96"/>
      <c r="N693" s="5"/>
      <c r="O693" s="5"/>
      <c r="P693" s="5"/>
      <c r="Q693" s="5"/>
      <c r="R693" s="5"/>
      <c r="S693" s="5"/>
      <c r="T693" s="5"/>
      <c r="U693" s="5"/>
      <c r="V693" s="5"/>
      <c r="W693" s="5"/>
      <c r="X693" s="5"/>
      <c r="Y693" s="5"/>
      <c r="Z693" s="5"/>
      <c r="AA693" s="5"/>
    </row>
    <row r="694">
      <c r="A694" s="5"/>
      <c r="B694" s="5"/>
      <c r="C694" s="5"/>
      <c r="D694" s="5"/>
      <c r="E694" s="64"/>
      <c r="F694" s="5"/>
      <c r="G694" s="5"/>
      <c r="H694" s="5"/>
      <c r="I694" s="5"/>
      <c r="J694" s="5"/>
      <c r="K694" s="64"/>
      <c r="L694" s="64"/>
      <c r="M694" s="96"/>
      <c r="N694" s="5"/>
      <c r="O694" s="5"/>
      <c r="P694" s="5"/>
      <c r="Q694" s="5"/>
      <c r="R694" s="5"/>
      <c r="S694" s="5"/>
      <c r="T694" s="5"/>
      <c r="U694" s="5"/>
      <c r="V694" s="5"/>
      <c r="W694" s="5"/>
      <c r="X694" s="5"/>
      <c r="Y694" s="5"/>
      <c r="Z694" s="5"/>
      <c r="AA694" s="5"/>
    </row>
    <row r="695">
      <c r="A695" s="5"/>
      <c r="B695" s="5"/>
      <c r="C695" s="5"/>
      <c r="D695" s="5"/>
      <c r="E695" s="64"/>
      <c r="F695" s="5"/>
      <c r="G695" s="5"/>
      <c r="H695" s="5"/>
      <c r="I695" s="5"/>
      <c r="J695" s="5"/>
      <c r="K695" s="64"/>
      <c r="L695" s="64"/>
      <c r="M695" s="96"/>
      <c r="N695" s="5"/>
      <c r="O695" s="5"/>
      <c r="P695" s="5"/>
      <c r="Q695" s="5"/>
      <c r="R695" s="5"/>
      <c r="S695" s="5"/>
      <c r="T695" s="5"/>
      <c r="U695" s="5"/>
      <c r="V695" s="5"/>
      <c r="W695" s="5"/>
      <c r="X695" s="5"/>
      <c r="Y695" s="5"/>
      <c r="Z695" s="5"/>
      <c r="AA695" s="5"/>
    </row>
    <row r="696">
      <c r="A696" s="5"/>
      <c r="B696" s="5"/>
      <c r="C696" s="5"/>
      <c r="D696" s="5"/>
      <c r="E696" s="64"/>
      <c r="F696" s="5"/>
      <c r="G696" s="5"/>
      <c r="H696" s="5"/>
      <c r="I696" s="5"/>
      <c r="J696" s="5"/>
      <c r="K696" s="64"/>
      <c r="L696" s="64"/>
      <c r="M696" s="96"/>
      <c r="N696" s="5"/>
      <c r="O696" s="5"/>
      <c r="P696" s="5"/>
      <c r="Q696" s="5"/>
      <c r="R696" s="5"/>
      <c r="S696" s="5"/>
      <c r="T696" s="5"/>
      <c r="U696" s="5"/>
      <c r="V696" s="5"/>
      <c r="W696" s="5"/>
      <c r="X696" s="5"/>
      <c r="Y696" s="5"/>
      <c r="Z696" s="5"/>
      <c r="AA696" s="5"/>
    </row>
    <row r="697">
      <c r="A697" s="5"/>
      <c r="B697" s="5"/>
      <c r="C697" s="5"/>
      <c r="D697" s="5"/>
      <c r="E697" s="64"/>
      <c r="F697" s="5"/>
      <c r="G697" s="5"/>
      <c r="H697" s="5"/>
      <c r="I697" s="5"/>
      <c r="J697" s="5"/>
      <c r="K697" s="64"/>
      <c r="L697" s="64"/>
      <c r="M697" s="96"/>
      <c r="N697" s="5"/>
      <c r="O697" s="5"/>
      <c r="P697" s="5"/>
      <c r="Q697" s="5"/>
      <c r="R697" s="5"/>
      <c r="S697" s="5"/>
      <c r="T697" s="5"/>
      <c r="U697" s="5"/>
      <c r="V697" s="5"/>
      <c r="W697" s="5"/>
      <c r="X697" s="5"/>
      <c r="Y697" s="5"/>
      <c r="Z697" s="5"/>
      <c r="AA697" s="5"/>
    </row>
    <row r="698">
      <c r="A698" s="5"/>
      <c r="B698" s="5"/>
      <c r="C698" s="5"/>
      <c r="D698" s="5"/>
      <c r="E698" s="64"/>
      <c r="F698" s="5"/>
      <c r="G698" s="5"/>
      <c r="H698" s="5"/>
      <c r="I698" s="5"/>
      <c r="J698" s="5"/>
      <c r="K698" s="64"/>
      <c r="L698" s="64"/>
      <c r="M698" s="96"/>
      <c r="N698" s="5"/>
      <c r="O698" s="5"/>
      <c r="P698" s="5"/>
      <c r="Q698" s="5"/>
      <c r="R698" s="5"/>
      <c r="S698" s="5"/>
      <c r="T698" s="5"/>
      <c r="U698" s="5"/>
      <c r="V698" s="5"/>
      <c r="W698" s="5"/>
      <c r="X698" s="5"/>
      <c r="Y698" s="5"/>
      <c r="Z698" s="5"/>
      <c r="AA698" s="5"/>
    </row>
    <row r="699">
      <c r="A699" s="5"/>
      <c r="B699" s="5"/>
      <c r="C699" s="5"/>
      <c r="D699" s="5"/>
      <c r="E699" s="64"/>
      <c r="F699" s="5"/>
      <c r="G699" s="5"/>
      <c r="H699" s="5"/>
      <c r="I699" s="5"/>
      <c r="J699" s="5"/>
      <c r="K699" s="64"/>
      <c r="L699" s="64"/>
      <c r="M699" s="96"/>
      <c r="N699" s="5"/>
      <c r="O699" s="5"/>
      <c r="P699" s="5"/>
      <c r="Q699" s="5"/>
      <c r="R699" s="5"/>
      <c r="S699" s="5"/>
      <c r="T699" s="5"/>
      <c r="U699" s="5"/>
      <c r="V699" s="5"/>
      <c r="W699" s="5"/>
      <c r="X699" s="5"/>
      <c r="Y699" s="5"/>
      <c r="Z699" s="5"/>
      <c r="AA699" s="5"/>
    </row>
    <row r="700">
      <c r="A700" s="5"/>
      <c r="B700" s="5"/>
      <c r="C700" s="5"/>
      <c r="D700" s="5"/>
      <c r="E700" s="64"/>
      <c r="F700" s="5"/>
      <c r="G700" s="5"/>
      <c r="H700" s="5"/>
      <c r="I700" s="5"/>
      <c r="J700" s="5"/>
      <c r="K700" s="64"/>
      <c r="L700" s="64"/>
      <c r="M700" s="96"/>
      <c r="N700" s="5"/>
      <c r="O700" s="5"/>
      <c r="P700" s="5"/>
      <c r="Q700" s="5"/>
      <c r="R700" s="5"/>
      <c r="S700" s="5"/>
      <c r="T700" s="5"/>
      <c r="U700" s="5"/>
      <c r="V700" s="5"/>
      <c r="W700" s="5"/>
      <c r="X700" s="5"/>
      <c r="Y700" s="5"/>
      <c r="Z700" s="5"/>
      <c r="AA700" s="5"/>
    </row>
    <row r="701">
      <c r="A701" s="5"/>
      <c r="B701" s="5"/>
      <c r="C701" s="5"/>
      <c r="D701" s="5"/>
      <c r="E701" s="64"/>
      <c r="F701" s="5"/>
      <c r="G701" s="5"/>
      <c r="H701" s="5"/>
      <c r="I701" s="5"/>
      <c r="J701" s="5"/>
      <c r="K701" s="64"/>
      <c r="L701" s="64"/>
      <c r="M701" s="96"/>
      <c r="N701" s="5"/>
      <c r="O701" s="5"/>
      <c r="P701" s="5"/>
      <c r="Q701" s="5"/>
      <c r="R701" s="5"/>
      <c r="S701" s="5"/>
      <c r="T701" s="5"/>
      <c r="U701" s="5"/>
      <c r="V701" s="5"/>
      <c r="W701" s="5"/>
      <c r="X701" s="5"/>
      <c r="Y701" s="5"/>
      <c r="Z701" s="5"/>
      <c r="AA701" s="5"/>
    </row>
    <row r="702">
      <c r="A702" s="5"/>
      <c r="B702" s="5"/>
      <c r="C702" s="5"/>
      <c r="D702" s="5"/>
      <c r="E702" s="64"/>
      <c r="F702" s="5"/>
      <c r="G702" s="5"/>
      <c r="H702" s="5"/>
      <c r="I702" s="5"/>
      <c r="J702" s="5"/>
      <c r="K702" s="64"/>
      <c r="L702" s="64"/>
      <c r="M702" s="96"/>
      <c r="N702" s="5"/>
      <c r="O702" s="5"/>
      <c r="P702" s="5"/>
      <c r="Q702" s="5"/>
      <c r="R702" s="5"/>
      <c r="S702" s="5"/>
      <c r="T702" s="5"/>
      <c r="U702" s="5"/>
      <c r="V702" s="5"/>
      <c r="W702" s="5"/>
      <c r="X702" s="5"/>
      <c r="Y702" s="5"/>
      <c r="Z702" s="5"/>
      <c r="AA702" s="5"/>
    </row>
    <row r="703">
      <c r="A703" s="5"/>
      <c r="B703" s="5"/>
      <c r="C703" s="5"/>
      <c r="D703" s="5"/>
      <c r="E703" s="64"/>
      <c r="F703" s="5"/>
      <c r="G703" s="5"/>
      <c r="H703" s="5"/>
      <c r="I703" s="5"/>
      <c r="J703" s="5"/>
      <c r="K703" s="64"/>
      <c r="L703" s="64"/>
      <c r="M703" s="96"/>
      <c r="N703" s="5"/>
      <c r="O703" s="5"/>
      <c r="P703" s="5"/>
      <c r="Q703" s="5"/>
      <c r="R703" s="5"/>
      <c r="S703" s="5"/>
      <c r="T703" s="5"/>
      <c r="U703" s="5"/>
      <c r="V703" s="5"/>
      <c r="W703" s="5"/>
      <c r="X703" s="5"/>
      <c r="Y703" s="5"/>
      <c r="Z703" s="5"/>
      <c r="AA703" s="5"/>
    </row>
    <row r="704">
      <c r="A704" s="5"/>
      <c r="B704" s="5"/>
      <c r="C704" s="5"/>
      <c r="D704" s="5"/>
      <c r="E704" s="64"/>
      <c r="F704" s="5"/>
      <c r="G704" s="5"/>
      <c r="H704" s="5"/>
      <c r="I704" s="5"/>
      <c r="J704" s="5"/>
      <c r="K704" s="64"/>
      <c r="L704" s="64"/>
      <c r="M704" s="96"/>
      <c r="N704" s="5"/>
      <c r="O704" s="5"/>
      <c r="P704" s="5"/>
      <c r="Q704" s="5"/>
      <c r="R704" s="5"/>
      <c r="S704" s="5"/>
      <c r="T704" s="5"/>
      <c r="U704" s="5"/>
      <c r="V704" s="5"/>
      <c r="W704" s="5"/>
      <c r="X704" s="5"/>
      <c r="Y704" s="5"/>
      <c r="Z704" s="5"/>
      <c r="AA704" s="5"/>
    </row>
    <row r="705">
      <c r="A705" s="5"/>
      <c r="B705" s="5"/>
      <c r="C705" s="5"/>
      <c r="D705" s="5"/>
      <c r="E705" s="64"/>
      <c r="F705" s="5"/>
      <c r="G705" s="5"/>
      <c r="H705" s="5"/>
      <c r="I705" s="5"/>
      <c r="J705" s="5"/>
      <c r="K705" s="64"/>
      <c r="L705" s="64"/>
      <c r="M705" s="96"/>
      <c r="N705" s="5"/>
      <c r="O705" s="5"/>
      <c r="P705" s="5"/>
      <c r="Q705" s="5"/>
      <c r="R705" s="5"/>
      <c r="S705" s="5"/>
      <c r="T705" s="5"/>
      <c r="U705" s="5"/>
      <c r="V705" s="5"/>
      <c r="W705" s="5"/>
      <c r="X705" s="5"/>
      <c r="Y705" s="5"/>
      <c r="Z705" s="5"/>
      <c r="AA705" s="5"/>
    </row>
    <row r="706">
      <c r="A706" s="5"/>
      <c r="B706" s="5"/>
      <c r="C706" s="5"/>
      <c r="D706" s="5"/>
      <c r="E706" s="64"/>
      <c r="F706" s="5"/>
      <c r="G706" s="5"/>
      <c r="H706" s="5"/>
      <c r="I706" s="5"/>
      <c r="J706" s="5"/>
      <c r="K706" s="64"/>
      <c r="L706" s="64"/>
      <c r="M706" s="96"/>
      <c r="N706" s="5"/>
      <c r="O706" s="5"/>
      <c r="P706" s="5"/>
      <c r="Q706" s="5"/>
      <c r="R706" s="5"/>
      <c r="S706" s="5"/>
      <c r="T706" s="5"/>
      <c r="U706" s="5"/>
      <c r="V706" s="5"/>
      <c r="W706" s="5"/>
      <c r="X706" s="5"/>
      <c r="Y706" s="5"/>
      <c r="Z706" s="5"/>
      <c r="AA706" s="5"/>
    </row>
    <row r="707">
      <c r="A707" s="5"/>
      <c r="B707" s="5"/>
      <c r="C707" s="5"/>
      <c r="D707" s="5"/>
      <c r="E707" s="64"/>
      <c r="F707" s="5"/>
      <c r="G707" s="5"/>
      <c r="H707" s="5"/>
      <c r="I707" s="5"/>
      <c r="J707" s="5"/>
      <c r="K707" s="64"/>
      <c r="L707" s="64"/>
      <c r="M707" s="96"/>
      <c r="N707" s="5"/>
      <c r="O707" s="5"/>
      <c r="P707" s="5"/>
      <c r="Q707" s="5"/>
      <c r="R707" s="5"/>
      <c r="S707" s="5"/>
      <c r="T707" s="5"/>
      <c r="U707" s="5"/>
      <c r="V707" s="5"/>
      <c r="W707" s="5"/>
      <c r="X707" s="5"/>
      <c r="Y707" s="5"/>
      <c r="Z707" s="5"/>
      <c r="AA707" s="5"/>
    </row>
    <row r="708">
      <c r="A708" s="5"/>
      <c r="B708" s="5"/>
      <c r="C708" s="5"/>
      <c r="D708" s="5"/>
      <c r="E708" s="64"/>
      <c r="F708" s="5"/>
      <c r="G708" s="5"/>
      <c r="H708" s="5"/>
      <c r="I708" s="5"/>
      <c r="J708" s="5"/>
      <c r="K708" s="64"/>
      <c r="L708" s="64"/>
      <c r="M708" s="96"/>
      <c r="N708" s="5"/>
      <c r="O708" s="5"/>
      <c r="P708" s="5"/>
      <c r="Q708" s="5"/>
      <c r="R708" s="5"/>
      <c r="S708" s="5"/>
      <c r="T708" s="5"/>
      <c r="U708" s="5"/>
      <c r="V708" s="5"/>
      <c r="W708" s="5"/>
      <c r="X708" s="5"/>
      <c r="Y708" s="5"/>
      <c r="Z708" s="5"/>
      <c r="AA708" s="5"/>
    </row>
    <row r="709">
      <c r="A709" s="5"/>
      <c r="B709" s="5"/>
      <c r="C709" s="5"/>
      <c r="D709" s="5"/>
      <c r="E709" s="64"/>
      <c r="F709" s="5"/>
      <c r="G709" s="5"/>
      <c r="H709" s="5"/>
      <c r="I709" s="5"/>
      <c r="J709" s="5"/>
      <c r="K709" s="64"/>
      <c r="L709" s="64"/>
      <c r="M709" s="96"/>
      <c r="N709" s="5"/>
      <c r="O709" s="5"/>
      <c r="P709" s="5"/>
      <c r="Q709" s="5"/>
      <c r="R709" s="5"/>
      <c r="S709" s="5"/>
      <c r="T709" s="5"/>
      <c r="U709" s="5"/>
      <c r="V709" s="5"/>
      <c r="W709" s="5"/>
      <c r="X709" s="5"/>
      <c r="Y709" s="5"/>
      <c r="Z709" s="5"/>
      <c r="AA709" s="5"/>
    </row>
    <row r="710">
      <c r="A710" s="5"/>
      <c r="B710" s="5"/>
      <c r="C710" s="5"/>
      <c r="D710" s="5"/>
      <c r="E710" s="64"/>
      <c r="F710" s="5"/>
      <c r="G710" s="5"/>
      <c r="H710" s="5"/>
      <c r="I710" s="5"/>
      <c r="J710" s="5"/>
      <c r="K710" s="64"/>
      <c r="L710" s="64"/>
      <c r="M710" s="96"/>
      <c r="N710" s="5"/>
      <c r="O710" s="5"/>
      <c r="P710" s="5"/>
      <c r="Q710" s="5"/>
      <c r="R710" s="5"/>
      <c r="S710" s="5"/>
      <c r="T710" s="5"/>
      <c r="U710" s="5"/>
      <c r="V710" s="5"/>
      <c r="W710" s="5"/>
      <c r="X710" s="5"/>
      <c r="Y710" s="5"/>
      <c r="Z710" s="5"/>
      <c r="AA710" s="5"/>
    </row>
    <row r="711">
      <c r="A711" s="5"/>
      <c r="B711" s="5"/>
      <c r="C711" s="5"/>
      <c r="D711" s="5"/>
      <c r="E711" s="64"/>
      <c r="F711" s="5"/>
      <c r="G711" s="5"/>
      <c r="H711" s="5"/>
      <c r="I711" s="5"/>
      <c r="J711" s="5"/>
      <c r="K711" s="64"/>
      <c r="L711" s="64"/>
      <c r="M711" s="96"/>
      <c r="N711" s="5"/>
      <c r="O711" s="5"/>
      <c r="P711" s="5"/>
      <c r="Q711" s="5"/>
      <c r="R711" s="5"/>
      <c r="S711" s="5"/>
      <c r="T711" s="5"/>
      <c r="U711" s="5"/>
      <c r="V711" s="5"/>
      <c r="W711" s="5"/>
      <c r="X711" s="5"/>
      <c r="Y711" s="5"/>
      <c r="Z711" s="5"/>
      <c r="AA711" s="5"/>
    </row>
    <row r="712">
      <c r="A712" s="5"/>
      <c r="B712" s="5"/>
      <c r="C712" s="5"/>
      <c r="D712" s="5"/>
      <c r="E712" s="64"/>
      <c r="F712" s="5"/>
      <c r="G712" s="5"/>
      <c r="H712" s="5"/>
      <c r="I712" s="5"/>
      <c r="J712" s="5"/>
      <c r="K712" s="64"/>
      <c r="L712" s="64"/>
      <c r="M712" s="96"/>
      <c r="N712" s="5"/>
      <c r="O712" s="5"/>
      <c r="P712" s="5"/>
      <c r="Q712" s="5"/>
      <c r="R712" s="5"/>
      <c r="S712" s="5"/>
      <c r="T712" s="5"/>
      <c r="U712" s="5"/>
      <c r="V712" s="5"/>
      <c r="W712" s="5"/>
      <c r="X712" s="5"/>
      <c r="Y712" s="5"/>
      <c r="Z712" s="5"/>
      <c r="AA712" s="5"/>
    </row>
    <row r="713">
      <c r="A713" s="5"/>
      <c r="B713" s="5"/>
      <c r="C713" s="5"/>
      <c r="D713" s="5"/>
      <c r="E713" s="64"/>
      <c r="F713" s="5"/>
      <c r="G713" s="5"/>
      <c r="H713" s="5"/>
      <c r="I713" s="5"/>
      <c r="J713" s="5"/>
      <c r="K713" s="64"/>
      <c r="L713" s="64"/>
      <c r="M713" s="96"/>
      <c r="N713" s="5"/>
      <c r="O713" s="5"/>
      <c r="P713" s="5"/>
      <c r="Q713" s="5"/>
      <c r="R713" s="5"/>
      <c r="S713" s="5"/>
      <c r="T713" s="5"/>
      <c r="U713" s="5"/>
      <c r="V713" s="5"/>
      <c r="W713" s="5"/>
      <c r="X713" s="5"/>
      <c r="Y713" s="5"/>
      <c r="Z713" s="5"/>
      <c r="AA713" s="5"/>
    </row>
    <row r="714">
      <c r="A714" s="5"/>
      <c r="B714" s="5"/>
      <c r="C714" s="5"/>
      <c r="D714" s="5"/>
      <c r="E714" s="64"/>
      <c r="F714" s="5"/>
      <c r="G714" s="5"/>
      <c r="H714" s="5"/>
      <c r="I714" s="5"/>
      <c r="J714" s="5"/>
      <c r="K714" s="64"/>
      <c r="L714" s="64"/>
      <c r="M714" s="96"/>
      <c r="N714" s="5"/>
      <c r="O714" s="5"/>
      <c r="P714" s="5"/>
      <c r="Q714" s="5"/>
      <c r="R714" s="5"/>
      <c r="S714" s="5"/>
      <c r="T714" s="5"/>
      <c r="U714" s="5"/>
      <c r="V714" s="5"/>
      <c r="W714" s="5"/>
      <c r="X714" s="5"/>
      <c r="Y714" s="5"/>
      <c r="Z714" s="5"/>
      <c r="AA714" s="5"/>
    </row>
    <row r="715">
      <c r="A715" s="5"/>
      <c r="B715" s="5"/>
      <c r="C715" s="5"/>
      <c r="D715" s="5"/>
      <c r="E715" s="64"/>
      <c r="F715" s="5"/>
      <c r="G715" s="5"/>
      <c r="H715" s="5"/>
      <c r="I715" s="5"/>
      <c r="J715" s="5"/>
      <c r="K715" s="64"/>
      <c r="L715" s="64"/>
      <c r="M715" s="96"/>
      <c r="N715" s="5"/>
      <c r="O715" s="5"/>
      <c r="P715" s="5"/>
      <c r="Q715" s="5"/>
      <c r="R715" s="5"/>
      <c r="S715" s="5"/>
      <c r="T715" s="5"/>
      <c r="U715" s="5"/>
      <c r="V715" s="5"/>
      <c r="W715" s="5"/>
      <c r="X715" s="5"/>
      <c r="Y715" s="5"/>
      <c r="Z715" s="5"/>
      <c r="AA715" s="5"/>
    </row>
    <row r="716">
      <c r="A716" s="5"/>
      <c r="B716" s="5"/>
      <c r="C716" s="5"/>
      <c r="D716" s="5"/>
      <c r="E716" s="64"/>
      <c r="F716" s="5"/>
      <c r="G716" s="5"/>
      <c r="H716" s="5"/>
      <c r="I716" s="5"/>
      <c r="J716" s="5"/>
      <c r="K716" s="64"/>
      <c r="L716" s="64"/>
      <c r="M716" s="96"/>
      <c r="N716" s="5"/>
      <c r="O716" s="5"/>
      <c r="P716" s="5"/>
      <c r="Q716" s="5"/>
      <c r="R716" s="5"/>
      <c r="S716" s="5"/>
      <c r="T716" s="5"/>
      <c r="U716" s="5"/>
      <c r="V716" s="5"/>
      <c r="W716" s="5"/>
      <c r="X716" s="5"/>
      <c r="Y716" s="5"/>
      <c r="Z716" s="5"/>
      <c r="AA716" s="5"/>
    </row>
    <row r="717">
      <c r="A717" s="5"/>
      <c r="B717" s="5"/>
      <c r="C717" s="5"/>
      <c r="D717" s="5"/>
      <c r="E717" s="64"/>
      <c r="F717" s="5"/>
      <c r="G717" s="5"/>
      <c r="H717" s="5"/>
      <c r="I717" s="5"/>
      <c r="J717" s="5"/>
      <c r="K717" s="64"/>
      <c r="L717" s="64"/>
      <c r="M717" s="96"/>
      <c r="N717" s="5"/>
      <c r="O717" s="5"/>
      <c r="P717" s="5"/>
      <c r="Q717" s="5"/>
      <c r="R717" s="5"/>
      <c r="S717" s="5"/>
      <c r="T717" s="5"/>
      <c r="U717" s="5"/>
      <c r="V717" s="5"/>
      <c r="W717" s="5"/>
      <c r="X717" s="5"/>
      <c r="Y717" s="5"/>
      <c r="Z717" s="5"/>
      <c r="AA717" s="5"/>
    </row>
    <row r="718">
      <c r="A718" s="5"/>
      <c r="B718" s="5"/>
      <c r="C718" s="5"/>
      <c r="D718" s="5"/>
      <c r="E718" s="64"/>
      <c r="F718" s="5"/>
      <c r="G718" s="5"/>
      <c r="H718" s="5"/>
      <c r="I718" s="5"/>
      <c r="J718" s="5"/>
      <c r="K718" s="64"/>
      <c r="L718" s="64"/>
      <c r="M718" s="96"/>
      <c r="N718" s="5"/>
      <c r="O718" s="5"/>
      <c r="P718" s="5"/>
      <c r="Q718" s="5"/>
      <c r="R718" s="5"/>
      <c r="S718" s="5"/>
      <c r="T718" s="5"/>
      <c r="U718" s="5"/>
      <c r="V718" s="5"/>
      <c r="W718" s="5"/>
      <c r="X718" s="5"/>
      <c r="Y718" s="5"/>
      <c r="Z718" s="5"/>
      <c r="AA718" s="5"/>
    </row>
    <row r="719">
      <c r="A719" s="5"/>
      <c r="B719" s="5"/>
      <c r="C719" s="5"/>
      <c r="D719" s="5"/>
      <c r="E719" s="64"/>
      <c r="F719" s="5"/>
      <c r="G719" s="5"/>
      <c r="H719" s="5"/>
      <c r="I719" s="5"/>
      <c r="J719" s="5"/>
      <c r="K719" s="64"/>
      <c r="L719" s="64"/>
      <c r="M719" s="96"/>
      <c r="N719" s="5"/>
      <c r="O719" s="5"/>
      <c r="P719" s="5"/>
      <c r="Q719" s="5"/>
      <c r="R719" s="5"/>
      <c r="S719" s="5"/>
      <c r="T719" s="5"/>
      <c r="U719" s="5"/>
      <c r="V719" s="5"/>
      <c r="W719" s="5"/>
      <c r="X719" s="5"/>
      <c r="Y719" s="5"/>
      <c r="Z719" s="5"/>
      <c r="AA719" s="5"/>
    </row>
    <row r="720">
      <c r="A720" s="5"/>
      <c r="B720" s="5"/>
      <c r="C720" s="5"/>
      <c r="D720" s="5"/>
      <c r="E720" s="64"/>
      <c r="F720" s="5"/>
      <c r="G720" s="5"/>
      <c r="H720" s="5"/>
      <c r="I720" s="5"/>
      <c r="J720" s="5"/>
      <c r="K720" s="64"/>
      <c r="L720" s="64"/>
      <c r="M720" s="96"/>
      <c r="N720" s="5"/>
      <c r="O720" s="5"/>
      <c r="P720" s="5"/>
      <c r="Q720" s="5"/>
      <c r="R720" s="5"/>
      <c r="S720" s="5"/>
      <c r="T720" s="5"/>
      <c r="U720" s="5"/>
      <c r="V720" s="5"/>
      <c r="W720" s="5"/>
      <c r="X720" s="5"/>
      <c r="Y720" s="5"/>
      <c r="Z720" s="5"/>
      <c r="AA720" s="5"/>
    </row>
    <row r="721">
      <c r="A721" s="5"/>
      <c r="B721" s="5"/>
      <c r="C721" s="5"/>
      <c r="D721" s="5"/>
      <c r="E721" s="64"/>
      <c r="F721" s="5"/>
      <c r="G721" s="5"/>
      <c r="H721" s="5"/>
      <c r="I721" s="5"/>
      <c r="J721" s="5"/>
      <c r="K721" s="64"/>
      <c r="L721" s="64"/>
      <c r="M721" s="96"/>
      <c r="N721" s="5"/>
      <c r="O721" s="5"/>
      <c r="P721" s="5"/>
      <c r="Q721" s="5"/>
      <c r="R721" s="5"/>
      <c r="S721" s="5"/>
      <c r="T721" s="5"/>
      <c r="U721" s="5"/>
      <c r="V721" s="5"/>
      <c r="W721" s="5"/>
      <c r="X721" s="5"/>
      <c r="Y721" s="5"/>
      <c r="Z721" s="5"/>
      <c r="AA721" s="5"/>
    </row>
    <row r="722">
      <c r="A722" s="5"/>
      <c r="B722" s="5"/>
      <c r="C722" s="5"/>
      <c r="D722" s="5"/>
      <c r="E722" s="64"/>
      <c r="F722" s="5"/>
      <c r="G722" s="5"/>
      <c r="H722" s="5"/>
      <c r="I722" s="5"/>
      <c r="J722" s="5"/>
      <c r="K722" s="64"/>
      <c r="L722" s="64"/>
      <c r="M722" s="96"/>
      <c r="N722" s="5"/>
      <c r="O722" s="5"/>
      <c r="P722" s="5"/>
      <c r="Q722" s="5"/>
      <c r="R722" s="5"/>
      <c r="S722" s="5"/>
      <c r="T722" s="5"/>
      <c r="U722" s="5"/>
      <c r="V722" s="5"/>
      <c r="W722" s="5"/>
      <c r="X722" s="5"/>
      <c r="Y722" s="5"/>
      <c r="Z722" s="5"/>
      <c r="AA722" s="5"/>
    </row>
    <row r="723">
      <c r="A723" s="5"/>
      <c r="B723" s="5"/>
      <c r="C723" s="5"/>
      <c r="D723" s="5"/>
      <c r="E723" s="64"/>
      <c r="F723" s="5"/>
      <c r="G723" s="5"/>
      <c r="H723" s="5"/>
      <c r="I723" s="5"/>
      <c r="J723" s="5"/>
      <c r="K723" s="64"/>
      <c r="L723" s="64"/>
      <c r="M723" s="96"/>
      <c r="N723" s="5"/>
      <c r="O723" s="5"/>
      <c r="P723" s="5"/>
      <c r="Q723" s="5"/>
      <c r="R723" s="5"/>
      <c r="S723" s="5"/>
      <c r="T723" s="5"/>
      <c r="U723" s="5"/>
      <c r="V723" s="5"/>
      <c r="W723" s="5"/>
      <c r="X723" s="5"/>
      <c r="Y723" s="5"/>
      <c r="Z723" s="5"/>
      <c r="AA723" s="5"/>
    </row>
    <row r="724">
      <c r="A724" s="5"/>
      <c r="B724" s="5"/>
      <c r="C724" s="5"/>
      <c r="D724" s="5"/>
      <c r="E724" s="64"/>
      <c r="F724" s="5"/>
      <c r="G724" s="5"/>
      <c r="H724" s="5"/>
      <c r="I724" s="5"/>
      <c r="J724" s="5"/>
      <c r="K724" s="64"/>
      <c r="L724" s="64"/>
      <c r="M724" s="96"/>
      <c r="N724" s="5"/>
      <c r="O724" s="5"/>
      <c r="P724" s="5"/>
      <c r="Q724" s="5"/>
      <c r="R724" s="5"/>
      <c r="S724" s="5"/>
      <c r="T724" s="5"/>
      <c r="U724" s="5"/>
      <c r="V724" s="5"/>
      <c r="W724" s="5"/>
      <c r="X724" s="5"/>
      <c r="Y724" s="5"/>
      <c r="Z724" s="5"/>
      <c r="AA724" s="5"/>
    </row>
    <row r="725">
      <c r="A725" s="5"/>
      <c r="B725" s="5"/>
      <c r="C725" s="5"/>
      <c r="D725" s="5"/>
      <c r="E725" s="64"/>
      <c r="F725" s="5"/>
      <c r="G725" s="5"/>
      <c r="H725" s="5"/>
      <c r="I725" s="5"/>
      <c r="J725" s="5"/>
      <c r="K725" s="64"/>
      <c r="L725" s="64"/>
      <c r="M725" s="96"/>
      <c r="N725" s="5"/>
      <c r="O725" s="5"/>
      <c r="P725" s="5"/>
      <c r="Q725" s="5"/>
      <c r="R725" s="5"/>
      <c r="S725" s="5"/>
      <c r="T725" s="5"/>
      <c r="U725" s="5"/>
      <c r="V725" s="5"/>
      <c r="W725" s="5"/>
      <c r="X725" s="5"/>
      <c r="Y725" s="5"/>
      <c r="Z725" s="5"/>
      <c r="AA725" s="5"/>
    </row>
    <row r="726">
      <c r="A726" s="5"/>
      <c r="B726" s="5"/>
      <c r="C726" s="5"/>
      <c r="D726" s="5"/>
      <c r="E726" s="64"/>
      <c r="F726" s="5"/>
      <c r="G726" s="5"/>
      <c r="H726" s="5"/>
      <c r="I726" s="5"/>
      <c r="J726" s="5"/>
      <c r="K726" s="64"/>
      <c r="L726" s="64"/>
      <c r="M726" s="96"/>
      <c r="N726" s="5"/>
      <c r="O726" s="5"/>
      <c r="P726" s="5"/>
      <c r="Q726" s="5"/>
      <c r="R726" s="5"/>
      <c r="S726" s="5"/>
      <c r="T726" s="5"/>
      <c r="U726" s="5"/>
      <c r="V726" s="5"/>
      <c r="W726" s="5"/>
      <c r="X726" s="5"/>
      <c r="Y726" s="5"/>
      <c r="Z726" s="5"/>
      <c r="AA726" s="5"/>
    </row>
    <row r="727">
      <c r="A727" s="5"/>
      <c r="B727" s="5"/>
      <c r="C727" s="5"/>
      <c r="D727" s="5"/>
      <c r="E727" s="64"/>
      <c r="F727" s="5"/>
      <c r="G727" s="5"/>
      <c r="H727" s="5"/>
      <c r="I727" s="5"/>
      <c r="J727" s="5"/>
      <c r="K727" s="64"/>
      <c r="L727" s="64"/>
      <c r="M727" s="96"/>
      <c r="N727" s="5"/>
      <c r="O727" s="5"/>
      <c r="P727" s="5"/>
      <c r="Q727" s="5"/>
      <c r="R727" s="5"/>
      <c r="S727" s="5"/>
      <c r="T727" s="5"/>
      <c r="U727" s="5"/>
      <c r="V727" s="5"/>
      <c r="W727" s="5"/>
      <c r="X727" s="5"/>
      <c r="Y727" s="5"/>
      <c r="Z727" s="5"/>
      <c r="AA727" s="5"/>
    </row>
    <row r="728">
      <c r="A728" s="5"/>
      <c r="B728" s="5"/>
      <c r="C728" s="5"/>
      <c r="D728" s="5"/>
      <c r="E728" s="64"/>
      <c r="F728" s="5"/>
      <c r="G728" s="5"/>
      <c r="H728" s="5"/>
      <c r="I728" s="5"/>
      <c r="J728" s="5"/>
      <c r="K728" s="64"/>
      <c r="L728" s="64"/>
      <c r="M728" s="96"/>
      <c r="N728" s="5"/>
      <c r="O728" s="5"/>
      <c r="P728" s="5"/>
      <c r="Q728" s="5"/>
      <c r="R728" s="5"/>
      <c r="S728" s="5"/>
      <c r="T728" s="5"/>
      <c r="U728" s="5"/>
      <c r="V728" s="5"/>
      <c r="W728" s="5"/>
      <c r="X728" s="5"/>
      <c r="Y728" s="5"/>
      <c r="Z728" s="5"/>
      <c r="AA728" s="5"/>
    </row>
    <row r="729">
      <c r="A729" s="5"/>
      <c r="B729" s="5"/>
      <c r="C729" s="5"/>
      <c r="D729" s="5"/>
      <c r="E729" s="64"/>
      <c r="F729" s="5"/>
      <c r="G729" s="5"/>
      <c r="H729" s="5"/>
      <c r="I729" s="5"/>
      <c r="J729" s="5"/>
      <c r="K729" s="64"/>
      <c r="L729" s="64"/>
      <c r="M729" s="96"/>
      <c r="N729" s="5"/>
      <c r="O729" s="5"/>
      <c r="P729" s="5"/>
      <c r="Q729" s="5"/>
      <c r="R729" s="5"/>
      <c r="S729" s="5"/>
      <c r="T729" s="5"/>
      <c r="U729" s="5"/>
      <c r="V729" s="5"/>
      <c r="W729" s="5"/>
      <c r="X729" s="5"/>
      <c r="Y729" s="5"/>
      <c r="Z729" s="5"/>
      <c r="AA729" s="5"/>
    </row>
    <row r="730">
      <c r="A730" s="5"/>
      <c r="B730" s="5"/>
      <c r="C730" s="5"/>
      <c r="D730" s="5"/>
      <c r="E730" s="64"/>
      <c r="F730" s="5"/>
      <c r="G730" s="5"/>
      <c r="H730" s="5"/>
      <c r="I730" s="5"/>
      <c r="J730" s="5"/>
      <c r="K730" s="64"/>
      <c r="L730" s="64"/>
      <c r="M730" s="96"/>
      <c r="N730" s="5"/>
      <c r="O730" s="5"/>
      <c r="P730" s="5"/>
      <c r="Q730" s="5"/>
      <c r="R730" s="5"/>
      <c r="S730" s="5"/>
      <c r="T730" s="5"/>
      <c r="U730" s="5"/>
      <c r="V730" s="5"/>
      <c r="W730" s="5"/>
      <c r="X730" s="5"/>
      <c r="Y730" s="5"/>
      <c r="Z730" s="5"/>
      <c r="AA730" s="5"/>
    </row>
    <row r="731">
      <c r="A731" s="5"/>
      <c r="B731" s="5"/>
      <c r="C731" s="5"/>
      <c r="D731" s="5"/>
      <c r="E731" s="64"/>
      <c r="F731" s="5"/>
      <c r="G731" s="5"/>
      <c r="H731" s="5"/>
      <c r="I731" s="5"/>
      <c r="J731" s="5"/>
      <c r="K731" s="64"/>
      <c r="L731" s="64"/>
      <c r="M731" s="96"/>
      <c r="N731" s="5"/>
      <c r="O731" s="5"/>
      <c r="P731" s="5"/>
      <c r="Q731" s="5"/>
      <c r="R731" s="5"/>
      <c r="S731" s="5"/>
      <c r="T731" s="5"/>
      <c r="U731" s="5"/>
      <c r="V731" s="5"/>
      <c r="W731" s="5"/>
      <c r="X731" s="5"/>
      <c r="Y731" s="5"/>
      <c r="Z731" s="5"/>
      <c r="AA731" s="5"/>
    </row>
    <row r="732">
      <c r="A732" s="5"/>
      <c r="B732" s="5"/>
      <c r="C732" s="5"/>
      <c r="D732" s="5"/>
      <c r="E732" s="64"/>
      <c r="F732" s="5"/>
      <c r="G732" s="5"/>
      <c r="H732" s="5"/>
      <c r="I732" s="5"/>
      <c r="J732" s="5"/>
      <c r="K732" s="64"/>
      <c r="L732" s="64"/>
      <c r="M732" s="96"/>
      <c r="N732" s="5"/>
      <c r="O732" s="5"/>
      <c r="P732" s="5"/>
      <c r="Q732" s="5"/>
      <c r="R732" s="5"/>
      <c r="S732" s="5"/>
      <c r="T732" s="5"/>
      <c r="U732" s="5"/>
      <c r="V732" s="5"/>
      <c r="W732" s="5"/>
      <c r="X732" s="5"/>
      <c r="Y732" s="5"/>
      <c r="Z732" s="5"/>
      <c r="AA732" s="5"/>
    </row>
    <row r="733">
      <c r="A733" s="5"/>
      <c r="B733" s="5"/>
      <c r="C733" s="5"/>
      <c r="D733" s="5"/>
      <c r="E733" s="64"/>
      <c r="F733" s="5"/>
      <c r="G733" s="5"/>
      <c r="H733" s="5"/>
      <c r="I733" s="5"/>
      <c r="J733" s="5"/>
      <c r="K733" s="64"/>
      <c r="L733" s="64"/>
      <c r="M733" s="96"/>
      <c r="N733" s="5"/>
      <c r="O733" s="5"/>
      <c r="P733" s="5"/>
      <c r="Q733" s="5"/>
      <c r="R733" s="5"/>
      <c r="S733" s="5"/>
      <c r="T733" s="5"/>
      <c r="U733" s="5"/>
      <c r="V733" s="5"/>
      <c r="W733" s="5"/>
      <c r="X733" s="5"/>
      <c r="Y733" s="5"/>
      <c r="Z733" s="5"/>
      <c r="AA733" s="5"/>
    </row>
    <row r="734">
      <c r="A734" s="5"/>
      <c r="B734" s="5"/>
      <c r="C734" s="5"/>
      <c r="D734" s="5"/>
      <c r="E734" s="64"/>
      <c r="F734" s="5"/>
      <c r="G734" s="5"/>
      <c r="H734" s="5"/>
      <c r="I734" s="5"/>
      <c r="J734" s="5"/>
      <c r="K734" s="64"/>
      <c r="L734" s="64"/>
      <c r="M734" s="96"/>
      <c r="N734" s="5"/>
      <c r="O734" s="5"/>
      <c r="P734" s="5"/>
      <c r="Q734" s="5"/>
      <c r="R734" s="5"/>
      <c r="S734" s="5"/>
      <c r="T734" s="5"/>
      <c r="U734" s="5"/>
      <c r="V734" s="5"/>
      <c r="W734" s="5"/>
      <c r="X734" s="5"/>
      <c r="Y734" s="5"/>
      <c r="Z734" s="5"/>
      <c r="AA734" s="5"/>
    </row>
    <row r="735">
      <c r="A735" s="5"/>
      <c r="B735" s="5"/>
      <c r="C735" s="5"/>
      <c r="D735" s="5"/>
      <c r="E735" s="64"/>
      <c r="F735" s="5"/>
      <c r="G735" s="5"/>
      <c r="H735" s="5"/>
      <c r="I735" s="5"/>
      <c r="J735" s="5"/>
      <c r="K735" s="64"/>
      <c r="L735" s="64"/>
      <c r="M735" s="96"/>
      <c r="N735" s="5"/>
      <c r="O735" s="5"/>
      <c r="P735" s="5"/>
      <c r="Q735" s="5"/>
      <c r="R735" s="5"/>
      <c r="S735" s="5"/>
      <c r="T735" s="5"/>
      <c r="U735" s="5"/>
      <c r="V735" s="5"/>
      <c r="W735" s="5"/>
      <c r="X735" s="5"/>
      <c r="Y735" s="5"/>
      <c r="Z735" s="5"/>
      <c r="AA735" s="5"/>
    </row>
    <row r="736">
      <c r="A736" s="5"/>
      <c r="B736" s="5"/>
      <c r="C736" s="5"/>
      <c r="D736" s="5"/>
      <c r="E736" s="64"/>
      <c r="F736" s="5"/>
      <c r="G736" s="5"/>
      <c r="H736" s="5"/>
      <c r="I736" s="5"/>
      <c r="J736" s="5"/>
      <c r="K736" s="64"/>
      <c r="L736" s="64"/>
      <c r="M736" s="96"/>
      <c r="N736" s="5"/>
      <c r="O736" s="5"/>
      <c r="P736" s="5"/>
      <c r="Q736" s="5"/>
      <c r="R736" s="5"/>
      <c r="S736" s="5"/>
      <c r="T736" s="5"/>
      <c r="U736" s="5"/>
      <c r="V736" s="5"/>
      <c r="W736" s="5"/>
      <c r="X736" s="5"/>
      <c r="Y736" s="5"/>
      <c r="Z736" s="5"/>
      <c r="AA736" s="5"/>
    </row>
    <row r="737">
      <c r="A737" s="5"/>
      <c r="B737" s="5"/>
      <c r="C737" s="5"/>
      <c r="D737" s="5"/>
      <c r="E737" s="64"/>
      <c r="F737" s="5"/>
      <c r="G737" s="5"/>
      <c r="H737" s="5"/>
      <c r="I737" s="5"/>
      <c r="J737" s="5"/>
      <c r="K737" s="64"/>
      <c r="L737" s="64"/>
      <c r="M737" s="96"/>
      <c r="N737" s="5"/>
      <c r="O737" s="5"/>
      <c r="P737" s="5"/>
      <c r="Q737" s="5"/>
      <c r="R737" s="5"/>
      <c r="S737" s="5"/>
      <c r="T737" s="5"/>
      <c r="U737" s="5"/>
      <c r="V737" s="5"/>
      <c r="W737" s="5"/>
      <c r="X737" s="5"/>
      <c r="Y737" s="5"/>
      <c r="Z737" s="5"/>
      <c r="AA737" s="5"/>
    </row>
    <row r="738">
      <c r="A738" s="5"/>
      <c r="B738" s="5"/>
      <c r="C738" s="5"/>
      <c r="D738" s="5"/>
      <c r="E738" s="64"/>
      <c r="F738" s="5"/>
      <c r="G738" s="5"/>
      <c r="H738" s="5"/>
      <c r="I738" s="5"/>
      <c r="J738" s="5"/>
      <c r="K738" s="64"/>
      <c r="L738" s="64"/>
      <c r="M738" s="96"/>
      <c r="N738" s="5"/>
      <c r="O738" s="5"/>
      <c r="P738" s="5"/>
      <c r="Q738" s="5"/>
      <c r="R738" s="5"/>
      <c r="S738" s="5"/>
      <c r="T738" s="5"/>
      <c r="U738" s="5"/>
      <c r="V738" s="5"/>
      <c r="W738" s="5"/>
      <c r="X738" s="5"/>
      <c r="Y738" s="5"/>
      <c r="Z738" s="5"/>
      <c r="AA738" s="5"/>
    </row>
    <row r="739">
      <c r="A739" s="5"/>
      <c r="B739" s="5"/>
      <c r="C739" s="5"/>
      <c r="D739" s="5"/>
      <c r="E739" s="64"/>
      <c r="F739" s="5"/>
      <c r="G739" s="5"/>
      <c r="H739" s="5"/>
      <c r="I739" s="5"/>
      <c r="J739" s="5"/>
      <c r="K739" s="64"/>
      <c r="L739" s="64"/>
      <c r="M739" s="96"/>
      <c r="N739" s="5"/>
      <c r="O739" s="5"/>
      <c r="P739" s="5"/>
      <c r="Q739" s="5"/>
      <c r="R739" s="5"/>
      <c r="S739" s="5"/>
      <c r="T739" s="5"/>
      <c r="U739" s="5"/>
      <c r="V739" s="5"/>
      <c r="W739" s="5"/>
      <c r="X739" s="5"/>
      <c r="Y739" s="5"/>
      <c r="Z739" s="5"/>
      <c r="AA739" s="5"/>
    </row>
    <row r="740">
      <c r="A740" s="5"/>
      <c r="B740" s="5"/>
      <c r="C740" s="5"/>
      <c r="D740" s="5"/>
      <c r="E740" s="64"/>
      <c r="F740" s="5"/>
      <c r="G740" s="5"/>
      <c r="H740" s="5"/>
      <c r="I740" s="5"/>
      <c r="J740" s="5"/>
      <c r="K740" s="64"/>
      <c r="L740" s="64"/>
      <c r="M740" s="96"/>
      <c r="N740" s="5"/>
      <c r="O740" s="5"/>
      <c r="P740" s="5"/>
      <c r="Q740" s="5"/>
      <c r="R740" s="5"/>
      <c r="S740" s="5"/>
      <c r="T740" s="5"/>
      <c r="U740" s="5"/>
      <c r="V740" s="5"/>
      <c r="W740" s="5"/>
      <c r="X740" s="5"/>
      <c r="Y740" s="5"/>
      <c r="Z740" s="5"/>
      <c r="AA740" s="5"/>
    </row>
    <row r="741">
      <c r="A741" s="5"/>
      <c r="B741" s="5"/>
      <c r="C741" s="5"/>
      <c r="D741" s="5"/>
      <c r="E741" s="64"/>
      <c r="F741" s="5"/>
      <c r="G741" s="5"/>
      <c r="H741" s="5"/>
      <c r="I741" s="5"/>
      <c r="J741" s="5"/>
      <c r="K741" s="64"/>
      <c r="L741" s="64"/>
      <c r="M741" s="96"/>
      <c r="N741" s="5"/>
      <c r="O741" s="5"/>
      <c r="P741" s="5"/>
      <c r="Q741" s="5"/>
      <c r="R741" s="5"/>
      <c r="S741" s="5"/>
      <c r="T741" s="5"/>
      <c r="U741" s="5"/>
      <c r="V741" s="5"/>
      <c r="W741" s="5"/>
      <c r="X741" s="5"/>
      <c r="Y741" s="5"/>
      <c r="Z741" s="5"/>
      <c r="AA741" s="5"/>
    </row>
    <row r="742">
      <c r="A742" s="5"/>
      <c r="B742" s="5"/>
      <c r="C742" s="5"/>
      <c r="D742" s="5"/>
      <c r="E742" s="64"/>
      <c r="F742" s="5"/>
      <c r="G742" s="5"/>
      <c r="H742" s="5"/>
      <c r="I742" s="5"/>
      <c r="J742" s="5"/>
      <c r="K742" s="64"/>
      <c r="L742" s="64"/>
      <c r="M742" s="96"/>
      <c r="N742" s="5"/>
      <c r="O742" s="5"/>
      <c r="P742" s="5"/>
      <c r="Q742" s="5"/>
      <c r="R742" s="5"/>
      <c r="S742" s="5"/>
      <c r="T742" s="5"/>
      <c r="U742" s="5"/>
      <c r="V742" s="5"/>
      <c r="W742" s="5"/>
      <c r="X742" s="5"/>
      <c r="Y742" s="5"/>
      <c r="Z742" s="5"/>
      <c r="AA742" s="5"/>
    </row>
    <row r="743">
      <c r="A743" s="5"/>
      <c r="B743" s="5"/>
      <c r="C743" s="5"/>
      <c r="D743" s="5"/>
      <c r="E743" s="64"/>
      <c r="F743" s="5"/>
      <c r="G743" s="5"/>
      <c r="H743" s="5"/>
      <c r="I743" s="5"/>
      <c r="J743" s="5"/>
      <c r="K743" s="64"/>
      <c r="L743" s="64"/>
      <c r="M743" s="96"/>
      <c r="N743" s="5"/>
      <c r="O743" s="5"/>
      <c r="P743" s="5"/>
      <c r="Q743" s="5"/>
      <c r="R743" s="5"/>
      <c r="S743" s="5"/>
      <c r="T743" s="5"/>
      <c r="U743" s="5"/>
      <c r="V743" s="5"/>
      <c r="W743" s="5"/>
      <c r="X743" s="5"/>
      <c r="Y743" s="5"/>
      <c r="Z743" s="5"/>
      <c r="AA743" s="5"/>
    </row>
    <row r="744">
      <c r="A744" s="5"/>
      <c r="B744" s="5"/>
      <c r="C744" s="5"/>
      <c r="D744" s="5"/>
      <c r="E744" s="64"/>
      <c r="F744" s="5"/>
      <c r="G744" s="5"/>
      <c r="H744" s="5"/>
      <c r="I744" s="5"/>
      <c r="J744" s="5"/>
      <c r="K744" s="64"/>
      <c r="L744" s="64"/>
      <c r="M744" s="96"/>
      <c r="N744" s="5"/>
      <c r="O744" s="5"/>
      <c r="P744" s="5"/>
      <c r="Q744" s="5"/>
      <c r="R744" s="5"/>
      <c r="S744" s="5"/>
      <c r="T744" s="5"/>
      <c r="U744" s="5"/>
      <c r="V744" s="5"/>
      <c r="W744" s="5"/>
      <c r="X744" s="5"/>
      <c r="Y744" s="5"/>
      <c r="Z744" s="5"/>
      <c r="AA744" s="5"/>
    </row>
    <row r="745">
      <c r="A745" s="5"/>
      <c r="B745" s="5"/>
      <c r="C745" s="5"/>
      <c r="D745" s="5"/>
      <c r="E745" s="64"/>
      <c r="F745" s="5"/>
      <c r="G745" s="5"/>
      <c r="H745" s="5"/>
      <c r="I745" s="5"/>
      <c r="J745" s="5"/>
      <c r="K745" s="64"/>
      <c r="L745" s="64"/>
      <c r="M745" s="96"/>
      <c r="N745" s="5"/>
      <c r="O745" s="5"/>
      <c r="P745" s="5"/>
      <c r="Q745" s="5"/>
      <c r="R745" s="5"/>
      <c r="S745" s="5"/>
      <c r="T745" s="5"/>
      <c r="U745" s="5"/>
      <c r="V745" s="5"/>
      <c r="W745" s="5"/>
      <c r="X745" s="5"/>
      <c r="Y745" s="5"/>
      <c r="Z745" s="5"/>
      <c r="AA745" s="5"/>
    </row>
    <row r="746">
      <c r="A746" s="5"/>
      <c r="B746" s="5"/>
      <c r="C746" s="5"/>
      <c r="D746" s="5"/>
      <c r="E746" s="64"/>
      <c r="F746" s="5"/>
      <c r="G746" s="5"/>
      <c r="H746" s="5"/>
      <c r="I746" s="5"/>
      <c r="J746" s="5"/>
      <c r="K746" s="64"/>
      <c r="L746" s="64"/>
      <c r="M746" s="96"/>
      <c r="N746" s="5"/>
      <c r="O746" s="5"/>
      <c r="P746" s="5"/>
      <c r="Q746" s="5"/>
      <c r="R746" s="5"/>
      <c r="S746" s="5"/>
      <c r="T746" s="5"/>
      <c r="U746" s="5"/>
      <c r="V746" s="5"/>
      <c r="W746" s="5"/>
      <c r="X746" s="5"/>
      <c r="Y746" s="5"/>
      <c r="Z746" s="5"/>
      <c r="AA746" s="5"/>
    </row>
    <row r="747">
      <c r="A747" s="5"/>
      <c r="B747" s="5"/>
      <c r="C747" s="5"/>
      <c r="D747" s="5"/>
      <c r="E747" s="64"/>
      <c r="F747" s="5"/>
      <c r="G747" s="5"/>
      <c r="H747" s="5"/>
      <c r="I747" s="5"/>
      <c r="J747" s="5"/>
      <c r="K747" s="64"/>
      <c r="L747" s="64"/>
      <c r="M747" s="96"/>
      <c r="N747" s="5"/>
      <c r="O747" s="5"/>
      <c r="P747" s="5"/>
      <c r="Q747" s="5"/>
      <c r="R747" s="5"/>
      <c r="S747" s="5"/>
      <c r="T747" s="5"/>
      <c r="U747" s="5"/>
      <c r="V747" s="5"/>
      <c r="W747" s="5"/>
      <c r="X747" s="5"/>
      <c r="Y747" s="5"/>
      <c r="Z747" s="5"/>
      <c r="AA747" s="5"/>
    </row>
    <row r="748">
      <c r="A748" s="5"/>
      <c r="B748" s="5"/>
      <c r="C748" s="5"/>
      <c r="D748" s="5"/>
      <c r="E748" s="64"/>
      <c r="F748" s="5"/>
      <c r="G748" s="5"/>
      <c r="H748" s="5"/>
      <c r="I748" s="5"/>
      <c r="J748" s="5"/>
      <c r="K748" s="64"/>
      <c r="L748" s="64"/>
      <c r="M748" s="96"/>
      <c r="N748" s="5"/>
      <c r="O748" s="5"/>
      <c r="P748" s="5"/>
      <c r="Q748" s="5"/>
      <c r="R748" s="5"/>
      <c r="S748" s="5"/>
      <c r="T748" s="5"/>
      <c r="U748" s="5"/>
      <c r="V748" s="5"/>
      <c r="W748" s="5"/>
      <c r="X748" s="5"/>
      <c r="Y748" s="5"/>
      <c r="Z748" s="5"/>
      <c r="AA748" s="5"/>
    </row>
    <row r="749">
      <c r="A749" s="5"/>
      <c r="B749" s="5"/>
      <c r="C749" s="5"/>
      <c r="D749" s="5"/>
      <c r="E749" s="64"/>
      <c r="F749" s="5"/>
      <c r="G749" s="5"/>
      <c r="H749" s="5"/>
      <c r="I749" s="5"/>
      <c r="J749" s="5"/>
      <c r="K749" s="64"/>
      <c r="L749" s="64"/>
      <c r="M749" s="96"/>
      <c r="N749" s="5"/>
      <c r="O749" s="5"/>
      <c r="P749" s="5"/>
      <c r="Q749" s="5"/>
      <c r="R749" s="5"/>
      <c r="S749" s="5"/>
      <c r="T749" s="5"/>
      <c r="U749" s="5"/>
      <c r="V749" s="5"/>
      <c r="W749" s="5"/>
      <c r="X749" s="5"/>
      <c r="Y749" s="5"/>
      <c r="Z749" s="5"/>
      <c r="AA749" s="5"/>
    </row>
    <row r="750">
      <c r="A750" s="5"/>
      <c r="B750" s="5"/>
      <c r="C750" s="5"/>
      <c r="D750" s="5"/>
      <c r="E750" s="64"/>
      <c r="F750" s="5"/>
      <c r="G750" s="5"/>
      <c r="H750" s="5"/>
      <c r="I750" s="5"/>
      <c r="J750" s="5"/>
      <c r="K750" s="64"/>
      <c r="L750" s="64"/>
      <c r="M750" s="96"/>
      <c r="N750" s="5"/>
      <c r="O750" s="5"/>
      <c r="P750" s="5"/>
      <c r="Q750" s="5"/>
      <c r="R750" s="5"/>
      <c r="S750" s="5"/>
      <c r="T750" s="5"/>
      <c r="U750" s="5"/>
      <c r="V750" s="5"/>
      <c r="W750" s="5"/>
      <c r="X750" s="5"/>
      <c r="Y750" s="5"/>
      <c r="Z750" s="5"/>
      <c r="AA750" s="5"/>
    </row>
    <row r="751">
      <c r="A751" s="5"/>
      <c r="B751" s="5"/>
      <c r="C751" s="5"/>
      <c r="D751" s="5"/>
      <c r="E751" s="64"/>
      <c r="F751" s="5"/>
      <c r="G751" s="5"/>
      <c r="H751" s="5"/>
      <c r="I751" s="5"/>
      <c r="J751" s="5"/>
      <c r="K751" s="64"/>
      <c r="L751" s="64"/>
      <c r="M751" s="96"/>
      <c r="N751" s="5"/>
      <c r="O751" s="5"/>
      <c r="P751" s="5"/>
      <c r="Q751" s="5"/>
      <c r="R751" s="5"/>
      <c r="S751" s="5"/>
      <c r="T751" s="5"/>
      <c r="U751" s="5"/>
      <c r="V751" s="5"/>
      <c r="W751" s="5"/>
      <c r="X751" s="5"/>
      <c r="Y751" s="5"/>
      <c r="Z751" s="5"/>
      <c r="AA751" s="5"/>
    </row>
    <row r="752">
      <c r="A752" s="5"/>
      <c r="B752" s="5"/>
      <c r="C752" s="5"/>
      <c r="D752" s="5"/>
      <c r="E752" s="64"/>
      <c r="F752" s="5"/>
      <c r="G752" s="5"/>
      <c r="H752" s="5"/>
      <c r="I752" s="5"/>
      <c r="J752" s="5"/>
      <c r="K752" s="64"/>
      <c r="L752" s="64"/>
      <c r="M752" s="96"/>
      <c r="N752" s="5"/>
      <c r="O752" s="5"/>
      <c r="P752" s="5"/>
      <c r="Q752" s="5"/>
      <c r="R752" s="5"/>
      <c r="S752" s="5"/>
      <c r="T752" s="5"/>
      <c r="U752" s="5"/>
      <c r="V752" s="5"/>
      <c r="W752" s="5"/>
      <c r="X752" s="5"/>
      <c r="Y752" s="5"/>
      <c r="Z752" s="5"/>
      <c r="AA752" s="5"/>
    </row>
    <row r="753">
      <c r="A753" s="5"/>
      <c r="B753" s="5"/>
      <c r="C753" s="5"/>
      <c r="D753" s="5"/>
      <c r="E753" s="64"/>
      <c r="F753" s="5"/>
      <c r="G753" s="5"/>
      <c r="H753" s="5"/>
      <c r="I753" s="5"/>
      <c r="J753" s="5"/>
      <c r="K753" s="64"/>
      <c r="L753" s="64"/>
      <c r="M753" s="96"/>
      <c r="N753" s="5"/>
      <c r="O753" s="5"/>
      <c r="P753" s="5"/>
      <c r="Q753" s="5"/>
      <c r="R753" s="5"/>
      <c r="S753" s="5"/>
      <c r="T753" s="5"/>
      <c r="U753" s="5"/>
      <c r="V753" s="5"/>
      <c r="W753" s="5"/>
      <c r="X753" s="5"/>
      <c r="Y753" s="5"/>
      <c r="Z753" s="5"/>
      <c r="AA753" s="5"/>
    </row>
    <row r="754">
      <c r="A754" s="5"/>
      <c r="B754" s="5"/>
      <c r="C754" s="5"/>
      <c r="D754" s="5"/>
      <c r="E754" s="64"/>
      <c r="F754" s="5"/>
      <c r="G754" s="5"/>
      <c r="H754" s="5"/>
      <c r="I754" s="5"/>
      <c r="J754" s="5"/>
      <c r="K754" s="64"/>
      <c r="L754" s="64"/>
      <c r="M754" s="96"/>
      <c r="N754" s="5"/>
      <c r="O754" s="5"/>
      <c r="P754" s="5"/>
      <c r="Q754" s="5"/>
      <c r="R754" s="5"/>
      <c r="S754" s="5"/>
      <c r="T754" s="5"/>
      <c r="U754" s="5"/>
      <c r="V754" s="5"/>
      <c r="W754" s="5"/>
      <c r="X754" s="5"/>
      <c r="Y754" s="5"/>
      <c r="Z754" s="5"/>
      <c r="AA754" s="5"/>
    </row>
    <row r="755">
      <c r="A755" s="5"/>
      <c r="B755" s="5"/>
      <c r="C755" s="5"/>
      <c r="D755" s="5"/>
      <c r="E755" s="64"/>
      <c r="F755" s="5"/>
      <c r="G755" s="5"/>
      <c r="H755" s="5"/>
      <c r="I755" s="5"/>
      <c r="J755" s="5"/>
      <c r="K755" s="64"/>
      <c r="L755" s="64"/>
      <c r="M755" s="96"/>
      <c r="N755" s="5"/>
      <c r="O755" s="5"/>
      <c r="P755" s="5"/>
      <c r="Q755" s="5"/>
      <c r="R755" s="5"/>
      <c r="S755" s="5"/>
      <c r="T755" s="5"/>
      <c r="U755" s="5"/>
      <c r="V755" s="5"/>
      <c r="W755" s="5"/>
      <c r="X755" s="5"/>
      <c r="Y755" s="5"/>
      <c r="Z755" s="5"/>
      <c r="AA755" s="5"/>
    </row>
    <row r="756">
      <c r="A756" s="5"/>
      <c r="B756" s="5"/>
      <c r="C756" s="5"/>
      <c r="D756" s="5"/>
      <c r="E756" s="64"/>
      <c r="F756" s="5"/>
      <c r="G756" s="5"/>
      <c r="H756" s="5"/>
      <c r="I756" s="5"/>
      <c r="J756" s="5"/>
      <c r="K756" s="64"/>
      <c r="L756" s="64"/>
      <c r="M756" s="96"/>
      <c r="N756" s="5"/>
      <c r="O756" s="5"/>
      <c r="P756" s="5"/>
      <c r="Q756" s="5"/>
      <c r="R756" s="5"/>
      <c r="S756" s="5"/>
      <c r="T756" s="5"/>
      <c r="U756" s="5"/>
      <c r="V756" s="5"/>
      <c r="W756" s="5"/>
      <c r="X756" s="5"/>
      <c r="Y756" s="5"/>
      <c r="Z756" s="5"/>
      <c r="AA756" s="5"/>
    </row>
    <row r="757">
      <c r="A757" s="5"/>
      <c r="B757" s="5"/>
      <c r="C757" s="5"/>
      <c r="D757" s="5"/>
      <c r="E757" s="64"/>
      <c r="F757" s="5"/>
      <c r="G757" s="5"/>
      <c r="H757" s="5"/>
      <c r="I757" s="5"/>
      <c r="J757" s="5"/>
      <c r="K757" s="64"/>
      <c r="L757" s="64"/>
      <c r="M757" s="96"/>
      <c r="N757" s="5"/>
      <c r="O757" s="5"/>
      <c r="P757" s="5"/>
      <c r="Q757" s="5"/>
      <c r="R757" s="5"/>
      <c r="S757" s="5"/>
      <c r="T757" s="5"/>
      <c r="U757" s="5"/>
      <c r="V757" s="5"/>
      <c r="W757" s="5"/>
      <c r="X757" s="5"/>
      <c r="Y757" s="5"/>
      <c r="Z757" s="5"/>
      <c r="AA757" s="5"/>
    </row>
    <row r="758">
      <c r="A758" s="5"/>
      <c r="B758" s="5"/>
      <c r="C758" s="5"/>
      <c r="D758" s="5"/>
      <c r="E758" s="64"/>
      <c r="F758" s="5"/>
      <c r="G758" s="5"/>
      <c r="H758" s="5"/>
      <c r="I758" s="5"/>
      <c r="J758" s="5"/>
      <c r="K758" s="64"/>
      <c r="L758" s="64"/>
      <c r="M758" s="96"/>
      <c r="N758" s="5"/>
      <c r="O758" s="5"/>
      <c r="P758" s="5"/>
      <c r="Q758" s="5"/>
      <c r="R758" s="5"/>
      <c r="S758" s="5"/>
      <c r="T758" s="5"/>
      <c r="U758" s="5"/>
      <c r="V758" s="5"/>
      <c r="W758" s="5"/>
      <c r="X758" s="5"/>
      <c r="Y758" s="5"/>
      <c r="Z758" s="5"/>
      <c r="AA758" s="5"/>
    </row>
    <row r="759">
      <c r="A759" s="5"/>
      <c r="B759" s="5"/>
      <c r="C759" s="5"/>
      <c r="D759" s="5"/>
      <c r="E759" s="64"/>
      <c r="F759" s="5"/>
      <c r="G759" s="5"/>
      <c r="H759" s="5"/>
      <c r="I759" s="5"/>
      <c r="J759" s="5"/>
      <c r="K759" s="64"/>
      <c r="L759" s="64"/>
      <c r="M759" s="96"/>
      <c r="N759" s="5"/>
      <c r="O759" s="5"/>
      <c r="P759" s="5"/>
      <c r="Q759" s="5"/>
      <c r="R759" s="5"/>
      <c r="S759" s="5"/>
      <c r="T759" s="5"/>
      <c r="U759" s="5"/>
      <c r="V759" s="5"/>
      <c r="W759" s="5"/>
      <c r="X759" s="5"/>
      <c r="Y759" s="5"/>
      <c r="Z759" s="5"/>
      <c r="AA759" s="5"/>
    </row>
    <row r="760">
      <c r="A760" s="5"/>
      <c r="B760" s="5"/>
      <c r="C760" s="5"/>
      <c r="D760" s="5"/>
      <c r="E760" s="64"/>
      <c r="F760" s="5"/>
      <c r="G760" s="5"/>
      <c r="H760" s="5"/>
      <c r="I760" s="5"/>
      <c r="J760" s="5"/>
      <c r="K760" s="64"/>
      <c r="L760" s="64"/>
      <c r="M760" s="96"/>
      <c r="N760" s="5"/>
      <c r="O760" s="5"/>
      <c r="P760" s="5"/>
      <c r="Q760" s="5"/>
      <c r="R760" s="5"/>
      <c r="S760" s="5"/>
      <c r="T760" s="5"/>
      <c r="U760" s="5"/>
      <c r="V760" s="5"/>
      <c r="W760" s="5"/>
      <c r="X760" s="5"/>
      <c r="Y760" s="5"/>
      <c r="Z760" s="5"/>
      <c r="AA760" s="5"/>
    </row>
    <row r="761">
      <c r="A761" s="5"/>
      <c r="B761" s="5"/>
      <c r="C761" s="5"/>
      <c r="D761" s="5"/>
      <c r="E761" s="64"/>
      <c r="F761" s="5"/>
      <c r="G761" s="5"/>
      <c r="H761" s="5"/>
      <c r="I761" s="5"/>
      <c r="J761" s="5"/>
      <c r="K761" s="64"/>
      <c r="L761" s="64"/>
      <c r="M761" s="96"/>
      <c r="N761" s="5"/>
      <c r="O761" s="5"/>
      <c r="P761" s="5"/>
      <c r="Q761" s="5"/>
      <c r="R761" s="5"/>
      <c r="S761" s="5"/>
      <c r="T761" s="5"/>
      <c r="U761" s="5"/>
      <c r="V761" s="5"/>
      <c r="W761" s="5"/>
      <c r="X761" s="5"/>
      <c r="Y761" s="5"/>
      <c r="Z761" s="5"/>
      <c r="AA761" s="5"/>
    </row>
    <row r="762">
      <c r="A762" s="5"/>
      <c r="B762" s="5"/>
      <c r="C762" s="5"/>
      <c r="D762" s="5"/>
      <c r="E762" s="64"/>
      <c r="F762" s="5"/>
      <c r="G762" s="5"/>
      <c r="H762" s="5"/>
      <c r="I762" s="5"/>
      <c r="J762" s="5"/>
      <c r="K762" s="64"/>
      <c r="L762" s="64"/>
      <c r="M762" s="96"/>
      <c r="N762" s="5"/>
      <c r="O762" s="5"/>
      <c r="P762" s="5"/>
      <c r="Q762" s="5"/>
      <c r="R762" s="5"/>
      <c r="S762" s="5"/>
      <c r="T762" s="5"/>
      <c r="U762" s="5"/>
      <c r="V762" s="5"/>
      <c r="W762" s="5"/>
      <c r="X762" s="5"/>
      <c r="Y762" s="5"/>
      <c r="Z762" s="5"/>
      <c r="AA762" s="5"/>
    </row>
    <row r="763">
      <c r="A763" s="5"/>
      <c r="B763" s="5"/>
      <c r="C763" s="5"/>
      <c r="D763" s="5"/>
      <c r="E763" s="64"/>
      <c r="F763" s="5"/>
      <c r="G763" s="5"/>
      <c r="H763" s="5"/>
      <c r="I763" s="5"/>
      <c r="J763" s="5"/>
      <c r="K763" s="64"/>
      <c r="L763" s="64"/>
      <c r="M763" s="96"/>
      <c r="N763" s="5"/>
      <c r="O763" s="5"/>
      <c r="P763" s="5"/>
      <c r="Q763" s="5"/>
      <c r="R763" s="5"/>
      <c r="S763" s="5"/>
      <c r="T763" s="5"/>
      <c r="U763" s="5"/>
      <c r="V763" s="5"/>
      <c r="W763" s="5"/>
      <c r="X763" s="5"/>
      <c r="Y763" s="5"/>
      <c r="Z763" s="5"/>
      <c r="AA763" s="5"/>
    </row>
    <row r="764">
      <c r="A764" s="5"/>
      <c r="B764" s="5"/>
      <c r="C764" s="5"/>
      <c r="D764" s="5"/>
      <c r="E764" s="64"/>
      <c r="F764" s="5"/>
      <c r="G764" s="5"/>
      <c r="H764" s="5"/>
      <c r="I764" s="5"/>
      <c r="J764" s="5"/>
      <c r="K764" s="64"/>
      <c r="L764" s="64"/>
      <c r="M764" s="96"/>
      <c r="N764" s="5"/>
      <c r="O764" s="5"/>
      <c r="P764" s="5"/>
      <c r="Q764" s="5"/>
      <c r="R764" s="5"/>
      <c r="S764" s="5"/>
      <c r="T764" s="5"/>
      <c r="U764" s="5"/>
      <c r="V764" s="5"/>
      <c r="W764" s="5"/>
      <c r="X764" s="5"/>
      <c r="Y764" s="5"/>
      <c r="Z764" s="5"/>
      <c r="AA764" s="5"/>
    </row>
    <row r="765">
      <c r="A765" s="5"/>
      <c r="B765" s="5"/>
      <c r="C765" s="5"/>
      <c r="D765" s="5"/>
      <c r="E765" s="64"/>
      <c r="F765" s="5"/>
      <c r="G765" s="5"/>
      <c r="H765" s="5"/>
      <c r="I765" s="5"/>
      <c r="J765" s="5"/>
      <c r="K765" s="64"/>
      <c r="L765" s="64"/>
      <c r="M765" s="96"/>
      <c r="N765" s="5"/>
      <c r="O765" s="5"/>
      <c r="P765" s="5"/>
      <c r="Q765" s="5"/>
      <c r="R765" s="5"/>
      <c r="S765" s="5"/>
      <c r="T765" s="5"/>
      <c r="U765" s="5"/>
      <c r="V765" s="5"/>
      <c r="W765" s="5"/>
      <c r="X765" s="5"/>
      <c r="Y765" s="5"/>
      <c r="Z765" s="5"/>
      <c r="AA765" s="5"/>
    </row>
    <row r="766">
      <c r="A766" s="5"/>
      <c r="B766" s="5"/>
      <c r="C766" s="5"/>
      <c r="D766" s="5"/>
      <c r="E766" s="64"/>
      <c r="F766" s="5"/>
      <c r="G766" s="5"/>
      <c r="H766" s="5"/>
      <c r="I766" s="5"/>
      <c r="J766" s="5"/>
      <c r="K766" s="64"/>
      <c r="L766" s="64"/>
      <c r="M766" s="96"/>
      <c r="N766" s="5"/>
      <c r="O766" s="5"/>
      <c r="P766" s="5"/>
      <c r="Q766" s="5"/>
      <c r="R766" s="5"/>
      <c r="S766" s="5"/>
      <c r="T766" s="5"/>
      <c r="U766" s="5"/>
      <c r="V766" s="5"/>
      <c r="W766" s="5"/>
      <c r="X766" s="5"/>
      <c r="Y766" s="5"/>
      <c r="Z766" s="5"/>
      <c r="AA766" s="5"/>
    </row>
    <row r="767">
      <c r="A767" s="5"/>
      <c r="B767" s="5"/>
      <c r="C767" s="5"/>
      <c r="D767" s="5"/>
      <c r="E767" s="64"/>
      <c r="F767" s="5"/>
      <c r="G767" s="5"/>
      <c r="H767" s="5"/>
      <c r="I767" s="5"/>
      <c r="J767" s="5"/>
      <c r="K767" s="64"/>
      <c r="L767" s="64"/>
      <c r="M767" s="96"/>
      <c r="N767" s="5"/>
      <c r="O767" s="5"/>
      <c r="P767" s="5"/>
      <c r="Q767" s="5"/>
      <c r="R767" s="5"/>
      <c r="S767" s="5"/>
      <c r="T767" s="5"/>
      <c r="U767" s="5"/>
      <c r="V767" s="5"/>
      <c r="W767" s="5"/>
      <c r="X767" s="5"/>
      <c r="Y767" s="5"/>
      <c r="Z767" s="5"/>
      <c r="AA767" s="5"/>
    </row>
    <row r="768">
      <c r="A768" s="5"/>
      <c r="B768" s="5"/>
      <c r="C768" s="5"/>
      <c r="D768" s="5"/>
      <c r="E768" s="64"/>
      <c r="F768" s="5"/>
      <c r="G768" s="5"/>
      <c r="H768" s="5"/>
      <c r="I768" s="5"/>
      <c r="J768" s="5"/>
      <c r="K768" s="64"/>
      <c r="L768" s="64"/>
      <c r="M768" s="96"/>
      <c r="N768" s="5"/>
      <c r="O768" s="5"/>
      <c r="P768" s="5"/>
      <c r="Q768" s="5"/>
      <c r="R768" s="5"/>
      <c r="S768" s="5"/>
      <c r="T768" s="5"/>
      <c r="U768" s="5"/>
      <c r="V768" s="5"/>
      <c r="W768" s="5"/>
      <c r="X768" s="5"/>
      <c r="Y768" s="5"/>
      <c r="Z768" s="5"/>
      <c r="AA768" s="5"/>
    </row>
    <row r="769">
      <c r="A769" s="5"/>
      <c r="B769" s="5"/>
      <c r="C769" s="5"/>
      <c r="D769" s="5"/>
      <c r="E769" s="64"/>
      <c r="F769" s="5"/>
      <c r="G769" s="5"/>
      <c r="H769" s="5"/>
      <c r="I769" s="5"/>
      <c r="J769" s="5"/>
      <c r="K769" s="64"/>
      <c r="L769" s="64"/>
      <c r="M769" s="96"/>
      <c r="N769" s="5"/>
      <c r="O769" s="5"/>
      <c r="P769" s="5"/>
      <c r="Q769" s="5"/>
      <c r="R769" s="5"/>
      <c r="S769" s="5"/>
      <c r="T769" s="5"/>
      <c r="U769" s="5"/>
      <c r="V769" s="5"/>
      <c r="W769" s="5"/>
      <c r="X769" s="5"/>
      <c r="Y769" s="5"/>
      <c r="Z769" s="5"/>
      <c r="AA769" s="5"/>
    </row>
    <row r="770">
      <c r="A770" s="5"/>
      <c r="B770" s="5"/>
      <c r="C770" s="5"/>
      <c r="D770" s="5"/>
      <c r="E770" s="64"/>
      <c r="F770" s="5"/>
      <c r="G770" s="5"/>
      <c r="H770" s="5"/>
      <c r="I770" s="5"/>
      <c r="J770" s="5"/>
      <c r="K770" s="64"/>
      <c r="L770" s="64"/>
      <c r="M770" s="96"/>
      <c r="N770" s="5"/>
      <c r="O770" s="5"/>
      <c r="P770" s="5"/>
      <c r="Q770" s="5"/>
      <c r="R770" s="5"/>
      <c r="S770" s="5"/>
      <c r="T770" s="5"/>
      <c r="U770" s="5"/>
      <c r="V770" s="5"/>
      <c r="W770" s="5"/>
      <c r="X770" s="5"/>
      <c r="Y770" s="5"/>
      <c r="Z770" s="5"/>
      <c r="AA770" s="5"/>
    </row>
    <row r="771">
      <c r="A771" s="5"/>
      <c r="B771" s="5"/>
      <c r="C771" s="5"/>
      <c r="D771" s="5"/>
      <c r="E771" s="64"/>
      <c r="F771" s="5"/>
      <c r="G771" s="5"/>
      <c r="H771" s="5"/>
      <c r="I771" s="5"/>
      <c r="J771" s="5"/>
      <c r="K771" s="64"/>
      <c r="L771" s="64"/>
      <c r="M771" s="96"/>
      <c r="N771" s="5"/>
      <c r="O771" s="5"/>
      <c r="P771" s="5"/>
      <c r="Q771" s="5"/>
      <c r="R771" s="5"/>
      <c r="S771" s="5"/>
      <c r="T771" s="5"/>
      <c r="U771" s="5"/>
      <c r="V771" s="5"/>
      <c r="W771" s="5"/>
      <c r="X771" s="5"/>
      <c r="Y771" s="5"/>
      <c r="Z771" s="5"/>
      <c r="AA771" s="5"/>
    </row>
    <row r="772">
      <c r="A772" s="5"/>
      <c r="B772" s="5"/>
      <c r="C772" s="5"/>
      <c r="D772" s="5"/>
      <c r="E772" s="64"/>
      <c r="F772" s="5"/>
      <c r="G772" s="5"/>
      <c r="H772" s="5"/>
      <c r="I772" s="5"/>
      <c r="J772" s="5"/>
      <c r="K772" s="64"/>
      <c r="L772" s="64"/>
      <c r="M772" s="96"/>
      <c r="N772" s="5"/>
      <c r="O772" s="5"/>
      <c r="P772" s="5"/>
      <c r="Q772" s="5"/>
      <c r="R772" s="5"/>
      <c r="S772" s="5"/>
      <c r="T772" s="5"/>
      <c r="U772" s="5"/>
      <c r="V772" s="5"/>
      <c r="W772" s="5"/>
      <c r="X772" s="5"/>
      <c r="Y772" s="5"/>
      <c r="Z772" s="5"/>
      <c r="AA772" s="5"/>
    </row>
    <row r="773">
      <c r="A773" s="5"/>
      <c r="B773" s="5"/>
      <c r="C773" s="5"/>
      <c r="D773" s="5"/>
      <c r="E773" s="64"/>
      <c r="F773" s="5"/>
      <c r="G773" s="5"/>
      <c r="H773" s="5"/>
      <c r="I773" s="5"/>
      <c r="J773" s="5"/>
      <c r="K773" s="64"/>
      <c r="L773" s="64"/>
      <c r="M773" s="96"/>
      <c r="N773" s="5"/>
      <c r="O773" s="5"/>
      <c r="P773" s="5"/>
      <c r="Q773" s="5"/>
      <c r="R773" s="5"/>
      <c r="S773" s="5"/>
      <c r="T773" s="5"/>
      <c r="U773" s="5"/>
      <c r="V773" s="5"/>
      <c r="W773" s="5"/>
      <c r="X773" s="5"/>
      <c r="Y773" s="5"/>
      <c r="Z773" s="5"/>
      <c r="AA773" s="5"/>
    </row>
    <row r="774">
      <c r="A774" s="5"/>
      <c r="B774" s="5"/>
      <c r="C774" s="5"/>
      <c r="D774" s="5"/>
      <c r="E774" s="64"/>
      <c r="F774" s="5"/>
      <c r="G774" s="5"/>
      <c r="H774" s="5"/>
      <c r="I774" s="5"/>
      <c r="J774" s="5"/>
      <c r="K774" s="64"/>
      <c r="L774" s="64"/>
      <c r="M774" s="96"/>
      <c r="N774" s="5"/>
      <c r="O774" s="5"/>
      <c r="P774" s="5"/>
      <c r="Q774" s="5"/>
      <c r="R774" s="5"/>
      <c r="S774" s="5"/>
      <c r="T774" s="5"/>
      <c r="U774" s="5"/>
      <c r="V774" s="5"/>
      <c r="W774" s="5"/>
      <c r="X774" s="5"/>
      <c r="Y774" s="5"/>
      <c r="Z774" s="5"/>
      <c r="AA774" s="5"/>
    </row>
    <row r="775">
      <c r="A775" s="5"/>
      <c r="B775" s="5"/>
      <c r="C775" s="5"/>
      <c r="D775" s="5"/>
      <c r="E775" s="64"/>
      <c r="F775" s="5"/>
      <c r="G775" s="5"/>
      <c r="H775" s="5"/>
      <c r="I775" s="5"/>
      <c r="J775" s="5"/>
      <c r="K775" s="64"/>
      <c r="L775" s="64"/>
      <c r="M775" s="96"/>
      <c r="N775" s="5"/>
      <c r="O775" s="5"/>
      <c r="P775" s="5"/>
      <c r="Q775" s="5"/>
      <c r="R775" s="5"/>
      <c r="S775" s="5"/>
      <c r="T775" s="5"/>
      <c r="U775" s="5"/>
      <c r="V775" s="5"/>
      <c r="W775" s="5"/>
      <c r="X775" s="5"/>
      <c r="Y775" s="5"/>
      <c r="Z775" s="5"/>
      <c r="AA775" s="5"/>
    </row>
    <row r="776">
      <c r="A776" s="5"/>
      <c r="B776" s="5"/>
      <c r="C776" s="5"/>
      <c r="D776" s="5"/>
      <c r="E776" s="64"/>
      <c r="F776" s="5"/>
      <c r="G776" s="5"/>
      <c r="H776" s="5"/>
      <c r="I776" s="5"/>
      <c r="J776" s="5"/>
      <c r="K776" s="64"/>
      <c r="L776" s="64"/>
      <c r="M776" s="96"/>
      <c r="N776" s="5"/>
      <c r="O776" s="5"/>
      <c r="P776" s="5"/>
      <c r="Q776" s="5"/>
      <c r="R776" s="5"/>
      <c r="S776" s="5"/>
      <c r="T776" s="5"/>
      <c r="U776" s="5"/>
      <c r="V776" s="5"/>
      <c r="W776" s="5"/>
      <c r="X776" s="5"/>
      <c r="Y776" s="5"/>
      <c r="Z776" s="5"/>
      <c r="AA776" s="5"/>
    </row>
    <row r="777">
      <c r="A777" s="5"/>
      <c r="B777" s="5"/>
      <c r="C777" s="5"/>
      <c r="D777" s="5"/>
      <c r="E777" s="64"/>
      <c r="F777" s="5"/>
      <c r="G777" s="5"/>
      <c r="H777" s="5"/>
      <c r="I777" s="5"/>
      <c r="J777" s="5"/>
      <c r="K777" s="64"/>
      <c r="L777" s="64"/>
      <c r="M777" s="96"/>
      <c r="N777" s="5"/>
      <c r="O777" s="5"/>
      <c r="P777" s="5"/>
      <c r="Q777" s="5"/>
      <c r="R777" s="5"/>
      <c r="S777" s="5"/>
      <c r="T777" s="5"/>
      <c r="U777" s="5"/>
      <c r="V777" s="5"/>
      <c r="W777" s="5"/>
      <c r="X777" s="5"/>
      <c r="Y777" s="5"/>
      <c r="Z777" s="5"/>
      <c r="AA777" s="5"/>
    </row>
    <row r="778">
      <c r="A778" s="5"/>
      <c r="B778" s="5"/>
      <c r="C778" s="5"/>
      <c r="D778" s="5"/>
      <c r="E778" s="64"/>
      <c r="F778" s="5"/>
      <c r="G778" s="5"/>
      <c r="H778" s="5"/>
      <c r="I778" s="5"/>
      <c r="J778" s="5"/>
      <c r="K778" s="64"/>
      <c r="L778" s="64"/>
      <c r="M778" s="96"/>
      <c r="N778" s="5"/>
      <c r="O778" s="5"/>
      <c r="P778" s="5"/>
      <c r="Q778" s="5"/>
      <c r="R778" s="5"/>
      <c r="S778" s="5"/>
      <c r="T778" s="5"/>
      <c r="U778" s="5"/>
      <c r="V778" s="5"/>
      <c r="W778" s="5"/>
      <c r="X778" s="5"/>
      <c r="Y778" s="5"/>
      <c r="Z778" s="5"/>
      <c r="AA778" s="5"/>
    </row>
    <row r="779">
      <c r="A779" s="5"/>
      <c r="B779" s="5"/>
      <c r="C779" s="5"/>
      <c r="D779" s="5"/>
      <c r="E779" s="64"/>
      <c r="F779" s="5"/>
      <c r="G779" s="5"/>
      <c r="H779" s="5"/>
      <c r="I779" s="5"/>
      <c r="J779" s="5"/>
      <c r="K779" s="64"/>
      <c r="L779" s="64"/>
      <c r="M779" s="96"/>
      <c r="N779" s="5"/>
      <c r="O779" s="5"/>
      <c r="P779" s="5"/>
      <c r="Q779" s="5"/>
      <c r="R779" s="5"/>
      <c r="S779" s="5"/>
      <c r="T779" s="5"/>
      <c r="U779" s="5"/>
      <c r="V779" s="5"/>
      <c r="W779" s="5"/>
      <c r="X779" s="5"/>
      <c r="Y779" s="5"/>
      <c r="Z779" s="5"/>
      <c r="AA779" s="5"/>
    </row>
    <row r="780">
      <c r="A780" s="5"/>
      <c r="B780" s="5"/>
      <c r="C780" s="5"/>
      <c r="D780" s="5"/>
      <c r="E780" s="64"/>
      <c r="F780" s="5"/>
      <c r="G780" s="5"/>
      <c r="H780" s="5"/>
      <c r="I780" s="5"/>
      <c r="J780" s="5"/>
      <c r="K780" s="64"/>
      <c r="L780" s="64"/>
      <c r="M780" s="96"/>
      <c r="N780" s="5"/>
      <c r="O780" s="5"/>
      <c r="P780" s="5"/>
      <c r="Q780" s="5"/>
      <c r="R780" s="5"/>
      <c r="S780" s="5"/>
      <c r="T780" s="5"/>
      <c r="U780" s="5"/>
      <c r="V780" s="5"/>
      <c r="W780" s="5"/>
      <c r="X780" s="5"/>
      <c r="Y780" s="5"/>
      <c r="Z780" s="5"/>
      <c r="AA780" s="5"/>
    </row>
    <row r="781">
      <c r="A781" s="5"/>
      <c r="B781" s="5"/>
      <c r="C781" s="5"/>
      <c r="D781" s="5"/>
      <c r="E781" s="64"/>
      <c r="F781" s="5"/>
      <c r="G781" s="5"/>
      <c r="H781" s="5"/>
      <c r="I781" s="5"/>
      <c r="J781" s="5"/>
      <c r="K781" s="64"/>
      <c r="L781" s="64"/>
      <c r="M781" s="96"/>
      <c r="N781" s="5"/>
      <c r="O781" s="5"/>
      <c r="P781" s="5"/>
      <c r="Q781" s="5"/>
      <c r="R781" s="5"/>
      <c r="S781" s="5"/>
      <c r="T781" s="5"/>
      <c r="U781" s="5"/>
      <c r="V781" s="5"/>
      <c r="W781" s="5"/>
      <c r="X781" s="5"/>
      <c r="Y781" s="5"/>
      <c r="Z781" s="5"/>
      <c r="AA781" s="5"/>
    </row>
    <row r="782">
      <c r="A782" s="5"/>
      <c r="B782" s="5"/>
      <c r="C782" s="5"/>
      <c r="D782" s="5"/>
      <c r="E782" s="64"/>
      <c r="F782" s="5"/>
      <c r="G782" s="5"/>
      <c r="H782" s="5"/>
      <c r="I782" s="5"/>
      <c r="J782" s="5"/>
      <c r="K782" s="64"/>
      <c r="L782" s="64"/>
      <c r="M782" s="96"/>
      <c r="N782" s="5"/>
      <c r="O782" s="5"/>
      <c r="P782" s="5"/>
      <c r="Q782" s="5"/>
      <c r="R782" s="5"/>
      <c r="S782" s="5"/>
      <c r="T782" s="5"/>
      <c r="U782" s="5"/>
      <c r="V782" s="5"/>
      <c r="W782" s="5"/>
      <c r="X782" s="5"/>
      <c r="Y782" s="5"/>
      <c r="Z782" s="5"/>
      <c r="AA782" s="5"/>
    </row>
    <row r="783">
      <c r="A783" s="5"/>
      <c r="B783" s="5"/>
      <c r="C783" s="5"/>
      <c r="D783" s="5"/>
      <c r="E783" s="64"/>
      <c r="F783" s="5"/>
      <c r="G783" s="5"/>
      <c r="H783" s="5"/>
      <c r="I783" s="5"/>
      <c r="J783" s="5"/>
      <c r="K783" s="64"/>
      <c r="L783" s="64"/>
      <c r="M783" s="96"/>
      <c r="N783" s="5"/>
      <c r="O783" s="5"/>
      <c r="P783" s="5"/>
      <c r="Q783" s="5"/>
      <c r="R783" s="5"/>
      <c r="S783" s="5"/>
      <c r="T783" s="5"/>
      <c r="U783" s="5"/>
      <c r="V783" s="5"/>
      <c r="W783" s="5"/>
      <c r="X783" s="5"/>
      <c r="Y783" s="5"/>
      <c r="Z783" s="5"/>
      <c r="AA783" s="5"/>
    </row>
    <row r="784">
      <c r="A784" s="5"/>
      <c r="B784" s="5"/>
      <c r="C784" s="5"/>
      <c r="D784" s="5"/>
      <c r="E784" s="64"/>
      <c r="F784" s="5"/>
      <c r="G784" s="5"/>
      <c r="H784" s="5"/>
      <c r="I784" s="5"/>
      <c r="J784" s="5"/>
      <c r="K784" s="64"/>
      <c r="L784" s="64"/>
      <c r="M784" s="96"/>
      <c r="N784" s="5"/>
      <c r="O784" s="5"/>
      <c r="P784" s="5"/>
      <c r="Q784" s="5"/>
      <c r="R784" s="5"/>
      <c r="S784" s="5"/>
      <c r="T784" s="5"/>
      <c r="U784" s="5"/>
      <c r="V784" s="5"/>
      <c r="W784" s="5"/>
      <c r="X784" s="5"/>
      <c r="Y784" s="5"/>
      <c r="Z784" s="5"/>
      <c r="AA784" s="5"/>
    </row>
    <row r="785">
      <c r="A785" s="5"/>
      <c r="B785" s="5"/>
      <c r="C785" s="5"/>
      <c r="D785" s="5"/>
      <c r="E785" s="64"/>
      <c r="F785" s="5"/>
      <c r="G785" s="5"/>
      <c r="H785" s="5"/>
      <c r="I785" s="5"/>
      <c r="J785" s="5"/>
      <c r="K785" s="64"/>
      <c r="L785" s="64"/>
      <c r="M785" s="96"/>
      <c r="N785" s="5"/>
      <c r="O785" s="5"/>
      <c r="P785" s="5"/>
      <c r="Q785" s="5"/>
      <c r="R785" s="5"/>
      <c r="S785" s="5"/>
      <c r="T785" s="5"/>
      <c r="U785" s="5"/>
      <c r="V785" s="5"/>
      <c r="W785" s="5"/>
      <c r="X785" s="5"/>
      <c r="Y785" s="5"/>
      <c r="Z785" s="5"/>
      <c r="AA785" s="5"/>
    </row>
    <row r="786">
      <c r="A786" s="5"/>
      <c r="B786" s="5"/>
      <c r="C786" s="5"/>
      <c r="D786" s="5"/>
      <c r="E786" s="64"/>
      <c r="F786" s="5"/>
      <c r="G786" s="5"/>
      <c r="H786" s="5"/>
      <c r="I786" s="5"/>
      <c r="J786" s="5"/>
      <c r="K786" s="64"/>
      <c r="L786" s="64"/>
      <c r="M786" s="96"/>
      <c r="N786" s="5"/>
      <c r="O786" s="5"/>
      <c r="P786" s="5"/>
      <c r="Q786" s="5"/>
      <c r="R786" s="5"/>
      <c r="S786" s="5"/>
      <c r="T786" s="5"/>
      <c r="U786" s="5"/>
      <c r="V786" s="5"/>
      <c r="W786" s="5"/>
      <c r="X786" s="5"/>
      <c r="Y786" s="5"/>
      <c r="Z786" s="5"/>
      <c r="AA786" s="5"/>
    </row>
    <row r="787">
      <c r="A787" s="5"/>
      <c r="B787" s="5"/>
      <c r="C787" s="5"/>
      <c r="D787" s="5"/>
      <c r="E787" s="64"/>
      <c r="F787" s="5"/>
      <c r="G787" s="5"/>
      <c r="H787" s="5"/>
      <c r="I787" s="5"/>
      <c r="J787" s="5"/>
      <c r="K787" s="64"/>
      <c r="L787" s="64"/>
      <c r="M787" s="96"/>
      <c r="N787" s="5"/>
      <c r="O787" s="5"/>
      <c r="P787" s="5"/>
      <c r="Q787" s="5"/>
      <c r="R787" s="5"/>
      <c r="S787" s="5"/>
      <c r="T787" s="5"/>
      <c r="U787" s="5"/>
      <c r="V787" s="5"/>
      <c r="W787" s="5"/>
      <c r="X787" s="5"/>
      <c r="Y787" s="5"/>
      <c r="Z787" s="5"/>
      <c r="AA787" s="5"/>
    </row>
    <row r="788">
      <c r="A788" s="5"/>
      <c r="B788" s="5"/>
      <c r="C788" s="5"/>
      <c r="D788" s="5"/>
      <c r="E788" s="64"/>
      <c r="F788" s="5"/>
      <c r="G788" s="5"/>
      <c r="H788" s="5"/>
      <c r="I788" s="5"/>
      <c r="J788" s="5"/>
      <c r="K788" s="64"/>
      <c r="L788" s="64"/>
      <c r="M788" s="96"/>
      <c r="N788" s="5"/>
      <c r="O788" s="5"/>
      <c r="P788" s="5"/>
      <c r="Q788" s="5"/>
      <c r="R788" s="5"/>
      <c r="S788" s="5"/>
      <c r="T788" s="5"/>
      <c r="U788" s="5"/>
      <c r="V788" s="5"/>
      <c r="W788" s="5"/>
      <c r="X788" s="5"/>
      <c r="Y788" s="5"/>
      <c r="Z788" s="5"/>
      <c r="AA788" s="5"/>
    </row>
    <row r="789">
      <c r="A789" s="5"/>
      <c r="B789" s="5"/>
      <c r="C789" s="5"/>
      <c r="D789" s="5"/>
      <c r="E789" s="64"/>
      <c r="F789" s="5"/>
      <c r="G789" s="5"/>
      <c r="H789" s="5"/>
      <c r="I789" s="5"/>
      <c r="J789" s="5"/>
      <c r="K789" s="64"/>
      <c r="L789" s="64"/>
      <c r="M789" s="96"/>
      <c r="N789" s="5"/>
      <c r="O789" s="5"/>
      <c r="P789" s="5"/>
      <c r="Q789" s="5"/>
      <c r="R789" s="5"/>
      <c r="S789" s="5"/>
      <c r="T789" s="5"/>
      <c r="U789" s="5"/>
      <c r="V789" s="5"/>
      <c r="W789" s="5"/>
      <c r="X789" s="5"/>
      <c r="Y789" s="5"/>
      <c r="Z789" s="5"/>
      <c r="AA789" s="5"/>
    </row>
    <row r="790">
      <c r="A790" s="5"/>
      <c r="B790" s="5"/>
      <c r="C790" s="5"/>
      <c r="D790" s="5"/>
      <c r="E790" s="64"/>
      <c r="F790" s="5"/>
      <c r="G790" s="5"/>
      <c r="H790" s="5"/>
      <c r="I790" s="5"/>
      <c r="J790" s="5"/>
      <c r="K790" s="64"/>
      <c r="L790" s="64"/>
      <c r="M790" s="96"/>
      <c r="N790" s="5"/>
      <c r="O790" s="5"/>
      <c r="P790" s="5"/>
      <c r="Q790" s="5"/>
      <c r="R790" s="5"/>
      <c r="S790" s="5"/>
      <c r="T790" s="5"/>
      <c r="U790" s="5"/>
      <c r="V790" s="5"/>
      <c r="W790" s="5"/>
      <c r="X790" s="5"/>
      <c r="Y790" s="5"/>
      <c r="Z790" s="5"/>
      <c r="AA790" s="5"/>
    </row>
    <row r="791">
      <c r="A791" s="5"/>
      <c r="B791" s="5"/>
      <c r="C791" s="5"/>
      <c r="D791" s="5"/>
      <c r="E791" s="64"/>
      <c r="F791" s="5"/>
      <c r="G791" s="5"/>
      <c r="H791" s="5"/>
      <c r="I791" s="5"/>
      <c r="J791" s="5"/>
      <c r="K791" s="64"/>
      <c r="L791" s="64"/>
      <c r="M791" s="96"/>
      <c r="N791" s="5"/>
      <c r="O791" s="5"/>
      <c r="P791" s="5"/>
      <c r="Q791" s="5"/>
      <c r="R791" s="5"/>
      <c r="S791" s="5"/>
      <c r="T791" s="5"/>
      <c r="U791" s="5"/>
      <c r="V791" s="5"/>
      <c r="W791" s="5"/>
      <c r="X791" s="5"/>
      <c r="Y791" s="5"/>
      <c r="Z791" s="5"/>
      <c r="AA791" s="5"/>
    </row>
    <row r="792">
      <c r="A792" s="5"/>
      <c r="B792" s="5"/>
      <c r="C792" s="5"/>
      <c r="D792" s="5"/>
      <c r="E792" s="64"/>
      <c r="F792" s="5"/>
      <c r="G792" s="5"/>
      <c r="H792" s="5"/>
      <c r="I792" s="5"/>
      <c r="J792" s="5"/>
      <c r="K792" s="64"/>
      <c r="L792" s="64"/>
      <c r="M792" s="96"/>
      <c r="N792" s="5"/>
      <c r="O792" s="5"/>
      <c r="P792" s="5"/>
      <c r="Q792" s="5"/>
      <c r="R792" s="5"/>
      <c r="S792" s="5"/>
      <c r="T792" s="5"/>
      <c r="U792" s="5"/>
      <c r="V792" s="5"/>
      <c r="W792" s="5"/>
      <c r="X792" s="5"/>
      <c r="Y792" s="5"/>
      <c r="Z792" s="5"/>
      <c r="AA792" s="5"/>
    </row>
    <row r="793">
      <c r="A793" s="5"/>
      <c r="B793" s="5"/>
      <c r="C793" s="5"/>
      <c r="D793" s="5"/>
      <c r="E793" s="64"/>
      <c r="F793" s="5"/>
      <c r="G793" s="5"/>
      <c r="H793" s="5"/>
      <c r="I793" s="5"/>
      <c r="J793" s="5"/>
      <c r="K793" s="64"/>
      <c r="L793" s="64"/>
      <c r="M793" s="96"/>
      <c r="N793" s="5"/>
      <c r="O793" s="5"/>
      <c r="P793" s="5"/>
      <c r="Q793" s="5"/>
      <c r="R793" s="5"/>
      <c r="S793" s="5"/>
      <c r="T793" s="5"/>
      <c r="U793" s="5"/>
      <c r="V793" s="5"/>
      <c r="W793" s="5"/>
      <c r="X793" s="5"/>
      <c r="Y793" s="5"/>
      <c r="Z793" s="5"/>
      <c r="AA793" s="5"/>
    </row>
    <row r="794">
      <c r="A794" s="5"/>
      <c r="B794" s="5"/>
      <c r="C794" s="5"/>
      <c r="D794" s="5"/>
      <c r="E794" s="64"/>
      <c r="F794" s="5"/>
      <c r="G794" s="5"/>
      <c r="H794" s="5"/>
      <c r="I794" s="5"/>
      <c r="J794" s="5"/>
      <c r="K794" s="64"/>
      <c r="L794" s="64"/>
      <c r="M794" s="96"/>
      <c r="N794" s="5"/>
      <c r="O794" s="5"/>
      <c r="P794" s="5"/>
      <c r="Q794" s="5"/>
      <c r="R794" s="5"/>
      <c r="S794" s="5"/>
      <c r="T794" s="5"/>
      <c r="U794" s="5"/>
      <c r="V794" s="5"/>
      <c r="W794" s="5"/>
      <c r="X794" s="5"/>
      <c r="Y794" s="5"/>
      <c r="Z794" s="5"/>
      <c r="AA794" s="5"/>
    </row>
    <row r="795">
      <c r="A795" s="5"/>
      <c r="B795" s="5"/>
      <c r="C795" s="5"/>
      <c r="D795" s="5"/>
      <c r="E795" s="64"/>
      <c r="F795" s="5"/>
      <c r="G795" s="5"/>
      <c r="H795" s="5"/>
      <c r="I795" s="5"/>
      <c r="J795" s="5"/>
      <c r="K795" s="64"/>
      <c r="L795" s="64"/>
      <c r="M795" s="96"/>
      <c r="N795" s="5"/>
      <c r="O795" s="5"/>
      <c r="P795" s="5"/>
      <c r="Q795" s="5"/>
      <c r="R795" s="5"/>
      <c r="S795" s="5"/>
      <c r="T795" s="5"/>
      <c r="U795" s="5"/>
      <c r="V795" s="5"/>
      <c r="W795" s="5"/>
      <c r="X795" s="5"/>
      <c r="Y795" s="5"/>
      <c r="Z795" s="5"/>
      <c r="AA795" s="5"/>
    </row>
    <row r="796">
      <c r="A796" s="5"/>
      <c r="B796" s="5"/>
      <c r="C796" s="5"/>
      <c r="D796" s="5"/>
      <c r="E796" s="64"/>
      <c r="F796" s="5"/>
      <c r="G796" s="5"/>
      <c r="H796" s="5"/>
      <c r="I796" s="5"/>
      <c r="J796" s="5"/>
      <c r="K796" s="64"/>
      <c r="L796" s="64"/>
      <c r="M796" s="96"/>
      <c r="N796" s="5"/>
      <c r="O796" s="5"/>
      <c r="P796" s="5"/>
      <c r="Q796" s="5"/>
      <c r="R796" s="5"/>
      <c r="S796" s="5"/>
      <c r="T796" s="5"/>
      <c r="U796" s="5"/>
      <c r="V796" s="5"/>
      <c r="W796" s="5"/>
      <c r="X796" s="5"/>
      <c r="Y796" s="5"/>
      <c r="Z796" s="5"/>
      <c r="AA796" s="5"/>
    </row>
    <row r="797">
      <c r="A797" s="5"/>
      <c r="B797" s="5"/>
      <c r="C797" s="5"/>
      <c r="D797" s="5"/>
      <c r="E797" s="64"/>
      <c r="F797" s="5"/>
      <c r="G797" s="5"/>
      <c r="H797" s="5"/>
      <c r="I797" s="5"/>
      <c r="J797" s="5"/>
      <c r="K797" s="64"/>
      <c r="L797" s="64"/>
      <c r="M797" s="96"/>
      <c r="N797" s="5"/>
      <c r="O797" s="5"/>
      <c r="P797" s="5"/>
      <c r="Q797" s="5"/>
      <c r="R797" s="5"/>
      <c r="S797" s="5"/>
      <c r="T797" s="5"/>
      <c r="U797" s="5"/>
      <c r="V797" s="5"/>
      <c r="W797" s="5"/>
      <c r="X797" s="5"/>
      <c r="Y797" s="5"/>
      <c r="Z797" s="5"/>
      <c r="AA797" s="5"/>
    </row>
    <row r="798">
      <c r="A798" s="5"/>
      <c r="B798" s="5"/>
      <c r="C798" s="5"/>
      <c r="D798" s="5"/>
      <c r="E798" s="64"/>
      <c r="F798" s="5"/>
      <c r="G798" s="5"/>
      <c r="H798" s="5"/>
      <c r="I798" s="5"/>
      <c r="J798" s="5"/>
      <c r="K798" s="64"/>
      <c r="L798" s="64"/>
      <c r="M798" s="96"/>
      <c r="N798" s="5"/>
      <c r="O798" s="5"/>
      <c r="P798" s="5"/>
      <c r="Q798" s="5"/>
      <c r="R798" s="5"/>
      <c r="S798" s="5"/>
      <c r="T798" s="5"/>
      <c r="U798" s="5"/>
      <c r="V798" s="5"/>
      <c r="W798" s="5"/>
      <c r="X798" s="5"/>
      <c r="Y798" s="5"/>
      <c r="Z798" s="5"/>
      <c r="AA798" s="5"/>
    </row>
    <row r="799">
      <c r="A799" s="5"/>
      <c r="B799" s="5"/>
      <c r="C799" s="5"/>
      <c r="D799" s="5"/>
      <c r="E799" s="64"/>
      <c r="F799" s="5"/>
      <c r="G799" s="5"/>
      <c r="H799" s="5"/>
      <c r="I799" s="5"/>
      <c r="J799" s="5"/>
      <c r="K799" s="64"/>
      <c r="L799" s="64"/>
      <c r="M799" s="96"/>
      <c r="N799" s="5"/>
      <c r="O799" s="5"/>
      <c r="P799" s="5"/>
      <c r="Q799" s="5"/>
      <c r="R799" s="5"/>
      <c r="S799" s="5"/>
      <c r="T799" s="5"/>
      <c r="U799" s="5"/>
      <c r="V799" s="5"/>
      <c r="W799" s="5"/>
      <c r="X799" s="5"/>
      <c r="Y799" s="5"/>
      <c r="Z799" s="5"/>
      <c r="AA799" s="5"/>
    </row>
    <row r="800">
      <c r="A800" s="5"/>
      <c r="B800" s="5"/>
      <c r="C800" s="5"/>
      <c r="D800" s="5"/>
      <c r="E800" s="64"/>
      <c r="F800" s="5"/>
      <c r="G800" s="5"/>
      <c r="H800" s="5"/>
      <c r="I800" s="5"/>
      <c r="J800" s="5"/>
      <c r="K800" s="64"/>
      <c r="L800" s="64"/>
      <c r="M800" s="96"/>
      <c r="N800" s="5"/>
      <c r="O800" s="5"/>
      <c r="P800" s="5"/>
      <c r="Q800" s="5"/>
      <c r="R800" s="5"/>
      <c r="S800" s="5"/>
      <c r="T800" s="5"/>
      <c r="U800" s="5"/>
      <c r="V800" s="5"/>
      <c r="W800" s="5"/>
      <c r="X800" s="5"/>
      <c r="Y800" s="5"/>
      <c r="Z800" s="5"/>
      <c r="AA800" s="5"/>
    </row>
    <row r="801">
      <c r="A801" s="5"/>
      <c r="B801" s="5"/>
      <c r="C801" s="5"/>
      <c r="D801" s="5"/>
      <c r="E801" s="64"/>
      <c r="F801" s="5"/>
      <c r="G801" s="5"/>
      <c r="H801" s="5"/>
      <c r="I801" s="5"/>
      <c r="J801" s="5"/>
      <c r="K801" s="64"/>
      <c r="L801" s="64"/>
      <c r="M801" s="96"/>
      <c r="N801" s="5"/>
      <c r="O801" s="5"/>
      <c r="P801" s="5"/>
      <c r="Q801" s="5"/>
      <c r="R801" s="5"/>
      <c r="S801" s="5"/>
      <c r="T801" s="5"/>
      <c r="U801" s="5"/>
      <c r="V801" s="5"/>
      <c r="W801" s="5"/>
      <c r="X801" s="5"/>
      <c r="Y801" s="5"/>
      <c r="Z801" s="5"/>
      <c r="AA801" s="5"/>
    </row>
    <row r="802">
      <c r="A802" s="5"/>
      <c r="B802" s="5"/>
      <c r="C802" s="5"/>
      <c r="D802" s="5"/>
      <c r="E802" s="64"/>
      <c r="F802" s="5"/>
      <c r="G802" s="5"/>
      <c r="H802" s="5"/>
      <c r="I802" s="5"/>
      <c r="J802" s="5"/>
      <c r="K802" s="64"/>
      <c r="L802" s="64"/>
      <c r="M802" s="96"/>
      <c r="N802" s="5"/>
      <c r="O802" s="5"/>
      <c r="P802" s="5"/>
      <c r="Q802" s="5"/>
      <c r="R802" s="5"/>
      <c r="S802" s="5"/>
      <c r="T802" s="5"/>
      <c r="U802" s="5"/>
      <c r="V802" s="5"/>
      <c r="W802" s="5"/>
      <c r="X802" s="5"/>
      <c r="Y802" s="5"/>
      <c r="Z802" s="5"/>
      <c r="AA802" s="5"/>
    </row>
    <row r="803">
      <c r="A803" s="5"/>
      <c r="B803" s="5"/>
      <c r="C803" s="5"/>
      <c r="D803" s="5"/>
      <c r="E803" s="64"/>
      <c r="F803" s="5"/>
      <c r="G803" s="5"/>
      <c r="H803" s="5"/>
      <c r="I803" s="5"/>
      <c r="J803" s="5"/>
      <c r="K803" s="64"/>
      <c r="L803" s="64"/>
      <c r="M803" s="96"/>
      <c r="N803" s="5"/>
      <c r="O803" s="5"/>
      <c r="P803" s="5"/>
      <c r="Q803" s="5"/>
      <c r="R803" s="5"/>
      <c r="S803" s="5"/>
      <c r="T803" s="5"/>
      <c r="U803" s="5"/>
      <c r="V803" s="5"/>
      <c r="W803" s="5"/>
      <c r="X803" s="5"/>
      <c r="Y803" s="5"/>
      <c r="Z803" s="5"/>
      <c r="AA803" s="5"/>
    </row>
    <row r="804">
      <c r="A804" s="5"/>
      <c r="B804" s="5"/>
      <c r="C804" s="5"/>
      <c r="D804" s="5"/>
      <c r="E804" s="64"/>
      <c r="F804" s="5"/>
      <c r="G804" s="5"/>
      <c r="H804" s="5"/>
      <c r="I804" s="5"/>
      <c r="J804" s="5"/>
      <c r="K804" s="64"/>
      <c r="L804" s="64"/>
      <c r="M804" s="96"/>
      <c r="N804" s="5"/>
      <c r="O804" s="5"/>
      <c r="P804" s="5"/>
      <c r="Q804" s="5"/>
      <c r="R804" s="5"/>
      <c r="S804" s="5"/>
      <c r="T804" s="5"/>
      <c r="U804" s="5"/>
      <c r="V804" s="5"/>
      <c r="W804" s="5"/>
      <c r="X804" s="5"/>
      <c r="Y804" s="5"/>
      <c r="Z804" s="5"/>
      <c r="AA804" s="5"/>
    </row>
    <row r="805">
      <c r="A805" s="5"/>
      <c r="B805" s="5"/>
      <c r="C805" s="5"/>
      <c r="D805" s="5"/>
      <c r="E805" s="64"/>
      <c r="F805" s="5"/>
      <c r="G805" s="5"/>
      <c r="H805" s="5"/>
      <c r="I805" s="5"/>
      <c r="J805" s="5"/>
      <c r="K805" s="64"/>
      <c r="L805" s="64"/>
      <c r="M805" s="96"/>
      <c r="N805" s="5"/>
      <c r="O805" s="5"/>
      <c r="P805" s="5"/>
      <c r="Q805" s="5"/>
      <c r="R805" s="5"/>
      <c r="S805" s="5"/>
      <c r="T805" s="5"/>
      <c r="U805" s="5"/>
      <c r="V805" s="5"/>
      <c r="W805" s="5"/>
      <c r="X805" s="5"/>
      <c r="Y805" s="5"/>
      <c r="Z805" s="5"/>
      <c r="AA805" s="5"/>
    </row>
    <row r="806">
      <c r="A806" s="5"/>
      <c r="B806" s="5"/>
      <c r="C806" s="5"/>
      <c r="D806" s="5"/>
      <c r="E806" s="64"/>
      <c r="F806" s="5"/>
      <c r="G806" s="5"/>
      <c r="H806" s="5"/>
      <c r="I806" s="5"/>
      <c r="J806" s="5"/>
      <c r="K806" s="64"/>
      <c r="L806" s="64"/>
      <c r="M806" s="96"/>
      <c r="N806" s="5"/>
      <c r="O806" s="5"/>
      <c r="P806" s="5"/>
      <c r="Q806" s="5"/>
      <c r="R806" s="5"/>
      <c r="S806" s="5"/>
      <c r="T806" s="5"/>
      <c r="U806" s="5"/>
      <c r="V806" s="5"/>
      <c r="W806" s="5"/>
      <c r="X806" s="5"/>
      <c r="Y806" s="5"/>
      <c r="Z806" s="5"/>
      <c r="AA806" s="5"/>
    </row>
    <row r="807">
      <c r="A807" s="5"/>
      <c r="B807" s="5"/>
      <c r="C807" s="5"/>
      <c r="D807" s="5"/>
      <c r="E807" s="64"/>
      <c r="F807" s="5"/>
      <c r="G807" s="5"/>
      <c r="H807" s="5"/>
      <c r="I807" s="5"/>
      <c r="J807" s="5"/>
      <c r="K807" s="64"/>
      <c r="L807" s="64"/>
      <c r="M807" s="96"/>
      <c r="N807" s="5"/>
      <c r="O807" s="5"/>
      <c r="P807" s="5"/>
      <c r="Q807" s="5"/>
      <c r="R807" s="5"/>
      <c r="S807" s="5"/>
      <c r="T807" s="5"/>
      <c r="U807" s="5"/>
      <c r="V807" s="5"/>
      <c r="W807" s="5"/>
      <c r="X807" s="5"/>
      <c r="Y807" s="5"/>
      <c r="Z807" s="5"/>
      <c r="AA807" s="5"/>
    </row>
    <row r="808">
      <c r="A808" s="5"/>
      <c r="B808" s="5"/>
      <c r="C808" s="5"/>
      <c r="D808" s="5"/>
      <c r="E808" s="64"/>
      <c r="F808" s="5"/>
      <c r="G808" s="5"/>
      <c r="H808" s="5"/>
      <c r="I808" s="5"/>
      <c r="J808" s="5"/>
      <c r="K808" s="64"/>
      <c r="L808" s="64"/>
      <c r="M808" s="96"/>
      <c r="N808" s="5"/>
      <c r="O808" s="5"/>
      <c r="P808" s="5"/>
      <c r="Q808" s="5"/>
      <c r="R808" s="5"/>
      <c r="S808" s="5"/>
      <c r="T808" s="5"/>
      <c r="U808" s="5"/>
      <c r="V808" s="5"/>
      <c r="W808" s="5"/>
      <c r="X808" s="5"/>
      <c r="Y808" s="5"/>
      <c r="Z808" s="5"/>
      <c r="AA808" s="5"/>
    </row>
    <row r="809">
      <c r="A809" s="5"/>
      <c r="B809" s="5"/>
      <c r="C809" s="5"/>
      <c r="D809" s="5"/>
      <c r="E809" s="64"/>
      <c r="F809" s="5"/>
      <c r="G809" s="5"/>
      <c r="H809" s="5"/>
      <c r="I809" s="5"/>
      <c r="J809" s="5"/>
      <c r="K809" s="64"/>
      <c r="L809" s="64"/>
      <c r="M809" s="96"/>
      <c r="N809" s="5"/>
      <c r="O809" s="5"/>
      <c r="P809" s="5"/>
      <c r="Q809" s="5"/>
      <c r="R809" s="5"/>
      <c r="S809" s="5"/>
      <c r="T809" s="5"/>
      <c r="U809" s="5"/>
      <c r="V809" s="5"/>
      <c r="W809" s="5"/>
      <c r="X809" s="5"/>
      <c r="Y809" s="5"/>
      <c r="Z809" s="5"/>
      <c r="AA809" s="5"/>
    </row>
    <row r="810">
      <c r="A810" s="5"/>
      <c r="B810" s="5"/>
      <c r="C810" s="5"/>
      <c r="D810" s="5"/>
      <c r="E810" s="64"/>
      <c r="F810" s="5"/>
      <c r="G810" s="5"/>
      <c r="H810" s="5"/>
      <c r="I810" s="5"/>
      <c r="J810" s="5"/>
      <c r="K810" s="64"/>
      <c r="L810" s="64"/>
      <c r="M810" s="96"/>
      <c r="N810" s="5"/>
      <c r="O810" s="5"/>
      <c r="P810" s="5"/>
      <c r="Q810" s="5"/>
      <c r="R810" s="5"/>
      <c r="S810" s="5"/>
      <c r="T810" s="5"/>
      <c r="U810" s="5"/>
      <c r="V810" s="5"/>
      <c r="W810" s="5"/>
      <c r="X810" s="5"/>
      <c r="Y810" s="5"/>
      <c r="Z810" s="5"/>
      <c r="AA810" s="5"/>
    </row>
    <row r="811">
      <c r="A811" s="5"/>
      <c r="B811" s="5"/>
      <c r="C811" s="5"/>
      <c r="D811" s="5"/>
      <c r="E811" s="64"/>
      <c r="F811" s="5"/>
      <c r="G811" s="5"/>
      <c r="H811" s="5"/>
      <c r="I811" s="5"/>
      <c r="J811" s="5"/>
      <c r="K811" s="64"/>
      <c r="L811" s="64"/>
      <c r="M811" s="96"/>
      <c r="N811" s="5"/>
      <c r="O811" s="5"/>
      <c r="P811" s="5"/>
      <c r="Q811" s="5"/>
      <c r="R811" s="5"/>
      <c r="S811" s="5"/>
      <c r="T811" s="5"/>
      <c r="U811" s="5"/>
      <c r="V811" s="5"/>
      <c r="W811" s="5"/>
      <c r="X811" s="5"/>
      <c r="Y811" s="5"/>
      <c r="Z811" s="5"/>
      <c r="AA811" s="5"/>
    </row>
    <row r="812">
      <c r="A812" s="5"/>
      <c r="B812" s="5"/>
      <c r="C812" s="5"/>
      <c r="D812" s="5"/>
      <c r="E812" s="64"/>
      <c r="F812" s="5"/>
      <c r="G812" s="5"/>
      <c r="H812" s="5"/>
      <c r="I812" s="5"/>
      <c r="J812" s="5"/>
      <c r="K812" s="64"/>
      <c r="L812" s="64"/>
      <c r="M812" s="96"/>
      <c r="N812" s="5"/>
      <c r="O812" s="5"/>
      <c r="P812" s="5"/>
      <c r="Q812" s="5"/>
      <c r="R812" s="5"/>
      <c r="S812" s="5"/>
      <c r="T812" s="5"/>
      <c r="U812" s="5"/>
      <c r="V812" s="5"/>
      <c r="W812" s="5"/>
      <c r="X812" s="5"/>
      <c r="Y812" s="5"/>
      <c r="Z812" s="5"/>
      <c r="AA812" s="5"/>
    </row>
    <row r="813">
      <c r="A813" s="5"/>
      <c r="B813" s="5"/>
      <c r="C813" s="5"/>
      <c r="D813" s="5"/>
      <c r="E813" s="64"/>
      <c r="F813" s="5"/>
      <c r="G813" s="5"/>
      <c r="H813" s="5"/>
      <c r="I813" s="5"/>
      <c r="J813" s="5"/>
      <c r="K813" s="64"/>
      <c r="L813" s="64"/>
      <c r="M813" s="96"/>
      <c r="N813" s="5"/>
      <c r="O813" s="5"/>
      <c r="P813" s="5"/>
      <c r="Q813" s="5"/>
      <c r="R813" s="5"/>
      <c r="S813" s="5"/>
      <c r="T813" s="5"/>
      <c r="U813" s="5"/>
      <c r="V813" s="5"/>
      <c r="W813" s="5"/>
      <c r="X813" s="5"/>
      <c r="Y813" s="5"/>
      <c r="Z813" s="5"/>
      <c r="AA813" s="5"/>
    </row>
    <row r="814">
      <c r="A814" s="5"/>
      <c r="B814" s="5"/>
      <c r="C814" s="5"/>
      <c r="D814" s="5"/>
      <c r="E814" s="64"/>
      <c r="F814" s="5"/>
      <c r="G814" s="5"/>
      <c r="H814" s="5"/>
      <c r="I814" s="5"/>
      <c r="J814" s="5"/>
      <c r="K814" s="64"/>
      <c r="L814" s="64"/>
      <c r="M814" s="96"/>
      <c r="N814" s="5"/>
      <c r="O814" s="5"/>
      <c r="P814" s="5"/>
      <c r="Q814" s="5"/>
      <c r="R814" s="5"/>
      <c r="S814" s="5"/>
      <c r="T814" s="5"/>
      <c r="U814" s="5"/>
      <c r="V814" s="5"/>
      <c r="W814" s="5"/>
      <c r="X814" s="5"/>
      <c r="Y814" s="5"/>
      <c r="Z814" s="5"/>
      <c r="AA814" s="5"/>
    </row>
    <row r="815">
      <c r="A815" s="5"/>
      <c r="B815" s="5"/>
      <c r="C815" s="5"/>
      <c r="D815" s="5"/>
      <c r="E815" s="64"/>
      <c r="F815" s="5"/>
      <c r="G815" s="5"/>
      <c r="H815" s="5"/>
      <c r="I815" s="5"/>
      <c r="J815" s="5"/>
      <c r="K815" s="64"/>
      <c r="L815" s="64"/>
      <c r="M815" s="96"/>
      <c r="N815" s="5"/>
      <c r="O815" s="5"/>
      <c r="P815" s="5"/>
      <c r="Q815" s="5"/>
      <c r="R815" s="5"/>
      <c r="S815" s="5"/>
      <c r="T815" s="5"/>
      <c r="U815" s="5"/>
      <c r="V815" s="5"/>
      <c r="W815" s="5"/>
      <c r="X815" s="5"/>
      <c r="Y815" s="5"/>
      <c r="Z815" s="5"/>
      <c r="AA815" s="5"/>
    </row>
    <row r="816">
      <c r="A816" s="5"/>
      <c r="B816" s="5"/>
      <c r="C816" s="5"/>
      <c r="D816" s="5"/>
      <c r="E816" s="64"/>
      <c r="F816" s="5"/>
      <c r="G816" s="5"/>
      <c r="H816" s="5"/>
      <c r="I816" s="5"/>
      <c r="J816" s="5"/>
      <c r="K816" s="64"/>
      <c r="L816" s="64"/>
      <c r="M816" s="96"/>
      <c r="N816" s="5"/>
      <c r="O816" s="5"/>
      <c r="P816" s="5"/>
      <c r="Q816" s="5"/>
      <c r="R816" s="5"/>
      <c r="S816" s="5"/>
      <c r="T816" s="5"/>
      <c r="U816" s="5"/>
      <c r="V816" s="5"/>
      <c r="W816" s="5"/>
      <c r="X816" s="5"/>
      <c r="Y816" s="5"/>
      <c r="Z816" s="5"/>
      <c r="AA816" s="5"/>
    </row>
    <row r="817">
      <c r="A817" s="5"/>
      <c r="B817" s="5"/>
      <c r="C817" s="5"/>
      <c r="D817" s="5"/>
      <c r="E817" s="64"/>
      <c r="F817" s="5"/>
      <c r="G817" s="5"/>
      <c r="H817" s="5"/>
      <c r="I817" s="5"/>
      <c r="J817" s="5"/>
      <c r="K817" s="64"/>
      <c r="L817" s="64"/>
      <c r="M817" s="96"/>
      <c r="N817" s="5"/>
      <c r="O817" s="5"/>
      <c r="P817" s="5"/>
      <c r="Q817" s="5"/>
      <c r="R817" s="5"/>
      <c r="S817" s="5"/>
      <c r="T817" s="5"/>
      <c r="U817" s="5"/>
      <c r="V817" s="5"/>
      <c r="W817" s="5"/>
      <c r="X817" s="5"/>
      <c r="Y817" s="5"/>
      <c r="Z817" s="5"/>
      <c r="AA817" s="5"/>
    </row>
    <row r="818">
      <c r="A818" s="5"/>
      <c r="B818" s="5"/>
      <c r="C818" s="5"/>
      <c r="D818" s="5"/>
      <c r="E818" s="64"/>
      <c r="F818" s="5"/>
      <c r="G818" s="5"/>
      <c r="H818" s="5"/>
      <c r="I818" s="5"/>
      <c r="J818" s="5"/>
      <c r="K818" s="64"/>
      <c r="L818" s="64"/>
      <c r="M818" s="96"/>
      <c r="N818" s="5"/>
      <c r="O818" s="5"/>
      <c r="P818" s="5"/>
      <c r="Q818" s="5"/>
      <c r="R818" s="5"/>
      <c r="S818" s="5"/>
      <c r="T818" s="5"/>
      <c r="U818" s="5"/>
      <c r="V818" s="5"/>
      <c r="W818" s="5"/>
      <c r="X818" s="5"/>
      <c r="Y818" s="5"/>
      <c r="Z818" s="5"/>
      <c r="AA818" s="5"/>
    </row>
    <row r="819">
      <c r="A819" s="5"/>
      <c r="B819" s="5"/>
      <c r="C819" s="5"/>
      <c r="D819" s="5"/>
      <c r="E819" s="64"/>
      <c r="F819" s="5"/>
      <c r="G819" s="5"/>
      <c r="H819" s="5"/>
      <c r="I819" s="5"/>
      <c r="J819" s="5"/>
      <c r="K819" s="64"/>
      <c r="L819" s="64"/>
      <c r="M819" s="96"/>
      <c r="N819" s="5"/>
      <c r="O819" s="5"/>
      <c r="P819" s="5"/>
      <c r="Q819" s="5"/>
      <c r="R819" s="5"/>
      <c r="S819" s="5"/>
      <c r="T819" s="5"/>
      <c r="U819" s="5"/>
      <c r="V819" s="5"/>
      <c r="W819" s="5"/>
      <c r="X819" s="5"/>
      <c r="Y819" s="5"/>
      <c r="Z819" s="5"/>
      <c r="AA819" s="5"/>
    </row>
    <row r="820">
      <c r="A820" s="5"/>
      <c r="B820" s="5"/>
      <c r="C820" s="5"/>
      <c r="D820" s="5"/>
      <c r="E820" s="64"/>
      <c r="F820" s="5"/>
      <c r="G820" s="5"/>
      <c r="H820" s="5"/>
      <c r="I820" s="5"/>
      <c r="J820" s="5"/>
      <c r="K820" s="64"/>
      <c r="L820" s="64"/>
      <c r="M820" s="96"/>
      <c r="N820" s="5"/>
      <c r="O820" s="5"/>
      <c r="P820" s="5"/>
      <c r="Q820" s="5"/>
      <c r="R820" s="5"/>
      <c r="S820" s="5"/>
      <c r="T820" s="5"/>
      <c r="U820" s="5"/>
      <c r="V820" s="5"/>
      <c r="W820" s="5"/>
      <c r="X820" s="5"/>
      <c r="Y820" s="5"/>
      <c r="Z820" s="5"/>
      <c r="AA820" s="5"/>
    </row>
    <row r="821">
      <c r="A821" s="5"/>
      <c r="B821" s="5"/>
      <c r="C821" s="5"/>
      <c r="D821" s="5"/>
      <c r="E821" s="64"/>
      <c r="F821" s="5"/>
      <c r="G821" s="5"/>
      <c r="H821" s="5"/>
      <c r="I821" s="5"/>
      <c r="J821" s="5"/>
      <c r="K821" s="64"/>
      <c r="L821" s="64"/>
      <c r="M821" s="96"/>
      <c r="N821" s="5"/>
      <c r="O821" s="5"/>
      <c r="P821" s="5"/>
      <c r="Q821" s="5"/>
      <c r="R821" s="5"/>
      <c r="S821" s="5"/>
      <c r="T821" s="5"/>
      <c r="U821" s="5"/>
      <c r="V821" s="5"/>
      <c r="W821" s="5"/>
      <c r="X821" s="5"/>
      <c r="Y821" s="5"/>
      <c r="Z821" s="5"/>
      <c r="AA821" s="5"/>
    </row>
    <row r="822">
      <c r="A822" s="5"/>
      <c r="B822" s="5"/>
      <c r="C822" s="5"/>
      <c r="D822" s="5"/>
      <c r="E822" s="64"/>
      <c r="F822" s="5"/>
      <c r="G822" s="5"/>
      <c r="H822" s="5"/>
      <c r="I822" s="5"/>
      <c r="J822" s="5"/>
      <c r="K822" s="64"/>
      <c r="L822" s="64"/>
      <c r="M822" s="96"/>
      <c r="N822" s="5"/>
      <c r="O822" s="5"/>
      <c r="P822" s="5"/>
      <c r="Q822" s="5"/>
      <c r="R822" s="5"/>
      <c r="S822" s="5"/>
      <c r="T822" s="5"/>
      <c r="U822" s="5"/>
      <c r="V822" s="5"/>
      <c r="W822" s="5"/>
      <c r="X822" s="5"/>
      <c r="Y822" s="5"/>
      <c r="Z822" s="5"/>
      <c r="AA822" s="5"/>
    </row>
    <row r="823">
      <c r="A823" s="5"/>
      <c r="B823" s="5"/>
      <c r="C823" s="5"/>
      <c r="D823" s="5"/>
      <c r="E823" s="64"/>
      <c r="F823" s="5"/>
      <c r="G823" s="5"/>
      <c r="H823" s="5"/>
      <c r="I823" s="5"/>
      <c r="J823" s="5"/>
      <c r="K823" s="64"/>
      <c r="L823" s="64"/>
      <c r="M823" s="96"/>
      <c r="N823" s="5"/>
      <c r="O823" s="5"/>
      <c r="P823" s="5"/>
      <c r="Q823" s="5"/>
      <c r="R823" s="5"/>
      <c r="S823" s="5"/>
      <c r="T823" s="5"/>
      <c r="U823" s="5"/>
      <c r="V823" s="5"/>
      <c r="W823" s="5"/>
      <c r="X823" s="5"/>
      <c r="Y823" s="5"/>
      <c r="Z823" s="5"/>
      <c r="AA823" s="5"/>
    </row>
    <row r="824">
      <c r="A824" s="5"/>
      <c r="B824" s="5"/>
      <c r="C824" s="5"/>
      <c r="D824" s="5"/>
      <c r="E824" s="64"/>
      <c r="F824" s="5"/>
      <c r="G824" s="5"/>
      <c r="H824" s="5"/>
      <c r="I824" s="5"/>
      <c r="J824" s="5"/>
      <c r="K824" s="64"/>
      <c r="L824" s="64"/>
      <c r="M824" s="96"/>
      <c r="N824" s="5"/>
      <c r="O824" s="5"/>
      <c r="P824" s="5"/>
      <c r="Q824" s="5"/>
      <c r="R824" s="5"/>
      <c r="S824" s="5"/>
      <c r="T824" s="5"/>
      <c r="U824" s="5"/>
      <c r="V824" s="5"/>
      <c r="W824" s="5"/>
      <c r="X824" s="5"/>
      <c r="Y824" s="5"/>
      <c r="Z824" s="5"/>
      <c r="AA824" s="5"/>
    </row>
    <row r="825">
      <c r="A825" s="5"/>
      <c r="B825" s="5"/>
      <c r="C825" s="5"/>
      <c r="D825" s="5"/>
      <c r="E825" s="64"/>
      <c r="F825" s="5"/>
      <c r="G825" s="5"/>
      <c r="H825" s="5"/>
      <c r="I825" s="5"/>
      <c r="J825" s="5"/>
      <c r="K825" s="64"/>
      <c r="L825" s="64"/>
      <c r="M825" s="96"/>
      <c r="N825" s="5"/>
      <c r="O825" s="5"/>
      <c r="P825" s="5"/>
      <c r="Q825" s="5"/>
      <c r="R825" s="5"/>
      <c r="S825" s="5"/>
      <c r="T825" s="5"/>
      <c r="U825" s="5"/>
      <c r="V825" s="5"/>
      <c r="W825" s="5"/>
      <c r="X825" s="5"/>
      <c r="Y825" s="5"/>
      <c r="Z825" s="5"/>
      <c r="AA825" s="5"/>
    </row>
    <row r="826">
      <c r="A826" s="5"/>
      <c r="B826" s="5"/>
      <c r="C826" s="5"/>
      <c r="D826" s="5"/>
      <c r="E826" s="64"/>
      <c r="F826" s="5"/>
      <c r="G826" s="5"/>
      <c r="H826" s="5"/>
      <c r="I826" s="5"/>
      <c r="J826" s="5"/>
      <c r="K826" s="64"/>
      <c r="L826" s="64"/>
      <c r="M826" s="96"/>
      <c r="N826" s="5"/>
      <c r="O826" s="5"/>
      <c r="P826" s="5"/>
      <c r="Q826" s="5"/>
      <c r="R826" s="5"/>
      <c r="S826" s="5"/>
      <c r="T826" s="5"/>
      <c r="U826" s="5"/>
      <c r="V826" s="5"/>
      <c r="W826" s="5"/>
      <c r="X826" s="5"/>
      <c r="Y826" s="5"/>
      <c r="Z826" s="5"/>
      <c r="AA826" s="5"/>
    </row>
    <row r="827">
      <c r="A827" s="5"/>
      <c r="B827" s="5"/>
      <c r="C827" s="5"/>
      <c r="D827" s="5"/>
      <c r="E827" s="64"/>
      <c r="F827" s="5"/>
      <c r="G827" s="5"/>
      <c r="H827" s="5"/>
      <c r="I827" s="5"/>
      <c r="J827" s="5"/>
      <c r="K827" s="64"/>
      <c r="L827" s="64"/>
      <c r="M827" s="96"/>
      <c r="N827" s="5"/>
      <c r="O827" s="5"/>
      <c r="P827" s="5"/>
      <c r="Q827" s="5"/>
      <c r="R827" s="5"/>
      <c r="S827" s="5"/>
      <c r="T827" s="5"/>
      <c r="U827" s="5"/>
      <c r="V827" s="5"/>
      <c r="W827" s="5"/>
      <c r="X827" s="5"/>
      <c r="Y827" s="5"/>
      <c r="Z827" s="5"/>
      <c r="AA827" s="5"/>
    </row>
    <row r="828">
      <c r="A828" s="5"/>
      <c r="B828" s="5"/>
      <c r="C828" s="5"/>
      <c r="D828" s="5"/>
      <c r="E828" s="64"/>
      <c r="F828" s="5"/>
      <c r="G828" s="5"/>
      <c r="H828" s="5"/>
      <c r="I828" s="5"/>
      <c r="J828" s="5"/>
      <c r="K828" s="64"/>
      <c r="L828" s="64"/>
      <c r="M828" s="96"/>
      <c r="N828" s="5"/>
      <c r="O828" s="5"/>
      <c r="P828" s="5"/>
      <c r="Q828" s="5"/>
      <c r="R828" s="5"/>
      <c r="S828" s="5"/>
      <c r="T828" s="5"/>
      <c r="U828" s="5"/>
      <c r="V828" s="5"/>
      <c r="W828" s="5"/>
      <c r="X828" s="5"/>
      <c r="Y828" s="5"/>
      <c r="Z828" s="5"/>
      <c r="AA828" s="5"/>
    </row>
    <row r="829">
      <c r="A829" s="5"/>
      <c r="B829" s="5"/>
      <c r="C829" s="5"/>
      <c r="D829" s="5"/>
      <c r="E829" s="64"/>
      <c r="F829" s="5"/>
      <c r="G829" s="5"/>
      <c r="H829" s="5"/>
      <c r="I829" s="5"/>
      <c r="J829" s="5"/>
      <c r="K829" s="64"/>
      <c r="L829" s="64"/>
      <c r="M829" s="96"/>
      <c r="N829" s="5"/>
      <c r="O829" s="5"/>
      <c r="P829" s="5"/>
      <c r="Q829" s="5"/>
      <c r="R829" s="5"/>
      <c r="S829" s="5"/>
      <c r="T829" s="5"/>
      <c r="U829" s="5"/>
      <c r="V829" s="5"/>
      <c r="W829" s="5"/>
      <c r="X829" s="5"/>
      <c r="Y829" s="5"/>
      <c r="Z829" s="5"/>
      <c r="AA829" s="5"/>
    </row>
    <row r="830">
      <c r="A830" s="5"/>
      <c r="B830" s="5"/>
      <c r="C830" s="5"/>
      <c r="D830" s="5"/>
      <c r="E830" s="64"/>
      <c r="F830" s="5"/>
      <c r="G830" s="5"/>
      <c r="H830" s="5"/>
      <c r="I830" s="5"/>
      <c r="J830" s="5"/>
      <c r="K830" s="64"/>
      <c r="L830" s="64"/>
      <c r="M830" s="96"/>
      <c r="N830" s="5"/>
      <c r="O830" s="5"/>
      <c r="P830" s="5"/>
      <c r="Q830" s="5"/>
      <c r="R830" s="5"/>
      <c r="S830" s="5"/>
      <c r="T830" s="5"/>
      <c r="U830" s="5"/>
      <c r="V830" s="5"/>
      <c r="W830" s="5"/>
      <c r="X830" s="5"/>
      <c r="Y830" s="5"/>
      <c r="Z830" s="5"/>
      <c r="AA830" s="5"/>
    </row>
    <row r="831">
      <c r="A831" s="5"/>
      <c r="B831" s="5"/>
      <c r="C831" s="5"/>
      <c r="D831" s="5"/>
      <c r="E831" s="64"/>
      <c r="F831" s="5"/>
      <c r="G831" s="5"/>
      <c r="H831" s="5"/>
      <c r="I831" s="5"/>
      <c r="J831" s="5"/>
      <c r="K831" s="64"/>
      <c r="L831" s="64"/>
      <c r="M831" s="96"/>
      <c r="N831" s="5"/>
      <c r="O831" s="5"/>
      <c r="P831" s="5"/>
      <c r="Q831" s="5"/>
      <c r="R831" s="5"/>
      <c r="S831" s="5"/>
      <c r="T831" s="5"/>
      <c r="U831" s="5"/>
      <c r="V831" s="5"/>
      <c r="W831" s="5"/>
      <c r="X831" s="5"/>
      <c r="Y831" s="5"/>
      <c r="Z831" s="5"/>
      <c r="AA831" s="5"/>
    </row>
    <row r="832">
      <c r="A832" s="5"/>
      <c r="B832" s="5"/>
      <c r="C832" s="5"/>
      <c r="D832" s="5"/>
      <c r="E832" s="64"/>
      <c r="F832" s="5"/>
      <c r="G832" s="5"/>
      <c r="H832" s="5"/>
      <c r="I832" s="5"/>
      <c r="J832" s="5"/>
      <c r="K832" s="64"/>
      <c r="L832" s="64"/>
      <c r="M832" s="96"/>
      <c r="N832" s="5"/>
      <c r="O832" s="5"/>
      <c r="P832" s="5"/>
      <c r="Q832" s="5"/>
      <c r="R832" s="5"/>
      <c r="S832" s="5"/>
      <c r="T832" s="5"/>
      <c r="U832" s="5"/>
      <c r="V832" s="5"/>
      <c r="W832" s="5"/>
      <c r="X832" s="5"/>
      <c r="Y832" s="5"/>
      <c r="Z832" s="5"/>
      <c r="AA832" s="5"/>
    </row>
    <row r="833">
      <c r="A833" s="5"/>
      <c r="B833" s="5"/>
      <c r="C833" s="5"/>
      <c r="D833" s="5"/>
      <c r="E833" s="64"/>
      <c r="F833" s="5"/>
      <c r="G833" s="5"/>
      <c r="H833" s="5"/>
      <c r="I833" s="5"/>
      <c r="J833" s="5"/>
      <c r="K833" s="64"/>
      <c r="L833" s="64"/>
      <c r="M833" s="96"/>
      <c r="N833" s="5"/>
      <c r="O833" s="5"/>
      <c r="P833" s="5"/>
      <c r="Q833" s="5"/>
      <c r="R833" s="5"/>
      <c r="S833" s="5"/>
      <c r="T833" s="5"/>
      <c r="U833" s="5"/>
      <c r="V833" s="5"/>
      <c r="W833" s="5"/>
      <c r="X833" s="5"/>
      <c r="Y833" s="5"/>
      <c r="Z833" s="5"/>
      <c r="AA833" s="5"/>
    </row>
    <row r="834">
      <c r="A834" s="5"/>
      <c r="B834" s="5"/>
      <c r="C834" s="5"/>
      <c r="D834" s="5"/>
      <c r="E834" s="64"/>
      <c r="F834" s="5"/>
      <c r="G834" s="5"/>
      <c r="H834" s="5"/>
      <c r="I834" s="5"/>
      <c r="J834" s="5"/>
      <c r="K834" s="64"/>
      <c r="L834" s="64"/>
      <c r="M834" s="96"/>
      <c r="N834" s="5"/>
      <c r="O834" s="5"/>
      <c r="P834" s="5"/>
      <c r="Q834" s="5"/>
      <c r="R834" s="5"/>
      <c r="S834" s="5"/>
      <c r="T834" s="5"/>
      <c r="U834" s="5"/>
      <c r="V834" s="5"/>
      <c r="W834" s="5"/>
      <c r="X834" s="5"/>
      <c r="Y834" s="5"/>
      <c r="Z834" s="5"/>
      <c r="AA834" s="5"/>
    </row>
    <row r="835">
      <c r="A835" s="5"/>
      <c r="B835" s="5"/>
      <c r="C835" s="5"/>
      <c r="D835" s="5"/>
      <c r="E835" s="64"/>
      <c r="F835" s="5"/>
      <c r="G835" s="5"/>
      <c r="H835" s="5"/>
      <c r="I835" s="5"/>
      <c r="J835" s="5"/>
      <c r="K835" s="64"/>
      <c r="L835" s="64"/>
      <c r="M835" s="96"/>
      <c r="N835" s="5"/>
      <c r="O835" s="5"/>
      <c r="P835" s="5"/>
      <c r="Q835" s="5"/>
      <c r="R835" s="5"/>
      <c r="S835" s="5"/>
      <c r="T835" s="5"/>
      <c r="U835" s="5"/>
      <c r="V835" s="5"/>
      <c r="W835" s="5"/>
      <c r="X835" s="5"/>
      <c r="Y835" s="5"/>
      <c r="Z835" s="5"/>
      <c r="AA835" s="5"/>
    </row>
    <row r="836">
      <c r="A836" s="5"/>
      <c r="B836" s="5"/>
      <c r="C836" s="5"/>
      <c r="D836" s="5"/>
      <c r="E836" s="64"/>
      <c r="F836" s="5"/>
      <c r="G836" s="5"/>
      <c r="H836" s="5"/>
      <c r="I836" s="5"/>
      <c r="J836" s="5"/>
      <c r="K836" s="64"/>
      <c r="L836" s="64"/>
      <c r="M836" s="96"/>
      <c r="N836" s="5"/>
      <c r="O836" s="5"/>
      <c r="P836" s="5"/>
      <c r="Q836" s="5"/>
      <c r="R836" s="5"/>
      <c r="S836" s="5"/>
      <c r="T836" s="5"/>
      <c r="U836" s="5"/>
      <c r="V836" s="5"/>
      <c r="W836" s="5"/>
      <c r="X836" s="5"/>
      <c r="Y836" s="5"/>
      <c r="Z836" s="5"/>
      <c r="AA836" s="5"/>
    </row>
    <row r="837">
      <c r="A837" s="5"/>
      <c r="B837" s="5"/>
      <c r="C837" s="5"/>
      <c r="D837" s="5"/>
      <c r="E837" s="64"/>
      <c r="F837" s="5"/>
      <c r="G837" s="5"/>
      <c r="H837" s="5"/>
      <c r="I837" s="5"/>
      <c r="J837" s="5"/>
      <c r="K837" s="64"/>
      <c r="L837" s="64"/>
      <c r="M837" s="96"/>
      <c r="N837" s="5"/>
      <c r="O837" s="5"/>
      <c r="P837" s="5"/>
      <c r="Q837" s="5"/>
      <c r="R837" s="5"/>
      <c r="S837" s="5"/>
      <c r="T837" s="5"/>
      <c r="U837" s="5"/>
      <c r="V837" s="5"/>
      <c r="W837" s="5"/>
      <c r="X837" s="5"/>
      <c r="Y837" s="5"/>
      <c r="Z837" s="5"/>
      <c r="AA837" s="5"/>
    </row>
    <row r="838">
      <c r="A838" s="5"/>
      <c r="B838" s="5"/>
      <c r="C838" s="5"/>
      <c r="D838" s="5"/>
      <c r="E838" s="64"/>
      <c r="F838" s="5"/>
      <c r="G838" s="5"/>
      <c r="H838" s="5"/>
      <c r="I838" s="5"/>
      <c r="J838" s="5"/>
      <c r="K838" s="64"/>
      <c r="L838" s="64"/>
      <c r="M838" s="96"/>
      <c r="N838" s="5"/>
      <c r="O838" s="5"/>
      <c r="P838" s="5"/>
      <c r="Q838" s="5"/>
      <c r="R838" s="5"/>
      <c r="S838" s="5"/>
      <c r="T838" s="5"/>
      <c r="U838" s="5"/>
      <c r="V838" s="5"/>
      <c r="W838" s="5"/>
      <c r="X838" s="5"/>
      <c r="Y838" s="5"/>
      <c r="Z838" s="5"/>
      <c r="AA838" s="5"/>
    </row>
    <row r="839">
      <c r="A839" s="5"/>
      <c r="B839" s="5"/>
      <c r="C839" s="5"/>
      <c r="D839" s="5"/>
      <c r="E839" s="64"/>
      <c r="F839" s="5"/>
      <c r="G839" s="5"/>
      <c r="H839" s="5"/>
      <c r="I839" s="5"/>
      <c r="J839" s="5"/>
      <c r="K839" s="64"/>
      <c r="L839" s="64"/>
      <c r="M839" s="96"/>
      <c r="N839" s="5"/>
      <c r="O839" s="5"/>
      <c r="P839" s="5"/>
      <c r="Q839" s="5"/>
      <c r="R839" s="5"/>
      <c r="S839" s="5"/>
      <c r="T839" s="5"/>
      <c r="U839" s="5"/>
      <c r="V839" s="5"/>
      <c r="W839" s="5"/>
      <c r="X839" s="5"/>
      <c r="Y839" s="5"/>
      <c r="Z839" s="5"/>
      <c r="AA839" s="5"/>
    </row>
    <row r="840">
      <c r="A840" s="5"/>
      <c r="B840" s="5"/>
      <c r="C840" s="5"/>
      <c r="D840" s="5"/>
      <c r="E840" s="64"/>
      <c r="F840" s="5"/>
      <c r="G840" s="5"/>
      <c r="H840" s="5"/>
      <c r="I840" s="5"/>
      <c r="J840" s="5"/>
      <c r="K840" s="64"/>
      <c r="L840" s="64"/>
      <c r="M840" s="96"/>
      <c r="N840" s="5"/>
      <c r="O840" s="5"/>
      <c r="P840" s="5"/>
      <c r="Q840" s="5"/>
      <c r="R840" s="5"/>
      <c r="S840" s="5"/>
      <c r="T840" s="5"/>
      <c r="U840" s="5"/>
      <c r="V840" s="5"/>
      <c r="W840" s="5"/>
      <c r="X840" s="5"/>
      <c r="Y840" s="5"/>
      <c r="Z840" s="5"/>
      <c r="AA840" s="5"/>
    </row>
    <row r="841">
      <c r="A841" s="5"/>
      <c r="B841" s="5"/>
      <c r="C841" s="5"/>
      <c r="D841" s="5"/>
      <c r="E841" s="64"/>
      <c r="F841" s="5"/>
      <c r="G841" s="5"/>
      <c r="H841" s="5"/>
      <c r="I841" s="5"/>
      <c r="J841" s="5"/>
      <c r="K841" s="64"/>
      <c r="L841" s="64"/>
      <c r="M841" s="96"/>
      <c r="N841" s="5"/>
      <c r="O841" s="5"/>
      <c r="P841" s="5"/>
      <c r="Q841" s="5"/>
      <c r="R841" s="5"/>
      <c r="S841" s="5"/>
      <c r="T841" s="5"/>
      <c r="U841" s="5"/>
      <c r="V841" s="5"/>
      <c r="W841" s="5"/>
      <c r="X841" s="5"/>
      <c r="Y841" s="5"/>
      <c r="Z841" s="5"/>
      <c r="AA841" s="5"/>
    </row>
    <row r="842">
      <c r="A842" s="5"/>
      <c r="B842" s="5"/>
      <c r="C842" s="5"/>
      <c r="D842" s="5"/>
      <c r="E842" s="64"/>
      <c r="F842" s="5"/>
      <c r="G842" s="5"/>
      <c r="H842" s="5"/>
      <c r="I842" s="5"/>
      <c r="J842" s="5"/>
      <c r="K842" s="64"/>
      <c r="L842" s="64"/>
      <c r="M842" s="96"/>
      <c r="N842" s="5"/>
      <c r="O842" s="5"/>
      <c r="P842" s="5"/>
      <c r="Q842" s="5"/>
      <c r="R842" s="5"/>
      <c r="S842" s="5"/>
      <c r="T842" s="5"/>
      <c r="U842" s="5"/>
      <c r="V842" s="5"/>
      <c r="W842" s="5"/>
      <c r="X842" s="5"/>
      <c r="Y842" s="5"/>
      <c r="Z842" s="5"/>
      <c r="AA842" s="5"/>
    </row>
    <row r="843">
      <c r="A843" s="5"/>
      <c r="B843" s="5"/>
      <c r="C843" s="5"/>
      <c r="D843" s="5"/>
      <c r="E843" s="64"/>
      <c r="F843" s="5"/>
      <c r="G843" s="5"/>
      <c r="H843" s="5"/>
      <c r="I843" s="5"/>
      <c r="J843" s="5"/>
      <c r="K843" s="64"/>
      <c r="L843" s="64"/>
      <c r="M843" s="96"/>
      <c r="N843" s="5"/>
      <c r="O843" s="5"/>
      <c r="P843" s="5"/>
      <c r="Q843" s="5"/>
      <c r="R843" s="5"/>
      <c r="S843" s="5"/>
      <c r="T843" s="5"/>
      <c r="U843" s="5"/>
      <c r="V843" s="5"/>
      <c r="W843" s="5"/>
      <c r="X843" s="5"/>
      <c r="Y843" s="5"/>
      <c r="Z843" s="5"/>
      <c r="AA843" s="5"/>
    </row>
    <row r="844">
      <c r="A844" s="5"/>
      <c r="B844" s="5"/>
      <c r="C844" s="5"/>
      <c r="D844" s="5"/>
      <c r="E844" s="64"/>
      <c r="F844" s="5"/>
      <c r="G844" s="5"/>
      <c r="H844" s="5"/>
      <c r="I844" s="5"/>
      <c r="J844" s="5"/>
      <c r="K844" s="64"/>
      <c r="L844" s="64"/>
      <c r="M844" s="96"/>
      <c r="N844" s="5"/>
      <c r="O844" s="5"/>
      <c r="P844" s="5"/>
      <c r="Q844" s="5"/>
      <c r="R844" s="5"/>
      <c r="S844" s="5"/>
      <c r="T844" s="5"/>
      <c r="U844" s="5"/>
      <c r="V844" s="5"/>
      <c r="W844" s="5"/>
      <c r="X844" s="5"/>
      <c r="Y844" s="5"/>
      <c r="Z844" s="5"/>
      <c r="AA844" s="5"/>
    </row>
    <row r="845">
      <c r="A845" s="5"/>
      <c r="B845" s="5"/>
      <c r="C845" s="5"/>
      <c r="D845" s="5"/>
      <c r="E845" s="64"/>
      <c r="F845" s="5"/>
      <c r="G845" s="5"/>
      <c r="H845" s="5"/>
      <c r="I845" s="5"/>
      <c r="J845" s="5"/>
      <c r="K845" s="64"/>
      <c r="L845" s="64"/>
      <c r="M845" s="96"/>
      <c r="N845" s="5"/>
      <c r="O845" s="5"/>
      <c r="P845" s="5"/>
      <c r="Q845" s="5"/>
      <c r="R845" s="5"/>
      <c r="S845" s="5"/>
      <c r="T845" s="5"/>
      <c r="U845" s="5"/>
      <c r="V845" s="5"/>
      <c r="W845" s="5"/>
      <c r="X845" s="5"/>
      <c r="Y845" s="5"/>
      <c r="Z845" s="5"/>
      <c r="AA845" s="5"/>
    </row>
    <row r="846">
      <c r="A846" s="5"/>
      <c r="B846" s="5"/>
      <c r="C846" s="5"/>
      <c r="D846" s="5"/>
      <c r="E846" s="64"/>
      <c r="F846" s="5"/>
      <c r="G846" s="5"/>
      <c r="H846" s="5"/>
      <c r="I846" s="5"/>
      <c r="J846" s="5"/>
      <c r="K846" s="64"/>
      <c r="L846" s="64"/>
      <c r="M846" s="96"/>
      <c r="N846" s="5"/>
      <c r="O846" s="5"/>
      <c r="P846" s="5"/>
      <c r="Q846" s="5"/>
      <c r="R846" s="5"/>
      <c r="S846" s="5"/>
      <c r="T846" s="5"/>
      <c r="U846" s="5"/>
      <c r="V846" s="5"/>
      <c r="W846" s="5"/>
      <c r="X846" s="5"/>
      <c r="Y846" s="5"/>
      <c r="Z846" s="5"/>
      <c r="AA846" s="5"/>
    </row>
    <row r="847">
      <c r="A847" s="5"/>
      <c r="B847" s="5"/>
      <c r="C847" s="5"/>
      <c r="D847" s="5"/>
      <c r="E847" s="64"/>
      <c r="F847" s="5"/>
      <c r="G847" s="5"/>
      <c r="H847" s="5"/>
      <c r="I847" s="5"/>
      <c r="J847" s="5"/>
      <c r="K847" s="64"/>
      <c r="L847" s="64"/>
      <c r="M847" s="96"/>
      <c r="N847" s="5"/>
      <c r="O847" s="5"/>
      <c r="P847" s="5"/>
      <c r="Q847" s="5"/>
      <c r="R847" s="5"/>
      <c r="S847" s="5"/>
      <c r="T847" s="5"/>
      <c r="U847" s="5"/>
      <c r="V847" s="5"/>
      <c r="W847" s="5"/>
      <c r="X847" s="5"/>
      <c r="Y847" s="5"/>
      <c r="Z847" s="5"/>
      <c r="AA847" s="5"/>
    </row>
    <row r="848">
      <c r="A848" s="5"/>
      <c r="B848" s="5"/>
      <c r="C848" s="5"/>
      <c r="D848" s="5"/>
      <c r="E848" s="64"/>
      <c r="F848" s="5"/>
      <c r="G848" s="5"/>
      <c r="H848" s="5"/>
      <c r="I848" s="5"/>
      <c r="J848" s="5"/>
      <c r="K848" s="64"/>
      <c r="L848" s="64"/>
      <c r="M848" s="96"/>
      <c r="N848" s="5"/>
      <c r="O848" s="5"/>
      <c r="P848" s="5"/>
      <c r="Q848" s="5"/>
      <c r="R848" s="5"/>
      <c r="S848" s="5"/>
      <c r="T848" s="5"/>
      <c r="U848" s="5"/>
      <c r="V848" s="5"/>
      <c r="W848" s="5"/>
      <c r="X848" s="5"/>
      <c r="Y848" s="5"/>
      <c r="Z848" s="5"/>
      <c r="AA848" s="5"/>
    </row>
    <row r="849">
      <c r="A849" s="5"/>
      <c r="B849" s="5"/>
      <c r="C849" s="5"/>
      <c r="D849" s="5"/>
      <c r="E849" s="64"/>
      <c r="F849" s="5"/>
      <c r="G849" s="5"/>
      <c r="H849" s="5"/>
      <c r="I849" s="5"/>
      <c r="J849" s="5"/>
      <c r="K849" s="64"/>
      <c r="L849" s="64"/>
      <c r="M849" s="96"/>
      <c r="N849" s="5"/>
      <c r="O849" s="5"/>
      <c r="P849" s="5"/>
      <c r="Q849" s="5"/>
      <c r="R849" s="5"/>
      <c r="S849" s="5"/>
      <c r="T849" s="5"/>
      <c r="U849" s="5"/>
      <c r="V849" s="5"/>
      <c r="W849" s="5"/>
      <c r="X849" s="5"/>
      <c r="Y849" s="5"/>
      <c r="Z849" s="5"/>
      <c r="AA849" s="5"/>
    </row>
    <row r="850">
      <c r="A850" s="5"/>
      <c r="B850" s="5"/>
      <c r="C850" s="5"/>
      <c r="D850" s="5"/>
      <c r="E850" s="64"/>
      <c r="F850" s="5"/>
      <c r="G850" s="5"/>
      <c r="H850" s="5"/>
      <c r="I850" s="5"/>
      <c r="J850" s="5"/>
      <c r="K850" s="64"/>
      <c r="L850" s="64"/>
      <c r="M850" s="96"/>
      <c r="N850" s="5"/>
      <c r="O850" s="5"/>
      <c r="P850" s="5"/>
      <c r="Q850" s="5"/>
      <c r="R850" s="5"/>
      <c r="S850" s="5"/>
      <c r="T850" s="5"/>
      <c r="U850" s="5"/>
      <c r="V850" s="5"/>
      <c r="W850" s="5"/>
      <c r="X850" s="5"/>
      <c r="Y850" s="5"/>
      <c r="Z850" s="5"/>
      <c r="AA850" s="5"/>
    </row>
    <row r="851">
      <c r="A851" s="5"/>
      <c r="B851" s="5"/>
      <c r="C851" s="5"/>
      <c r="D851" s="5"/>
      <c r="E851" s="64"/>
      <c r="F851" s="5"/>
      <c r="G851" s="5"/>
      <c r="H851" s="5"/>
      <c r="I851" s="5"/>
      <c r="J851" s="5"/>
      <c r="K851" s="64"/>
      <c r="L851" s="64"/>
      <c r="M851" s="96"/>
      <c r="N851" s="5"/>
      <c r="O851" s="5"/>
      <c r="P851" s="5"/>
      <c r="Q851" s="5"/>
      <c r="R851" s="5"/>
      <c r="S851" s="5"/>
      <c r="T851" s="5"/>
      <c r="U851" s="5"/>
      <c r="V851" s="5"/>
      <c r="W851" s="5"/>
      <c r="X851" s="5"/>
      <c r="Y851" s="5"/>
      <c r="Z851" s="5"/>
      <c r="AA851" s="5"/>
    </row>
    <row r="852">
      <c r="A852" s="5"/>
      <c r="B852" s="5"/>
      <c r="C852" s="5"/>
      <c r="D852" s="5"/>
      <c r="E852" s="64"/>
      <c r="F852" s="5"/>
      <c r="G852" s="5"/>
      <c r="H852" s="5"/>
      <c r="I852" s="5"/>
      <c r="J852" s="5"/>
      <c r="K852" s="64"/>
      <c r="L852" s="64"/>
      <c r="M852" s="96"/>
      <c r="N852" s="5"/>
      <c r="O852" s="5"/>
      <c r="P852" s="5"/>
      <c r="Q852" s="5"/>
      <c r="R852" s="5"/>
      <c r="S852" s="5"/>
      <c r="T852" s="5"/>
      <c r="U852" s="5"/>
      <c r="V852" s="5"/>
      <c r="W852" s="5"/>
      <c r="X852" s="5"/>
      <c r="Y852" s="5"/>
      <c r="Z852" s="5"/>
      <c r="AA852" s="5"/>
    </row>
    <row r="853">
      <c r="A853" s="5"/>
      <c r="B853" s="5"/>
      <c r="C853" s="5"/>
      <c r="D853" s="5"/>
      <c r="E853" s="64"/>
      <c r="F853" s="5"/>
      <c r="G853" s="5"/>
      <c r="H853" s="5"/>
      <c r="I853" s="5"/>
      <c r="J853" s="5"/>
      <c r="K853" s="64"/>
      <c r="L853" s="64"/>
      <c r="M853" s="96"/>
      <c r="N853" s="5"/>
      <c r="O853" s="5"/>
      <c r="P853" s="5"/>
      <c r="Q853" s="5"/>
      <c r="R853" s="5"/>
      <c r="S853" s="5"/>
      <c r="T853" s="5"/>
      <c r="U853" s="5"/>
      <c r="V853" s="5"/>
      <c r="W853" s="5"/>
      <c r="X853" s="5"/>
      <c r="Y853" s="5"/>
      <c r="Z853" s="5"/>
      <c r="AA853" s="5"/>
    </row>
    <row r="854">
      <c r="A854" s="5"/>
      <c r="B854" s="5"/>
      <c r="C854" s="5"/>
      <c r="D854" s="5"/>
      <c r="E854" s="64"/>
      <c r="F854" s="5"/>
      <c r="G854" s="5"/>
      <c r="H854" s="5"/>
      <c r="I854" s="5"/>
      <c r="J854" s="5"/>
      <c r="K854" s="64"/>
      <c r="L854" s="64"/>
      <c r="M854" s="96"/>
      <c r="N854" s="5"/>
      <c r="O854" s="5"/>
      <c r="P854" s="5"/>
      <c r="Q854" s="5"/>
      <c r="R854" s="5"/>
      <c r="S854" s="5"/>
      <c r="T854" s="5"/>
      <c r="U854" s="5"/>
      <c r="V854" s="5"/>
      <c r="W854" s="5"/>
      <c r="X854" s="5"/>
      <c r="Y854" s="5"/>
      <c r="Z854" s="5"/>
      <c r="AA854" s="5"/>
    </row>
    <row r="855">
      <c r="A855" s="5"/>
      <c r="B855" s="5"/>
      <c r="C855" s="5"/>
      <c r="D855" s="5"/>
      <c r="E855" s="64"/>
      <c r="F855" s="5"/>
      <c r="G855" s="5"/>
      <c r="H855" s="5"/>
      <c r="I855" s="5"/>
      <c r="J855" s="5"/>
      <c r="K855" s="64"/>
      <c r="L855" s="64"/>
      <c r="M855" s="96"/>
      <c r="N855" s="5"/>
      <c r="O855" s="5"/>
      <c r="P855" s="5"/>
      <c r="Q855" s="5"/>
      <c r="R855" s="5"/>
      <c r="S855" s="5"/>
      <c r="T855" s="5"/>
      <c r="U855" s="5"/>
      <c r="V855" s="5"/>
      <c r="W855" s="5"/>
      <c r="X855" s="5"/>
      <c r="Y855" s="5"/>
      <c r="Z855" s="5"/>
      <c r="AA855" s="5"/>
    </row>
    <row r="856">
      <c r="A856" s="5"/>
      <c r="B856" s="5"/>
      <c r="C856" s="5"/>
      <c r="D856" s="5"/>
      <c r="E856" s="64"/>
      <c r="F856" s="5"/>
      <c r="G856" s="5"/>
      <c r="H856" s="5"/>
      <c r="I856" s="5"/>
      <c r="J856" s="5"/>
      <c r="K856" s="64"/>
      <c r="L856" s="64"/>
      <c r="M856" s="96"/>
      <c r="N856" s="5"/>
      <c r="O856" s="5"/>
      <c r="P856" s="5"/>
      <c r="Q856" s="5"/>
      <c r="R856" s="5"/>
      <c r="S856" s="5"/>
      <c r="T856" s="5"/>
      <c r="U856" s="5"/>
      <c r="V856" s="5"/>
      <c r="W856" s="5"/>
      <c r="X856" s="5"/>
      <c r="Y856" s="5"/>
      <c r="Z856" s="5"/>
      <c r="AA856" s="5"/>
    </row>
    <row r="857">
      <c r="A857" s="5"/>
      <c r="B857" s="5"/>
      <c r="C857" s="5"/>
      <c r="D857" s="5"/>
      <c r="E857" s="64"/>
      <c r="F857" s="5"/>
      <c r="G857" s="5"/>
      <c r="H857" s="5"/>
      <c r="I857" s="5"/>
      <c r="J857" s="5"/>
      <c r="K857" s="64"/>
      <c r="L857" s="64"/>
      <c r="M857" s="96"/>
      <c r="N857" s="5"/>
      <c r="O857" s="5"/>
      <c r="P857" s="5"/>
      <c r="Q857" s="5"/>
      <c r="R857" s="5"/>
      <c r="S857" s="5"/>
      <c r="T857" s="5"/>
      <c r="U857" s="5"/>
      <c r="V857" s="5"/>
      <c r="W857" s="5"/>
      <c r="X857" s="5"/>
      <c r="Y857" s="5"/>
      <c r="Z857" s="5"/>
      <c r="AA857" s="5"/>
    </row>
    <row r="858">
      <c r="A858" s="5"/>
      <c r="B858" s="5"/>
      <c r="C858" s="5"/>
      <c r="D858" s="5"/>
      <c r="E858" s="64"/>
      <c r="F858" s="5"/>
      <c r="G858" s="5"/>
      <c r="H858" s="5"/>
      <c r="I858" s="5"/>
      <c r="J858" s="5"/>
      <c r="K858" s="64"/>
      <c r="L858" s="64"/>
      <c r="M858" s="96"/>
      <c r="N858" s="5"/>
      <c r="O858" s="5"/>
      <c r="P858" s="5"/>
      <c r="Q858" s="5"/>
      <c r="R858" s="5"/>
      <c r="S858" s="5"/>
      <c r="T858" s="5"/>
      <c r="U858" s="5"/>
      <c r="V858" s="5"/>
      <c r="W858" s="5"/>
      <c r="X858" s="5"/>
      <c r="Y858" s="5"/>
      <c r="Z858" s="5"/>
      <c r="AA858" s="5"/>
    </row>
    <row r="859">
      <c r="A859" s="5"/>
      <c r="B859" s="5"/>
      <c r="C859" s="5"/>
      <c r="D859" s="5"/>
      <c r="E859" s="64"/>
      <c r="F859" s="5"/>
      <c r="G859" s="5"/>
      <c r="H859" s="5"/>
      <c r="I859" s="5"/>
      <c r="J859" s="5"/>
      <c r="K859" s="64"/>
      <c r="L859" s="64"/>
      <c r="M859" s="96"/>
      <c r="N859" s="5"/>
      <c r="O859" s="5"/>
      <c r="P859" s="5"/>
      <c r="Q859" s="5"/>
      <c r="R859" s="5"/>
      <c r="S859" s="5"/>
      <c r="T859" s="5"/>
      <c r="U859" s="5"/>
      <c r="V859" s="5"/>
      <c r="W859" s="5"/>
      <c r="X859" s="5"/>
      <c r="Y859" s="5"/>
      <c r="Z859" s="5"/>
      <c r="AA859" s="5"/>
    </row>
    <row r="860">
      <c r="A860" s="5"/>
      <c r="B860" s="5"/>
      <c r="C860" s="5"/>
      <c r="D860" s="5"/>
      <c r="E860" s="64"/>
      <c r="F860" s="5"/>
      <c r="G860" s="5"/>
      <c r="H860" s="5"/>
      <c r="I860" s="5"/>
      <c r="J860" s="5"/>
      <c r="K860" s="64"/>
      <c r="L860" s="64"/>
      <c r="M860" s="96"/>
      <c r="N860" s="5"/>
      <c r="O860" s="5"/>
      <c r="P860" s="5"/>
      <c r="Q860" s="5"/>
      <c r="R860" s="5"/>
      <c r="S860" s="5"/>
      <c r="T860" s="5"/>
      <c r="U860" s="5"/>
      <c r="V860" s="5"/>
      <c r="W860" s="5"/>
      <c r="X860" s="5"/>
      <c r="Y860" s="5"/>
      <c r="Z860" s="5"/>
      <c r="AA860" s="5"/>
    </row>
    <row r="861">
      <c r="A861" s="5"/>
      <c r="B861" s="5"/>
      <c r="C861" s="5"/>
      <c r="D861" s="5"/>
      <c r="E861" s="64"/>
      <c r="F861" s="5"/>
      <c r="G861" s="5"/>
      <c r="H861" s="5"/>
      <c r="I861" s="5"/>
      <c r="J861" s="5"/>
      <c r="K861" s="64"/>
      <c r="L861" s="64"/>
      <c r="M861" s="96"/>
      <c r="N861" s="5"/>
      <c r="O861" s="5"/>
      <c r="P861" s="5"/>
      <c r="Q861" s="5"/>
      <c r="R861" s="5"/>
      <c r="S861" s="5"/>
      <c r="T861" s="5"/>
      <c r="U861" s="5"/>
      <c r="V861" s="5"/>
      <c r="W861" s="5"/>
      <c r="X861" s="5"/>
      <c r="Y861" s="5"/>
      <c r="Z861" s="5"/>
      <c r="AA861" s="5"/>
    </row>
    <row r="862">
      <c r="A862" s="5"/>
      <c r="B862" s="5"/>
      <c r="C862" s="5"/>
      <c r="D862" s="5"/>
      <c r="E862" s="64"/>
      <c r="F862" s="5"/>
      <c r="G862" s="5"/>
      <c r="H862" s="5"/>
      <c r="I862" s="5"/>
      <c r="J862" s="5"/>
      <c r="K862" s="64"/>
      <c r="L862" s="64"/>
      <c r="M862" s="96"/>
      <c r="N862" s="5"/>
      <c r="O862" s="5"/>
      <c r="P862" s="5"/>
      <c r="Q862" s="5"/>
      <c r="R862" s="5"/>
      <c r="S862" s="5"/>
      <c r="T862" s="5"/>
      <c r="U862" s="5"/>
      <c r="V862" s="5"/>
      <c r="W862" s="5"/>
      <c r="X862" s="5"/>
      <c r="Y862" s="5"/>
      <c r="Z862" s="5"/>
      <c r="AA862" s="5"/>
    </row>
    <row r="863">
      <c r="A863" s="5"/>
      <c r="B863" s="5"/>
      <c r="C863" s="5"/>
      <c r="D863" s="5"/>
      <c r="E863" s="64"/>
      <c r="F863" s="5"/>
      <c r="G863" s="5"/>
      <c r="H863" s="5"/>
      <c r="I863" s="5"/>
      <c r="J863" s="5"/>
      <c r="K863" s="64"/>
      <c r="L863" s="64"/>
      <c r="M863" s="96"/>
      <c r="N863" s="5"/>
      <c r="O863" s="5"/>
      <c r="P863" s="5"/>
      <c r="Q863" s="5"/>
      <c r="R863" s="5"/>
      <c r="S863" s="5"/>
      <c r="T863" s="5"/>
      <c r="U863" s="5"/>
      <c r="V863" s="5"/>
      <c r="W863" s="5"/>
      <c r="X863" s="5"/>
      <c r="Y863" s="5"/>
      <c r="Z863" s="5"/>
      <c r="AA863" s="5"/>
    </row>
    <row r="864">
      <c r="A864" s="5"/>
      <c r="B864" s="5"/>
      <c r="C864" s="5"/>
      <c r="D864" s="5"/>
      <c r="E864" s="64"/>
      <c r="F864" s="5"/>
      <c r="G864" s="5"/>
      <c r="H864" s="5"/>
      <c r="I864" s="5"/>
      <c r="J864" s="5"/>
      <c r="K864" s="64"/>
      <c r="L864" s="64"/>
      <c r="M864" s="96"/>
      <c r="N864" s="5"/>
      <c r="O864" s="5"/>
      <c r="P864" s="5"/>
      <c r="Q864" s="5"/>
      <c r="R864" s="5"/>
      <c r="S864" s="5"/>
      <c r="T864" s="5"/>
      <c r="U864" s="5"/>
      <c r="V864" s="5"/>
      <c r="W864" s="5"/>
      <c r="X864" s="5"/>
      <c r="Y864" s="5"/>
      <c r="Z864" s="5"/>
      <c r="AA864" s="5"/>
    </row>
    <row r="865">
      <c r="A865" s="5"/>
      <c r="B865" s="5"/>
      <c r="C865" s="5"/>
      <c r="D865" s="5"/>
      <c r="E865" s="64"/>
      <c r="F865" s="5"/>
      <c r="G865" s="5"/>
      <c r="H865" s="5"/>
      <c r="I865" s="5"/>
      <c r="J865" s="5"/>
      <c r="K865" s="64"/>
      <c r="L865" s="64"/>
      <c r="M865" s="96"/>
      <c r="N865" s="5"/>
      <c r="O865" s="5"/>
      <c r="P865" s="5"/>
      <c r="Q865" s="5"/>
      <c r="R865" s="5"/>
      <c r="S865" s="5"/>
      <c r="T865" s="5"/>
      <c r="U865" s="5"/>
      <c r="V865" s="5"/>
      <c r="W865" s="5"/>
      <c r="X865" s="5"/>
      <c r="Y865" s="5"/>
      <c r="Z865" s="5"/>
      <c r="AA865" s="5"/>
    </row>
    <row r="866">
      <c r="A866" s="5"/>
      <c r="B866" s="5"/>
      <c r="C866" s="5"/>
      <c r="D866" s="5"/>
      <c r="E866" s="64"/>
      <c r="F866" s="5"/>
      <c r="G866" s="5"/>
      <c r="H866" s="5"/>
      <c r="I866" s="5"/>
      <c r="J866" s="5"/>
      <c r="K866" s="64"/>
      <c r="L866" s="64"/>
      <c r="M866" s="96"/>
      <c r="N866" s="5"/>
      <c r="O866" s="5"/>
      <c r="P866" s="5"/>
      <c r="Q866" s="5"/>
      <c r="R866" s="5"/>
      <c r="S866" s="5"/>
      <c r="T866" s="5"/>
      <c r="U866" s="5"/>
      <c r="V866" s="5"/>
      <c r="W866" s="5"/>
      <c r="X866" s="5"/>
      <c r="Y866" s="5"/>
      <c r="Z866" s="5"/>
      <c r="AA866" s="5"/>
    </row>
    <row r="867">
      <c r="A867" s="5"/>
      <c r="B867" s="5"/>
      <c r="C867" s="5"/>
      <c r="D867" s="5"/>
      <c r="E867" s="64"/>
      <c r="F867" s="5"/>
      <c r="G867" s="5"/>
      <c r="H867" s="5"/>
      <c r="I867" s="5"/>
      <c r="J867" s="5"/>
      <c r="K867" s="64"/>
      <c r="L867" s="64"/>
      <c r="M867" s="96"/>
      <c r="N867" s="5"/>
      <c r="O867" s="5"/>
      <c r="P867" s="5"/>
      <c r="Q867" s="5"/>
      <c r="R867" s="5"/>
      <c r="S867" s="5"/>
      <c r="T867" s="5"/>
      <c r="U867" s="5"/>
      <c r="V867" s="5"/>
      <c r="W867" s="5"/>
      <c r="X867" s="5"/>
      <c r="Y867" s="5"/>
      <c r="Z867" s="5"/>
      <c r="AA867" s="5"/>
    </row>
    <row r="868">
      <c r="A868" s="5"/>
      <c r="B868" s="5"/>
      <c r="C868" s="5"/>
      <c r="D868" s="5"/>
      <c r="E868" s="64"/>
      <c r="F868" s="5"/>
      <c r="G868" s="5"/>
      <c r="H868" s="5"/>
      <c r="I868" s="5"/>
      <c r="J868" s="5"/>
      <c r="K868" s="64"/>
      <c r="L868" s="64"/>
      <c r="M868" s="96"/>
      <c r="N868" s="5"/>
      <c r="O868" s="5"/>
      <c r="P868" s="5"/>
      <c r="Q868" s="5"/>
      <c r="R868" s="5"/>
      <c r="S868" s="5"/>
      <c r="T868" s="5"/>
      <c r="U868" s="5"/>
      <c r="V868" s="5"/>
      <c r="W868" s="5"/>
      <c r="X868" s="5"/>
      <c r="Y868" s="5"/>
      <c r="Z868" s="5"/>
      <c r="AA868" s="5"/>
    </row>
    <row r="869">
      <c r="A869" s="5"/>
      <c r="B869" s="5"/>
      <c r="C869" s="5"/>
      <c r="D869" s="5"/>
      <c r="E869" s="64"/>
      <c r="F869" s="5"/>
      <c r="G869" s="5"/>
      <c r="H869" s="5"/>
      <c r="I869" s="5"/>
      <c r="J869" s="5"/>
      <c r="K869" s="64"/>
      <c r="L869" s="64"/>
      <c r="M869" s="96"/>
      <c r="N869" s="5"/>
      <c r="O869" s="5"/>
      <c r="P869" s="5"/>
      <c r="Q869" s="5"/>
      <c r="R869" s="5"/>
      <c r="S869" s="5"/>
      <c r="T869" s="5"/>
      <c r="U869" s="5"/>
      <c r="V869" s="5"/>
      <c r="W869" s="5"/>
      <c r="X869" s="5"/>
      <c r="Y869" s="5"/>
      <c r="Z869" s="5"/>
      <c r="AA869" s="5"/>
    </row>
    <row r="870">
      <c r="A870" s="5"/>
      <c r="B870" s="5"/>
      <c r="C870" s="5"/>
      <c r="D870" s="5"/>
      <c r="E870" s="64"/>
      <c r="F870" s="5"/>
      <c r="G870" s="5"/>
      <c r="H870" s="5"/>
      <c r="I870" s="5"/>
      <c r="J870" s="5"/>
      <c r="K870" s="64"/>
      <c r="L870" s="64"/>
      <c r="M870" s="96"/>
      <c r="N870" s="5"/>
      <c r="O870" s="5"/>
      <c r="P870" s="5"/>
      <c r="Q870" s="5"/>
      <c r="R870" s="5"/>
      <c r="S870" s="5"/>
      <c r="T870" s="5"/>
      <c r="U870" s="5"/>
      <c r="V870" s="5"/>
      <c r="W870" s="5"/>
      <c r="X870" s="5"/>
      <c r="Y870" s="5"/>
      <c r="Z870" s="5"/>
      <c r="AA870" s="5"/>
    </row>
    <row r="871">
      <c r="A871" s="5"/>
      <c r="B871" s="5"/>
      <c r="C871" s="5"/>
      <c r="D871" s="5"/>
      <c r="E871" s="64"/>
      <c r="F871" s="5"/>
      <c r="G871" s="5"/>
      <c r="H871" s="5"/>
      <c r="I871" s="5"/>
      <c r="J871" s="5"/>
      <c r="K871" s="64"/>
      <c r="L871" s="64"/>
      <c r="M871" s="96"/>
      <c r="N871" s="5"/>
      <c r="O871" s="5"/>
      <c r="P871" s="5"/>
      <c r="Q871" s="5"/>
      <c r="R871" s="5"/>
      <c r="S871" s="5"/>
      <c r="T871" s="5"/>
      <c r="U871" s="5"/>
      <c r="V871" s="5"/>
      <c r="W871" s="5"/>
      <c r="X871" s="5"/>
      <c r="Y871" s="5"/>
      <c r="Z871" s="5"/>
      <c r="AA871" s="5"/>
    </row>
    <row r="872">
      <c r="A872" s="5"/>
      <c r="B872" s="5"/>
      <c r="C872" s="5"/>
      <c r="D872" s="5"/>
      <c r="E872" s="64"/>
      <c r="F872" s="5"/>
      <c r="G872" s="5"/>
      <c r="H872" s="5"/>
      <c r="I872" s="5"/>
      <c r="J872" s="5"/>
      <c r="K872" s="64"/>
      <c r="L872" s="64"/>
      <c r="M872" s="96"/>
      <c r="N872" s="5"/>
      <c r="O872" s="5"/>
      <c r="P872" s="5"/>
      <c r="Q872" s="5"/>
      <c r="R872" s="5"/>
      <c r="S872" s="5"/>
      <c r="T872" s="5"/>
      <c r="U872" s="5"/>
      <c r="V872" s="5"/>
      <c r="W872" s="5"/>
      <c r="X872" s="5"/>
      <c r="Y872" s="5"/>
      <c r="Z872" s="5"/>
      <c r="AA872" s="5"/>
    </row>
    <row r="873">
      <c r="A873" s="5"/>
      <c r="B873" s="5"/>
      <c r="C873" s="5"/>
      <c r="D873" s="5"/>
      <c r="E873" s="64"/>
      <c r="F873" s="5"/>
      <c r="G873" s="5"/>
      <c r="H873" s="5"/>
      <c r="I873" s="5"/>
      <c r="J873" s="5"/>
      <c r="K873" s="64"/>
      <c r="L873" s="64"/>
      <c r="M873" s="96"/>
      <c r="N873" s="5"/>
      <c r="O873" s="5"/>
      <c r="P873" s="5"/>
      <c r="Q873" s="5"/>
      <c r="R873" s="5"/>
      <c r="S873" s="5"/>
      <c r="T873" s="5"/>
      <c r="U873" s="5"/>
      <c r="V873" s="5"/>
      <c r="W873" s="5"/>
      <c r="X873" s="5"/>
      <c r="Y873" s="5"/>
      <c r="Z873" s="5"/>
      <c r="AA873" s="5"/>
    </row>
    <row r="874">
      <c r="A874" s="5"/>
      <c r="B874" s="5"/>
      <c r="C874" s="5"/>
      <c r="D874" s="5"/>
      <c r="E874" s="64"/>
      <c r="F874" s="5"/>
      <c r="G874" s="5"/>
      <c r="H874" s="5"/>
      <c r="I874" s="5"/>
      <c r="J874" s="5"/>
      <c r="K874" s="64"/>
      <c r="L874" s="64"/>
      <c r="M874" s="96"/>
      <c r="N874" s="5"/>
      <c r="O874" s="5"/>
      <c r="P874" s="5"/>
      <c r="Q874" s="5"/>
      <c r="R874" s="5"/>
      <c r="S874" s="5"/>
      <c r="T874" s="5"/>
      <c r="U874" s="5"/>
      <c r="V874" s="5"/>
      <c r="W874" s="5"/>
      <c r="X874" s="5"/>
      <c r="Y874" s="5"/>
      <c r="Z874" s="5"/>
      <c r="AA874" s="5"/>
    </row>
    <row r="875">
      <c r="A875" s="5"/>
      <c r="B875" s="5"/>
      <c r="C875" s="5"/>
      <c r="D875" s="5"/>
      <c r="E875" s="64"/>
      <c r="F875" s="5"/>
      <c r="G875" s="5"/>
      <c r="H875" s="5"/>
      <c r="I875" s="5"/>
      <c r="J875" s="5"/>
      <c r="K875" s="64"/>
      <c r="L875" s="64"/>
      <c r="M875" s="96"/>
      <c r="N875" s="5"/>
      <c r="O875" s="5"/>
      <c r="P875" s="5"/>
      <c r="Q875" s="5"/>
      <c r="R875" s="5"/>
      <c r="S875" s="5"/>
      <c r="T875" s="5"/>
      <c r="U875" s="5"/>
      <c r="V875" s="5"/>
      <c r="W875" s="5"/>
      <c r="X875" s="5"/>
      <c r="Y875" s="5"/>
      <c r="Z875" s="5"/>
      <c r="AA875" s="5"/>
    </row>
    <row r="876">
      <c r="A876" s="5"/>
      <c r="B876" s="5"/>
      <c r="C876" s="5"/>
      <c r="D876" s="5"/>
      <c r="E876" s="64"/>
      <c r="F876" s="5"/>
      <c r="G876" s="5"/>
      <c r="H876" s="5"/>
      <c r="I876" s="5"/>
      <c r="J876" s="5"/>
      <c r="K876" s="64"/>
      <c r="L876" s="64"/>
      <c r="M876" s="96"/>
      <c r="N876" s="5"/>
      <c r="O876" s="5"/>
      <c r="P876" s="5"/>
      <c r="Q876" s="5"/>
      <c r="R876" s="5"/>
      <c r="S876" s="5"/>
      <c r="T876" s="5"/>
      <c r="U876" s="5"/>
      <c r="V876" s="5"/>
      <c r="W876" s="5"/>
      <c r="X876" s="5"/>
      <c r="Y876" s="5"/>
      <c r="Z876" s="5"/>
      <c r="AA876" s="5"/>
    </row>
    <row r="877">
      <c r="A877" s="5"/>
      <c r="B877" s="5"/>
      <c r="C877" s="5"/>
      <c r="D877" s="5"/>
      <c r="E877" s="64"/>
      <c r="F877" s="5"/>
      <c r="G877" s="5"/>
      <c r="H877" s="5"/>
      <c r="I877" s="5"/>
      <c r="J877" s="5"/>
      <c r="K877" s="64"/>
      <c r="L877" s="64"/>
      <c r="M877" s="96"/>
      <c r="N877" s="5"/>
      <c r="O877" s="5"/>
      <c r="P877" s="5"/>
      <c r="Q877" s="5"/>
      <c r="R877" s="5"/>
      <c r="S877" s="5"/>
      <c r="T877" s="5"/>
      <c r="U877" s="5"/>
      <c r="V877" s="5"/>
      <c r="W877" s="5"/>
      <c r="X877" s="5"/>
      <c r="Y877" s="5"/>
      <c r="Z877" s="5"/>
      <c r="AA877" s="5"/>
    </row>
    <row r="878">
      <c r="A878" s="5"/>
      <c r="B878" s="5"/>
      <c r="C878" s="5"/>
      <c r="D878" s="5"/>
      <c r="E878" s="64"/>
      <c r="F878" s="5"/>
      <c r="G878" s="5"/>
      <c r="H878" s="5"/>
      <c r="I878" s="5"/>
      <c r="J878" s="5"/>
      <c r="K878" s="64"/>
      <c r="L878" s="64"/>
      <c r="M878" s="96"/>
      <c r="N878" s="5"/>
      <c r="O878" s="5"/>
      <c r="P878" s="5"/>
      <c r="Q878" s="5"/>
      <c r="R878" s="5"/>
      <c r="S878" s="5"/>
      <c r="T878" s="5"/>
      <c r="U878" s="5"/>
      <c r="V878" s="5"/>
      <c r="W878" s="5"/>
      <c r="X878" s="5"/>
      <c r="Y878" s="5"/>
      <c r="Z878" s="5"/>
      <c r="AA878" s="5"/>
    </row>
    <row r="879">
      <c r="A879" s="5"/>
      <c r="B879" s="5"/>
      <c r="C879" s="5"/>
      <c r="D879" s="5"/>
      <c r="E879" s="64"/>
      <c r="F879" s="5"/>
      <c r="G879" s="5"/>
      <c r="H879" s="5"/>
      <c r="I879" s="5"/>
      <c r="J879" s="5"/>
      <c r="K879" s="64"/>
      <c r="L879" s="64"/>
      <c r="M879" s="96"/>
      <c r="N879" s="5"/>
      <c r="O879" s="5"/>
      <c r="P879" s="5"/>
      <c r="Q879" s="5"/>
      <c r="R879" s="5"/>
      <c r="S879" s="5"/>
      <c r="T879" s="5"/>
      <c r="U879" s="5"/>
      <c r="V879" s="5"/>
      <c r="W879" s="5"/>
      <c r="X879" s="5"/>
      <c r="Y879" s="5"/>
      <c r="Z879" s="5"/>
      <c r="AA879" s="5"/>
    </row>
    <row r="880">
      <c r="A880" s="5"/>
      <c r="B880" s="5"/>
      <c r="C880" s="5"/>
      <c r="D880" s="5"/>
      <c r="E880" s="64"/>
      <c r="F880" s="5"/>
      <c r="G880" s="5"/>
      <c r="H880" s="5"/>
      <c r="I880" s="5"/>
      <c r="J880" s="5"/>
      <c r="K880" s="64"/>
      <c r="L880" s="64"/>
      <c r="M880" s="96"/>
      <c r="N880" s="5"/>
      <c r="O880" s="5"/>
      <c r="P880" s="5"/>
      <c r="Q880" s="5"/>
      <c r="R880" s="5"/>
      <c r="S880" s="5"/>
      <c r="T880" s="5"/>
      <c r="U880" s="5"/>
      <c r="V880" s="5"/>
      <c r="W880" s="5"/>
      <c r="X880" s="5"/>
      <c r="Y880" s="5"/>
      <c r="Z880" s="5"/>
      <c r="AA880" s="5"/>
    </row>
    <row r="881">
      <c r="A881" s="5"/>
      <c r="B881" s="5"/>
      <c r="C881" s="5"/>
      <c r="D881" s="5"/>
      <c r="E881" s="64"/>
      <c r="F881" s="5"/>
      <c r="G881" s="5"/>
      <c r="H881" s="5"/>
      <c r="I881" s="5"/>
      <c r="J881" s="5"/>
      <c r="K881" s="64"/>
      <c r="L881" s="64"/>
      <c r="M881" s="96"/>
      <c r="N881" s="5"/>
      <c r="O881" s="5"/>
      <c r="P881" s="5"/>
      <c r="Q881" s="5"/>
      <c r="R881" s="5"/>
      <c r="S881" s="5"/>
      <c r="T881" s="5"/>
      <c r="U881" s="5"/>
      <c r="V881" s="5"/>
      <c r="W881" s="5"/>
      <c r="X881" s="5"/>
      <c r="Y881" s="5"/>
      <c r="Z881" s="5"/>
      <c r="AA881" s="5"/>
    </row>
    <row r="882">
      <c r="A882" s="5"/>
      <c r="B882" s="5"/>
      <c r="C882" s="5"/>
      <c r="D882" s="5"/>
      <c r="E882" s="64"/>
      <c r="F882" s="5"/>
      <c r="G882" s="5"/>
      <c r="H882" s="5"/>
      <c r="I882" s="5"/>
      <c r="J882" s="5"/>
      <c r="K882" s="64"/>
      <c r="L882" s="64"/>
      <c r="M882" s="96"/>
      <c r="N882" s="5"/>
      <c r="O882" s="5"/>
      <c r="P882" s="5"/>
      <c r="Q882" s="5"/>
      <c r="R882" s="5"/>
      <c r="S882" s="5"/>
      <c r="T882" s="5"/>
      <c r="U882" s="5"/>
      <c r="V882" s="5"/>
      <c r="W882" s="5"/>
      <c r="X882" s="5"/>
      <c r="Y882" s="5"/>
      <c r="Z882" s="5"/>
      <c r="AA882" s="5"/>
    </row>
    <row r="883">
      <c r="A883" s="5"/>
      <c r="B883" s="5"/>
      <c r="C883" s="5"/>
      <c r="D883" s="5"/>
      <c r="E883" s="64"/>
      <c r="F883" s="5"/>
      <c r="G883" s="5"/>
      <c r="H883" s="5"/>
      <c r="I883" s="5"/>
      <c r="J883" s="5"/>
      <c r="K883" s="64"/>
      <c r="L883" s="64"/>
      <c r="M883" s="96"/>
      <c r="N883" s="5"/>
      <c r="O883" s="5"/>
      <c r="P883" s="5"/>
      <c r="Q883" s="5"/>
      <c r="R883" s="5"/>
      <c r="S883" s="5"/>
      <c r="T883" s="5"/>
      <c r="U883" s="5"/>
      <c r="V883" s="5"/>
      <c r="W883" s="5"/>
      <c r="X883" s="5"/>
      <c r="Y883" s="5"/>
      <c r="Z883" s="5"/>
      <c r="AA883" s="5"/>
    </row>
    <row r="884">
      <c r="A884" s="5"/>
      <c r="B884" s="5"/>
      <c r="C884" s="5"/>
      <c r="D884" s="5"/>
      <c r="E884" s="64"/>
      <c r="F884" s="5"/>
      <c r="G884" s="5"/>
      <c r="H884" s="5"/>
      <c r="I884" s="5"/>
      <c r="J884" s="5"/>
      <c r="K884" s="64"/>
      <c r="L884" s="64"/>
      <c r="M884" s="96"/>
      <c r="N884" s="5"/>
      <c r="O884" s="5"/>
      <c r="P884" s="5"/>
      <c r="Q884" s="5"/>
      <c r="R884" s="5"/>
      <c r="S884" s="5"/>
      <c r="T884" s="5"/>
      <c r="U884" s="5"/>
      <c r="V884" s="5"/>
      <c r="W884" s="5"/>
      <c r="X884" s="5"/>
      <c r="Y884" s="5"/>
      <c r="Z884" s="5"/>
      <c r="AA884" s="5"/>
    </row>
    <row r="885">
      <c r="A885" s="5"/>
      <c r="B885" s="5"/>
      <c r="C885" s="5"/>
      <c r="D885" s="5"/>
      <c r="E885" s="64"/>
      <c r="F885" s="5"/>
      <c r="G885" s="5"/>
      <c r="H885" s="5"/>
      <c r="I885" s="5"/>
      <c r="J885" s="5"/>
      <c r="K885" s="64"/>
      <c r="L885" s="64"/>
      <c r="M885" s="96"/>
      <c r="N885" s="5"/>
      <c r="O885" s="5"/>
      <c r="P885" s="5"/>
      <c r="Q885" s="5"/>
      <c r="R885" s="5"/>
      <c r="S885" s="5"/>
      <c r="T885" s="5"/>
      <c r="U885" s="5"/>
      <c r="V885" s="5"/>
      <c r="W885" s="5"/>
      <c r="X885" s="5"/>
      <c r="Y885" s="5"/>
      <c r="Z885" s="5"/>
      <c r="AA885" s="5"/>
    </row>
    <row r="886">
      <c r="A886" s="5"/>
      <c r="B886" s="5"/>
      <c r="C886" s="5"/>
      <c r="D886" s="5"/>
      <c r="E886" s="64"/>
      <c r="F886" s="5"/>
      <c r="G886" s="5"/>
      <c r="H886" s="5"/>
      <c r="I886" s="5"/>
      <c r="J886" s="5"/>
      <c r="K886" s="64"/>
      <c r="L886" s="64"/>
      <c r="M886" s="96"/>
      <c r="N886" s="5"/>
      <c r="O886" s="5"/>
      <c r="P886" s="5"/>
      <c r="Q886" s="5"/>
      <c r="R886" s="5"/>
      <c r="S886" s="5"/>
      <c r="T886" s="5"/>
      <c r="U886" s="5"/>
      <c r="V886" s="5"/>
      <c r="W886" s="5"/>
      <c r="X886" s="5"/>
      <c r="Y886" s="5"/>
      <c r="Z886" s="5"/>
      <c r="AA886" s="5"/>
    </row>
    <row r="887">
      <c r="A887" s="5"/>
      <c r="B887" s="5"/>
      <c r="C887" s="5"/>
      <c r="D887" s="5"/>
      <c r="E887" s="64"/>
      <c r="F887" s="5"/>
      <c r="G887" s="5"/>
      <c r="H887" s="5"/>
      <c r="I887" s="5"/>
      <c r="J887" s="5"/>
      <c r="K887" s="64"/>
      <c r="L887" s="64"/>
      <c r="M887" s="96"/>
      <c r="N887" s="5"/>
      <c r="O887" s="5"/>
      <c r="P887" s="5"/>
      <c r="Q887" s="5"/>
      <c r="R887" s="5"/>
      <c r="S887" s="5"/>
      <c r="T887" s="5"/>
      <c r="U887" s="5"/>
      <c r="V887" s="5"/>
      <c r="W887" s="5"/>
      <c r="X887" s="5"/>
      <c r="Y887" s="5"/>
      <c r="Z887" s="5"/>
      <c r="AA887" s="5"/>
    </row>
    <row r="888">
      <c r="A888" s="5"/>
      <c r="B888" s="5"/>
      <c r="C888" s="5"/>
      <c r="D888" s="5"/>
      <c r="E888" s="64"/>
      <c r="F888" s="5"/>
      <c r="G888" s="5"/>
      <c r="H888" s="5"/>
      <c r="I888" s="5"/>
      <c r="J888" s="5"/>
      <c r="K888" s="64"/>
      <c r="L888" s="64"/>
      <c r="M888" s="96"/>
      <c r="N888" s="5"/>
      <c r="O888" s="5"/>
      <c r="P888" s="5"/>
      <c r="Q888" s="5"/>
      <c r="R888" s="5"/>
      <c r="S888" s="5"/>
      <c r="T888" s="5"/>
      <c r="U888" s="5"/>
      <c r="V888" s="5"/>
      <c r="W888" s="5"/>
      <c r="X888" s="5"/>
      <c r="Y888" s="5"/>
      <c r="Z888" s="5"/>
      <c r="AA888" s="5"/>
    </row>
    <row r="889">
      <c r="A889" s="5"/>
      <c r="B889" s="5"/>
      <c r="C889" s="5"/>
      <c r="D889" s="5"/>
      <c r="E889" s="64"/>
      <c r="F889" s="5"/>
      <c r="G889" s="5"/>
      <c r="H889" s="5"/>
      <c r="I889" s="5"/>
      <c r="J889" s="5"/>
      <c r="K889" s="64"/>
      <c r="L889" s="64"/>
      <c r="M889" s="96"/>
      <c r="N889" s="5"/>
      <c r="O889" s="5"/>
      <c r="P889" s="5"/>
      <c r="Q889" s="5"/>
      <c r="R889" s="5"/>
      <c r="S889" s="5"/>
      <c r="T889" s="5"/>
      <c r="U889" s="5"/>
      <c r="V889" s="5"/>
      <c r="W889" s="5"/>
      <c r="X889" s="5"/>
      <c r="Y889" s="5"/>
      <c r="Z889" s="5"/>
      <c r="AA889" s="5"/>
    </row>
    <row r="890">
      <c r="A890" s="5"/>
      <c r="B890" s="5"/>
      <c r="C890" s="5"/>
      <c r="D890" s="5"/>
      <c r="E890" s="64"/>
      <c r="F890" s="5"/>
      <c r="G890" s="5"/>
      <c r="H890" s="5"/>
      <c r="I890" s="5"/>
      <c r="J890" s="5"/>
      <c r="K890" s="64"/>
      <c r="L890" s="64"/>
      <c r="M890" s="96"/>
      <c r="N890" s="5"/>
      <c r="O890" s="5"/>
      <c r="P890" s="5"/>
      <c r="Q890" s="5"/>
      <c r="R890" s="5"/>
      <c r="S890" s="5"/>
      <c r="T890" s="5"/>
      <c r="U890" s="5"/>
      <c r="V890" s="5"/>
      <c r="W890" s="5"/>
      <c r="X890" s="5"/>
      <c r="Y890" s="5"/>
      <c r="Z890" s="5"/>
      <c r="AA890" s="5"/>
    </row>
    <row r="891">
      <c r="A891" s="5"/>
      <c r="B891" s="5"/>
      <c r="C891" s="5"/>
      <c r="D891" s="5"/>
      <c r="E891" s="64"/>
      <c r="F891" s="5"/>
      <c r="G891" s="5"/>
      <c r="H891" s="5"/>
      <c r="I891" s="5"/>
      <c r="J891" s="5"/>
      <c r="K891" s="64"/>
      <c r="L891" s="64"/>
      <c r="M891" s="96"/>
      <c r="N891" s="5"/>
      <c r="O891" s="5"/>
      <c r="P891" s="5"/>
      <c r="Q891" s="5"/>
      <c r="R891" s="5"/>
      <c r="S891" s="5"/>
      <c r="T891" s="5"/>
      <c r="U891" s="5"/>
      <c r="V891" s="5"/>
      <c r="W891" s="5"/>
      <c r="X891" s="5"/>
      <c r="Y891" s="5"/>
      <c r="Z891" s="5"/>
      <c r="AA891" s="5"/>
    </row>
    <row r="892">
      <c r="A892" s="5"/>
      <c r="B892" s="5"/>
      <c r="C892" s="5"/>
      <c r="D892" s="5"/>
      <c r="E892" s="64"/>
      <c r="F892" s="5"/>
      <c r="G892" s="5"/>
      <c r="H892" s="5"/>
      <c r="I892" s="5"/>
      <c r="J892" s="5"/>
      <c r="K892" s="64"/>
      <c r="L892" s="64"/>
      <c r="M892" s="96"/>
      <c r="N892" s="5"/>
      <c r="O892" s="5"/>
      <c r="P892" s="5"/>
      <c r="Q892" s="5"/>
      <c r="R892" s="5"/>
      <c r="S892" s="5"/>
      <c r="T892" s="5"/>
      <c r="U892" s="5"/>
      <c r="V892" s="5"/>
      <c r="W892" s="5"/>
      <c r="X892" s="5"/>
      <c r="Y892" s="5"/>
      <c r="Z892" s="5"/>
      <c r="AA892" s="5"/>
    </row>
    <row r="893">
      <c r="A893" s="5"/>
      <c r="B893" s="5"/>
      <c r="C893" s="5"/>
      <c r="D893" s="5"/>
      <c r="E893" s="64"/>
      <c r="F893" s="5"/>
      <c r="G893" s="5"/>
      <c r="H893" s="5"/>
      <c r="I893" s="5"/>
      <c r="J893" s="5"/>
      <c r="K893" s="64"/>
      <c r="L893" s="64"/>
      <c r="M893" s="96"/>
      <c r="N893" s="5"/>
      <c r="O893" s="5"/>
      <c r="P893" s="5"/>
      <c r="Q893" s="5"/>
      <c r="R893" s="5"/>
      <c r="S893" s="5"/>
      <c r="T893" s="5"/>
      <c r="U893" s="5"/>
      <c r="V893" s="5"/>
      <c r="W893" s="5"/>
      <c r="X893" s="5"/>
      <c r="Y893" s="5"/>
      <c r="Z893" s="5"/>
      <c r="AA893" s="5"/>
    </row>
    <row r="894">
      <c r="A894" s="5"/>
      <c r="B894" s="5"/>
      <c r="C894" s="5"/>
      <c r="D894" s="5"/>
      <c r="E894" s="64"/>
      <c r="F894" s="5"/>
      <c r="G894" s="5"/>
      <c r="H894" s="5"/>
      <c r="I894" s="5"/>
      <c r="J894" s="5"/>
      <c r="K894" s="64"/>
      <c r="L894" s="64"/>
      <c r="M894" s="96"/>
      <c r="N894" s="5"/>
      <c r="O894" s="5"/>
      <c r="P894" s="5"/>
      <c r="Q894" s="5"/>
      <c r="R894" s="5"/>
      <c r="S894" s="5"/>
      <c r="T894" s="5"/>
      <c r="U894" s="5"/>
      <c r="V894" s="5"/>
      <c r="W894" s="5"/>
      <c r="X894" s="5"/>
      <c r="Y894" s="5"/>
      <c r="Z894" s="5"/>
      <c r="AA894" s="5"/>
    </row>
    <row r="895">
      <c r="A895" s="5"/>
      <c r="B895" s="5"/>
      <c r="C895" s="5"/>
      <c r="D895" s="5"/>
      <c r="E895" s="64"/>
      <c r="F895" s="5"/>
      <c r="G895" s="5"/>
      <c r="H895" s="5"/>
      <c r="I895" s="5"/>
      <c r="J895" s="5"/>
      <c r="K895" s="64"/>
      <c r="L895" s="64"/>
      <c r="M895" s="96"/>
      <c r="N895" s="5"/>
      <c r="O895" s="5"/>
      <c r="P895" s="5"/>
      <c r="Q895" s="5"/>
      <c r="R895" s="5"/>
      <c r="S895" s="5"/>
      <c r="T895" s="5"/>
      <c r="U895" s="5"/>
      <c r="V895" s="5"/>
      <c r="W895" s="5"/>
      <c r="X895" s="5"/>
      <c r="Y895" s="5"/>
      <c r="Z895" s="5"/>
      <c r="AA895" s="5"/>
    </row>
    <row r="896">
      <c r="A896" s="5"/>
      <c r="B896" s="5"/>
      <c r="C896" s="5"/>
      <c r="D896" s="5"/>
      <c r="E896" s="64"/>
      <c r="F896" s="5"/>
      <c r="G896" s="5"/>
      <c r="H896" s="5"/>
      <c r="I896" s="5"/>
      <c r="J896" s="5"/>
      <c r="K896" s="64"/>
      <c r="L896" s="64"/>
      <c r="M896" s="96"/>
      <c r="N896" s="5"/>
      <c r="O896" s="5"/>
      <c r="P896" s="5"/>
      <c r="Q896" s="5"/>
      <c r="R896" s="5"/>
      <c r="S896" s="5"/>
      <c r="T896" s="5"/>
      <c r="U896" s="5"/>
      <c r="V896" s="5"/>
      <c r="W896" s="5"/>
      <c r="X896" s="5"/>
      <c r="Y896" s="5"/>
      <c r="Z896" s="5"/>
      <c r="AA896" s="5"/>
    </row>
    <row r="897">
      <c r="A897" s="5"/>
      <c r="B897" s="5"/>
      <c r="C897" s="5"/>
      <c r="D897" s="5"/>
      <c r="E897" s="64"/>
      <c r="F897" s="5"/>
      <c r="G897" s="5"/>
      <c r="H897" s="5"/>
      <c r="I897" s="5"/>
      <c r="J897" s="5"/>
      <c r="K897" s="64"/>
      <c r="L897" s="64"/>
      <c r="M897" s="96"/>
      <c r="N897" s="5"/>
      <c r="O897" s="5"/>
      <c r="P897" s="5"/>
      <c r="Q897" s="5"/>
      <c r="R897" s="5"/>
      <c r="S897" s="5"/>
      <c r="T897" s="5"/>
      <c r="U897" s="5"/>
      <c r="V897" s="5"/>
      <c r="W897" s="5"/>
      <c r="X897" s="5"/>
      <c r="Y897" s="5"/>
      <c r="Z897" s="5"/>
      <c r="AA897" s="5"/>
    </row>
    <row r="898">
      <c r="A898" s="5"/>
      <c r="B898" s="5"/>
      <c r="C898" s="5"/>
      <c r="D898" s="5"/>
      <c r="E898" s="64"/>
      <c r="F898" s="5"/>
      <c r="G898" s="5"/>
      <c r="H898" s="5"/>
      <c r="I898" s="5"/>
      <c r="J898" s="5"/>
      <c r="K898" s="64"/>
      <c r="L898" s="64"/>
      <c r="M898" s="96"/>
      <c r="N898" s="5"/>
      <c r="O898" s="5"/>
      <c r="P898" s="5"/>
      <c r="Q898" s="5"/>
      <c r="R898" s="5"/>
      <c r="S898" s="5"/>
      <c r="T898" s="5"/>
      <c r="U898" s="5"/>
      <c r="V898" s="5"/>
      <c r="W898" s="5"/>
      <c r="X898" s="5"/>
      <c r="Y898" s="5"/>
      <c r="Z898" s="5"/>
      <c r="AA898" s="5"/>
    </row>
    <row r="899">
      <c r="A899" s="5"/>
      <c r="B899" s="5"/>
      <c r="C899" s="5"/>
      <c r="D899" s="5"/>
      <c r="E899" s="64"/>
      <c r="F899" s="5"/>
      <c r="G899" s="5"/>
      <c r="H899" s="5"/>
      <c r="I899" s="5"/>
      <c r="J899" s="5"/>
      <c r="K899" s="64"/>
      <c r="L899" s="64"/>
      <c r="M899" s="96"/>
      <c r="N899" s="5"/>
      <c r="O899" s="5"/>
      <c r="P899" s="5"/>
      <c r="Q899" s="5"/>
      <c r="R899" s="5"/>
      <c r="S899" s="5"/>
      <c r="T899" s="5"/>
      <c r="U899" s="5"/>
      <c r="V899" s="5"/>
      <c r="W899" s="5"/>
      <c r="X899" s="5"/>
      <c r="Y899" s="5"/>
      <c r="Z899" s="5"/>
      <c r="AA899" s="5"/>
    </row>
    <row r="900">
      <c r="A900" s="5"/>
      <c r="B900" s="5"/>
      <c r="C900" s="5"/>
      <c r="D900" s="5"/>
      <c r="E900" s="64"/>
      <c r="F900" s="5"/>
      <c r="G900" s="5"/>
      <c r="H900" s="5"/>
      <c r="I900" s="5"/>
      <c r="J900" s="5"/>
      <c r="K900" s="64"/>
      <c r="L900" s="64"/>
      <c r="M900" s="96"/>
      <c r="N900" s="5"/>
      <c r="O900" s="5"/>
      <c r="P900" s="5"/>
      <c r="Q900" s="5"/>
      <c r="R900" s="5"/>
      <c r="S900" s="5"/>
      <c r="T900" s="5"/>
      <c r="U900" s="5"/>
      <c r="V900" s="5"/>
      <c r="W900" s="5"/>
      <c r="X900" s="5"/>
      <c r="Y900" s="5"/>
      <c r="Z900" s="5"/>
      <c r="AA900" s="5"/>
    </row>
    <row r="901">
      <c r="A901" s="5"/>
      <c r="B901" s="5"/>
      <c r="C901" s="5"/>
      <c r="D901" s="5"/>
      <c r="E901" s="64"/>
      <c r="F901" s="5"/>
      <c r="G901" s="5"/>
      <c r="H901" s="5"/>
      <c r="I901" s="5"/>
      <c r="J901" s="5"/>
      <c r="K901" s="64"/>
      <c r="L901" s="64"/>
      <c r="M901" s="96"/>
      <c r="N901" s="5"/>
      <c r="O901" s="5"/>
      <c r="P901" s="5"/>
      <c r="Q901" s="5"/>
      <c r="R901" s="5"/>
      <c r="S901" s="5"/>
      <c r="T901" s="5"/>
      <c r="U901" s="5"/>
      <c r="V901" s="5"/>
      <c r="W901" s="5"/>
      <c r="X901" s="5"/>
      <c r="Y901" s="5"/>
      <c r="Z901" s="5"/>
      <c r="AA901" s="5"/>
    </row>
    <row r="902">
      <c r="A902" s="5"/>
      <c r="B902" s="5"/>
      <c r="C902" s="5"/>
      <c r="D902" s="5"/>
      <c r="E902" s="64"/>
      <c r="F902" s="5"/>
      <c r="G902" s="5"/>
      <c r="H902" s="5"/>
      <c r="I902" s="5"/>
      <c r="J902" s="5"/>
      <c r="K902" s="64"/>
      <c r="L902" s="64"/>
      <c r="M902" s="96"/>
      <c r="N902" s="5"/>
      <c r="O902" s="5"/>
      <c r="P902" s="5"/>
      <c r="Q902" s="5"/>
      <c r="R902" s="5"/>
      <c r="S902" s="5"/>
      <c r="T902" s="5"/>
      <c r="U902" s="5"/>
      <c r="V902" s="5"/>
      <c r="W902" s="5"/>
      <c r="X902" s="5"/>
      <c r="Y902" s="5"/>
      <c r="Z902" s="5"/>
      <c r="AA902" s="5"/>
    </row>
    <row r="903">
      <c r="A903" s="5"/>
      <c r="B903" s="5"/>
      <c r="C903" s="5"/>
      <c r="D903" s="5"/>
      <c r="E903" s="64"/>
      <c r="F903" s="5"/>
      <c r="G903" s="5"/>
      <c r="H903" s="5"/>
      <c r="I903" s="5"/>
      <c r="J903" s="5"/>
      <c r="K903" s="64"/>
      <c r="L903" s="64"/>
      <c r="M903" s="96"/>
      <c r="N903" s="5"/>
      <c r="O903" s="5"/>
      <c r="P903" s="5"/>
      <c r="Q903" s="5"/>
      <c r="R903" s="5"/>
      <c r="S903" s="5"/>
      <c r="T903" s="5"/>
      <c r="U903" s="5"/>
      <c r="V903" s="5"/>
      <c r="W903" s="5"/>
      <c r="X903" s="5"/>
      <c r="Y903" s="5"/>
      <c r="Z903" s="5"/>
      <c r="AA903" s="5"/>
    </row>
    <row r="904">
      <c r="A904" s="5"/>
      <c r="B904" s="5"/>
      <c r="C904" s="5"/>
      <c r="D904" s="5"/>
      <c r="E904" s="64"/>
      <c r="F904" s="5"/>
      <c r="G904" s="5"/>
      <c r="H904" s="5"/>
      <c r="I904" s="5"/>
      <c r="J904" s="5"/>
      <c r="K904" s="64"/>
      <c r="L904" s="64"/>
      <c r="M904" s="96"/>
      <c r="N904" s="5"/>
      <c r="O904" s="5"/>
      <c r="P904" s="5"/>
      <c r="Q904" s="5"/>
      <c r="R904" s="5"/>
      <c r="S904" s="5"/>
      <c r="T904" s="5"/>
      <c r="U904" s="5"/>
      <c r="V904" s="5"/>
      <c r="W904" s="5"/>
      <c r="X904" s="5"/>
      <c r="Y904" s="5"/>
      <c r="Z904" s="5"/>
      <c r="AA904" s="5"/>
    </row>
    <row r="905">
      <c r="A905" s="5"/>
      <c r="B905" s="5"/>
      <c r="C905" s="5"/>
      <c r="D905" s="5"/>
      <c r="E905" s="64"/>
      <c r="F905" s="5"/>
      <c r="G905" s="5"/>
      <c r="H905" s="5"/>
      <c r="I905" s="5"/>
      <c r="J905" s="5"/>
      <c r="K905" s="64"/>
      <c r="L905" s="64"/>
      <c r="M905" s="96"/>
      <c r="N905" s="5"/>
      <c r="O905" s="5"/>
      <c r="P905" s="5"/>
      <c r="Q905" s="5"/>
      <c r="R905" s="5"/>
      <c r="S905" s="5"/>
      <c r="T905" s="5"/>
      <c r="U905" s="5"/>
      <c r="V905" s="5"/>
      <c r="W905" s="5"/>
      <c r="X905" s="5"/>
      <c r="Y905" s="5"/>
      <c r="Z905" s="5"/>
      <c r="AA905" s="5"/>
    </row>
    <row r="906">
      <c r="A906" s="5"/>
      <c r="B906" s="5"/>
      <c r="C906" s="5"/>
      <c r="D906" s="5"/>
      <c r="E906" s="64"/>
      <c r="F906" s="5"/>
      <c r="G906" s="5"/>
      <c r="H906" s="5"/>
      <c r="I906" s="5"/>
      <c r="J906" s="5"/>
      <c r="K906" s="64"/>
      <c r="L906" s="64"/>
      <c r="M906" s="96"/>
      <c r="N906" s="5"/>
      <c r="O906" s="5"/>
      <c r="P906" s="5"/>
      <c r="Q906" s="5"/>
      <c r="R906" s="5"/>
      <c r="S906" s="5"/>
      <c r="T906" s="5"/>
      <c r="U906" s="5"/>
      <c r="V906" s="5"/>
      <c r="W906" s="5"/>
      <c r="X906" s="5"/>
      <c r="Y906" s="5"/>
      <c r="Z906" s="5"/>
      <c r="AA906" s="5"/>
    </row>
    <row r="907">
      <c r="A907" s="5"/>
      <c r="B907" s="5"/>
      <c r="C907" s="5"/>
      <c r="D907" s="5"/>
      <c r="E907" s="64"/>
      <c r="F907" s="5"/>
      <c r="G907" s="5"/>
      <c r="H907" s="5"/>
      <c r="I907" s="5"/>
      <c r="J907" s="5"/>
      <c r="K907" s="64"/>
      <c r="L907" s="64"/>
      <c r="M907" s="96"/>
      <c r="N907" s="5"/>
      <c r="O907" s="5"/>
      <c r="P907" s="5"/>
      <c r="Q907" s="5"/>
      <c r="R907" s="5"/>
      <c r="S907" s="5"/>
      <c r="T907" s="5"/>
      <c r="U907" s="5"/>
      <c r="V907" s="5"/>
      <c r="W907" s="5"/>
      <c r="X907" s="5"/>
      <c r="Y907" s="5"/>
      <c r="Z907" s="5"/>
      <c r="AA907" s="5"/>
    </row>
    <row r="908">
      <c r="A908" s="5"/>
      <c r="B908" s="5"/>
      <c r="C908" s="5"/>
      <c r="D908" s="5"/>
      <c r="E908" s="64"/>
      <c r="F908" s="5"/>
      <c r="G908" s="5"/>
      <c r="H908" s="5"/>
      <c r="I908" s="5"/>
      <c r="J908" s="5"/>
      <c r="K908" s="64"/>
      <c r="L908" s="64"/>
      <c r="M908" s="96"/>
      <c r="N908" s="5"/>
      <c r="O908" s="5"/>
      <c r="P908" s="5"/>
      <c r="Q908" s="5"/>
      <c r="R908" s="5"/>
      <c r="S908" s="5"/>
      <c r="T908" s="5"/>
      <c r="U908" s="5"/>
      <c r="V908" s="5"/>
      <c r="W908" s="5"/>
      <c r="X908" s="5"/>
      <c r="Y908" s="5"/>
      <c r="Z908" s="5"/>
      <c r="AA908" s="5"/>
    </row>
    <row r="909">
      <c r="A909" s="5"/>
      <c r="B909" s="5"/>
      <c r="C909" s="5"/>
      <c r="D909" s="5"/>
      <c r="E909" s="64"/>
      <c r="F909" s="5"/>
      <c r="G909" s="5"/>
      <c r="H909" s="5"/>
      <c r="I909" s="5"/>
      <c r="J909" s="5"/>
      <c r="K909" s="64"/>
      <c r="L909" s="64"/>
      <c r="M909" s="96"/>
      <c r="N909" s="5"/>
      <c r="O909" s="5"/>
      <c r="P909" s="5"/>
      <c r="Q909" s="5"/>
      <c r="R909" s="5"/>
      <c r="S909" s="5"/>
      <c r="T909" s="5"/>
      <c r="U909" s="5"/>
      <c r="V909" s="5"/>
      <c r="W909" s="5"/>
      <c r="X909" s="5"/>
      <c r="Y909" s="5"/>
      <c r="Z909" s="5"/>
      <c r="AA909" s="5"/>
    </row>
    <row r="910">
      <c r="A910" s="5"/>
      <c r="B910" s="5"/>
      <c r="C910" s="5"/>
      <c r="D910" s="5"/>
      <c r="E910" s="64"/>
      <c r="F910" s="5"/>
      <c r="G910" s="5"/>
      <c r="H910" s="5"/>
      <c r="I910" s="5"/>
      <c r="J910" s="5"/>
      <c r="K910" s="64"/>
      <c r="L910" s="64"/>
      <c r="M910" s="96"/>
      <c r="N910" s="5"/>
      <c r="O910" s="5"/>
      <c r="P910" s="5"/>
      <c r="Q910" s="5"/>
      <c r="R910" s="5"/>
      <c r="S910" s="5"/>
      <c r="T910" s="5"/>
      <c r="U910" s="5"/>
      <c r="V910" s="5"/>
      <c r="W910" s="5"/>
      <c r="X910" s="5"/>
      <c r="Y910" s="5"/>
      <c r="Z910" s="5"/>
      <c r="AA910" s="5"/>
    </row>
    <row r="911">
      <c r="A911" s="5"/>
      <c r="B911" s="5"/>
      <c r="C911" s="5"/>
      <c r="D911" s="5"/>
      <c r="E911" s="64"/>
      <c r="F911" s="5"/>
      <c r="G911" s="5"/>
      <c r="H911" s="5"/>
      <c r="I911" s="5"/>
      <c r="J911" s="5"/>
      <c r="K911" s="64"/>
      <c r="L911" s="64"/>
      <c r="M911" s="96"/>
      <c r="N911" s="5"/>
      <c r="O911" s="5"/>
      <c r="P911" s="5"/>
      <c r="Q911" s="5"/>
      <c r="R911" s="5"/>
      <c r="S911" s="5"/>
      <c r="T911" s="5"/>
      <c r="U911" s="5"/>
      <c r="V911" s="5"/>
      <c r="W911" s="5"/>
      <c r="X911" s="5"/>
      <c r="Y911" s="5"/>
      <c r="Z911" s="5"/>
      <c r="AA911" s="5"/>
    </row>
    <row r="912">
      <c r="A912" s="5"/>
      <c r="B912" s="5"/>
      <c r="C912" s="5"/>
      <c r="D912" s="5"/>
      <c r="E912" s="64"/>
      <c r="F912" s="5"/>
      <c r="G912" s="5"/>
      <c r="H912" s="5"/>
      <c r="I912" s="5"/>
      <c r="J912" s="5"/>
      <c r="K912" s="64"/>
      <c r="L912" s="64"/>
      <c r="M912" s="96"/>
      <c r="N912" s="5"/>
      <c r="O912" s="5"/>
      <c r="P912" s="5"/>
      <c r="Q912" s="5"/>
      <c r="R912" s="5"/>
      <c r="S912" s="5"/>
      <c r="T912" s="5"/>
      <c r="U912" s="5"/>
      <c r="V912" s="5"/>
      <c r="W912" s="5"/>
      <c r="X912" s="5"/>
      <c r="Y912" s="5"/>
      <c r="Z912" s="5"/>
      <c r="AA912" s="5"/>
    </row>
    <row r="913">
      <c r="A913" s="5"/>
      <c r="B913" s="5"/>
      <c r="C913" s="5"/>
      <c r="D913" s="5"/>
      <c r="E913" s="64"/>
      <c r="F913" s="5"/>
      <c r="G913" s="5"/>
      <c r="H913" s="5"/>
      <c r="I913" s="5"/>
      <c r="J913" s="5"/>
      <c r="K913" s="64"/>
      <c r="L913" s="64"/>
      <c r="M913" s="96"/>
      <c r="N913" s="5"/>
      <c r="O913" s="5"/>
      <c r="P913" s="5"/>
      <c r="Q913" s="5"/>
      <c r="R913" s="5"/>
      <c r="S913" s="5"/>
      <c r="T913" s="5"/>
      <c r="U913" s="5"/>
      <c r="V913" s="5"/>
      <c r="W913" s="5"/>
      <c r="X913" s="5"/>
      <c r="Y913" s="5"/>
      <c r="Z913" s="5"/>
      <c r="AA913" s="5"/>
    </row>
    <row r="914">
      <c r="A914" s="5"/>
      <c r="B914" s="5"/>
      <c r="C914" s="5"/>
      <c r="D914" s="5"/>
      <c r="E914" s="64"/>
      <c r="F914" s="5"/>
      <c r="G914" s="5"/>
      <c r="H914" s="5"/>
      <c r="I914" s="5"/>
      <c r="J914" s="5"/>
      <c r="K914" s="64"/>
      <c r="L914" s="64"/>
      <c r="M914" s="96"/>
      <c r="N914" s="5"/>
      <c r="O914" s="5"/>
      <c r="P914" s="5"/>
      <c r="Q914" s="5"/>
      <c r="R914" s="5"/>
      <c r="S914" s="5"/>
      <c r="T914" s="5"/>
      <c r="U914" s="5"/>
      <c r="V914" s="5"/>
      <c r="W914" s="5"/>
      <c r="X914" s="5"/>
      <c r="Y914" s="5"/>
      <c r="Z914" s="5"/>
      <c r="AA914" s="5"/>
    </row>
    <row r="915">
      <c r="A915" s="5"/>
      <c r="B915" s="5"/>
      <c r="C915" s="5"/>
      <c r="D915" s="5"/>
      <c r="E915" s="64"/>
      <c r="F915" s="5"/>
      <c r="G915" s="5"/>
      <c r="H915" s="5"/>
      <c r="I915" s="5"/>
      <c r="J915" s="5"/>
      <c r="K915" s="64"/>
      <c r="L915" s="64"/>
      <c r="M915" s="96"/>
      <c r="N915" s="5"/>
      <c r="O915" s="5"/>
      <c r="P915" s="5"/>
      <c r="Q915" s="5"/>
      <c r="R915" s="5"/>
      <c r="S915" s="5"/>
      <c r="T915" s="5"/>
      <c r="U915" s="5"/>
      <c r="V915" s="5"/>
      <c r="W915" s="5"/>
      <c r="X915" s="5"/>
      <c r="Y915" s="5"/>
      <c r="Z915" s="5"/>
      <c r="AA915" s="5"/>
    </row>
    <row r="916">
      <c r="A916" s="5"/>
      <c r="B916" s="5"/>
      <c r="C916" s="5"/>
      <c r="D916" s="5"/>
      <c r="E916" s="64"/>
      <c r="F916" s="5"/>
      <c r="G916" s="5"/>
      <c r="H916" s="5"/>
      <c r="I916" s="5"/>
      <c r="J916" s="5"/>
      <c r="K916" s="64"/>
      <c r="L916" s="64"/>
      <c r="M916" s="96"/>
      <c r="N916" s="5"/>
      <c r="O916" s="5"/>
      <c r="P916" s="5"/>
      <c r="Q916" s="5"/>
      <c r="R916" s="5"/>
      <c r="S916" s="5"/>
      <c r="T916" s="5"/>
      <c r="U916" s="5"/>
      <c r="V916" s="5"/>
      <c r="W916" s="5"/>
      <c r="X916" s="5"/>
      <c r="Y916" s="5"/>
      <c r="Z916" s="5"/>
      <c r="AA916" s="5"/>
    </row>
    <row r="917">
      <c r="A917" s="5"/>
      <c r="B917" s="5"/>
      <c r="C917" s="5"/>
      <c r="D917" s="5"/>
      <c r="E917" s="64"/>
      <c r="F917" s="5"/>
      <c r="G917" s="5"/>
      <c r="H917" s="5"/>
      <c r="I917" s="5"/>
      <c r="J917" s="5"/>
      <c r="K917" s="64"/>
      <c r="L917" s="64"/>
      <c r="M917" s="96"/>
      <c r="N917" s="5"/>
      <c r="O917" s="5"/>
      <c r="P917" s="5"/>
      <c r="Q917" s="5"/>
      <c r="R917" s="5"/>
      <c r="S917" s="5"/>
      <c r="T917" s="5"/>
      <c r="U917" s="5"/>
      <c r="V917" s="5"/>
      <c r="W917" s="5"/>
      <c r="X917" s="5"/>
      <c r="Y917" s="5"/>
      <c r="Z917" s="5"/>
      <c r="AA917" s="5"/>
    </row>
    <row r="918">
      <c r="A918" s="5"/>
      <c r="B918" s="5"/>
      <c r="C918" s="5"/>
      <c r="D918" s="5"/>
      <c r="E918" s="64"/>
      <c r="F918" s="5"/>
      <c r="G918" s="5"/>
      <c r="H918" s="5"/>
      <c r="I918" s="5"/>
      <c r="J918" s="5"/>
      <c r="K918" s="64"/>
      <c r="L918" s="64"/>
      <c r="M918" s="96"/>
      <c r="N918" s="5"/>
      <c r="O918" s="5"/>
      <c r="P918" s="5"/>
      <c r="Q918" s="5"/>
      <c r="R918" s="5"/>
      <c r="S918" s="5"/>
      <c r="T918" s="5"/>
      <c r="U918" s="5"/>
      <c r="V918" s="5"/>
      <c r="W918" s="5"/>
      <c r="X918" s="5"/>
      <c r="Y918" s="5"/>
      <c r="Z918" s="5"/>
      <c r="AA918" s="5"/>
    </row>
    <row r="919">
      <c r="A919" s="5"/>
      <c r="B919" s="5"/>
      <c r="C919" s="5"/>
      <c r="D919" s="5"/>
      <c r="E919" s="64"/>
      <c r="F919" s="5"/>
      <c r="G919" s="5"/>
      <c r="H919" s="5"/>
      <c r="I919" s="5"/>
      <c r="J919" s="5"/>
      <c r="K919" s="64"/>
      <c r="L919" s="64"/>
      <c r="M919" s="96"/>
      <c r="N919" s="5"/>
      <c r="O919" s="5"/>
      <c r="P919" s="5"/>
      <c r="Q919" s="5"/>
      <c r="R919" s="5"/>
      <c r="S919" s="5"/>
      <c r="T919" s="5"/>
      <c r="U919" s="5"/>
      <c r="V919" s="5"/>
      <c r="W919" s="5"/>
      <c r="X919" s="5"/>
      <c r="Y919" s="5"/>
      <c r="Z919" s="5"/>
      <c r="AA919" s="5"/>
    </row>
    <row r="920">
      <c r="A920" s="5"/>
      <c r="B920" s="5"/>
      <c r="C920" s="5"/>
      <c r="D920" s="5"/>
      <c r="E920" s="64"/>
      <c r="F920" s="5"/>
      <c r="G920" s="5"/>
      <c r="H920" s="5"/>
      <c r="I920" s="5"/>
      <c r="J920" s="5"/>
      <c r="K920" s="64"/>
      <c r="L920" s="64"/>
      <c r="M920" s="96"/>
      <c r="N920" s="5"/>
      <c r="O920" s="5"/>
      <c r="P920" s="5"/>
      <c r="Q920" s="5"/>
      <c r="R920" s="5"/>
      <c r="S920" s="5"/>
      <c r="T920" s="5"/>
      <c r="U920" s="5"/>
      <c r="V920" s="5"/>
      <c r="W920" s="5"/>
      <c r="X920" s="5"/>
      <c r="Y920" s="5"/>
      <c r="Z920" s="5"/>
      <c r="AA920" s="5"/>
    </row>
    <row r="921">
      <c r="A921" s="5"/>
      <c r="B921" s="5"/>
      <c r="C921" s="5"/>
      <c r="D921" s="5"/>
      <c r="E921" s="64"/>
      <c r="F921" s="5"/>
      <c r="G921" s="5"/>
      <c r="H921" s="5"/>
      <c r="I921" s="5"/>
      <c r="J921" s="5"/>
      <c r="K921" s="64"/>
      <c r="L921" s="64"/>
      <c r="M921" s="96"/>
      <c r="N921" s="5"/>
      <c r="O921" s="5"/>
      <c r="P921" s="5"/>
      <c r="Q921" s="5"/>
      <c r="R921" s="5"/>
      <c r="S921" s="5"/>
      <c r="T921" s="5"/>
      <c r="U921" s="5"/>
      <c r="V921" s="5"/>
      <c r="W921" s="5"/>
      <c r="X921" s="5"/>
      <c r="Y921" s="5"/>
      <c r="Z921" s="5"/>
      <c r="AA921" s="5"/>
    </row>
    <row r="922">
      <c r="A922" s="5"/>
      <c r="B922" s="5"/>
      <c r="C922" s="5"/>
      <c r="D922" s="5"/>
      <c r="E922" s="64"/>
      <c r="F922" s="5"/>
      <c r="G922" s="5"/>
      <c r="H922" s="5"/>
      <c r="I922" s="5"/>
      <c r="J922" s="5"/>
      <c r="K922" s="64"/>
      <c r="L922" s="64"/>
      <c r="M922" s="96"/>
      <c r="N922" s="5"/>
      <c r="O922" s="5"/>
      <c r="P922" s="5"/>
      <c r="Q922" s="5"/>
      <c r="R922" s="5"/>
      <c r="S922" s="5"/>
      <c r="T922" s="5"/>
      <c r="U922" s="5"/>
      <c r="V922" s="5"/>
      <c r="W922" s="5"/>
      <c r="X922" s="5"/>
      <c r="Y922" s="5"/>
      <c r="Z922" s="5"/>
      <c r="AA922" s="5"/>
    </row>
    <row r="923">
      <c r="A923" s="5"/>
      <c r="B923" s="5"/>
      <c r="C923" s="5"/>
      <c r="D923" s="5"/>
      <c r="E923" s="64"/>
      <c r="F923" s="5"/>
      <c r="G923" s="5"/>
      <c r="H923" s="5"/>
      <c r="I923" s="5"/>
      <c r="J923" s="5"/>
      <c r="K923" s="64"/>
      <c r="L923" s="64"/>
      <c r="M923" s="96"/>
      <c r="N923" s="5"/>
      <c r="O923" s="5"/>
      <c r="P923" s="5"/>
      <c r="Q923" s="5"/>
      <c r="R923" s="5"/>
      <c r="S923" s="5"/>
      <c r="T923" s="5"/>
      <c r="U923" s="5"/>
      <c r="V923" s="5"/>
      <c r="W923" s="5"/>
      <c r="X923" s="5"/>
      <c r="Y923" s="5"/>
      <c r="Z923" s="5"/>
      <c r="AA923" s="5"/>
    </row>
    <row r="924">
      <c r="A924" s="5"/>
      <c r="B924" s="5"/>
      <c r="C924" s="5"/>
      <c r="D924" s="5"/>
      <c r="E924" s="64"/>
      <c r="F924" s="5"/>
      <c r="G924" s="5"/>
      <c r="H924" s="5"/>
      <c r="I924" s="5"/>
      <c r="J924" s="5"/>
      <c r="K924" s="64"/>
      <c r="L924" s="64"/>
      <c r="M924" s="96"/>
      <c r="N924" s="5"/>
      <c r="O924" s="5"/>
      <c r="P924" s="5"/>
      <c r="Q924" s="5"/>
      <c r="R924" s="5"/>
      <c r="S924" s="5"/>
      <c r="T924" s="5"/>
      <c r="U924" s="5"/>
      <c r="V924" s="5"/>
      <c r="W924" s="5"/>
      <c r="X924" s="5"/>
      <c r="Y924" s="5"/>
      <c r="Z924" s="5"/>
      <c r="AA924" s="5"/>
    </row>
    <row r="925">
      <c r="A925" s="5"/>
      <c r="B925" s="5"/>
      <c r="C925" s="5"/>
      <c r="D925" s="5"/>
      <c r="E925" s="64"/>
      <c r="F925" s="5"/>
      <c r="G925" s="5"/>
      <c r="H925" s="5"/>
      <c r="I925" s="5"/>
      <c r="J925" s="5"/>
      <c r="K925" s="64"/>
      <c r="L925" s="64"/>
      <c r="M925" s="96"/>
      <c r="N925" s="5"/>
      <c r="O925" s="5"/>
      <c r="P925" s="5"/>
      <c r="Q925" s="5"/>
      <c r="R925" s="5"/>
      <c r="S925" s="5"/>
      <c r="T925" s="5"/>
      <c r="U925" s="5"/>
      <c r="V925" s="5"/>
      <c r="W925" s="5"/>
      <c r="X925" s="5"/>
      <c r="Y925" s="5"/>
      <c r="Z925" s="5"/>
      <c r="AA925" s="5"/>
    </row>
    <row r="926">
      <c r="A926" s="5"/>
      <c r="B926" s="5"/>
      <c r="C926" s="5"/>
      <c r="D926" s="5"/>
      <c r="E926" s="64"/>
      <c r="F926" s="5"/>
      <c r="G926" s="5"/>
      <c r="H926" s="5"/>
      <c r="I926" s="5"/>
      <c r="J926" s="5"/>
      <c r="K926" s="64"/>
      <c r="L926" s="64"/>
      <c r="M926" s="96"/>
      <c r="N926" s="5"/>
      <c r="O926" s="5"/>
      <c r="P926" s="5"/>
      <c r="Q926" s="5"/>
      <c r="R926" s="5"/>
      <c r="S926" s="5"/>
      <c r="T926" s="5"/>
      <c r="U926" s="5"/>
      <c r="V926" s="5"/>
      <c r="W926" s="5"/>
      <c r="X926" s="5"/>
      <c r="Y926" s="5"/>
      <c r="Z926" s="5"/>
      <c r="AA926" s="5"/>
    </row>
    <row r="927">
      <c r="A927" s="5"/>
      <c r="B927" s="5"/>
      <c r="C927" s="5"/>
      <c r="D927" s="5"/>
      <c r="E927" s="64"/>
      <c r="F927" s="5"/>
      <c r="G927" s="5"/>
      <c r="H927" s="5"/>
      <c r="I927" s="5"/>
      <c r="J927" s="5"/>
      <c r="K927" s="64"/>
      <c r="L927" s="64"/>
      <c r="M927" s="96"/>
      <c r="N927" s="5"/>
      <c r="O927" s="5"/>
      <c r="P927" s="5"/>
      <c r="Q927" s="5"/>
      <c r="R927" s="5"/>
      <c r="S927" s="5"/>
      <c r="T927" s="5"/>
      <c r="U927" s="5"/>
      <c r="V927" s="5"/>
      <c r="W927" s="5"/>
      <c r="X927" s="5"/>
      <c r="Y927" s="5"/>
      <c r="Z927" s="5"/>
      <c r="AA927" s="5"/>
    </row>
    <row r="928">
      <c r="A928" s="5"/>
      <c r="B928" s="5"/>
      <c r="C928" s="5"/>
      <c r="D928" s="5"/>
      <c r="E928" s="64"/>
      <c r="F928" s="5"/>
      <c r="G928" s="5"/>
      <c r="H928" s="5"/>
      <c r="I928" s="5"/>
      <c r="J928" s="5"/>
      <c r="K928" s="64"/>
      <c r="L928" s="64"/>
      <c r="M928" s="96"/>
      <c r="N928" s="5"/>
      <c r="O928" s="5"/>
      <c r="P928" s="5"/>
      <c r="Q928" s="5"/>
      <c r="R928" s="5"/>
      <c r="S928" s="5"/>
      <c r="T928" s="5"/>
      <c r="U928" s="5"/>
      <c r="V928" s="5"/>
      <c r="W928" s="5"/>
      <c r="X928" s="5"/>
      <c r="Y928" s="5"/>
      <c r="Z928" s="5"/>
      <c r="AA928" s="5"/>
    </row>
    <row r="929">
      <c r="A929" s="5"/>
      <c r="B929" s="5"/>
      <c r="C929" s="5"/>
      <c r="D929" s="5"/>
      <c r="E929" s="64"/>
      <c r="F929" s="5"/>
      <c r="G929" s="5"/>
      <c r="H929" s="5"/>
      <c r="I929" s="5"/>
      <c r="J929" s="5"/>
      <c r="K929" s="64"/>
      <c r="L929" s="64"/>
      <c r="M929" s="96"/>
      <c r="N929" s="5"/>
      <c r="O929" s="5"/>
      <c r="P929" s="5"/>
      <c r="Q929" s="5"/>
      <c r="R929" s="5"/>
      <c r="S929" s="5"/>
      <c r="T929" s="5"/>
      <c r="U929" s="5"/>
      <c r="V929" s="5"/>
      <c r="W929" s="5"/>
      <c r="X929" s="5"/>
      <c r="Y929" s="5"/>
      <c r="Z929" s="5"/>
      <c r="AA929" s="5"/>
    </row>
    <row r="930">
      <c r="A930" s="5"/>
      <c r="B930" s="5"/>
      <c r="C930" s="5"/>
      <c r="D930" s="5"/>
      <c r="E930" s="64"/>
      <c r="F930" s="5"/>
      <c r="G930" s="5"/>
      <c r="H930" s="5"/>
      <c r="I930" s="5"/>
      <c r="J930" s="5"/>
      <c r="K930" s="64"/>
      <c r="L930" s="64"/>
      <c r="M930" s="96"/>
      <c r="N930" s="5"/>
      <c r="O930" s="5"/>
      <c r="P930" s="5"/>
      <c r="Q930" s="5"/>
      <c r="R930" s="5"/>
      <c r="S930" s="5"/>
      <c r="T930" s="5"/>
      <c r="U930" s="5"/>
      <c r="V930" s="5"/>
      <c r="W930" s="5"/>
      <c r="X930" s="5"/>
      <c r="Y930" s="5"/>
      <c r="Z930" s="5"/>
      <c r="AA930" s="5"/>
    </row>
    <row r="931">
      <c r="A931" s="5"/>
      <c r="B931" s="5"/>
      <c r="C931" s="5"/>
      <c r="D931" s="5"/>
      <c r="E931" s="64"/>
      <c r="F931" s="5"/>
      <c r="G931" s="5"/>
      <c r="H931" s="5"/>
      <c r="I931" s="5"/>
      <c r="J931" s="5"/>
      <c r="K931" s="64"/>
      <c r="L931" s="64"/>
      <c r="M931" s="96"/>
      <c r="N931" s="5"/>
      <c r="O931" s="5"/>
      <c r="P931" s="5"/>
      <c r="Q931" s="5"/>
      <c r="R931" s="5"/>
      <c r="S931" s="5"/>
      <c r="T931" s="5"/>
      <c r="U931" s="5"/>
      <c r="V931" s="5"/>
      <c r="W931" s="5"/>
      <c r="X931" s="5"/>
      <c r="Y931" s="5"/>
      <c r="Z931" s="5"/>
      <c r="AA931" s="5"/>
    </row>
    <row r="932">
      <c r="A932" s="5"/>
      <c r="B932" s="5"/>
      <c r="C932" s="5"/>
      <c r="D932" s="5"/>
      <c r="E932" s="64"/>
      <c r="F932" s="5"/>
      <c r="G932" s="5"/>
      <c r="H932" s="5"/>
      <c r="I932" s="5"/>
      <c r="J932" s="5"/>
      <c r="K932" s="64"/>
      <c r="L932" s="64"/>
      <c r="M932" s="96"/>
      <c r="N932" s="5"/>
      <c r="O932" s="5"/>
      <c r="P932" s="5"/>
      <c r="Q932" s="5"/>
      <c r="R932" s="5"/>
      <c r="S932" s="5"/>
      <c r="T932" s="5"/>
      <c r="U932" s="5"/>
      <c r="V932" s="5"/>
      <c r="W932" s="5"/>
      <c r="X932" s="5"/>
      <c r="Y932" s="5"/>
      <c r="Z932" s="5"/>
      <c r="AA932" s="5"/>
    </row>
    <row r="933">
      <c r="A933" s="5"/>
      <c r="B933" s="5"/>
      <c r="C933" s="5"/>
      <c r="D933" s="5"/>
      <c r="E933" s="64"/>
      <c r="F933" s="5"/>
      <c r="G933" s="5"/>
      <c r="H933" s="5"/>
      <c r="I933" s="5"/>
      <c r="J933" s="5"/>
      <c r="K933" s="64"/>
      <c r="L933" s="64"/>
      <c r="M933" s="96"/>
      <c r="N933" s="5"/>
      <c r="O933" s="5"/>
      <c r="P933" s="5"/>
      <c r="Q933" s="5"/>
      <c r="R933" s="5"/>
      <c r="S933" s="5"/>
      <c r="T933" s="5"/>
      <c r="U933" s="5"/>
      <c r="V933" s="5"/>
      <c r="W933" s="5"/>
      <c r="X933" s="5"/>
      <c r="Y933" s="5"/>
      <c r="Z933" s="5"/>
      <c r="AA933" s="5"/>
    </row>
    <row r="934">
      <c r="A934" s="5"/>
      <c r="B934" s="5"/>
      <c r="C934" s="5"/>
      <c r="D934" s="5"/>
      <c r="E934" s="64"/>
      <c r="F934" s="5"/>
      <c r="G934" s="5"/>
      <c r="H934" s="5"/>
      <c r="I934" s="5"/>
      <c r="J934" s="5"/>
      <c r="K934" s="64"/>
      <c r="L934" s="64"/>
      <c r="M934" s="96"/>
      <c r="N934" s="5"/>
      <c r="O934" s="5"/>
      <c r="P934" s="5"/>
      <c r="Q934" s="5"/>
      <c r="R934" s="5"/>
      <c r="S934" s="5"/>
      <c r="T934" s="5"/>
      <c r="U934" s="5"/>
      <c r="V934" s="5"/>
      <c r="W934" s="5"/>
      <c r="X934" s="5"/>
      <c r="Y934" s="5"/>
      <c r="Z934" s="5"/>
      <c r="AA934" s="5"/>
    </row>
    <row r="935">
      <c r="A935" s="5"/>
      <c r="B935" s="5"/>
      <c r="C935" s="5"/>
      <c r="D935" s="5"/>
      <c r="E935" s="64"/>
      <c r="F935" s="5"/>
      <c r="G935" s="5"/>
      <c r="H935" s="5"/>
      <c r="I935" s="5"/>
      <c r="J935" s="5"/>
      <c r="K935" s="64"/>
      <c r="L935" s="64"/>
      <c r="M935" s="96"/>
      <c r="N935" s="5"/>
      <c r="O935" s="5"/>
      <c r="P935" s="5"/>
      <c r="Q935" s="5"/>
      <c r="R935" s="5"/>
      <c r="S935" s="5"/>
      <c r="T935" s="5"/>
      <c r="U935" s="5"/>
      <c r="V935" s="5"/>
      <c r="W935" s="5"/>
      <c r="X935" s="5"/>
      <c r="Y935" s="5"/>
      <c r="Z935" s="5"/>
      <c r="AA935" s="5"/>
    </row>
    <row r="936">
      <c r="A936" s="5"/>
      <c r="B936" s="5"/>
      <c r="C936" s="5"/>
      <c r="D936" s="5"/>
      <c r="E936" s="64"/>
      <c r="F936" s="5"/>
      <c r="G936" s="5"/>
      <c r="H936" s="5"/>
      <c r="I936" s="5"/>
      <c r="J936" s="5"/>
      <c r="K936" s="64"/>
      <c r="L936" s="64"/>
      <c r="M936" s="96"/>
      <c r="N936" s="5"/>
      <c r="O936" s="5"/>
      <c r="P936" s="5"/>
      <c r="Q936" s="5"/>
      <c r="R936" s="5"/>
      <c r="S936" s="5"/>
      <c r="T936" s="5"/>
      <c r="U936" s="5"/>
      <c r="V936" s="5"/>
      <c r="W936" s="5"/>
      <c r="X936" s="5"/>
      <c r="Y936" s="5"/>
      <c r="Z936" s="5"/>
      <c r="AA936" s="5"/>
    </row>
    <row r="937">
      <c r="A937" s="5"/>
      <c r="B937" s="5"/>
      <c r="C937" s="5"/>
      <c r="D937" s="5"/>
      <c r="E937" s="64"/>
      <c r="F937" s="5"/>
      <c r="G937" s="5"/>
      <c r="H937" s="5"/>
      <c r="I937" s="5"/>
      <c r="J937" s="5"/>
      <c r="K937" s="64"/>
      <c r="L937" s="64"/>
      <c r="M937" s="96"/>
      <c r="N937" s="5"/>
      <c r="O937" s="5"/>
      <c r="P937" s="5"/>
      <c r="Q937" s="5"/>
      <c r="R937" s="5"/>
      <c r="S937" s="5"/>
      <c r="T937" s="5"/>
      <c r="U937" s="5"/>
      <c r="V937" s="5"/>
      <c r="W937" s="5"/>
      <c r="X937" s="5"/>
      <c r="Y937" s="5"/>
      <c r="Z937" s="5"/>
      <c r="AA937" s="5"/>
    </row>
    <row r="938">
      <c r="A938" s="5"/>
      <c r="B938" s="5"/>
      <c r="C938" s="5"/>
      <c r="D938" s="5"/>
      <c r="E938" s="64"/>
      <c r="F938" s="5"/>
      <c r="G938" s="5"/>
      <c r="H938" s="5"/>
      <c r="I938" s="5"/>
      <c r="J938" s="5"/>
      <c r="K938" s="64"/>
      <c r="L938" s="64"/>
      <c r="M938" s="96"/>
      <c r="N938" s="5"/>
      <c r="O938" s="5"/>
      <c r="P938" s="5"/>
      <c r="Q938" s="5"/>
      <c r="R938" s="5"/>
      <c r="S938" s="5"/>
      <c r="T938" s="5"/>
      <c r="U938" s="5"/>
      <c r="V938" s="5"/>
      <c r="W938" s="5"/>
      <c r="X938" s="5"/>
      <c r="Y938" s="5"/>
      <c r="Z938" s="5"/>
      <c r="AA938" s="5"/>
    </row>
    <row r="939">
      <c r="A939" s="5"/>
      <c r="B939" s="5"/>
      <c r="C939" s="5"/>
      <c r="D939" s="5"/>
      <c r="E939" s="64"/>
      <c r="F939" s="5"/>
      <c r="G939" s="5"/>
      <c r="H939" s="5"/>
      <c r="I939" s="5"/>
      <c r="J939" s="5"/>
      <c r="K939" s="64"/>
      <c r="L939" s="64"/>
      <c r="M939" s="96"/>
      <c r="N939" s="5"/>
      <c r="O939" s="5"/>
      <c r="P939" s="5"/>
      <c r="Q939" s="5"/>
      <c r="R939" s="5"/>
      <c r="S939" s="5"/>
      <c r="T939" s="5"/>
      <c r="U939" s="5"/>
      <c r="V939" s="5"/>
      <c r="W939" s="5"/>
      <c r="X939" s="5"/>
      <c r="Y939" s="5"/>
      <c r="Z939" s="5"/>
      <c r="AA939" s="5"/>
    </row>
    <row r="940">
      <c r="A940" s="5"/>
      <c r="B940" s="5"/>
      <c r="C940" s="5"/>
      <c r="D940" s="5"/>
      <c r="E940" s="64"/>
      <c r="F940" s="5"/>
      <c r="G940" s="5"/>
      <c r="H940" s="5"/>
      <c r="I940" s="5"/>
      <c r="J940" s="5"/>
      <c r="K940" s="64"/>
      <c r="L940" s="64"/>
      <c r="M940" s="96"/>
      <c r="N940" s="5"/>
      <c r="O940" s="5"/>
      <c r="P940" s="5"/>
      <c r="Q940" s="5"/>
      <c r="R940" s="5"/>
      <c r="S940" s="5"/>
      <c r="T940" s="5"/>
      <c r="U940" s="5"/>
      <c r="V940" s="5"/>
      <c r="W940" s="5"/>
      <c r="X940" s="5"/>
      <c r="Y940" s="5"/>
      <c r="Z940" s="5"/>
      <c r="AA940" s="5"/>
    </row>
    <row r="941">
      <c r="A941" s="5"/>
      <c r="B941" s="5"/>
      <c r="C941" s="5"/>
      <c r="D941" s="5"/>
      <c r="E941" s="64"/>
      <c r="F941" s="5"/>
      <c r="G941" s="5"/>
      <c r="H941" s="5"/>
      <c r="I941" s="5"/>
      <c r="J941" s="5"/>
      <c r="K941" s="64"/>
      <c r="L941" s="64"/>
      <c r="M941" s="96"/>
      <c r="N941" s="5"/>
      <c r="O941" s="5"/>
      <c r="P941" s="5"/>
      <c r="Q941" s="5"/>
      <c r="R941" s="5"/>
      <c r="S941" s="5"/>
      <c r="T941" s="5"/>
      <c r="U941" s="5"/>
      <c r="V941" s="5"/>
      <c r="W941" s="5"/>
      <c r="X941" s="5"/>
      <c r="Y941" s="5"/>
      <c r="Z941" s="5"/>
      <c r="AA941" s="5"/>
    </row>
    <row r="942">
      <c r="A942" s="5"/>
      <c r="B942" s="5"/>
      <c r="C942" s="5"/>
      <c r="D942" s="5"/>
      <c r="E942" s="64"/>
      <c r="F942" s="5"/>
      <c r="G942" s="5"/>
      <c r="H942" s="5"/>
      <c r="I942" s="5"/>
      <c r="J942" s="5"/>
      <c r="K942" s="64"/>
      <c r="L942" s="64"/>
      <c r="M942" s="96"/>
      <c r="N942" s="5"/>
      <c r="O942" s="5"/>
      <c r="P942" s="5"/>
      <c r="Q942" s="5"/>
      <c r="R942" s="5"/>
      <c r="S942" s="5"/>
      <c r="T942" s="5"/>
      <c r="U942" s="5"/>
      <c r="V942" s="5"/>
      <c r="W942" s="5"/>
      <c r="X942" s="5"/>
      <c r="Y942" s="5"/>
      <c r="Z942" s="5"/>
      <c r="AA942" s="5"/>
    </row>
    <row r="943">
      <c r="A943" s="5"/>
      <c r="B943" s="5"/>
      <c r="C943" s="5"/>
      <c r="D943" s="5"/>
      <c r="E943" s="64"/>
      <c r="F943" s="5"/>
      <c r="G943" s="5"/>
      <c r="H943" s="5"/>
      <c r="I943" s="5"/>
      <c r="J943" s="5"/>
      <c r="K943" s="64"/>
      <c r="L943" s="64"/>
      <c r="M943" s="96"/>
      <c r="N943" s="5"/>
      <c r="O943" s="5"/>
      <c r="P943" s="5"/>
      <c r="Q943" s="5"/>
      <c r="R943" s="5"/>
      <c r="S943" s="5"/>
      <c r="T943" s="5"/>
      <c r="U943" s="5"/>
      <c r="V943" s="5"/>
      <c r="W943" s="5"/>
      <c r="X943" s="5"/>
      <c r="Y943" s="5"/>
      <c r="Z943" s="5"/>
      <c r="AA943" s="5"/>
    </row>
    <row r="944">
      <c r="A944" s="5"/>
      <c r="B944" s="5"/>
      <c r="C944" s="5"/>
      <c r="D944" s="5"/>
      <c r="E944" s="64"/>
      <c r="F944" s="5"/>
      <c r="G944" s="5"/>
      <c r="H944" s="5"/>
      <c r="I944" s="5"/>
      <c r="J944" s="5"/>
      <c r="K944" s="64"/>
      <c r="L944" s="64"/>
      <c r="M944" s="96"/>
      <c r="N944" s="5"/>
      <c r="O944" s="5"/>
      <c r="P944" s="5"/>
      <c r="Q944" s="5"/>
      <c r="R944" s="5"/>
      <c r="S944" s="5"/>
      <c r="T944" s="5"/>
      <c r="U944" s="5"/>
      <c r="V944" s="5"/>
      <c r="W944" s="5"/>
      <c r="X944" s="5"/>
      <c r="Y944" s="5"/>
      <c r="Z944" s="5"/>
      <c r="AA944" s="5"/>
    </row>
    <row r="945">
      <c r="A945" s="5"/>
      <c r="B945" s="5"/>
      <c r="C945" s="5"/>
      <c r="D945" s="5"/>
      <c r="E945" s="64"/>
      <c r="F945" s="5"/>
      <c r="G945" s="5"/>
      <c r="H945" s="5"/>
      <c r="I945" s="5"/>
      <c r="J945" s="5"/>
      <c r="K945" s="64"/>
      <c r="L945" s="64"/>
      <c r="M945" s="96"/>
      <c r="N945" s="5"/>
      <c r="O945" s="5"/>
      <c r="P945" s="5"/>
      <c r="Q945" s="5"/>
      <c r="R945" s="5"/>
      <c r="S945" s="5"/>
      <c r="T945" s="5"/>
      <c r="U945" s="5"/>
      <c r="V945" s="5"/>
      <c r="W945" s="5"/>
      <c r="X945" s="5"/>
      <c r="Y945" s="5"/>
      <c r="Z945" s="5"/>
      <c r="AA945" s="5"/>
    </row>
    <row r="946">
      <c r="A946" s="5"/>
      <c r="B946" s="5"/>
      <c r="C946" s="5"/>
      <c r="D946" s="5"/>
      <c r="E946" s="64"/>
      <c r="F946" s="5"/>
      <c r="G946" s="5"/>
      <c r="H946" s="5"/>
      <c r="I946" s="5"/>
      <c r="J946" s="5"/>
      <c r="K946" s="64"/>
      <c r="L946" s="64"/>
      <c r="M946" s="96"/>
      <c r="N946" s="5"/>
      <c r="O946" s="5"/>
      <c r="P946" s="5"/>
      <c r="Q946" s="5"/>
      <c r="R946" s="5"/>
      <c r="S946" s="5"/>
      <c r="T946" s="5"/>
      <c r="U946" s="5"/>
      <c r="V946" s="5"/>
      <c r="W946" s="5"/>
      <c r="X946" s="5"/>
      <c r="Y946" s="5"/>
      <c r="Z946" s="5"/>
      <c r="AA946" s="5"/>
    </row>
    <row r="947">
      <c r="A947" s="5"/>
      <c r="B947" s="5"/>
      <c r="C947" s="5"/>
      <c r="D947" s="5"/>
      <c r="E947" s="64"/>
      <c r="F947" s="5"/>
      <c r="G947" s="5"/>
      <c r="H947" s="5"/>
      <c r="I947" s="5"/>
      <c r="J947" s="5"/>
      <c r="K947" s="64"/>
      <c r="L947" s="64"/>
      <c r="M947" s="96"/>
      <c r="N947" s="5"/>
      <c r="O947" s="5"/>
      <c r="P947" s="5"/>
      <c r="Q947" s="5"/>
      <c r="R947" s="5"/>
      <c r="S947" s="5"/>
      <c r="T947" s="5"/>
      <c r="U947" s="5"/>
      <c r="V947" s="5"/>
      <c r="W947" s="5"/>
      <c r="X947" s="5"/>
      <c r="Y947" s="5"/>
      <c r="Z947" s="5"/>
      <c r="AA947" s="5"/>
    </row>
    <row r="948">
      <c r="A948" s="5"/>
      <c r="B948" s="5"/>
      <c r="C948" s="5"/>
      <c r="D948" s="5"/>
      <c r="E948" s="64"/>
      <c r="F948" s="5"/>
      <c r="G948" s="5"/>
      <c r="H948" s="5"/>
      <c r="I948" s="5"/>
      <c r="J948" s="5"/>
      <c r="K948" s="64"/>
      <c r="L948" s="64"/>
      <c r="M948" s="96"/>
      <c r="N948" s="5"/>
      <c r="O948" s="5"/>
      <c r="P948" s="5"/>
      <c r="Q948" s="5"/>
      <c r="R948" s="5"/>
      <c r="S948" s="5"/>
      <c r="T948" s="5"/>
      <c r="U948" s="5"/>
      <c r="V948" s="5"/>
      <c r="W948" s="5"/>
      <c r="X948" s="5"/>
      <c r="Y948" s="5"/>
      <c r="Z948" s="5"/>
      <c r="AA948" s="5"/>
    </row>
    <row r="949">
      <c r="A949" s="5"/>
      <c r="B949" s="5"/>
      <c r="C949" s="5"/>
      <c r="D949" s="5"/>
      <c r="E949" s="64"/>
      <c r="F949" s="5"/>
      <c r="G949" s="5"/>
      <c r="H949" s="5"/>
      <c r="I949" s="5"/>
      <c r="J949" s="5"/>
      <c r="K949" s="64"/>
      <c r="L949" s="64"/>
      <c r="M949" s="96"/>
      <c r="N949" s="5"/>
      <c r="O949" s="5"/>
      <c r="P949" s="5"/>
      <c r="Q949" s="5"/>
      <c r="R949" s="5"/>
      <c r="S949" s="5"/>
      <c r="T949" s="5"/>
      <c r="U949" s="5"/>
      <c r="V949" s="5"/>
      <c r="W949" s="5"/>
      <c r="X949" s="5"/>
      <c r="Y949" s="5"/>
      <c r="Z949" s="5"/>
      <c r="AA949" s="5"/>
    </row>
    <row r="950">
      <c r="A950" s="5"/>
      <c r="B950" s="5"/>
      <c r="C950" s="5"/>
      <c r="D950" s="5"/>
      <c r="E950" s="64"/>
      <c r="F950" s="5"/>
      <c r="G950" s="5"/>
      <c r="H950" s="5"/>
      <c r="I950" s="5"/>
      <c r="J950" s="5"/>
      <c r="K950" s="64"/>
      <c r="L950" s="64"/>
      <c r="M950" s="96"/>
      <c r="N950" s="5"/>
      <c r="O950" s="5"/>
      <c r="P950" s="5"/>
      <c r="Q950" s="5"/>
      <c r="R950" s="5"/>
      <c r="S950" s="5"/>
      <c r="T950" s="5"/>
      <c r="U950" s="5"/>
      <c r="V950" s="5"/>
      <c r="W950" s="5"/>
      <c r="X950" s="5"/>
      <c r="Y950" s="5"/>
      <c r="Z950" s="5"/>
      <c r="AA950" s="5"/>
    </row>
    <row r="951">
      <c r="A951" s="5"/>
      <c r="B951" s="5"/>
      <c r="C951" s="5"/>
      <c r="D951" s="5"/>
      <c r="E951" s="64"/>
      <c r="F951" s="5"/>
      <c r="G951" s="5"/>
      <c r="H951" s="5"/>
      <c r="I951" s="5"/>
      <c r="J951" s="5"/>
      <c r="K951" s="64"/>
      <c r="L951" s="64"/>
      <c r="M951" s="96"/>
      <c r="N951" s="5"/>
      <c r="O951" s="5"/>
      <c r="P951" s="5"/>
      <c r="Q951" s="5"/>
      <c r="R951" s="5"/>
      <c r="S951" s="5"/>
      <c r="T951" s="5"/>
      <c r="U951" s="5"/>
      <c r="V951" s="5"/>
      <c r="W951" s="5"/>
      <c r="X951" s="5"/>
      <c r="Y951" s="5"/>
      <c r="Z951" s="5"/>
      <c r="AA951" s="5"/>
    </row>
    <row r="952">
      <c r="A952" s="5"/>
      <c r="B952" s="5"/>
      <c r="C952" s="5"/>
      <c r="D952" s="5"/>
      <c r="E952" s="64"/>
      <c r="F952" s="5"/>
      <c r="G952" s="5"/>
      <c r="H952" s="5"/>
      <c r="I952" s="5"/>
      <c r="J952" s="5"/>
      <c r="K952" s="64"/>
      <c r="L952" s="64"/>
      <c r="M952" s="96"/>
      <c r="N952" s="5"/>
      <c r="O952" s="5"/>
      <c r="P952" s="5"/>
      <c r="Q952" s="5"/>
      <c r="R952" s="5"/>
      <c r="S952" s="5"/>
      <c r="T952" s="5"/>
      <c r="U952" s="5"/>
      <c r="V952" s="5"/>
      <c r="W952" s="5"/>
      <c r="X952" s="5"/>
      <c r="Y952" s="5"/>
      <c r="Z952" s="5"/>
      <c r="AA952" s="5"/>
    </row>
    <row r="953">
      <c r="A953" s="5"/>
      <c r="B953" s="5"/>
      <c r="C953" s="5"/>
      <c r="D953" s="5"/>
      <c r="E953" s="64"/>
      <c r="F953" s="5"/>
      <c r="G953" s="5"/>
      <c r="H953" s="5"/>
      <c r="I953" s="5"/>
      <c r="J953" s="5"/>
      <c r="K953" s="64"/>
      <c r="L953" s="64"/>
      <c r="M953" s="96"/>
      <c r="N953" s="5"/>
      <c r="O953" s="5"/>
      <c r="P953" s="5"/>
      <c r="Q953" s="5"/>
      <c r="R953" s="5"/>
      <c r="S953" s="5"/>
      <c r="T953" s="5"/>
      <c r="U953" s="5"/>
      <c r="V953" s="5"/>
      <c r="W953" s="5"/>
      <c r="X953" s="5"/>
      <c r="Y953" s="5"/>
      <c r="Z953" s="5"/>
      <c r="AA953" s="5"/>
    </row>
    <row r="954">
      <c r="A954" s="5"/>
      <c r="B954" s="5"/>
      <c r="C954" s="5"/>
      <c r="D954" s="5"/>
      <c r="E954" s="64"/>
      <c r="F954" s="5"/>
      <c r="G954" s="5"/>
      <c r="H954" s="5"/>
      <c r="I954" s="5"/>
      <c r="J954" s="5"/>
      <c r="K954" s="64"/>
      <c r="L954" s="64"/>
      <c r="M954" s="96"/>
      <c r="N954" s="5"/>
      <c r="O954" s="5"/>
      <c r="P954" s="5"/>
      <c r="Q954" s="5"/>
      <c r="R954" s="5"/>
      <c r="S954" s="5"/>
      <c r="T954" s="5"/>
      <c r="U954" s="5"/>
      <c r="V954" s="5"/>
      <c r="W954" s="5"/>
      <c r="X954" s="5"/>
      <c r="Y954" s="5"/>
      <c r="Z954" s="5"/>
      <c r="AA954" s="5"/>
    </row>
    <row r="955">
      <c r="A955" s="5"/>
      <c r="B955" s="5"/>
      <c r="C955" s="5"/>
      <c r="D955" s="5"/>
      <c r="E955" s="64"/>
      <c r="F955" s="5"/>
      <c r="G955" s="5"/>
      <c r="H955" s="5"/>
      <c r="I955" s="5"/>
      <c r="J955" s="5"/>
      <c r="K955" s="64"/>
      <c r="L955" s="64"/>
      <c r="M955" s="96"/>
      <c r="N955" s="5"/>
      <c r="O955" s="5"/>
      <c r="P955" s="5"/>
      <c r="Q955" s="5"/>
      <c r="R955" s="5"/>
      <c r="S955" s="5"/>
      <c r="T955" s="5"/>
      <c r="U955" s="5"/>
      <c r="V955" s="5"/>
      <c r="W955" s="5"/>
      <c r="X955" s="5"/>
      <c r="Y955" s="5"/>
      <c r="Z955" s="5"/>
      <c r="AA955" s="5"/>
    </row>
    <row r="956">
      <c r="A956" s="5"/>
      <c r="B956" s="5"/>
      <c r="C956" s="5"/>
      <c r="D956" s="5"/>
      <c r="E956" s="64"/>
      <c r="F956" s="5"/>
      <c r="G956" s="5"/>
      <c r="H956" s="5"/>
      <c r="I956" s="5"/>
      <c r="J956" s="5"/>
      <c r="K956" s="64"/>
      <c r="L956" s="64"/>
      <c r="M956" s="96"/>
      <c r="N956" s="5"/>
      <c r="O956" s="5"/>
      <c r="P956" s="5"/>
      <c r="Q956" s="5"/>
      <c r="R956" s="5"/>
      <c r="S956" s="5"/>
      <c r="T956" s="5"/>
      <c r="U956" s="5"/>
      <c r="V956" s="5"/>
      <c r="W956" s="5"/>
      <c r="X956" s="5"/>
      <c r="Y956" s="5"/>
      <c r="Z956" s="5"/>
      <c r="AA956" s="5"/>
    </row>
    <row r="957">
      <c r="A957" s="5"/>
      <c r="B957" s="5"/>
      <c r="C957" s="5"/>
      <c r="D957" s="5"/>
      <c r="E957" s="64"/>
      <c r="F957" s="5"/>
      <c r="G957" s="5"/>
      <c r="H957" s="5"/>
      <c r="I957" s="5"/>
      <c r="J957" s="5"/>
      <c r="K957" s="64"/>
      <c r="L957" s="64"/>
      <c r="M957" s="96"/>
      <c r="N957" s="5"/>
      <c r="O957" s="5"/>
      <c r="P957" s="5"/>
      <c r="Q957" s="5"/>
      <c r="R957" s="5"/>
      <c r="S957" s="5"/>
      <c r="T957" s="5"/>
      <c r="U957" s="5"/>
      <c r="V957" s="5"/>
      <c r="W957" s="5"/>
      <c r="X957" s="5"/>
      <c r="Y957" s="5"/>
      <c r="Z957" s="5"/>
      <c r="AA957" s="5"/>
    </row>
    <row r="958">
      <c r="A958" s="5"/>
      <c r="B958" s="5"/>
      <c r="C958" s="5"/>
      <c r="D958" s="5"/>
      <c r="E958" s="64"/>
      <c r="F958" s="5"/>
      <c r="G958" s="5"/>
      <c r="H958" s="5"/>
      <c r="I958" s="5"/>
      <c r="J958" s="5"/>
      <c r="K958" s="64"/>
      <c r="L958" s="64"/>
      <c r="M958" s="96"/>
      <c r="N958" s="5"/>
      <c r="O958" s="5"/>
      <c r="P958" s="5"/>
      <c r="Q958" s="5"/>
      <c r="R958" s="5"/>
      <c r="S958" s="5"/>
      <c r="T958" s="5"/>
      <c r="U958" s="5"/>
      <c r="V958" s="5"/>
      <c r="W958" s="5"/>
      <c r="X958" s="5"/>
      <c r="Y958" s="5"/>
      <c r="Z958" s="5"/>
      <c r="AA958" s="5"/>
    </row>
    <row r="959">
      <c r="A959" s="5"/>
      <c r="B959" s="5"/>
      <c r="C959" s="5"/>
      <c r="D959" s="5"/>
      <c r="E959" s="64"/>
      <c r="F959" s="5"/>
      <c r="G959" s="5"/>
      <c r="H959" s="5"/>
      <c r="I959" s="5"/>
      <c r="J959" s="5"/>
      <c r="K959" s="64"/>
      <c r="L959" s="64"/>
      <c r="M959" s="96"/>
      <c r="N959" s="5"/>
      <c r="O959" s="5"/>
      <c r="P959" s="5"/>
      <c r="Q959" s="5"/>
      <c r="R959" s="5"/>
      <c r="S959" s="5"/>
      <c r="T959" s="5"/>
      <c r="U959" s="5"/>
      <c r="V959" s="5"/>
      <c r="W959" s="5"/>
      <c r="X959" s="5"/>
      <c r="Y959" s="5"/>
      <c r="Z959" s="5"/>
      <c r="AA959" s="5"/>
    </row>
    <row r="960">
      <c r="A960" s="5"/>
      <c r="B960" s="5"/>
      <c r="C960" s="5"/>
      <c r="D960" s="5"/>
      <c r="E960" s="64"/>
      <c r="F960" s="5"/>
      <c r="G960" s="5"/>
      <c r="H960" s="5"/>
      <c r="I960" s="5"/>
      <c r="J960" s="5"/>
      <c r="K960" s="64"/>
      <c r="L960" s="64"/>
      <c r="M960" s="96"/>
      <c r="N960" s="5"/>
      <c r="O960" s="5"/>
      <c r="P960" s="5"/>
      <c r="Q960" s="5"/>
      <c r="R960" s="5"/>
      <c r="S960" s="5"/>
      <c r="T960" s="5"/>
      <c r="U960" s="5"/>
      <c r="V960" s="5"/>
      <c r="W960" s="5"/>
      <c r="X960" s="5"/>
      <c r="Y960" s="5"/>
      <c r="Z960" s="5"/>
      <c r="AA960" s="5"/>
    </row>
    <row r="961">
      <c r="A961" s="5"/>
      <c r="B961" s="5"/>
      <c r="C961" s="5"/>
      <c r="D961" s="5"/>
      <c r="E961" s="64"/>
      <c r="F961" s="5"/>
      <c r="G961" s="5"/>
      <c r="H961" s="5"/>
      <c r="I961" s="5"/>
      <c r="J961" s="5"/>
      <c r="K961" s="64"/>
      <c r="L961" s="64"/>
      <c r="M961" s="96"/>
      <c r="N961" s="5"/>
      <c r="O961" s="5"/>
      <c r="P961" s="5"/>
      <c r="Q961" s="5"/>
      <c r="R961" s="5"/>
      <c r="S961" s="5"/>
      <c r="T961" s="5"/>
      <c r="U961" s="5"/>
      <c r="V961" s="5"/>
      <c r="W961" s="5"/>
      <c r="X961" s="5"/>
      <c r="Y961" s="5"/>
      <c r="Z961" s="5"/>
      <c r="AA961" s="5"/>
    </row>
    <row r="962">
      <c r="A962" s="5"/>
      <c r="B962" s="5"/>
      <c r="C962" s="5"/>
      <c r="D962" s="5"/>
      <c r="E962" s="64"/>
      <c r="F962" s="5"/>
      <c r="G962" s="5"/>
      <c r="H962" s="5"/>
      <c r="I962" s="5"/>
      <c r="J962" s="5"/>
      <c r="K962" s="64"/>
      <c r="L962" s="64"/>
      <c r="M962" s="96"/>
      <c r="N962" s="5"/>
      <c r="O962" s="5"/>
      <c r="P962" s="5"/>
      <c r="Q962" s="5"/>
      <c r="R962" s="5"/>
      <c r="S962" s="5"/>
      <c r="T962" s="5"/>
      <c r="U962" s="5"/>
      <c r="V962" s="5"/>
      <c r="W962" s="5"/>
      <c r="X962" s="5"/>
      <c r="Y962" s="5"/>
      <c r="Z962" s="5"/>
      <c r="AA962" s="5"/>
    </row>
    <row r="963">
      <c r="A963" s="5"/>
      <c r="B963" s="5"/>
      <c r="C963" s="5"/>
      <c r="D963" s="5"/>
      <c r="E963" s="64"/>
      <c r="F963" s="5"/>
      <c r="G963" s="5"/>
      <c r="H963" s="5"/>
      <c r="I963" s="5"/>
      <c r="J963" s="5"/>
      <c r="K963" s="64"/>
      <c r="L963" s="64"/>
      <c r="M963" s="96"/>
      <c r="N963" s="5"/>
      <c r="O963" s="5"/>
      <c r="P963" s="5"/>
      <c r="Q963" s="5"/>
      <c r="R963" s="5"/>
      <c r="S963" s="5"/>
      <c r="T963" s="5"/>
      <c r="U963" s="5"/>
      <c r="V963" s="5"/>
      <c r="W963" s="5"/>
      <c r="X963" s="5"/>
      <c r="Y963" s="5"/>
      <c r="Z963" s="5"/>
      <c r="AA963" s="5"/>
    </row>
    <row r="964">
      <c r="A964" s="5"/>
      <c r="B964" s="5"/>
      <c r="C964" s="5"/>
      <c r="D964" s="5"/>
      <c r="E964" s="64"/>
      <c r="F964" s="5"/>
      <c r="G964" s="5"/>
      <c r="H964" s="5"/>
      <c r="I964" s="5"/>
      <c r="J964" s="5"/>
      <c r="K964" s="64"/>
      <c r="L964" s="64"/>
      <c r="M964" s="96"/>
      <c r="N964" s="5"/>
      <c r="O964" s="5"/>
      <c r="P964" s="5"/>
      <c r="Q964" s="5"/>
      <c r="R964" s="5"/>
      <c r="S964" s="5"/>
      <c r="T964" s="5"/>
      <c r="U964" s="5"/>
      <c r="V964" s="5"/>
      <c r="W964" s="5"/>
      <c r="X964" s="5"/>
      <c r="Y964" s="5"/>
      <c r="Z964" s="5"/>
      <c r="AA964" s="5"/>
    </row>
    <row r="965">
      <c r="A965" s="5"/>
      <c r="B965" s="5"/>
      <c r="C965" s="5"/>
      <c r="D965" s="5"/>
      <c r="E965" s="64"/>
      <c r="F965" s="5"/>
      <c r="G965" s="5"/>
      <c r="H965" s="5"/>
      <c r="I965" s="5"/>
      <c r="J965" s="5"/>
      <c r="K965" s="64"/>
      <c r="L965" s="64"/>
      <c r="M965" s="96"/>
      <c r="N965" s="5"/>
      <c r="O965" s="5"/>
      <c r="P965" s="5"/>
      <c r="Q965" s="5"/>
      <c r="R965" s="5"/>
      <c r="S965" s="5"/>
      <c r="T965" s="5"/>
      <c r="U965" s="5"/>
      <c r="V965" s="5"/>
      <c r="W965" s="5"/>
      <c r="X965" s="5"/>
      <c r="Y965" s="5"/>
      <c r="Z965" s="5"/>
      <c r="AA965" s="5"/>
    </row>
    <row r="966">
      <c r="A966" s="5"/>
      <c r="B966" s="5"/>
      <c r="C966" s="5"/>
      <c r="D966" s="5"/>
      <c r="E966" s="64"/>
      <c r="F966" s="5"/>
      <c r="G966" s="5"/>
      <c r="H966" s="5"/>
      <c r="I966" s="5"/>
      <c r="J966" s="5"/>
      <c r="K966" s="64"/>
      <c r="L966" s="64"/>
      <c r="M966" s="96"/>
      <c r="N966" s="5"/>
      <c r="O966" s="5"/>
      <c r="P966" s="5"/>
      <c r="Q966" s="5"/>
      <c r="R966" s="5"/>
      <c r="S966" s="5"/>
      <c r="T966" s="5"/>
      <c r="U966" s="5"/>
      <c r="V966" s="5"/>
      <c r="W966" s="5"/>
      <c r="X966" s="5"/>
      <c r="Y966" s="5"/>
      <c r="Z966" s="5"/>
      <c r="AA966" s="5"/>
    </row>
    <row r="967">
      <c r="A967" s="5"/>
      <c r="B967" s="5"/>
      <c r="C967" s="5"/>
      <c r="D967" s="5"/>
      <c r="E967" s="64"/>
      <c r="F967" s="5"/>
      <c r="G967" s="5"/>
      <c r="H967" s="5"/>
      <c r="I967" s="5"/>
      <c r="J967" s="5"/>
      <c r="K967" s="64"/>
      <c r="L967" s="64"/>
      <c r="M967" s="96"/>
      <c r="N967" s="5"/>
      <c r="O967" s="5"/>
      <c r="P967" s="5"/>
      <c r="Q967" s="5"/>
      <c r="R967" s="5"/>
      <c r="S967" s="5"/>
      <c r="T967" s="5"/>
      <c r="U967" s="5"/>
      <c r="V967" s="5"/>
      <c r="W967" s="5"/>
      <c r="X967" s="5"/>
      <c r="Y967" s="5"/>
      <c r="Z967" s="5"/>
      <c r="AA967" s="5"/>
    </row>
    <row r="968">
      <c r="A968" s="5"/>
      <c r="B968" s="5"/>
      <c r="C968" s="5"/>
      <c r="D968" s="5"/>
      <c r="E968" s="64"/>
      <c r="F968" s="5"/>
      <c r="G968" s="5"/>
      <c r="H968" s="5"/>
      <c r="I968" s="5"/>
      <c r="J968" s="5"/>
      <c r="K968" s="64"/>
      <c r="L968" s="64"/>
      <c r="M968" s="96"/>
      <c r="N968" s="5"/>
      <c r="O968" s="5"/>
      <c r="P968" s="5"/>
      <c r="Q968" s="5"/>
      <c r="R968" s="5"/>
      <c r="S968" s="5"/>
      <c r="T968" s="5"/>
      <c r="U968" s="5"/>
      <c r="V968" s="5"/>
      <c r="W968" s="5"/>
      <c r="X968" s="5"/>
      <c r="Y968" s="5"/>
      <c r="Z968" s="5"/>
      <c r="AA968" s="5"/>
    </row>
    <row r="969">
      <c r="A969" s="5"/>
      <c r="B969" s="5"/>
      <c r="C969" s="5"/>
      <c r="D969" s="5"/>
      <c r="E969" s="64"/>
      <c r="F969" s="5"/>
      <c r="G969" s="5"/>
      <c r="H969" s="5"/>
      <c r="I969" s="5"/>
      <c r="J969" s="5"/>
      <c r="K969" s="64"/>
      <c r="L969" s="64"/>
      <c r="M969" s="96"/>
      <c r="N969" s="5"/>
      <c r="O969" s="5"/>
      <c r="P969" s="5"/>
      <c r="Q969" s="5"/>
      <c r="R969" s="5"/>
      <c r="S969" s="5"/>
      <c r="T969" s="5"/>
      <c r="U969" s="5"/>
      <c r="V969" s="5"/>
      <c r="W969" s="5"/>
      <c r="X969" s="5"/>
      <c r="Y969" s="5"/>
      <c r="Z969" s="5"/>
      <c r="AA969" s="5"/>
    </row>
    <row r="970">
      <c r="A970" s="5"/>
      <c r="B970" s="5"/>
      <c r="C970" s="5"/>
      <c r="D970" s="5"/>
      <c r="E970" s="64"/>
      <c r="F970" s="5"/>
      <c r="G970" s="5"/>
      <c r="H970" s="5"/>
      <c r="I970" s="5"/>
      <c r="J970" s="5"/>
      <c r="K970" s="64"/>
      <c r="L970" s="64"/>
      <c r="M970" s="96"/>
      <c r="N970" s="5"/>
      <c r="O970" s="5"/>
      <c r="P970" s="5"/>
      <c r="Q970" s="5"/>
      <c r="R970" s="5"/>
      <c r="S970" s="5"/>
      <c r="T970" s="5"/>
      <c r="U970" s="5"/>
      <c r="V970" s="5"/>
      <c r="W970" s="5"/>
      <c r="X970" s="5"/>
      <c r="Y970" s="5"/>
      <c r="Z970" s="5"/>
      <c r="AA970" s="5"/>
    </row>
    <row r="971">
      <c r="A971" s="5"/>
      <c r="B971" s="5"/>
      <c r="C971" s="5"/>
      <c r="D971" s="5"/>
      <c r="E971" s="64"/>
      <c r="F971" s="5"/>
      <c r="G971" s="5"/>
      <c r="H971" s="5"/>
      <c r="I971" s="5"/>
      <c r="J971" s="5"/>
      <c r="K971" s="64"/>
      <c r="L971" s="64"/>
      <c r="M971" s="96"/>
      <c r="N971" s="5"/>
      <c r="O971" s="5"/>
      <c r="P971" s="5"/>
      <c r="Q971" s="5"/>
      <c r="R971" s="5"/>
      <c r="S971" s="5"/>
      <c r="T971" s="5"/>
      <c r="U971" s="5"/>
      <c r="V971" s="5"/>
      <c r="W971" s="5"/>
      <c r="X971" s="5"/>
      <c r="Y971" s="5"/>
      <c r="Z971" s="5"/>
      <c r="AA971" s="5"/>
    </row>
    <row r="972">
      <c r="A972" s="5"/>
      <c r="B972" s="5"/>
      <c r="C972" s="5"/>
      <c r="D972" s="5"/>
      <c r="E972" s="64"/>
      <c r="F972" s="5"/>
      <c r="G972" s="5"/>
      <c r="H972" s="5"/>
      <c r="I972" s="5"/>
      <c r="J972" s="5"/>
      <c r="K972" s="64"/>
      <c r="L972" s="64"/>
      <c r="M972" s="96"/>
      <c r="N972" s="5"/>
      <c r="O972" s="5"/>
      <c r="P972" s="5"/>
      <c r="Q972" s="5"/>
      <c r="R972" s="5"/>
      <c r="S972" s="5"/>
      <c r="T972" s="5"/>
      <c r="U972" s="5"/>
      <c r="V972" s="5"/>
      <c r="W972" s="5"/>
      <c r="X972" s="5"/>
      <c r="Y972" s="5"/>
      <c r="Z972" s="5"/>
      <c r="AA972" s="5"/>
    </row>
    <row r="973">
      <c r="A973" s="5"/>
      <c r="B973" s="5"/>
      <c r="C973" s="5"/>
      <c r="D973" s="5"/>
      <c r="E973" s="64"/>
      <c r="F973" s="5"/>
      <c r="G973" s="5"/>
      <c r="H973" s="5"/>
      <c r="I973" s="5"/>
      <c r="J973" s="5"/>
      <c r="K973" s="64"/>
      <c r="L973" s="64"/>
      <c r="M973" s="96"/>
      <c r="N973" s="5"/>
      <c r="O973" s="5"/>
      <c r="P973" s="5"/>
      <c r="Q973" s="5"/>
      <c r="R973" s="5"/>
      <c r="S973" s="5"/>
      <c r="T973" s="5"/>
      <c r="U973" s="5"/>
      <c r="V973" s="5"/>
      <c r="W973" s="5"/>
      <c r="X973" s="5"/>
      <c r="Y973" s="5"/>
      <c r="Z973" s="5"/>
      <c r="AA973" s="5"/>
    </row>
    <row r="974">
      <c r="A974" s="5"/>
      <c r="B974" s="5"/>
      <c r="C974" s="5"/>
      <c r="D974" s="5"/>
      <c r="E974" s="64"/>
      <c r="F974" s="5"/>
      <c r="G974" s="5"/>
      <c r="H974" s="5"/>
      <c r="I974" s="5"/>
      <c r="J974" s="5"/>
      <c r="K974" s="64"/>
      <c r="L974" s="64"/>
      <c r="M974" s="96"/>
      <c r="N974" s="5"/>
      <c r="O974" s="5"/>
      <c r="P974" s="5"/>
      <c r="Q974" s="5"/>
      <c r="R974" s="5"/>
      <c r="S974" s="5"/>
      <c r="T974" s="5"/>
      <c r="U974" s="5"/>
      <c r="V974" s="5"/>
      <c r="W974" s="5"/>
      <c r="X974" s="5"/>
      <c r="Y974" s="5"/>
      <c r="Z974" s="5"/>
      <c r="AA974" s="5"/>
    </row>
    <row r="975">
      <c r="A975" s="5"/>
      <c r="B975" s="5"/>
      <c r="C975" s="5"/>
      <c r="D975" s="5"/>
      <c r="E975" s="64"/>
      <c r="F975" s="5"/>
      <c r="G975" s="5"/>
      <c r="H975" s="5"/>
      <c r="I975" s="5"/>
      <c r="J975" s="5"/>
      <c r="K975" s="64"/>
      <c r="L975" s="64"/>
      <c r="M975" s="96"/>
      <c r="N975" s="5"/>
      <c r="O975" s="5"/>
      <c r="P975" s="5"/>
      <c r="Q975" s="5"/>
      <c r="R975" s="5"/>
      <c r="S975" s="5"/>
      <c r="T975" s="5"/>
      <c r="U975" s="5"/>
      <c r="V975" s="5"/>
      <c r="W975" s="5"/>
      <c r="X975" s="5"/>
      <c r="Y975" s="5"/>
      <c r="Z975" s="5"/>
      <c r="AA975" s="5"/>
    </row>
    <row r="976">
      <c r="A976" s="5"/>
      <c r="B976" s="5"/>
      <c r="C976" s="5"/>
      <c r="D976" s="5"/>
      <c r="E976" s="64"/>
      <c r="F976" s="5"/>
      <c r="G976" s="5"/>
      <c r="H976" s="5"/>
      <c r="I976" s="5"/>
      <c r="J976" s="5"/>
      <c r="K976" s="64"/>
      <c r="L976" s="64"/>
      <c r="M976" s="96"/>
      <c r="N976" s="5"/>
      <c r="O976" s="5"/>
      <c r="P976" s="5"/>
      <c r="Q976" s="5"/>
      <c r="R976" s="5"/>
      <c r="S976" s="5"/>
      <c r="T976" s="5"/>
      <c r="U976" s="5"/>
      <c r="V976" s="5"/>
      <c r="W976" s="5"/>
      <c r="X976" s="5"/>
      <c r="Y976" s="5"/>
      <c r="Z976" s="5"/>
      <c r="AA976" s="5"/>
    </row>
    <row r="977">
      <c r="A977" s="5"/>
      <c r="B977" s="5"/>
      <c r="C977" s="5"/>
      <c r="D977" s="5"/>
      <c r="E977" s="64"/>
      <c r="F977" s="5"/>
      <c r="G977" s="5"/>
      <c r="H977" s="5"/>
      <c r="I977" s="5"/>
      <c r="J977" s="5"/>
      <c r="K977" s="64"/>
      <c r="L977" s="64"/>
      <c r="M977" s="96"/>
      <c r="N977" s="5"/>
      <c r="O977" s="5"/>
      <c r="P977" s="5"/>
      <c r="Q977" s="5"/>
      <c r="R977" s="5"/>
      <c r="S977" s="5"/>
      <c r="T977" s="5"/>
      <c r="U977" s="5"/>
      <c r="V977" s="5"/>
      <c r="W977" s="5"/>
      <c r="X977" s="5"/>
      <c r="Y977" s="5"/>
      <c r="Z977" s="5"/>
      <c r="AA977" s="5"/>
    </row>
    <row r="978">
      <c r="A978" s="5"/>
      <c r="B978" s="5"/>
      <c r="C978" s="5"/>
      <c r="D978" s="5"/>
      <c r="E978" s="64"/>
      <c r="F978" s="5"/>
      <c r="G978" s="5"/>
      <c r="H978" s="5"/>
      <c r="I978" s="5"/>
      <c r="J978" s="5"/>
      <c r="K978" s="64"/>
      <c r="L978" s="64"/>
      <c r="M978" s="96"/>
      <c r="N978" s="5"/>
      <c r="O978" s="5"/>
      <c r="P978" s="5"/>
      <c r="Q978" s="5"/>
      <c r="R978" s="5"/>
      <c r="S978" s="5"/>
      <c r="T978" s="5"/>
      <c r="U978" s="5"/>
      <c r="V978" s="5"/>
      <c r="W978" s="5"/>
      <c r="X978" s="5"/>
      <c r="Y978" s="5"/>
      <c r="Z978" s="5"/>
      <c r="AA978" s="5"/>
    </row>
    <row r="979">
      <c r="A979" s="5"/>
      <c r="B979" s="5"/>
      <c r="C979" s="5"/>
      <c r="D979" s="5"/>
      <c r="E979" s="64"/>
      <c r="F979" s="5"/>
      <c r="G979" s="5"/>
      <c r="H979" s="5"/>
      <c r="I979" s="5"/>
      <c r="J979" s="5"/>
      <c r="K979" s="64"/>
      <c r="L979" s="64"/>
      <c r="M979" s="96"/>
      <c r="N979" s="5"/>
      <c r="O979" s="5"/>
      <c r="P979" s="5"/>
      <c r="Q979" s="5"/>
      <c r="R979" s="5"/>
      <c r="S979" s="5"/>
      <c r="T979" s="5"/>
      <c r="U979" s="5"/>
      <c r="V979" s="5"/>
      <c r="W979" s="5"/>
      <c r="X979" s="5"/>
      <c r="Y979" s="5"/>
      <c r="Z979" s="5"/>
      <c r="AA979" s="5"/>
    </row>
    <row r="980">
      <c r="A980" s="5"/>
      <c r="B980" s="5"/>
      <c r="C980" s="5"/>
      <c r="D980" s="5"/>
      <c r="E980" s="64"/>
      <c r="F980" s="5"/>
      <c r="G980" s="5"/>
      <c r="H980" s="5"/>
      <c r="I980" s="5"/>
      <c r="J980" s="5"/>
      <c r="K980" s="64"/>
      <c r="L980" s="64"/>
      <c r="M980" s="96"/>
      <c r="N980" s="5"/>
      <c r="O980" s="5"/>
      <c r="P980" s="5"/>
      <c r="Q980" s="5"/>
      <c r="R980" s="5"/>
      <c r="S980" s="5"/>
      <c r="T980" s="5"/>
      <c r="U980" s="5"/>
      <c r="V980" s="5"/>
      <c r="W980" s="5"/>
      <c r="X980" s="5"/>
      <c r="Y980" s="5"/>
      <c r="Z980" s="5"/>
      <c r="AA980" s="5"/>
    </row>
    <row r="981">
      <c r="A981" s="5"/>
      <c r="B981" s="5"/>
      <c r="C981" s="5"/>
      <c r="D981" s="5"/>
      <c r="E981" s="64"/>
      <c r="F981" s="5"/>
      <c r="G981" s="5"/>
      <c r="H981" s="5"/>
      <c r="I981" s="5"/>
      <c r="J981" s="5"/>
      <c r="K981" s="64"/>
      <c r="L981" s="64"/>
      <c r="M981" s="96"/>
      <c r="N981" s="5"/>
      <c r="O981" s="5"/>
      <c r="P981" s="5"/>
      <c r="Q981" s="5"/>
      <c r="R981" s="5"/>
      <c r="S981" s="5"/>
      <c r="T981" s="5"/>
      <c r="U981" s="5"/>
      <c r="V981" s="5"/>
      <c r="W981" s="5"/>
      <c r="X981" s="5"/>
      <c r="Y981" s="5"/>
      <c r="Z981" s="5"/>
      <c r="AA981" s="5"/>
    </row>
    <row r="982">
      <c r="A982" s="5"/>
      <c r="B982" s="5"/>
      <c r="C982" s="5"/>
      <c r="D982" s="5"/>
      <c r="E982" s="64"/>
      <c r="F982" s="5"/>
      <c r="G982" s="5"/>
      <c r="H982" s="5"/>
      <c r="I982" s="5"/>
      <c r="J982" s="5"/>
      <c r="K982" s="64"/>
      <c r="L982" s="64"/>
      <c r="M982" s="96"/>
      <c r="N982" s="5"/>
      <c r="O982" s="5"/>
      <c r="P982" s="5"/>
      <c r="Q982" s="5"/>
      <c r="R982" s="5"/>
      <c r="S982" s="5"/>
      <c r="T982" s="5"/>
      <c r="U982" s="5"/>
      <c r="V982" s="5"/>
      <c r="W982" s="5"/>
      <c r="X982" s="5"/>
      <c r="Y982" s="5"/>
      <c r="Z982" s="5"/>
      <c r="AA982" s="5"/>
    </row>
    <row r="983">
      <c r="A983" s="5"/>
      <c r="B983" s="5"/>
      <c r="C983" s="5"/>
      <c r="D983" s="5"/>
      <c r="E983" s="64"/>
      <c r="F983" s="5"/>
      <c r="G983" s="5"/>
      <c r="H983" s="5"/>
      <c r="I983" s="5"/>
      <c r="J983" s="5"/>
      <c r="K983" s="64"/>
      <c r="L983" s="64"/>
      <c r="M983" s="96"/>
      <c r="N983" s="5"/>
      <c r="O983" s="5"/>
      <c r="P983" s="5"/>
      <c r="Q983" s="5"/>
      <c r="R983" s="5"/>
      <c r="S983" s="5"/>
      <c r="T983" s="5"/>
      <c r="U983" s="5"/>
      <c r="V983" s="5"/>
      <c r="W983" s="5"/>
      <c r="X983" s="5"/>
      <c r="Y983" s="5"/>
      <c r="Z983" s="5"/>
      <c r="AA983" s="5"/>
    </row>
    <row r="984">
      <c r="A984" s="5"/>
      <c r="B984" s="5"/>
      <c r="C984" s="5"/>
      <c r="D984" s="5"/>
      <c r="E984" s="64"/>
      <c r="F984" s="5"/>
      <c r="G984" s="5"/>
      <c r="H984" s="5"/>
      <c r="I984" s="5"/>
      <c r="J984" s="5"/>
      <c r="K984" s="64"/>
      <c r="L984" s="64"/>
      <c r="M984" s="96"/>
      <c r="N984" s="5"/>
      <c r="O984" s="5"/>
      <c r="P984" s="5"/>
      <c r="Q984" s="5"/>
      <c r="R984" s="5"/>
      <c r="S984" s="5"/>
      <c r="T984" s="5"/>
      <c r="U984" s="5"/>
      <c r="V984" s="5"/>
      <c r="W984" s="5"/>
      <c r="X984" s="5"/>
      <c r="Y984" s="5"/>
      <c r="Z984" s="5"/>
      <c r="AA984" s="5"/>
    </row>
    <row r="985">
      <c r="A985" s="5"/>
      <c r="B985" s="5"/>
      <c r="C985" s="5"/>
      <c r="D985" s="5"/>
      <c r="E985" s="64"/>
      <c r="F985" s="5"/>
      <c r="G985" s="5"/>
      <c r="H985" s="5"/>
      <c r="I985" s="5"/>
      <c r="J985" s="5"/>
      <c r="K985" s="64"/>
      <c r="L985" s="64"/>
      <c r="M985" s="96"/>
      <c r="N985" s="5"/>
      <c r="O985" s="5"/>
      <c r="P985" s="5"/>
      <c r="Q985" s="5"/>
      <c r="R985" s="5"/>
      <c r="S985" s="5"/>
      <c r="T985" s="5"/>
      <c r="U985" s="5"/>
      <c r="V985" s="5"/>
      <c r="W985" s="5"/>
      <c r="X985" s="5"/>
      <c r="Y985" s="5"/>
      <c r="Z985" s="5"/>
      <c r="AA985" s="5"/>
    </row>
    <row r="986">
      <c r="A986" s="5"/>
      <c r="B986" s="5"/>
      <c r="C986" s="5"/>
      <c r="D986" s="5"/>
      <c r="E986" s="64"/>
      <c r="F986" s="5"/>
      <c r="G986" s="5"/>
      <c r="H986" s="5"/>
      <c r="I986" s="5"/>
      <c r="J986" s="5"/>
      <c r="K986" s="64"/>
      <c r="L986" s="64"/>
      <c r="M986" s="96"/>
      <c r="N986" s="5"/>
      <c r="O986" s="5"/>
      <c r="P986" s="5"/>
      <c r="Q986" s="5"/>
      <c r="R986" s="5"/>
      <c r="S986" s="5"/>
      <c r="T986" s="5"/>
      <c r="U986" s="5"/>
      <c r="V986" s="5"/>
      <c r="W986" s="5"/>
      <c r="X986" s="5"/>
      <c r="Y986" s="5"/>
      <c r="Z986" s="5"/>
      <c r="AA986" s="5"/>
    </row>
    <row r="987">
      <c r="A987" s="5"/>
      <c r="B987" s="5"/>
      <c r="C987" s="5"/>
      <c r="D987" s="5"/>
      <c r="E987" s="64"/>
      <c r="F987" s="5"/>
      <c r="G987" s="5"/>
      <c r="H987" s="5"/>
      <c r="I987" s="5"/>
      <c r="J987" s="5"/>
      <c r="K987" s="64"/>
      <c r="L987" s="64"/>
      <c r="M987" s="96"/>
      <c r="N987" s="5"/>
      <c r="O987" s="5"/>
      <c r="P987" s="5"/>
      <c r="Q987" s="5"/>
      <c r="R987" s="5"/>
      <c r="S987" s="5"/>
      <c r="T987" s="5"/>
      <c r="U987" s="5"/>
      <c r="V987" s="5"/>
      <c r="W987" s="5"/>
      <c r="X987" s="5"/>
      <c r="Y987" s="5"/>
      <c r="Z987" s="5"/>
      <c r="AA987" s="5"/>
    </row>
    <row r="988">
      <c r="A988" s="5"/>
      <c r="B988" s="5"/>
      <c r="C988" s="5"/>
      <c r="D988" s="5"/>
      <c r="E988" s="64"/>
      <c r="F988" s="5"/>
      <c r="G988" s="5"/>
      <c r="H988" s="5"/>
      <c r="I988" s="5"/>
      <c r="J988" s="5"/>
      <c r="K988" s="64"/>
      <c r="L988" s="64"/>
      <c r="M988" s="96"/>
      <c r="N988" s="5"/>
      <c r="O988" s="5"/>
      <c r="P988" s="5"/>
      <c r="Q988" s="5"/>
      <c r="R988" s="5"/>
      <c r="S988" s="5"/>
      <c r="T988" s="5"/>
      <c r="U988" s="5"/>
      <c r="V988" s="5"/>
      <c r="W988" s="5"/>
      <c r="X988" s="5"/>
      <c r="Y988" s="5"/>
      <c r="Z988" s="5"/>
      <c r="AA988" s="5"/>
    </row>
    <row r="989">
      <c r="A989" s="5"/>
      <c r="B989" s="5"/>
      <c r="C989" s="5"/>
      <c r="D989" s="5"/>
      <c r="E989" s="64"/>
      <c r="F989" s="5"/>
      <c r="G989" s="5"/>
      <c r="H989" s="5"/>
      <c r="I989" s="5"/>
      <c r="J989" s="5"/>
      <c r="K989" s="64"/>
      <c r="L989" s="64"/>
      <c r="M989" s="96"/>
      <c r="N989" s="5"/>
      <c r="O989" s="5"/>
      <c r="P989" s="5"/>
      <c r="Q989" s="5"/>
      <c r="R989" s="5"/>
      <c r="S989" s="5"/>
      <c r="T989" s="5"/>
      <c r="U989" s="5"/>
      <c r="V989" s="5"/>
      <c r="W989" s="5"/>
      <c r="X989" s="5"/>
      <c r="Y989" s="5"/>
      <c r="Z989" s="5"/>
      <c r="AA989" s="5"/>
    </row>
    <row r="990">
      <c r="A990" s="5"/>
      <c r="B990" s="5"/>
      <c r="C990" s="5"/>
      <c r="D990" s="5"/>
      <c r="E990" s="64"/>
      <c r="F990" s="5"/>
      <c r="G990" s="5"/>
      <c r="H990" s="5"/>
      <c r="I990" s="5"/>
      <c r="J990" s="5"/>
      <c r="K990" s="64"/>
      <c r="L990" s="64"/>
      <c r="M990" s="96"/>
      <c r="N990" s="5"/>
      <c r="O990" s="5"/>
      <c r="P990" s="5"/>
      <c r="Q990" s="5"/>
      <c r="R990" s="5"/>
      <c r="S990" s="5"/>
      <c r="T990" s="5"/>
      <c r="U990" s="5"/>
      <c r="V990" s="5"/>
      <c r="W990" s="5"/>
      <c r="X990" s="5"/>
      <c r="Y990" s="5"/>
      <c r="Z990" s="5"/>
      <c r="AA990" s="5"/>
    </row>
    <row r="991">
      <c r="A991" s="5"/>
      <c r="B991" s="5"/>
      <c r="C991" s="5"/>
      <c r="D991" s="5"/>
      <c r="E991" s="64"/>
      <c r="F991" s="5"/>
      <c r="G991" s="5"/>
      <c r="H991" s="5"/>
      <c r="I991" s="5"/>
      <c r="J991" s="5"/>
      <c r="K991" s="64"/>
      <c r="L991" s="64"/>
      <c r="M991" s="96"/>
      <c r="N991" s="5"/>
      <c r="O991" s="5"/>
      <c r="P991" s="5"/>
      <c r="Q991" s="5"/>
      <c r="R991" s="5"/>
      <c r="S991" s="5"/>
      <c r="T991" s="5"/>
      <c r="U991" s="5"/>
      <c r="V991" s="5"/>
      <c r="W991" s="5"/>
      <c r="X991" s="5"/>
      <c r="Y991" s="5"/>
      <c r="Z991" s="5"/>
      <c r="AA991" s="5"/>
    </row>
    <row r="992">
      <c r="A992" s="5"/>
      <c r="B992" s="5"/>
      <c r="C992" s="5"/>
      <c r="D992" s="5"/>
      <c r="E992" s="64"/>
      <c r="F992" s="5"/>
      <c r="G992" s="5"/>
      <c r="H992" s="5"/>
      <c r="I992" s="5"/>
      <c r="J992" s="5"/>
      <c r="K992" s="64"/>
      <c r="L992" s="64"/>
      <c r="M992" s="96"/>
      <c r="N992" s="5"/>
      <c r="O992" s="5"/>
      <c r="P992" s="5"/>
      <c r="Q992" s="5"/>
      <c r="R992" s="5"/>
      <c r="S992" s="5"/>
      <c r="T992" s="5"/>
      <c r="U992" s="5"/>
      <c r="V992" s="5"/>
      <c r="W992" s="5"/>
      <c r="X992" s="5"/>
      <c r="Y992" s="5"/>
      <c r="Z992" s="5"/>
      <c r="AA992" s="5"/>
    </row>
    <row r="993">
      <c r="A993" s="5"/>
      <c r="B993" s="5"/>
      <c r="C993" s="5"/>
      <c r="D993" s="5"/>
      <c r="E993" s="64"/>
      <c r="F993" s="5"/>
      <c r="G993" s="5"/>
      <c r="H993" s="5"/>
      <c r="I993" s="5"/>
      <c r="J993" s="5"/>
      <c r="K993" s="64"/>
      <c r="L993" s="64"/>
      <c r="M993" s="96"/>
      <c r="N993" s="5"/>
      <c r="O993" s="5"/>
      <c r="P993" s="5"/>
      <c r="Q993" s="5"/>
      <c r="R993" s="5"/>
      <c r="S993" s="5"/>
      <c r="T993" s="5"/>
      <c r="U993" s="5"/>
      <c r="V993" s="5"/>
      <c r="W993" s="5"/>
      <c r="X993" s="5"/>
      <c r="Y993" s="5"/>
      <c r="Z993" s="5"/>
      <c r="AA993" s="5"/>
    </row>
    <row r="994">
      <c r="A994" s="5"/>
      <c r="B994" s="5"/>
      <c r="C994" s="5"/>
      <c r="D994" s="5"/>
      <c r="E994" s="64"/>
      <c r="F994" s="5"/>
      <c r="G994" s="5"/>
      <c r="H994" s="5"/>
      <c r="I994" s="5"/>
      <c r="J994" s="5"/>
      <c r="K994" s="64"/>
      <c r="L994" s="64"/>
      <c r="M994" s="96"/>
      <c r="N994" s="5"/>
      <c r="O994" s="5"/>
      <c r="P994" s="5"/>
      <c r="Q994" s="5"/>
      <c r="R994" s="5"/>
      <c r="S994" s="5"/>
      <c r="T994" s="5"/>
      <c r="U994" s="5"/>
      <c r="V994" s="5"/>
      <c r="W994" s="5"/>
      <c r="X994" s="5"/>
      <c r="Y994" s="5"/>
      <c r="Z994" s="5"/>
      <c r="AA994" s="5"/>
    </row>
    <row r="995">
      <c r="A995" s="5"/>
      <c r="B995" s="5"/>
      <c r="C995" s="5"/>
      <c r="D995" s="5"/>
      <c r="E995" s="64"/>
      <c r="F995" s="5"/>
      <c r="G995" s="5"/>
      <c r="H995" s="5"/>
      <c r="I995" s="5"/>
      <c r="J995" s="5"/>
      <c r="K995" s="64"/>
      <c r="L995" s="64"/>
      <c r="M995" s="96"/>
      <c r="N995" s="5"/>
      <c r="O995" s="5"/>
      <c r="P995" s="5"/>
      <c r="Q995" s="5"/>
      <c r="R995" s="5"/>
      <c r="S995" s="5"/>
      <c r="T995" s="5"/>
      <c r="U995" s="5"/>
      <c r="V995" s="5"/>
      <c r="W995" s="5"/>
      <c r="X995" s="5"/>
      <c r="Y995" s="5"/>
      <c r="Z995" s="5"/>
      <c r="AA995" s="5"/>
    </row>
    <row r="996">
      <c r="A996" s="5"/>
      <c r="B996" s="5"/>
      <c r="C996" s="5"/>
      <c r="D996" s="5"/>
      <c r="E996" s="64"/>
      <c r="F996" s="5"/>
      <c r="G996" s="5"/>
      <c r="H996" s="5"/>
      <c r="I996" s="5"/>
      <c r="J996" s="5"/>
      <c r="K996" s="64"/>
      <c r="L996" s="64"/>
      <c r="M996" s="96"/>
      <c r="N996" s="5"/>
      <c r="O996" s="5"/>
      <c r="P996" s="5"/>
      <c r="Q996" s="5"/>
      <c r="R996" s="5"/>
      <c r="S996" s="5"/>
      <c r="T996" s="5"/>
      <c r="U996" s="5"/>
      <c r="V996" s="5"/>
      <c r="W996" s="5"/>
      <c r="X996" s="5"/>
      <c r="Y996" s="5"/>
      <c r="Z996" s="5"/>
      <c r="AA996" s="5"/>
    </row>
    <row r="997">
      <c r="A997" s="5"/>
      <c r="B997" s="5"/>
      <c r="C997" s="5"/>
      <c r="D997" s="5"/>
      <c r="E997" s="64"/>
      <c r="F997" s="5"/>
      <c r="G997" s="5"/>
      <c r="H997" s="5"/>
      <c r="I997" s="5"/>
      <c r="J997" s="5"/>
      <c r="K997" s="64"/>
      <c r="L997" s="64"/>
      <c r="M997" s="96"/>
      <c r="N997" s="5"/>
      <c r="O997" s="5"/>
      <c r="P997" s="5"/>
      <c r="Q997" s="5"/>
      <c r="R997" s="5"/>
      <c r="S997" s="5"/>
      <c r="T997" s="5"/>
      <c r="U997" s="5"/>
      <c r="V997" s="5"/>
      <c r="W997" s="5"/>
      <c r="X997" s="5"/>
      <c r="Y997" s="5"/>
      <c r="Z997" s="5"/>
      <c r="AA997" s="5"/>
    </row>
    <row r="998">
      <c r="A998" s="5"/>
      <c r="B998" s="5"/>
      <c r="C998" s="5"/>
      <c r="D998" s="5"/>
      <c r="E998" s="64"/>
      <c r="F998" s="5"/>
      <c r="G998" s="5"/>
      <c r="H998" s="5"/>
      <c r="I998" s="5"/>
      <c r="J998" s="5"/>
      <c r="K998" s="64"/>
      <c r="L998" s="64"/>
      <c r="M998" s="96"/>
      <c r="N998" s="5"/>
      <c r="O998" s="5"/>
      <c r="P998" s="5"/>
      <c r="Q998" s="5"/>
      <c r="R998" s="5"/>
      <c r="S998" s="5"/>
      <c r="T998" s="5"/>
      <c r="U998" s="5"/>
      <c r="V998" s="5"/>
      <c r="W998" s="5"/>
      <c r="X998" s="5"/>
      <c r="Y998" s="5"/>
      <c r="Z998" s="5"/>
      <c r="AA998" s="5"/>
    </row>
    <row r="999">
      <c r="A999" s="5"/>
      <c r="B999" s="5"/>
      <c r="C999" s="5"/>
      <c r="D999" s="5"/>
      <c r="E999" s="64"/>
      <c r="F999" s="5"/>
      <c r="G999" s="5"/>
      <c r="H999" s="5"/>
      <c r="I999" s="5"/>
      <c r="J999" s="5"/>
      <c r="K999" s="64"/>
      <c r="L999" s="64"/>
      <c r="M999" s="96"/>
      <c r="N999" s="5"/>
      <c r="O999" s="5"/>
      <c r="P999" s="5"/>
      <c r="Q999" s="5"/>
      <c r="R999" s="5"/>
      <c r="S999" s="5"/>
      <c r="T999" s="5"/>
      <c r="U999" s="5"/>
      <c r="V999" s="5"/>
      <c r="W999" s="5"/>
      <c r="X999" s="5"/>
      <c r="Y999" s="5"/>
      <c r="Z999" s="5"/>
      <c r="AA999" s="5"/>
    </row>
    <row r="1000">
      <c r="A1000" s="5"/>
      <c r="B1000" s="5"/>
      <c r="C1000" s="5"/>
      <c r="D1000" s="5"/>
      <c r="E1000" s="64"/>
      <c r="F1000" s="5"/>
      <c r="G1000" s="5"/>
      <c r="H1000" s="5"/>
      <c r="I1000" s="5"/>
      <c r="J1000" s="5"/>
      <c r="K1000" s="64"/>
      <c r="L1000" s="64"/>
      <c r="M1000" s="96"/>
      <c r="N1000" s="5"/>
      <c r="O1000" s="5"/>
      <c r="P1000" s="5"/>
      <c r="Q1000" s="5"/>
      <c r="R1000" s="5"/>
      <c r="S1000" s="5"/>
      <c r="T1000" s="5"/>
      <c r="U1000" s="5"/>
      <c r="V1000" s="5"/>
      <c r="W1000" s="5"/>
      <c r="X1000" s="5"/>
      <c r="Y1000" s="5"/>
      <c r="Z1000" s="5"/>
      <c r="AA1000" s="5"/>
    </row>
    <row r="1001">
      <c r="A1001" s="97"/>
      <c r="E1001" s="98"/>
      <c r="I1001" s="97"/>
      <c r="J1001" s="97"/>
      <c r="K1001" s="99"/>
      <c r="L1001" s="99"/>
      <c r="M1001" s="100"/>
      <c r="N1001" s="97"/>
      <c r="O1001" s="97"/>
      <c r="P1001" s="97"/>
      <c r="Q1001" s="97"/>
      <c r="R1001" s="97"/>
      <c r="S1001" s="97"/>
      <c r="T1001" s="97"/>
      <c r="U1001" s="97"/>
      <c r="V1001" s="97"/>
      <c r="W1001" s="97"/>
      <c r="X1001" s="97"/>
      <c r="Y1001" s="97"/>
      <c r="Z1001" s="97"/>
      <c r="AA1001" s="97"/>
    </row>
    <row r="1002">
      <c r="A1002" s="97"/>
      <c r="E1002" s="98"/>
      <c r="I1002" s="97"/>
      <c r="J1002" s="97"/>
      <c r="K1002" s="99"/>
      <c r="L1002" s="99"/>
      <c r="M1002" s="100"/>
      <c r="N1002" s="97"/>
      <c r="O1002" s="97"/>
      <c r="P1002" s="97"/>
      <c r="Q1002" s="97"/>
      <c r="R1002" s="97"/>
      <c r="S1002" s="97"/>
      <c r="T1002" s="97"/>
      <c r="U1002" s="97"/>
      <c r="V1002" s="97"/>
      <c r="W1002" s="97"/>
      <c r="X1002" s="97"/>
      <c r="Y1002" s="97"/>
      <c r="Z1002" s="97"/>
      <c r="AA1002" s="97"/>
    </row>
    <row r="1003">
      <c r="A1003" s="97"/>
      <c r="E1003" s="98"/>
      <c r="I1003" s="97"/>
      <c r="J1003" s="97"/>
      <c r="K1003" s="99"/>
      <c r="L1003" s="99"/>
      <c r="M1003" s="100"/>
      <c r="N1003" s="97"/>
      <c r="O1003" s="97"/>
      <c r="P1003" s="97"/>
      <c r="Q1003" s="97"/>
      <c r="R1003" s="97"/>
      <c r="S1003" s="97"/>
      <c r="T1003" s="97"/>
      <c r="U1003" s="97"/>
      <c r="V1003" s="97"/>
      <c r="W1003" s="97"/>
      <c r="X1003" s="97"/>
      <c r="Y1003" s="97"/>
      <c r="Z1003" s="97"/>
      <c r="AA1003" s="97"/>
    </row>
    <row r="1004">
      <c r="A1004" s="97"/>
      <c r="E1004" s="98"/>
      <c r="I1004" s="97"/>
      <c r="J1004" s="97"/>
      <c r="K1004" s="99"/>
      <c r="L1004" s="99"/>
      <c r="M1004" s="100"/>
      <c r="N1004" s="97"/>
      <c r="O1004" s="97"/>
      <c r="P1004" s="97"/>
      <c r="Q1004" s="97"/>
      <c r="R1004" s="97"/>
      <c r="S1004" s="97"/>
      <c r="T1004" s="97"/>
      <c r="U1004" s="97"/>
      <c r="V1004" s="97"/>
      <c r="W1004" s="97"/>
      <c r="X1004" s="97"/>
      <c r="Y1004" s="97"/>
      <c r="Z1004" s="97"/>
      <c r="AA1004" s="97"/>
    </row>
    <row r="1005">
      <c r="A1005" s="97"/>
      <c r="E1005" s="98"/>
      <c r="I1005" s="97"/>
      <c r="J1005" s="97"/>
      <c r="K1005" s="99"/>
      <c r="L1005" s="99"/>
      <c r="M1005" s="100"/>
      <c r="N1005" s="97"/>
      <c r="O1005" s="97"/>
      <c r="P1005" s="97"/>
      <c r="Q1005" s="97"/>
      <c r="R1005" s="97"/>
      <c r="S1005" s="97"/>
      <c r="T1005" s="97"/>
      <c r="U1005" s="97"/>
      <c r="V1005" s="97"/>
      <c r="W1005" s="97"/>
      <c r="X1005" s="97"/>
      <c r="Y1005" s="97"/>
      <c r="Z1005" s="97"/>
      <c r="AA1005" s="97"/>
    </row>
  </sheetData>
  <mergeCells count="3">
    <mergeCell ref="A1:R1"/>
    <mergeCell ref="A2:R2"/>
    <mergeCell ref="O4:Q4"/>
  </mergeCells>
  <conditionalFormatting sqref="G1:G1005">
    <cfRule type="cellIs" dxfId="0" priority="1" operator="lessThan">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8" max="8" width="6.0"/>
  </cols>
  <sheetData>
    <row r="1">
      <c r="A1" s="101" t="s">
        <v>1</v>
      </c>
      <c r="B1" s="102" t="s">
        <v>2</v>
      </c>
      <c r="C1" s="102" t="s">
        <v>3</v>
      </c>
      <c r="D1" s="102" t="s">
        <v>43</v>
      </c>
      <c r="E1" s="102" t="s">
        <v>5</v>
      </c>
      <c r="F1" s="102" t="s">
        <v>6</v>
      </c>
      <c r="G1" s="103" t="s">
        <v>7</v>
      </c>
      <c r="H1" s="103"/>
      <c r="I1" s="4"/>
      <c r="J1" s="5"/>
      <c r="K1" s="5"/>
      <c r="L1" s="5"/>
      <c r="M1" s="5"/>
      <c r="N1" s="5"/>
      <c r="O1" s="5"/>
      <c r="P1" s="5"/>
      <c r="Q1" s="5"/>
      <c r="R1" s="5"/>
      <c r="S1" s="5"/>
      <c r="T1" s="5"/>
      <c r="U1" s="5"/>
      <c r="V1" s="5"/>
      <c r="W1" s="5"/>
      <c r="X1" s="5"/>
      <c r="Y1" s="5"/>
    </row>
    <row r="2">
      <c r="A2" s="104">
        <f>IFERROR(__xludf.DUMMYFUNCTION("MIN(FILTER(ROW($C$4:$C1385),MMULT(N(LEN($C$4:$G1385)&gt;0), TRANSPOSE(COLUMN($C$4:$G$4)^0)) = COLUMNS($C$4:$G1385)))"),13.0)</f>
        <v>13</v>
      </c>
      <c r="B2" s="105"/>
      <c r="C2" s="105">
        <f t="shared" ref="C2:G2" si="1">INDIRECT(ADDRESS($A$2, COLUMN()))</f>
        <v>26552325.06</v>
      </c>
      <c r="D2" s="106">
        <f t="shared" si="1"/>
        <v>1391.130764</v>
      </c>
      <c r="E2" s="105">
        <f t="shared" si="1"/>
        <v>28747167.02</v>
      </c>
      <c r="F2" s="105">
        <f t="shared" si="1"/>
        <v>3707.270469</v>
      </c>
      <c r="G2" s="107">
        <f t="shared" si="1"/>
        <v>2272324.96</v>
      </c>
      <c r="H2" s="107"/>
      <c r="I2" s="108"/>
      <c r="J2" s="109"/>
      <c r="K2" s="109"/>
      <c r="L2" s="109"/>
      <c r="M2" s="109"/>
      <c r="N2" s="109"/>
      <c r="O2" s="109"/>
      <c r="P2" s="109"/>
      <c r="Q2" s="109"/>
      <c r="R2" s="109"/>
      <c r="S2" s="109"/>
      <c r="T2" s="109"/>
      <c r="U2" s="109"/>
      <c r="V2" s="109"/>
      <c r="W2" s="109"/>
      <c r="X2" s="109"/>
      <c r="Y2" s="109"/>
    </row>
    <row r="3">
      <c r="A3" s="110">
        <f>A2+1</f>
        <v>14</v>
      </c>
      <c r="B3" s="45"/>
      <c r="C3" s="45">
        <f t="shared" ref="C3:G3" si="2">(INDIRECT(ADDRESS($A$2, COLUMN()))-INDIRECT(ADDRESS($A$3, COLUMN())))/INDIRECT(ADDRESS($A$3, COLUMN()))</f>
        <v>0.08685926178</v>
      </c>
      <c r="D3" s="45">
        <f t="shared" si="2"/>
        <v>0.07969903069</v>
      </c>
      <c r="E3" s="45">
        <f t="shared" si="2"/>
        <v>0.07984938806</v>
      </c>
      <c r="F3" s="111">
        <f t="shared" si="2"/>
        <v>-0.2675004106</v>
      </c>
      <c r="G3" s="112">
        <f t="shared" si="2"/>
        <v>0.00163415391</v>
      </c>
      <c r="H3" s="113"/>
      <c r="I3" s="4"/>
      <c r="J3" s="5"/>
      <c r="K3" s="5"/>
      <c r="L3" s="5"/>
      <c r="M3" s="5"/>
      <c r="N3" s="5"/>
      <c r="O3" s="5"/>
      <c r="P3" s="5"/>
      <c r="Q3" s="5"/>
      <c r="R3" s="5"/>
      <c r="S3" s="5"/>
      <c r="T3" s="5"/>
      <c r="U3" s="5"/>
      <c r="V3" s="5"/>
      <c r="W3" s="5"/>
      <c r="X3" s="5"/>
      <c r="Y3" s="5"/>
    </row>
    <row r="4">
      <c r="A4" s="114">
        <v>46098.0</v>
      </c>
      <c r="B4" s="115"/>
      <c r="C4" s="116" t="str">
        <f t="shared" ref="C4:C102" si="3">IF(D4="","",C5+B4)</f>
        <v/>
      </c>
      <c r="D4" s="117" t="str">
        <f t="shared" ref="D4:D12" si="4">IF(E4="","",D5)</f>
        <v/>
      </c>
      <c r="E4" s="118" t="str">
        <f>IFERROR(__xludf.DUMMYFUNCTION("FILTER(CUENTAS!AB:AB,A4=CUENTAS!A:A)
"),"")</f>
        <v/>
      </c>
      <c r="F4" s="118" t="str">
        <f t="shared" ref="F4:F33" si="5">(IF(E4&lt;&gt;0,E4-E5-B4,""))</f>
        <v/>
      </c>
      <c r="G4" s="119" t="str">
        <f t="shared" ref="G4:G60" si="6">IF(E4="","",G5+F4)</f>
        <v/>
      </c>
      <c r="H4" s="120" t="str">
        <f t="shared" ref="H4:H101" si="7">IF(E4="","",1-C4/E4)</f>
        <v/>
      </c>
      <c r="I4" s="4"/>
      <c r="J4" s="5"/>
      <c r="K4" s="5"/>
      <c r="L4" s="5"/>
      <c r="M4" s="5"/>
      <c r="N4" s="5"/>
      <c r="O4" s="5"/>
      <c r="P4" s="5"/>
      <c r="Q4" s="5"/>
      <c r="R4" s="5"/>
      <c r="S4" s="5"/>
      <c r="T4" s="5"/>
      <c r="U4" s="5"/>
      <c r="V4" s="5"/>
      <c r="W4" s="5"/>
      <c r="X4" s="5"/>
      <c r="Y4" s="5"/>
    </row>
    <row r="5">
      <c r="A5" s="114">
        <v>46097.0</v>
      </c>
      <c r="B5" s="115"/>
      <c r="C5" s="116" t="str">
        <f t="shared" si="3"/>
        <v/>
      </c>
      <c r="D5" s="117" t="str">
        <f t="shared" si="4"/>
        <v/>
      </c>
      <c r="E5" s="118" t="str">
        <f>IFERROR(__xludf.DUMMYFUNCTION("FILTER(CUENTAS!AB:AB,A5=CUENTAS!A:A)
"),"")</f>
        <v/>
      </c>
      <c r="F5" s="118" t="str">
        <f t="shared" si="5"/>
        <v/>
      </c>
      <c r="G5" s="119" t="str">
        <f t="shared" si="6"/>
        <v/>
      </c>
      <c r="H5" s="120" t="str">
        <f t="shared" si="7"/>
        <v/>
      </c>
      <c r="I5" s="4"/>
      <c r="J5" s="5"/>
      <c r="K5" s="5"/>
      <c r="L5" s="5"/>
      <c r="M5" s="5"/>
      <c r="N5" s="5"/>
      <c r="O5" s="5"/>
      <c r="P5" s="5"/>
      <c r="Q5" s="5"/>
      <c r="R5" s="5"/>
      <c r="S5" s="5"/>
      <c r="T5" s="5"/>
      <c r="U5" s="5"/>
      <c r="V5" s="5"/>
      <c r="W5" s="5"/>
      <c r="X5" s="5"/>
      <c r="Y5" s="5"/>
    </row>
    <row r="6">
      <c r="A6" s="114">
        <v>46096.0</v>
      </c>
      <c r="B6" s="115"/>
      <c r="C6" s="116" t="str">
        <f t="shared" si="3"/>
        <v/>
      </c>
      <c r="D6" s="117" t="str">
        <f t="shared" si="4"/>
        <v/>
      </c>
      <c r="E6" s="118" t="str">
        <f>IFERROR(__xludf.DUMMYFUNCTION("FILTER(CUENTAS!AB:AB,A6=CUENTAS!A:A)
"),"")</f>
        <v/>
      </c>
      <c r="F6" s="118" t="str">
        <f t="shared" si="5"/>
        <v/>
      </c>
      <c r="G6" s="119" t="str">
        <f t="shared" si="6"/>
        <v/>
      </c>
      <c r="H6" s="120" t="str">
        <f t="shared" si="7"/>
        <v/>
      </c>
      <c r="I6" s="4"/>
      <c r="J6" s="5"/>
      <c r="K6" s="5"/>
      <c r="L6" s="5"/>
      <c r="M6" s="5"/>
      <c r="N6" s="5"/>
      <c r="O6" s="5"/>
      <c r="P6" s="5"/>
      <c r="Q6" s="5"/>
      <c r="R6" s="5"/>
      <c r="S6" s="5"/>
      <c r="T6" s="5"/>
      <c r="U6" s="5"/>
      <c r="V6" s="5"/>
      <c r="W6" s="5"/>
      <c r="X6" s="5"/>
      <c r="Y6" s="5"/>
    </row>
    <row r="7">
      <c r="A7" s="114">
        <v>46095.0</v>
      </c>
      <c r="B7" s="115"/>
      <c r="C7" s="116" t="str">
        <f t="shared" si="3"/>
        <v/>
      </c>
      <c r="D7" s="117" t="str">
        <f t="shared" si="4"/>
        <v/>
      </c>
      <c r="E7" s="118" t="str">
        <f>IFERROR(__xludf.DUMMYFUNCTION("FILTER(CUENTAS!AB:AB,A7=CUENTAS!A:A)
"),"")</f>
        <v/>
      </c>
      <c r="F7" s="118" t="str">
        <f t="shared" si="5"/>
        <v/>
      </c>
      <c r="G7" s="119" t="str">
        <f t="shared" si="6"/>
        <v/>
      </c>
      <c r="H7" s="120" t="str">
        <f t="shared" si="7"/>
        <v/>
      </c>
      <c r="I7" s="4"/>
      <c r="J7" s="5"/>
      <c r="K7" s="5"/>
      <c r="L7" s="5"/>
      <c r="M7" s="5"/>
      <c r="N7" s="5"/>
      <c r="O7" s="5"/>
      <c r="P7" s="5"/>
      <c r="Q7" s="5"/>
      <c r="R7" s="5"/>
      <c r="S7" s="5"/>
      <c r="T7" s="5"/>
      <c r="U7" s="5"/>
      <c r="V7" s="5"/>
      <c r="W7" s="5"/>
      <c r="X7" s="5"/>
      <c r="Y7" s="5"/>
    </row>
    <row r="8">
      <c r="A8" s="114">
        <v>46094.0</v>
      </c>
      <c r="B8" s="115"/>
      <c r="C8" s="116" t="str">
        <f t="shared" si="3"/>
        <v/>
      </c>
      <c r="D8" s="117" t="str">
        <f t="shared" si="4"/>
        <v/>
      </c>
      <c r="E8" s="118" t="str">
        <f>IFERROR(__xludf.DUMMYFUNCTION("FILTER(CUENTAS!AB:AB,A8=CUENTAS!A:A)
"),"")</f>
        <v/>
      </c>
      <c r="F8" s="118" t="str">
        <f t="shared" si="5"/>
        <v/>
      </c>
      <c r="G8" s="119" t="str">
        <f t="shared" si="6"/>
        <v/>
      </c>
      <c r="H8" s="120" t="str">
        <f t="shared" si="7"/>
        <v/>
      </c>
      <c r="I8" s="4"/>
      <c r="J8" s="5"/>
      <c r="K8" s="5"/>
      <c r="L8" s="5"/>
      <c r="M8" s="5"/>
      <c r="N8" s="5"/>
      <c r="O8" s="5"/>
      <c r="P8" s="5"/>
      <c r="Q8" s="5"/>
      <c r="R8" s="5"/>
      <c r="S8" s="5"/>
      <c r="T8" s="5"/>
      <c r="U8" s="5"/>
      <c r="V8" s="5"/>
      <c r="W8" s="5"/>
      <c r="X8" s="5"/>
      <c r="Y8" s="5"/>
    </row>
    <row r="9">
      <c r="A9" s="114">
        <v>46093.0</v>
      </c>
      <c r="B9" s="115"/>
      <c r="C9" s="116" t="str">
        <f t="shared" si="3"/>
        <v/>
      </c>
      <c r="D9" s="117" t="str">
        <f t="shared" si="4"/>
        <v/>
      </c>
      <c r="E9" s="118" t="str">
        <f>IFERROR(__xludf.DUMMYFUNCTION("FILTER(CUENTAS!AB:AB,A9=CUENTAS!A:A)
"),"")</f>
        <v/>
      </c>
      <c r="F9" s="118" t="str">
        <f t="shared" si="5"/>
        <v/>
      </c>
      <c r="G9" s="119" t="str">
        <f t="shared" si="6"/>
        <v/>
      </c>
      <c r="H9" s="120" t="str">
        <f t="shared" si="7"/>
        <v/>
      </c>
      <c r="I9" s="4"/>
      <c r="J9" s="5"/>
      <c r="K9" s="5"/>
      <c r="L9" s="5"/>
      <c r="M9" s="5"/>
      <c r="N9" s="5"/>
      <c r="O9" s="5"/>
      <c r="P9" s="5"/>
      <c r="Q9" s="5"/>
      <c r="R9" s="5"/>
      <c r="S9" s="5"/>
      <c r="T9" s="5"/>
      <c r="U9" s="5"/>
      <c r="V9" s="5"/>
      <c r="W9" s="5"/>
      <c r="X9" s="5"/>
      <c r="Y9" s="5"/>
    </row>
    <row r="10">
      <c r="A10" s="114">
        <v>46092.0</v>
      </c>
      <c r="B10" s="115"/>
      <c r="C10" s="116" t="str">
        <f t="shared" si="3"/>
        <v/>
      </c>
      <c r="D10" s="117" t="str">
        <f t="shared" si="4"/>
        <v/>
      </c>
      <c r="E10" s="118" t="str">
        <f>IFERROR(__xludf.DUMMYFUNCTION("FILTER(CUENTAS!AB:AB,A10=CUENTAS!A:A)
"),"")</f>
        <v/>
      </c>
      <c r="F10" s="118" t="str">
        <f t="shared" si="5"/>
        <v/>
      </c>
      <c r="G10" s="119" t="str">
        <f t="shared" si="6"/>
        <v/>
      </c>
      <c r="H10" s="120" t="str">
        <f t="shared" si="7"/>
        <v/>
      </c>
      <c r="I10" s="4"/>
      <c r="J10" s="5"/>
      <c r="K10" s="5"/>
      <c r="L10" s="5"/>
      <c r="M10" s="5"/>
      <c r="N10" s="5"/>
      <c r="O10" s="5"/>
      <c r="P10" s="5"/>
      <c r="Q10" s="5"/>
      <c r="R10" s="5"/>
      <c r="S10" s="5"/>
      <c r="T10" s="5"/>
      <c r="U10" s="5"/>
      <c r="V10" s="5"/>
      <c r="W10" s="5"/>
      <c r="X10" s="5"/>
      <c r="Y10" s="5"/>
    </row>
    <row r="11">
      <c r="A11" s="114">
        <v>46091.0</v>
      </c>
      <c r="B11" s="115"/>
      <c r="C11" s="116" t="str">
        <f t="shared" si="3"/>
        <v/>
      </c>
      <c r="D11" s="117" t="str">
        <f t="shared" si="4"/>
        <v/>
      </c>
      <c r="E11" s="118" t="str">
        <f>IFERROR(__xludf.DUMMYFUNCTION("FILTER(CUENTAS!AB:AB,A11=CUENTAS!A:A)
"),"")</f>
        <v/>
      </c>
      <c r="F11" s="118" t="str">
        <f t="shared" si="5"/>
        <v/>
      </c>
      <c r="G11" s="119" t="str">
        <f t="shared" si="6"/>
        <v/>
      </c>
      <c r="H11" s="120" t="str">
        <f t="shared" si="7"/>
        <v/>
      </c>
      <c r="I11" s="4"/>
      <c r="J11" s="5"/>
      <c r="K11" s="5"/>
      <c r="L11" s="5"/>
      <c r="M11" s="5"/>
      <c r="N11" s="5"/>
      <c r="O11" s="5"/>
      <c r="P11" s="5"/>
      <c r="Q11" s="5"/>
      <c r="R11" s="5"/>
      <c r="S11" s="5"/>
      <c r="T11" s="5"/>
      <c r="U11" s="5"/>
      <c r="V11" s="5"/>
      <c r="W11" s="5"/>
      <c r="X11" s="5"/>
      <c r="Y11" s="5"/>
    </row>
    <row r="12">
      <c r="A12" s="114">
        <v>46090.0</v>
      </c>
      <c r="B12" s="115"/>
      <c r="C12" s="116" t="str">
        <f t="shared" si="3"/>
        <v/>
      </c>
      <c r="D12" s="117" t="str">
        <f t="shared" si="4"/>
        <v/>
      </c>
      <c r="E12" s="118" t="str">
        <f>IFERROR(__xludf.DUMMYFUNCTION("FILTER(CUENTAS!AB:AB,A12=CUENTAS!A:A)
"),"")</f>
        <v/>
      </c>
      <c r="F12" s="118" t="str">
        <f t="shared" si="5"/>
        <v/>
      </c>
      <c r="G12" s="119" t="str">
        <f t="shared" si="6"/>
        <v/>
      </c>
      <c r="H12" s="120" t="str">
        <f t="shared" si="7"/>
        <v/>
      </c>
      <c r="I12" s="4"/>
      <c r="J12" s="5"/>
      <c r="K12" s="5"/>
      <c r="L12" s="5"/>
      <c r="M12" s="5"/>
      <c r="N12" s="5"/>
      <c r="O12" s="5"/>
      <c r="P12" s="5"/>
      <c r="Q12" s="5"/>
      <c r="R12" s="5"/>
      <c r="S12" s="5"/>
      <c r="T12" s="5"/>
      <c r="U12" s="5"/>
      <c r="V12" s="5"/>
      <c r="W12" s="5"/>
      <c r="X12" s="5"/>
      <c r="Y12" s="5"/>
    </row>
    <row r="13">
      <c r="A13" s="114">
        <v>46089.0</v>
      </c>
      <c r="B13" s="121">
        <v>2122000.0</v>
      </c>
      <c r="C13" s="116">
        <f t="shared" si="3"/>
        <v>26552325.06</v>
      </c>
      <c r="D13" s="117">
        <f>IF(E13="","",D14)+102.687666</f>
        <v>1391.130764</v>
      </c>
      <c r="E13" s="118">
        <f>IFERROR(__xludf.DUMMYFUNCTION("FILTER(CUENTAS!AB:AB,A13=CUENTAS!A:A)
"),2.8747167022311553E7)</f>
        <v>28747167.02</v>
      </c>
      <c r="F13" s="118">
        <f t="shared" si="5"/>
        <v>3707.270469</v>
      </c>
      <c r="G13" s="119">
        <f t="shared" si="6"/>
        <v>2272324.96</v>
      </c>
      <c r="H13" s="120">
        <f t="shared" si="7"/>
        <v>0.07634985244</v>
      </c>
      <c r="I13" s="4"/>
      <c r="J13" s="5"/>
      <c r="K13" s="5"/>
      <c r="L13" s="5"/>
      <c r="M13" s="5"/>
      <c r="N13" s="5"/>
      <c r="O13" s="5"/>
      <c r="P13" s="5"/>
      <c r="Q13" s="5"/>
      <c r="R13" s="5"/>
      <c r="S13" s="5"/>
      <c r="T13" s="5"/>
      <c r="U13" s="5"/>
      <c r="V13" s="5"/>
      <c r="W13" s="5"/>
      <c r="X13" s="5"/>
      <c r="Y13" s="5"/>
    </row>
    <row r="14">
      <c r="A14" s="114">
        <v>46088.0</v>
      </c>
      <c r="B14" s="115"/>
      <c r="C14" s="116">
        <f t="shared" si="3"/>
        <v>24430325.06</v>
      </c>
      <c r="D14" s="117">
        <f t="shared" ref="D14:D17" si="8">IF(E14="","",D15)</f>
        <v>1288.443098</v>
      </c>
      <c r="E14" s="118">
        <f>IFERROR(__xludf.DUMMYFUNCTION("FILTER(CUENTAS!AB:AB,A14=CUENTAS!A:A)
"),2.6621459751843043E7)</f>
        <v>26621459.75</v>
      </c>
      <c r="F14" s="118">
        <f t="shared" si="5"/>
        <v>5061.12293</v>
      </c>
      <c r="G14" s="119">
        <f t="shared" si="6"/>
        <v>2268617.69</v>
      </c>
      <c r="H14" s="120">
        <f t="shared" si="7"/>
        <v>0.08230708271</v>
      </c>
      <c r="I14" s="4"/>
      <c r="J14" s="5"/>
      <c r="K14" s="5"/>
      <c r="L14" s="5"/>
      <c r="M14" s="5"/>
      <c r="N14" s="5"/>
      <c r="O14" s="5"/>
      <c r="P14" s="5"/>
      <c r="Q14" s="5"/>
      <c r="R14" s="5"/>
      <c r="S14" s="5"/>
      <c r="T14" s="5"/>
      <c r="U14" s="5"/>
      <c r="V14" s="5"/>
      <c r="W14" s="5"/>
      <c r="X14" s="5"/>
      <c r="Y14" s="5"/>
    </row>
    <row r="15">
      <c r="A15" s="114">
        <v>46087.0</v>
      </c>
      <c r="B15" s="115"/>
      <c r="C15" s="116">
        <f t="shared" si="3"/>
        <v>24430325.06</v>
      </c>
      <c r="D15" s="117">
        <f t="shared" si="8"/>
        <v>1288.443098</v>
      </c>
      <c r="E15" s="118">
        <f>IFERROR(__xludf.DUMMYFUNCTION("FILTER(CUENTAS!AB:AB,A15=CUENTAS!A:A)
"),2.661639862891269E7)</f>
        <v>26616398.63</v>
      </c>
      <c r="F15" s="118">
        <f t="shared" si="5"/>
        <v>-62284.02458</v>
      </c>
      <c r="G15" s="119">
        <f t="shared" si="6"/>
        <v>2263556.567</v>
      </c>
      <c r="H15" s="120">
        <f t="shared" si="7"/>
        <v>0.08213258289</v>
      </c>
      <c r="I15" s="4"/>
      <c r="J15" s="5"/>
      <c r="K15" s="5"/>
      <c r="L15" s="5"/>
      <c r="M15" s="5"/>
      <c r="N15" s="5"/>
      <c r="O15" s="5"/>
      <c r="P15" s="5"/>
      <c r="Q15" s="5"/>
      <c r="R15" s="5"/>
      <c r="S15" s="5"/>
      <c r="T15" s="5"/>
      <c r="U15" s="5"/>
      <c r="V15" s="5"/>
      <c r="W15" s="5"/>
      <c r="X15" s="5"/>
      <c r="Y15" s="5"/>
    </row>
    <row r="16">
      <c r="A16" s="114">
        <v>46086.0</v>
      </c>
      <c r="B16" s="115"/>
      <c r="C16" s="116">
        <f t="shared" si="3"/>
        <v>24430325.06</v>
      </c>
      <c r="D16" s="117">
        <f t="shared" si="8"/>
        <v>1288.443098</v>
      </c>
      <c r="E16" s="118">
        <f>IFERROR(__xludf.DUMMYFUNCTION("FILTER(CUENTAS!AB:AB,A16=CUENTAS!A:A)
"),2.6678682653491E7)</f>
        <v>26678682.65</v>
      </c>
      <c r="F16" s="118">
        <f t="shared" si="5"/>
        <v>-6089.172057</v>
      </c>
      <c r="G16" s="119">
        <f t="shared" si="6"/>
        <v>2325840.591</v>
      </c>
      <c r="H16" s="120">
        <f t="shared" si="7"/>
        <v>0.0842754352</v>
      </c>
      <c r="I16" s="4"/>
      <c r="J16" s="5"/>
      <c r="K16" s="5"/>
      <c r="L16" s="5"/>
      <c r="M16" s="5"/>
      <c r="N16" s="5"/>
      <c r="O16" s="5"/>
      <c r="P16" s="5"/>
      <c r="Q16" s="5"/>
      <c r="R16" s="5"/>
      <c r="S16" s="5"/>
      <c r="T16" s="5"/>
      <c r="U16" s="5"/>
      <c r="V16" s="5"/>
      <c r="W16" s="5"/>
      <c r="X16" s="5"/>
      <c r="Y16" s="5"/>
    </row>
    <row r="17">
      <c r="A17" s="114">
        <v>46085.0</v>
      </c>
      <c r="B17" s="115"/>
      <c r="C17" s="116">
        <f t="shared" si="3"/>
        <v>24430325.06</v>
      </c>
      <c r="D17" s="117">
        <f t="shared" si="8"/>
        <v>1288.443098</v>
      </c>
      <c r="E17" s="118">
        <f>IFERROR(__xludf.DUMMYFUNCTION("FILTER(CUENTAS!AB:AB,A17=CUENTAS!A:A)
"),2.6684771825548477E7)</f>
        <v>26684771.83</v>
      </c>
      <c r="F17" s="118">
        <f t="shared" si="5"/>
        <v>-3934.319507</v>
      </c>
      <c r="G17" s="119">
        <f t="shared" si="6"/>
        <v>2331929.763</v>
      </c>
      <c r="H17" s="120">
        <f t="shared" si="7"/>
        <v>0.0844843935</v>
      </c>
      <c r="I17" s="4"/>
      <c r="J17" s="5"/>
      <c r="K17" s="5"/>
      <c r="L17" s="5"/>
      <c r="M17" s="5"/>
      <c r="N17" s="5"/>
      <c r="O17" s="5"/>
      <c r="P17" s="5"/>
      <c r="Q17" s="5"/>
      <c r="R17" s="5"/>
      <c r="S17" s="5"/>
      <c r="T17" s="5"/>
      <c r="U17" s="5"/>
      <c r="V17" s="5"/>
      <c r="W17" s="5"/>
      <c r="X17" s="5"/>
      <c r="Y17" s="5"/>
    </row>
    <row r="18">
      <c r="A18" s="114">
        <v>46084.0</v>
      </c>
      <c r="B18" s="121">
        <f>50000+60000</f>
        <v>110000</v>
      </c>
      <c r="C18" s="116">
        <f t="shared" si="3"/>
        <v>24430325.06</v>
      </c>
      <c r="D18" s="117">
        <f>IF(E18="","",D19)+2.413836+2.896603</f>
        <v>1288.443098</v>
      </c>
      <c r="E18" s="118">
        <f>IFERROR(__xludf.DUMMYFUNCTION("FILTER(CUENTAS!AB:AB,A18=CUENTAS!A:A)
"),2.6688706145055633E7)</f>
        <v>26688706.15</v>
      </c>
      <c r="F18" s="118">
        <f t="shared" si="5"/>
        <v>-35866.46693</v>
      </c>
      <c r="G18" s="119">
        <f t="shared" si="6"/>
        <v>2335864.083</v>
      </c>
      <c r="H18" s="120">
        <f t="shared" si="7"/>
        <v>0.08461935437</v>
      </c>
      <c r="I18" s="4"/>
      <c r="J18" s="5"/>
      <c r="K18" s="5"/>
      <c r="L18" s="5"/>
      <c r="M18" s="5"/>
      <c r="N18" s="5"/>
      <c r="O18" s="5"/>
      <c r="P18" s="5"/>
      <c r="Q18" s="5"/>
      <c r="R18" s="5"/>
      <c r="S18" s="5"/>
      <c r="T18" s="5"/>
      <c r="U18" s="5"/>
      <c r="V18" s="5"/>
      <c r="W18" s="5"/>
      <c r="X18" s="5"/>
      <c r="Y18" s="5"/>
    </row>
    <row r="19">
      <c r="A19" s="114">
        <v>46083.0</v>
      </c>
      <c r="B19" s="115"/>
      <c r="C19" s="116">
        <f t="shared" si="3"/>
        <v>24320325.06</v>
      </c>
      <c r="D19" s="117">
        <f t="shared" ref="D19:D31" si="9">IF(E19="","",D20)</f>
        <v>1283.132659</v>
      </c>
      <c r="E19" s="118">
        <f>IFERROR(__xludf.DUMMYFUNCTION("FILTER(CUENTAS!AB:AB,A19=CUENTAS!A:A)
"),2.6614572611982983E7)</f>
        <v>26614572.61</v>
      </c>
      <c r="F19" s="118">
        <f t="shared" si="5"/>
        <v>-567681.6143</v>
      </c>
      <c r="G19" s="119">
        <f t="shared" si="6"/>
        <v>2371730.55</v>
      </c>
      <c r="H19" s="120">
        <f t="shared" si="7"/>
        <v>0.08620268239</v>
      </c>
      <c r="I19" s="4"/>
      <c r="J19" s="5"/>
      <c r="K19" s="5"/>
      <c r="L19" s="5"/>
      <c r="M19" s="5"/>
      <c r="N19" s="5"/>
      <c r="O19" s="5"/>
      <c r="P19" s="5"/>
      <c r="Q19" s="5"/>
      <c r="R19" s="5"/>
      <c r="S19" s="5"/>
      <c r="T19" s="5"/>
      <c r="U19" s="5"/>
      <c r="V19" s="5"/>
      <c r="W19" s="5"/>
      <c r="X19" s="5"/>
      <c r="Y19" s="5"/>
    </row>
    <row r="20">
      <c r="A20" s="114">
        <v>46082.0</v>
      </c>
      <c r="B20" s="115"/>
      <c r="C20" s="116">
        <f t="shared" si="3"/>
        <v>24320325.06</v>
      </c>
      <c r="D20" s="117">
        <f t="shared" si="9"/>
        <v>1283.132659</v>
      </c>
      <c r="E20" s="118">
        <f>IFERROR(__xludf.DUMMYFUNCTION("FILTER(CUENTAS!AB:AB,A20=CUENTAS!A:A)
"),2.718225422630104E7)</f>
        <v>27182254.23</v>
      </c>
      <c r="F20" s="118">
        <f t="shared" si="5"/>
        <v>-10341.76168</v>
      </c>
      <c r="G20" s="119">
        <f t="shared" si="6"/>
        <v>2939412.164</v>
      </c>
      <c r="H20" s="120">
        <f t="shared" si="7"/>
        <v>0.1052866749</v>
      </c>
      <c r="I20" s="4"/>
      <c r="J20" s="5"/>
      <c r="K20" s="5"/>
      <c r="L20" s="5"/>
      <c r="M20" s="5"/>
      <c r="N20" s="5"/>
      <c r="O20" s="5"/>
      <c r="P20" s="5"/>
      <c r="Q20" s="5"/>
      <c r="R20" s="5"/>
      <c r="S20" s="5"/>
      <c r="T20" s="5"/>
      <c r="U20" s="5"/>
      <c r="V20" s="5"/>
      <c r="W20" s="5"/>
      <c r="X20" s="5"/>
      <c r="Y20" s="5"/>
    </row>
    <row r="21">
      <c r="A21" s="114">
        <v>46081.0</v>
      </c>
      <c r="B21" s="115"/>
      <c r="C21" s="116">
        <f t="shared" si="3"/>
        <v>24320325.06</v>
      </c>
      <c r="D21" s="117">
        <f t="shared" si="9"/>
        <v>1283.132659</v>
      </c>
      <c r="E21" s="118">
        <f>IFERROR(__xludf.DUMMYFUNCTION("FILTER(CUENTAS!AB:AB,A21=CUENTAS!A:A)
"),2.719259598798034E7)</f>
        <v>27192595.99</v>
      </c>
      <c r="F21" s="118">
        <f t="shared" si="5"/>
        <v>-10341.90901</v>
      </c>
      <c r="G21" s="119">
        <f t="shared" si="6"/>
        <v>2949753.926</v>
      </c>
      <c r="H21" s="120">
        <f t="shared" si="7"/>
        <v>0.1056269481</v>
      </c>
      <c r="I21" s="4"/>
      <c r="J21" s="5"/>
      <c r="K21" s="5"/>
      <c r="L21" s="5"/>
      <c r="M21" s="5"/>
      <c r="N21" s="5"/>
      <c r="O21" s="5"/>
      <c r="P21" s="5"/>
      <c r="Q21" s="5"/>
      <c r="R21" s="5"/>
      <c r="S21" s="5"/>
      <c r="T21" s="5"/>
      <c r="U21" s="5"/>
      <c r="V21" s="5"/>
      <c r="W21" s="5"/>
      <c r="X21" s="5"/>
      <c r="Y21" s="5"/>
    </row>
    <row r="22">
      <c r="A22" s="114">
        <v>46080.0</v>
      </c>
      <c r="B22" s="115"/>
      <c r="C22" s="116">
        <f t="shared" si="3"/>
        <v>24320325.06</v>
      </c>
      <c r="D22" s="117">
        <f t="shared" si="9"/>
        <v>1283.132659</v>
      </c>
      <c r="E22" s="118">
        <f>IFERROR(__xludf.DUMMYFUNCTION("FILTER(CUENTAS!AB:AB,A22=CUENTAS!A:A)
"),2.7202937896991413E7)</f>
        <v>27202937.9</v>
      </c>
      <c r="F22" s="118">
        <f t="shared" si="5"/>
        <v>-383792.0563</v>
      </c>
      <c r="G22" s="119">
        <f t="shared" si="6"/>
        <v>2960095.835</v>
      </c>
      <c r="H22" s="120">
        <f t="shared" si="7"/>
        <v>0.1059669675</v>
      </c>
      <c r="I22" s="4"/>
      <c r="J22" s="5"/>
      <c r="K22" s="5"/>
      <c r="L22" s="5"/>
      <c r="M22" s="5"/>
      <c r="N22" s="5"/>
      <c r="O22" s="5"/>
      <c r="P22" s="5"/>
      <c r="Q22" s="5"/>
      <c r="R22" s="5"/>
      <c r="S22" s="5"/>
      <c r="T22" s="5"/>
      <c r="U22" s="5"/>
      <c r="V22" s="5"/>
      <c r="W22" s="5"/>
      <c r="X22" s="5"/>
      <c r="Y22" s="5"/>
    </row>
    <row r="23">
      <c r="A23" s="114">
        <v>46079.0</v>
      </c>
      <c r="B23" s="115"/>
      <c r="C23" s="116">
        <f t="shared" si="3"/>
        <v>24320325.06</v>
      </c>
      <c r="D23" s="117">
        <f t="shared" si="9"/>
        <v>1283.132659</v>
      </c>
      <c r="E23" s="118">
        <f>IFERROR(__xludf.DUMMYFUNCTION("FILTER(CUENTAS!AB:AB,A23=CUENTAS!A:A)
"),2.7586729953304805E7)</f>
        <v>27586729.95</v>
      </c>
      <c r="F23" s="118">
        <f t="shared" si="5"/>
        <v>-464122.2036</v>
      </c>
      <c r="G23" s="119">
        <f t="shared" si="6"/>
        <v>3343887.891</v>
      </c>
      <c r="H23" s="120">
        <f t="shared" si="7"/>
        <v>0.1184049322</v>
      </c>
      <c r="I23" s="4"/>
      <c r="J23" s="5"/>
      <c r="K23" s="5"/>
      <c r="L23" s="5"/>
      <c r="M23" s="5"/>
      <c r="N23" s="5"/>
      <c r="O23" s="5"/>
      <c r="P23" s="5"/>
      <c r="Q23" s="5"/>
      <c r="R23" s="5"/>
      <c r="S23" s="5"/>
      <c r="T23" s="5"/>
      <c r="U23" s="5"/>
      <c r="V23" s="5"/>
      <c r="W23" s="5"/>
      <c r="X23" s="5"/>
      <c r="Y23" s="5"/>
    </row>
    <row r="24">
      <c r="A24" s="114">
        <v>46078.0</v>
      </c>
      <c r="B24" s="115"/>
      <c r="C24" s="116">
        <f t="shared" si="3"/>
        <v>24320325.06</v>
      </c>
      <c r="D24" s="117">
        <f t="shared" si="9"/>
        <v>1283.132659</v>
      </c>
      <c r="E24" s="118">
        <f>IFERROR(__xludf.DUMMYFUNCTION("FILTER(CUENTAS!AB:AB,A24=CUENTAS!A:A)
"),2.8050852156891055E7)</f>
        <v>28050852.16</v>
      </c>
      <c r="F24" s="118">
        <f t="shared" si="5"/>
        <v>1367.64917</v>
      </c>
      <c r="G24" s="119">
        <f t="shared" si="6"/>
        <v>3808010.095</v>
      </c>
      <c r="H24" s="120">
        <f t="shared" si="7"/>
        <v>0.1329915781</v>
      </c>
      <c r="I24" s="4"/>
      <c r="J24" s="5"/>
      <c r="K24" s="5"/>
      <c r="L24" s="5"/>
      <c r="M24" s="5"/>
      <c r="N24" s="5"/>
      <c r="O24" s="5"/>
      <c r="P24" s="5"/>
      <c r="Q24" s="5"/>
      <c r="R24" s="5"/>
      <c r="S24" s="5"/>
      <c r="T24" s="5"/>
      <c r="U24" s="5"/>
      <c r="V24" s="5"/>
      <c r="W24" s="5"/>
      <c r="X24" s="5"/>
      <c r="Y24" s="5"/>
    </row>
    <row r="25">
      <c r="A25" s="114">
        <v>46077.0</v>
      </c>
      <c r="B25" s="115"/>
      <c r="C25" s="116">
        <f t="shared" si="3"/>
        <v>24320325.06</v>
      </c>
      <c r="D25" s="117">
        <f t="shared" si="9"/>
        <v>1283.132659</v>
      </c>
      <c r="E25" s="118">
        <f>IFERROR(__xludf.DUMMYFUNCTION("FILTER(CUENTAS!AB:AB,A25=CUENTAS!A:A)
"),2.804948450772072E7)</f>
        <v>28049484.51</v>
      </c>
      <c r="F25" s="118">
        <f t="shared" si="5"/>
        <v>56391.3375</v>
      </c>
      <c r="G25" s="119">
        <f t="shared" si="6"/>
        <v>3806642.446</v>
      </c>
      <c r="H25" s="120">
        <f t="shared" si="7"/>
        <v>0.1329493041</v>
      </c>
      <c r="I25" s="4"/>
      <c r="J25" s="5"/>
      <c r="K25" s="5"/>
      <c r="L25" s="5"/>
      <c r="M25" s="5"/>
      <c r="N25" s="5"/>
      <c r="O25" s="5"/>
      <c r="P25" s="5"/>
      <c r="Q25" s="5"/>
      <c r="R25" s="5"/>
      <c r="S25" s="5"/>
      <c r="T25" s="5"/>
      <c r="U25" s="5"/>
      <c r="V25" s="5"/>
      <c r="W25" s="5"/>
      <c r="X25" s="5"/>
      <c r="Y25" s="5"/>
    </row>
    <row r="26">
      <c r="A26" s="114">
        <v>46076.0</v>
      </c>
      <c r="B26" s="115"/>
      <c r="C26" s="116">
        <f t="shared" si="3"/>
        <v>24320325.06</v>
      </c>
      <c r="D26" s="117">
        <f t="shared" si="9"/>
        <v>1283.132659</v>
      </c>
      <c r="E26" s="118">
        <f>IFERROR(__xludf.DUMMYFUNCTION("FILTER(CUENTAS!AB:AB,A26=CUENTAS!A:A)
"),2.799309317022235E7)</f>
        <v>27993093.17</v>
      </c>
      <c r="F26" s="118">
        <f t="shared" si="5"/>
        <v>-186243.9334</v>
      </c>
      <c r="G26" s="119">
        <f t="shared" si="6"/>
        <v>3750251.108</v>
      </c>
      <c r="H26" s="120">
        <f t="shared" si="7"/>
        <v>0.1312026537</v>
      </c>
      <c r="I26" s="4"/>
      <c r="J26" s="5"/>
      <c r="K26" s="5"/>
      <c r="L26" s="5"/>
      <c r="M26" s="5"/>
      <c r="N26" s="5"/>
      <c r="O26" s="5"/>
      <c r="P26" s="5"/>
      <c r="Q26" s="5"/>
      <c r="R26" s="5"/>
      <c r="S26" s="5"/>
      <c r="T26" s="5"/>
      <c r="U26" s="5"/>
      <c r="V26" s="5"/>
      <c r="W26" s="5"/>
      <c r="X26" s="5"/>
      <c r="Y26" s="5"/>
    </row>
    <row r="27">
      <c r="A27" s="114">
        <v>46075.0</v>
      </c>
      <c r="B27" s="115"/>
      <c r="C27" s="116">
        <f t="shared" si="3"/>
        <v>24320325.06</v>
      </c>
      <c r="D27" s="117">
        <f t="shared" si="9"/>
        <v>1283.132659</v>
      </c>
      <c r="E27" s="118">
        <f>IFERROR(__xludf.DUMMYFUNCTION("FILTER(CUENTAS!AB:AB,A27=CUENTAS!A:A)
"),2.8179337103580892E7)</f>
        <v>28179337.1</v>
      </c>
      <c r="F27" s="118">
        <f t="shared" si="5"/>
        <v>-4939.083843</v>
      </c>
      <c r="G27" s="119">
        <f t="shared" si="6"/>
        <v>3936495.041</v>
      </c>
      <c r="H27" s="120">
        <f t="shared" si="7"/>
        <v>0.1369447417</v>
      </c>
      <c r="I27" s="4"/>
      <c r="J27" s="5"/>
      <c r="K27" s="5"/>
      <c r="L27" s="5"/>
      <c r="M27" s="5"/>
      <c r="N27" s="5"/>
      <c r="O27" s="5"/>
      <c r="P27" s="5"/>
      <c r="Q27" s="5"/>
      <c r="R27" s="5"/>
      <c r="S27" s="5"/>
      <c r="T27" s="5"/>
      <c r="U27" s="5"/>
      <c r="V27" s="5"/>
      <c r="W27" s="5"/>
      <c r="X27" s="5"/>
      <c r="Y27" s="5"/>
    </row>
    <row r="28">
      <c r="A28" s="114">
        <v>46074.0</v>
      </c>
      <c r="B28" s="115"/>
      <c r="C28" s="116">
        <f t="shared" si="3"/>
        <v>24320325.06</v>
      </c>
      <c r="D28" s="117">
        <f t="shared" si="9"/>
        <v>1283.132659</v>
      </c>
      <c r="E28" s="118">
        <f>IFERROR(__xludf.DUMMYFUNCTION("FILTER(CUENTAS!AB:AB,A28=CUENTAS!A:A)
"),2.818427618742424E7)</f>
        <v>28184276.19</v>
      </c>
      <c r="F28" s="118">
        <f t="shared" si="5"/>
        <v>-4939.234298</v>
      </c>
      <c r="G28" s="119">
        <f t="shared" si="6"/>
        <v>3941434.125</v>
      </c>
      <c r="H28" s="120">
        <f t="shared" si="7"/>
        <v>0.1370959857</v>
      </c>
      <c r="I28" s="4"/>
      <c r="J28" s="5"/>
      <c r="K28" s="5"/>
      <c r="L28" s="5"/>
      <c r="M28" s="5"/>
      <c r="N28" s="5"/>
      <c r="O28" s="5"/>
      <c r="P28" s="5"/>
      <c r="Q28" s="5"/>
      <c r="R28" s="5"/>
      <c r="S28" s="5"/>
      <c r="T28" s="5"/>
      <c r="U28" s="5"/>
      <c r="V28" s="5"/>
      <c r="W28" s="5"/>
      <c r="X28" s="5"/>
      <c r="Y28" s="5"/>
    </row>
    <row r="29">
      <c r="A29" s="114">
        <v>46073.0</v>
      </c>
      <c r="B29" s="115"/>
      <c r="C29" s="116">
        <f t="shared" si="3"/>
        <v>24320325.06</v>
      </c>
      <c r="D29" s="117">
        <f t="shared" si="9"/>
        <v>1283.132659</v>
      </c>
      <c r="E29" s="118">
        <f>IFERROR(__xludf.DUMMYFUNCTION("FILTER(CUENTAS!AB:AB,A29=CUENTAS!A:A)
"),2.81892154217223E7)</f>
        <v>28189215.42</v>
      </c>
      <c r="F29" s="118">
        <f t="shared" si="5"/>
        <v>180220.6153</v>
      </c>
      <c r="G29" s="119">
        <f t="shared" si="6"/>
        <v>3946373.36</v>
      </c>
      <c r="H29" s="120">
        <f t="shared" si="7"/>
        <v>0.1372471813</v>
      </c>
      <c r="I29" s="4"/>
      <c r="J29" s="5"/>
      <c r="K29" s="5"/>
      <c r="L29" s="5"/>
      <c r="M29" s="5"/>
      <c r="N29" s="5"/>
      <c r="O29" s="5"/>
      <c r="P29" s="5"/>
      <c r="Q29" s="5"/>
      <c r="R29" s="5"/>
      <c r="S29" s="5"/>
      <c r="T29" s="5"/>
      <c r="U29" s="5"/>
      <c r="V29" s="5"/>
      <c r="W29" s="5"/>
      <c r="X29" s="5"/>
      <c r="Y29" s="5"/>
    </row>
    <row r="30">
      <c r="A30" s="114">
        <v>46072.0</v>
      </c>
      <c r="B30" s="115"/>
      <c r="C30" s="116">
        <f t="shared" si="3"/>
        <v>24320325.06</v>
      </c>
      <c r="D30" s="117">
        <f t="shared" si="9"/>
        <v>1283.132659</v>
      </c>
      <c r="E30" s="118">
        <f>IFERROR(__xludf.DUMMYFUNCTION("FILTER(CUENTAS!AB:AB,A30=CUENTAS!A:A)
"),2.8008994806445E7)</f>
        <v>28008994.81</v>
      </c>
      <c r="F30" s="118">
        <f t="shared" si="5"/>
        <v>194640.4649</v>
      </c>
      <c r="G30" s="119">
        <f t="shared" si="6"/>
        <v>3766152.744</v>
      </c>
      <c r="H30" s="120">
        <f t="shared" si="7"/>
        <v>0.1316958988</v>
      </c>
      <c r="I30" s="4"/>
      <c r="J30" s="5"/>
      <c r="K30" s="5"/>
      <c r="L30" s="5"/>
      <c r="M30" s="5"/>
      <c r="N30" s="5"/>
      <c r="O30" s="5"/>
      <c r="P30" s="5"/>
      <c r="Q30" s="5"/>
      <c r="R30" s="5"/>
      <c r="S30" s="5"/>
      <c r="T30" s="5"/>
      <c r="U30" s="5"/>
      <c r="V30" s="5"/>
      <c r="W30" s="5"/>
      <c r="X30" s="5"/>
      <c r="Y30" s="5"/>
    </row>
    <row r="31">
      <c r="A31" s="114">
        <v>46071.0</v>
      </c>
      <c r="B31" s="115"/>
      <c r="C31" s="116">
        <f t="shared" si="3"/>
        <v>24320325.06</v>
      </c>
      <c r="D31" s="117">
        <f t="shared" si="9"/>
        <v>1283.132659</v>
      </c>
      <c r="E31" s="118">
        <f>IFERROR(__xludf.DUMMYFUNCTION("FILTER(CUENTAS!AB:AB,A31=CUENTAS!A:A)
"),2.781435434156225E7)</f>
        <v>27814354.34</v>
      </c>
      <c r="F31" s="118">
        <f t="shared" si="5"/>
        <v>83900.31452</v>
      </c>
      <c r="G31" s="119">
        <f t="shared" si="6"/>
        <v>3571512.279</v>
      </c>
      <c r="H31" s="120">
        <f t="shared" si="7"/>
        <v>0.1256196436</v>
      </c>
      <c r="I31" s="4"/>
      <c r="J31" s="5"/>
      <c r="K31" s="5"/>
      <c r="L31" s="5"/>
      <c r="M31" s="5"/>
      <c r="N31" s="5"/>
      <c r="O31" s="5"/>
      <c r="P31" s="5"/>
      <c r="Q31" s="5"/>
      <c r="R31" s="5"/>
      <c r="S31" s="5"/>
      <c r="T31" s="5"/>
      <c r="U31" s="5"/>
      <c r="V31" s="5"/>
      <c r="W31" s="5"/>
      <c r="X31" s="5"/>
      <c r="Y31" s="5"/>
    </row>
    <row r="32">
      <c r="A32" s="114">
        <v>46070.0</v>
      </c>
      <c r="B32" s="121">
        <v>90000.0</v>
      </c>
      <c r="C32" s="116">
        <f t="shared" si="3"/>
        <v>24320325.06</v>
      </c>
      <c r="D32" s="117">
        <f>IF(E32="","",D33)+4.164445</f>
        <v>1283.132659</v>
      </c>
      <c r="E32" s="118">
        <f>IFERROR(__xludf.DUMMYFUNCTION("FILTER(CUENTAS!AB:AB,A32=CUENTAS!A:A)
"),2.773045402704398E7)</f>
        <v>27730454.03</v>
      </c>
      <c r="F32" s="118">
        <f t="shared" si="5"/>
        <v>6160.164184</v>
      </c>
      <c r="G32" s="119">
        <f t="shared" si="6"/>
        <v>3487611.965</v>
      </c>
      <c r="H32" s="120">
        <f t="shared" si="7"/>
        <v>0.1229741483</v>
      </c>
      <c r="I32" s="4"/>
      <c r="J32" s="5"/>
      <c r="K32" s="5"/>
      <c r="L32" s="5"/>
      <c r="M32" s="5"/>
      <c r="N32" s="5"/>
      <c r="O32" s="5"/>
      <c r="P32" s="5"/>
      <c r="Q32" s="5"/>
      <c r="R32" s="5"/>
      <c r="S32" s="5"/>
      <c r="T32" s="5"/>
      <c r="U32" s="5"/>
      <c r="V32" s="5"/>
      <c r="W32" s="5"/>
      <c r="X32" s="5"/>
      <c r="Y32" s="5"/>
    </row>
    <row r="33">
      <c r="A33" s="114">
        <v>46069.0</v>
      </c>
      <c r="B33" s="121">
        <v>250000.0</v>
      </c>
      <c r="C33" s="116">
        <f t="shared" si="3"/>
        <v>24230325.06</v>
      </c>
      <c r="D33" s="117">
        <f>IF(E33="","",D34)+11.57048</f>
        <v>1278.968214</v>
      </c>
      <c r="E33" s="118">
        <f>IFERROR(__xludf.DUMMYFUNCTION("FILTER(CUENTAS!AB:AB,A33=CUENTAS!A:A)
"),2.7634293862860125E7)</f>
        <v>27634293.86</v>
      </c>
      <c r="F33" s="118">
        <f t="shared" si="5"/>
        <v>-91959.98612</v>
      </c>
      <c r="G33" s="119">
        <f t="shared" si="6"/>
        <v>3481451.801</v>
      </c>
      <c r="H33" s="120">
        <f t="shared" si="7"/>
        <v>0.123179149</v>
      </c>
      <c r="I33" s="4"/>
      <c r="J33" s="5"/>
      <c r="K33" s="5"/>
      <c r="L33" s="5"/>
      <c r="M33" s="5"/>
      <c r="N33" s="5"/>
      <c r="O33" s="5"/>
      <c r="P33" s="5"/>
      <c r="Q33" s="5"/>
      <c r="R33" s="5"/>
      <c r="S33" s="5"/>
      <c r="T33" s="5"/>
      <c r="U33" s="5"/>
      <c r="V33" s="5"/>
      <c r="W33" s="5"/>
      <c r="X33" s="5"/>
      <c r="Y33" s="5"/>
    </row>
    <row r="34">
      <c r="A34" s="114">
        <v>46068.0</v>
      </c>
      <c r="B34" s="121">
        <f>104250-203044.2209+11687+73044</f>
        <v>-14063.2209</v>
      </c>
      <c r="C34" s="116">
        <f t="shared" si="3"/>
        <v>23980325.06</v>
      </c>
      <c r="D34" s="117">
        <f>IF(E34="","",D35)+4.808742-9.36583+0.539086</f>
        <v>1267.397734</v>
      </c>
      <c r="E34" s="118">
        <f>IFERROR(__xludf.DUMMYFUNCTION("FILTER(CUENTAS!AB:AB,A34=CUENTAS!A:A)
"),2.7476253848980635E7)</f>
        <v>27476253.85</v>
      </c>
      <c r="F34" s="118">
        <f>(IF(E34&lt;&gt;0,E34-E35-B34,""))+73044</f>
        <v>-6339.915495</v>
      </c>
      <c r="G34" s="119">
        <f t="shared" si="6"/>
        <v>3573411.787</v>
      </c>
      <c r="H34" s="120">
        <f t="shared" si="7"/>
        <v>0.1272345497</v>
      </c>
      <c r="I34" s="4"/>
      <c r="J34" s="5"/>
      <c r="K34" s="5"/>
      <c r="L34" s="5"/>
      <c r="M34" s="5"/>
      <c r="N34" s="5"/>
      <c r="O34" s="5"/>
      <c r="P34" s="5"/>
      <c r="Q34" s="5"/>
      <c r="R34" s="5"/>
      <c r="S34" s="5"/>
      <c r="T34" s="5"/>
      <c r="U34" s="5"/>
      <c r="V34" s="5"/>
      <c r="W34" s="5"/>
      <c r="X34" s="5"/>
      <c r="Y34" s="5"/>
    </row>
    <row r="35">
      <c r="A35" s="114">
        <v>46067.0</v>
      </c>
      <c r="B35" s="115"/>
      <c r="C35" s="116">
        <f t="shared" si="3"/>
        <v>23994388.28</v>
      </c>
      <c r="D35" s="117">
        <f t="shared" ref="D35:D50" si="10">IF(E35="","",D36)</f>
        <v>1271.415736</v>
      </c>
      <c r="E35" s="118">
        <f>IFERROR(__xludf.DUMMYFUNCTION("FILTER(CUENTAS!AB:AB,A35=CUENTAS!A:A)
"),2.756970098537543E7)</f>
        <v>27569700.99</v>
      </c>
      <c r="F35" s="118">
        <f t="shared" ref="F35:F60" si="11">(IF(E35&lt;&gt;0,E35-E36-B35,""))</f>
        <v>361052.7134</v>
      </c>
      <c r="G35" s="119">
        <f t="shared" si="6"/>
        <v>3579751.702</v>
      </c>
      <c r="H35" s="120">
        <f t="shared" si="7"/>
        <v>0.1296826797</v>
      </c>
      <c r="I35" s="4"/>
      <c r="J35" s="5"/>
      <c r="K35" s="5"/>
      <c r="L35" s="5"/>
      <c r="M35" s="5"/>
      <c r="N35" s="5"/>
      <c r="O35" s="5"/>
      <c r="P35" s="5"/>
      <c r="Q35" s="5"/>
      <c r="R35" s="5"/>
      <c r="S35" s="5"/>
      <c r="T35" s="5"/>
      <c r="U35" s="5"/>
      <c r="V35" s="5"/>
      <c r="W35" s="5"/>
      <c r="X35" s="5"/>
      <c r="Y35" s="5"/>
    </row>
    <row r="36">
      <c r="A36" s="114">
        <v>46066.0</v>
      </c>
      <c r="B36" s="115"/>
      <c r="C36" s="116">
        <f t="shared" si="3"/>
        <v>23994388.28</v>
      </c>
      <c r="D36" s="117">
        <f t="shared" si="10"/>
        <v>1271.415736</v>
      </c>
      <c r="E36" s="118">
        <f>IFERROR(__xludf.DUMMYFUNCTION("FILTER(CUENTAS!AB:AB,A36=CUENTAS!A:A)
"),2.720864827201448E7)</f>
        <v>27208648.27</v>
      </c>
      <c r="F36" s="118">
        <f t="shared" si="11"/>
        <v>138559.5631</v>
      </c>
      <c r="G36" s="119">
        <f t="shared" si="6"/>
        <v>3218698.989</v>
      </c>
      <c r="H36" s="120">
        <f t="shared" si="7"/>
        <v>0.1181337624</v>
      </c>
      <c r="I36" s="4"/>
      <c r="J36" s="5"/>
      <c r="K36" s="5"/>
      <c r="L36" s="5"/>
      <c r="M36" s="5"/>
      <c r="N36" s="5"/>
      <c r="O36" s="5"/>
      <c r="P36" s="5"/>
      <c r="Q36" s="5"/>
      <c r="R36" s="5"/>
      <c r="S36" s="5"/>
      <c r="T36" s="5"/>
      <c r="U36" s="5"/>
      <c r="V36" s="5"/>
      <c r="W36" s="5"/>
      <c r="X36" s="5"/>
      <c r="Y36" s="5"/>
    </row>
    <row r="37">
      <c r="A37" s="114">
        <v>46065.0</v>
      </c>
      <c r="B37" s="115"/>
      <c r="C37" s="116">
        <f t="shared" si="3"/>
        <v>23994388.28</v>
      </c>
      <c r="D37" s="117">
        <f t="shared" si="10"/>
        <v>1271.415736</v>
      </c>
      <c r="E37" s="118">
        <f>IFERROR(__xludf.DUMMYFUNCTION("FILTER(CUENTAS!AB:AB,A37=CUENTAS!A:A)
"),2.7070088708867736E7)</f>
        <v>27070088.71</v>
      </c>
      <c r="F37" s="118">
        <f t="shared" si="11"/>
        <v>-189680.587</v>
      </c>
      <c r="G37" s="119">
        <f t="shared" si="6"/>
        <v>3080139.426</v>
      </c>
      <c r="H37" s="120">
        <f t="shared" si="7"/>
        <v>0.1136198872</v>
      </c>
      <c r="I37" s="4"/>
      <c r="J37" s="5"/>
      <c r="K37" s="5"/>
      <c r="L37" s="5"/>
      <c r="M37" s="5"/>
      <c r="N37" s="5"/>
      <c r="O37" s="5"/>
      <c r="P37" s="5"/>
      <c r="Q37" s="5"/>
      <c r="R37" s="5"/>
      <c r="S37" s="5"/>
      <c r="T37" s="5"/>
      <c r="U37" s="5"/>
      <c r="V37" s="5"/>
      <c r="W37" s="5"/>
      <c r="X37" s="5"/>
      <c r="Y37" s="5"/>
    </row>
    <row r="38">
      <c r="A38" s="114">
        <v>46064.0</v>
      </c>
      <c r="B38" s="115"/>
      <c r="C38" s="116">
        <f t="shared" si="3"/>
        <v>23994388.28</v>
      </c>
      <c r="D38" s="117">
        <f t="shared" si="10"/>
        <v>1271.415736</v>
      </c>
      <c r="E38" s="118">
        <f>IFERROR(__xludf.DUMMYFUNCTION("FILTER(CUENTAS!AB:AB,A38=CUENTAS!A:A)
"),2.725976929590516E7)</f>
        <v>27259769.3</v>
      </c>
      <c r="F38" s="118">
        <f t="shared" si="11"/>
        <v>-255520.7372</v>
      </c>
      <c r="G38" s="119">
        <f t="shared" si="6"/>
        <v>3269820.013</v>
      </c>
      <c r="H38" s="120">
        <f t="shared" si="7"/>
        <v>0.1197875513</v>
      </c>
      <c r="I38" s="4"/>
      <c r="J38" s="5"/>
      <c r="K38" s="5"/>
      <c r="L38" s="5"/>
      <c r="M38" s="5"/>
      <c r="N38" s="5"/>
      <c r="O38" s="5"/>
      <c r="P38" s="5"/>
      <c r="Q38" s="5"/>
      <c r="R38" s="5"/>
      <c r="S38" s="5"/>
      <c r="T38" s="5"/>
      <c r="U38" s="5"/>
      <c r="V38" s="5"/>
      <c r="W38" s="5"/>
      <c r="X38" s="5"/>
      <c r="Y38" s="5"/>
    </row>
    <row r="39">
      <c r="A39" s="114">
        <v>46063.0</v>
      </c>
      <c r="B39" s="115"/>
      <c r="C39" s="116">
        <f t="shared" si="3"/>
        <v>23994388.28</v>
      </c>
      <c r="D39" s="117">
        <f t="shared" si="10"/>
        <v>1271.415736</v>
      </c>
      <c r="E39" s="118">
        <f>IFERROR(__xludf.DUMMYFUNCTION("FILTER(CUENTAS!AB:AB,A39=CUENTAS!A:A)
"),2.7515290033096723E7)</f>
        <v>27515290.03</v>
      </c>
      <c r="F39" s="118">
        <f t="shared" si="11"/>
        <v>10579.11268</v>
      </c>
      <c r="G39" s="119">
        <f t="shared" si="6"/>
        <v>3525340.75</v>
      </c>
      <c r="H39" s="120">
        <f t="shared" si="7"/>
        <v>0.1279616441</v>
      </c>
      <c r="I39" s="4"/>
      <c r="J39" s="5"/>
      <c r="K39" s="5"/>
      <c r="L39" s="5"/>
      <c r="M39" s="5"/>
      <c r="N39" s="5"/>
      <c r="O39" s="5"/>
      <c r="P39" s="5"/>
      <c r="Q39" s="5"/>
      <c r="R39" s="5"/>
      <c r="S39" s="5"/>
      <c r="T39" s="5"/>
      <c r="U39" s="5"/>
      <c r="V39" s="5"/>
      <c r="W39" s="5"/>
      <c r="X39" s="5"/>
      <c r="Y39" s="5"/>
    </row>
    <row r="40">
      <c r="A40" s="114">
        <v>46062.0</v>
      </c>
      <c r="B40" s="115"/>
      <c r="C40" s="116">
        <f t="shared" si="3"/>
        <v>23994388.28</v>
      </c>
      <c r="D40" s="117">
        <f t="shared" si="10"/>
        <v>1271.415736</v>
      </c>
      <c r="E40" s="118">
        <f>IFERROR(__xludf.DUMMYFUNCTION("FILTER(CUENTAS!AB:AB,A40=CUENTAS!A:A)
"),2.7504710920412406E7)</f>
        <v>27504710.92</v>
      </c>
      <c r="F40" s="118">
        <f t="shared" si="11"/>
        <v>140518.9626</v>
      </c>
      <c r="G40" s="119">
        <f t="shared" si="6"/>
        <v>3514761.637</v>
      </c>
      <c r="H40" s="120">
        <f t="shared" si="7"/>
        <v>0.1276262327</v>
      </c>
      <c r="I40" s="4"/>
      <c r="J40" s="5"/>
      <c r="K40" s="5"/>
      <c r="L40" s="5"/>
      <c r="M40" s="5"/>
      <c r="N40" s="5"/>
      <c r="O40" s="5"/>
      <c r="P40" s="5"/>
      <c r="Q40" s="5"/>
      <c r="R40" s="5"/>
      <c r="S40" s="5"/>
      <c r="T40" s="5"/>
      <c r="U40" s="5"/>
      <c r="V40" s="5"/>
      <c r="W40" s="5"/>
      <c r="X40" s="5"/>
      <c r="Y40" s="5"/>
    </row>
    <row r="41">
      <c r="A41" s="114">
        <v>46061.0</v>
      </c>
      <c r="B41" s="115"/>
      <c r="C41" s="116">
        <f t="shared" si="3"/>
        <v>23994388.28</v>
      </c>
      <c r="D41" s="117">
        <f t="shared" si="10"/>
        <v>1271.415736</v>
      </c>
      <c r="E41" s="118">
        <f>IFERROR(__xludf.DUMMYFUNCTION("FILTER(CUENTAS!AB:AB,A41=CUENTAS!A:A)
"),2.7364191957822178E7)</f>
        <v>27364191.96</v>
      </c>
      <c r="F41" s="118">
        <f t="shared" si="11"/>
        <v>-6341.187474</v>
      </c>
      <c r="G41" s="119">
        <f t="shared" si="6"/>
        <v>3374242.675</v>
      </c>
      <c r="H41" s="120">
        <f t="shared" si="7"/>
        <v>0.1231464711</v>
      </c>
      <c r="I41" s="4"/>
      <c r="J41" s="5"/>
      <c r="K41" s="5"/>
      <c r="L41" s="5"/>
      <c r="M41" s="5"/>
      <c r="N41" s="5"/>
      <c r="O41" s="5"/>
      <c r="P41" s="5"/>
      <c r="Q41" s="5"/>
      <c r="R41" s="5"/>
      <c r="S41" s="5"/>
      <c r="T41" s="5"/>
      <c r="U41" s="5"/>
      <c r="V41" s="5"/>
      <c r="W41" s="5"/>
      <c r="X41" s="5"/>
      <c r="Y41" s="5"/>
    </row>
    <row r="42">
      <c r="A42" s="114">
        <v>46060.0</v>
      </c>
      <c r="B42" s="115"/>
      <c r="C42" s="116">
        <f t="shared" si="3"/>
        <v>23994388.28</v>
      </c>
      <c r="D42" s="117">
        <f t="shared" si="10"/>
        <v>1271.415736</v>
      </c>
      <c r="E42" s="118">
        <f>IFERROR(__xludf.DUMMYFUNCTION("FILTER(CUENTAS!AB:AB,A42=CUENTAS!A:A)
"),2.7370533145296037E7)</f>
        <v>27370533.15</v>
      </c>
      <c r="F42" s="118">
        <f t="shared" si="11"/>
        <v>-6341.337508</v>
      </c>
      <c r="G42" s="119">
        <f t="shared" si="6"/>
        <v>3380583.862</v>
      </c>
      <c r="H42" s="120">
        <f t="shared" si="7"/>
        <v>0.12334962</v>
      </c>
      <c r="I42" s="4"/>
      <c r="J42" s="5"/>
      <c r="K42" s="5"/>
      <c r="L42" s="5"/>
      <c r="M42" s="5"/>
      <c r="N42" s="5"/>
      <c r="O42" s="5"/>
      <c r="P42" s="5"/>
      <c r="Q42" s="5"/>
      <c r="R42" s="5"/>
      <c r="S42" s="5"/>
      <c r="T42" s="5"/>
      <c r="U42" s="5"/>
      <c r="V42" s="5"/>
      <c r="W42" s="5"/>
      <c r="X42" s="5"/>
      <c r="Y42" s="5"/>
    </row>
    <row r="43">
      <c r="A43" s="114">
        <v>46059.0</v>
      </c>
      <c r="B43" s="115"/>
      <c r="C43" s="116">
        <f t="shared" si="3"/>
        <v>23994388.28</v>
      </c>
      <c r="D43" s="117">
        <f t="shared" si="10"/>
        <v>1271.415736</v>
      </c>
      <c r="E43" s="118">
        <f>IFERROR(__xludf.DUMMYFUNCTION("FILTER(CUENTAS!AB:AB,A43=CUENTAS!A:A)
"),2.7376874482803974E7)</f>
        <v>27376874.48</v>
      </c>
      <c r="F43" s="118">
        <f t="shared" si="11"/>
        <v>198858.5125</v>
      </c>
      <c r="G43" s="119">
        <f t="shared" si="6"/>
        <v>3386925.2</v>
      </c>
      <c r="H43" s="120">
        <f t="shared" si="7"/>
        <v>0.1235526795</v>
      </c>
      <c r="I43" s="4"/>
      <c r="J43" s="5"/>
      <c r="K43" s="5"/>
      <c r="L43" s="5"/>
      <c r="M43" s="5"/>
      <c r="N43" s="5"/>
      <c r="O43" s="5"/>
      <c r="P43" s="5"/>
      <c r="Q43" s="5"/>
      <c r="R43" s="5"/>
      <c r="S43" s="5"/>
      <c r="T43" s="5"/>
      <c r="U43" s="5"/>
      <c r="V43" s="5"/>
      <c r="W43" s="5"/>
      <c r="X43" s="5"/>
      <c r="Y43" s="5"/>
    </row>
    <row r="44">
      <c r="A44" s="114">
        <v>46058.0</v>
      </c>
      <c r="B44" s="115"/>
      <c r="C44" s="116">
        <f t="shared" si="3"/>
        <v>23994388.28</v>
      </c>
      <c r="D44" s="117">
        <f t="shared" si="10"/>
        <v>1271.415736</v>
      </c>
      <c r="E44" s="118">
        <f>IFERROR(__xludf.DUMMYFUNCTION("FILTER(CUENTAS!AB:AB,A44=CUENTAS!A:A)
"),2.7178015970315985E7)</f>
        <v>27178015.97</v>
      </c>
      <c r="F44" s="118">
        <f t="shared" si="11"/>
        <v>-384581.6375</v>
      </c>
      <c r="G44" s="119">
        <f t="shared" si="6"/>
        <v>3188066.687</v>
      </c>
      <c r="H44" s="120">
        <f t="shared" si="7"/>
        <v>0.1171398122</v>
      </c>
      <c r="I44" s="4"/>
      <c r="J44" s="5"/>
      <c r="K44" s="5"/>
      <c r="L44" s="5"/>
      <c r="M44" s="5"/>
      <c r="N44" s="5"/>
      <c r="O44" s="5"/>
      <c r="P44" s="5"/>
      <c r="Q44" s="5"/>
      <c r="R44" s="5"/>
      <c r="S44" s="5"/>
      <c r="T44" s="5"/>
      <c r="U44" s="5"/>
      <c r="V44" s="5"/>
      <c r="W44" s="5"/>
      <c r="X44" s="5"/>
      <c r="Y44" s="5"/>
    </row>
    <row r="45">
      <c r="A45" s="114">
        <v>46057.0</v>
      </c>
      <c r="B45" s="115"/>
      <c r="C45" s="116">
        <f t="shared" si="3"/>
        <v>23994388.28</v>
      </c>
      <c r="D45" s="117">
        <f t="shared" si="10"/>
        <v>1271.415736</v>
      </c>
      <c r="E45" s="118">
        <f>IFERROR(__xludf.DUMMYFUNCTION("FILTER(CUENTAS!AB:AB,A45=CUENTAS!A:A)
"),2.756259760780207E7)</f>
        <v>27562597.61</v>
      </c>
      <c r="F45" s="118">
        <f t="shared" si="11"/>
        <v>-71881.78743</v>
      </c>
      <c r="G45" s="119">
        <f t="shared" si="6"/>
        <v>3572648.325</v>
      </c>
      <c r="H45" s="120">
        <f t="shared" si="7"/>
        <v>0.1294583833</v>
      </c>
      <c r="I45" s="4"/>
      <c r="J45" s="5"/>
      <c r="K45" s="5"/>
      <c r="L45" s="5"/>
      <c r="M45" s="5"/>
      <c r="N45" s="5"/>
      <c r="O45" s="5"/>
      <c r="P45" s="5"/>
      <c r="Q45" s="5"/>
      <c r="R45" s="5"/>
      <c r="S45" s="5"/>
      <c r="T45" s="5"/>
      <c r="U45" s="5"/>
      <c r="V45" s="5"/>
      <c r="W45" s="5"/>
      <c r="X45" s="5"/>
      <c r="Y45" s="5"/>
    </row>
    <row r="46">
      <c r="A46" s="114">
        <v>46056.0</v>
      </c>
      <c r="B46" s="115"/>
      <c r="C46" s="116">
        <f t="shared" si="3"/>
        <v>23994388.28</v>
      </c>
      <c r="D46" s="117">
        <f t="shared" si="10"/>
        <v>1271.415736</v>
      </c>
      <c r="E46" s="118">
        <f>IFERROR(__xludf.DUMMYFUNCTION("FILTER(CUENTAS!AB:AB,A46=CUENTAS!A:A)
"),2.7634479395232253E7)</f>
        <v>27634479.4</v>
      </c>
      <c r="F46" s="118">
        <f t="shared" si="11"/>
        <v>-2061.937344</v>
      </c>
      <c r="G46" s="119">
        <f t="shared" si="6"/>
        <v>3644530.112</v>
      </c>
      <c r="H46" s="120">
        <f t="shared" si="7"/>
        <v>0.131722804</v>
      </c>
      <c r="I46" s="4"/>
      <c r="J46" s="5"/>
      <c r="K46" s="5"/>
      <c r="L46" s="5"/>
      <c r="M46" s="5"/>
      <c r="N46" s="5"/>
      <c r="O46" s="5"/>
      <c r="P46" s="5"/>
      <c r="Q46" s="5"/>
      <c r="R46" s="5"/>
      <c r="S46" s="5"/>
      <c r="T46" s="5"/>
      <c r="U46" s="5"/>
      <c r="V46" s="5"/>
      <c r="W46" s="5"/>
      <c r="X46" s="5"/>
      <c r="Y46" s="5"/>
    </row>
    <row r="47">
      <c r="A47" s="114">
        <v>46055.0</v>
      </c>
      <c r="B47" s="115"/>
      <c r="C47" s="116">
        <f t="shared" si="3"/>
        <v>23994388.28</v>
      </c>
      <c r="D47" s="117">
        <f t="shared" si="10"/>
        <v>1271.415736</v>
      </c>
      <c r="E47" s="118">
        <f>IFERROR(__xludf.DUMMYFUNCTION("FILTER(CUENTAS!AB:AB,A47=CUENTAS!A:A)
"),2.7636541332576543E7)</f>
        <v>27636541.33</v>
      </c>
      <c r="F47" s="118">
        <f t="shared" si="11"/>
        <v>-217322.0872</v>
      </c>
      <c r="G47" s="119">
        <f t="shared" si="6"/>
        <v>3646592.049</v>
      </c>
      <c r="H47" s="120">
        <f t="shared" si="7"/>
        <v>0.1317875853</v>
      </c>
      <c r="I47" s="4"/>
      <c r="J47" s="5"/>
      <c r="K47" s="5"/>
      <c r="L47" s="5"/>
      <c r="M47" s="5"/>
      <c r="N47" s="5"/>
      <c r="O47" s="5"/>
      <c r="P47" s="5"/>
      <c r="Q47" s="5"/>
      <c r="R47" s="5"/>
      <c r="S47" s="5"/>
      <c r="T47" s="5"/>
      <c r="U47" s="5"/>
      <c r="V47" s="5"/>
      <c r="W47" s="5"/>
      <c r="X47" s="5"/>
      <c r="Y47" s="5"/>
    </row>
    <row r="48">
      <c r="A48" s="114">
        <v>46054.0</v>
      </c>
      <c r="B48" s="115"/>
      <c r="C48" s="116">
        <f t="shared" si="3"/>
        <v>23994388.28</v>
      </c>
      <c r="D48" s="117">
        <f t="shared" si="10"/>
        <v>1271.415736</v>
      </c>
      <c r="E48" s="118">
        <f>IFERROR(__xludf.DUMMYFUNCTION("FILTER(CUENTAS!AB:AB,A48=CUENTAS!A:A)
"),2.7853863419804964E7)</f>
        <v>27853863.42</v>
      </c>
      <c r="F48" s="118">
        <f t="shared" si="11"/>
        <v>-42.23708258</v>
      </c>
      <c r="G48" s="119">
        <f t="shared" si="6"/>
        <v>3863914.137</v>
      </c>
      <c r="H48" s="120">
        <f t="shared" si="7"/>
        <v>0.1385615733</v>
      </c>
      <c r="I48" s="4"/>
      <c r="J48" s="5"/>
      <c r="K48" s="5"/>
      <c r="L48" s="5"/>
      <c r="M48" s="5"/>
      <c r="N48" s="5"/>
      <c r="O48" s="5"/>
      <c r="P48" s="5"/>
      <c r="Q48" s="5"/>
      <c r="R48" s="5"/>
      <c r="S48" s="5"/>
      <c r="T48" s="5"/>
      <c r="U48" s="5"/>
      <c r="V48" s="5"/>
      <c r="W48" s="5"/>
      <c r="X48" s="5"/>
      <c r="Y48" s="5"/>
    </row>
    <row r="49">
      <c r="A49" s="114">
        <v>46053.0</v>
      </c>
      <c r="B49" s="115"/>
      <c r="C49" s="116">
        <f t="shared" si="3"/>
        <v>23994388.28</v>
      </c>
      <c r="D49" s="117">
        <f t="shared" si="10"/>
        <v>1271.415736</v>
      </c>
      <c r="E49" s="118">
        <f>IFERROR(__xludf.DUMMYFUNCTION("FILTER(CUENTAS!AB:AB,A49=CUENTAS!A:A)
"),2.7853905656887542E7)</f>
        <v>27853905.66</v>
      </c>
      <c r="F49" s="118">
        <f t="shared" si="11"/>
        <v>-26742.38691</v>
      </c>
      <c r="G49" s="119">
        <f t="shared" si="6"/>
        <v>3863956.374</v>
      </c>
      <c r="H49" s="120">
        <f t="shared" si="7"/>
        <v>0.1385628795</v>
      </c>
      <c r="I49" s="4"/>
      <c r="J49" s="5"/>
      <c r="K49" s="5"/>
      <c r="L49" s="5"/>
      <c r="M49" s="5"/>
      <c r="N49" s="5"/>
      <c r="O49" s="5"/>
      <c r="P49" s="5"/>
      <c r="Q49" s="5"/>
      <c r="R49" s="5"/>
      <c r="S49" s="5"/>
      <c r="T49" s="5"/>
      <c r="U49" s="5"/>
      <c r="V49" s="5"/>
      <c r="W49" s="5"/>
      <c r="X49" s="5"/>
      <c r="Y49" s="5"/>
    </row>
    <row r="50">
      <c r="A50" s="114">
        <v>46052.0</v>
      </c>
      <c r="B50" s="115"/>
      <c r="C50" s="116">
        <f t="shared" si="3"/>
        <v>23994388.28</v>
      </c>
      <c r="D50" s="117">
        <f t="shared" si="10"/>
        <v>1271.415736</v>
      </c>
      <c r="E50" s="118">
        <f>IFERROR(__xludf.DUMMYFUNCTION("FILTER(CUENTAS!AB:AB,A50=CUENTAS!A:A)
"),2.7880648043794326E7)</f>
        <v>27880648.04</v>
      </c>
      <c r="F50" s="118">
        <f t="shared" si="11"/>
        <v>33537.4633</v>
      </c>
      <c r="G50" s="119">
        <f t="shared" si="6"/>
        <v>3890698.761</v>
      </c>
      <c r="H50" s="120">
        <f t="shared" si="7"/>
        <v>0.1393891474</v>
      </c>
      <c r="I50" s="4"/>
      <c r="J50" s="5"/>
      <c r="K50" s="5"/>
      <c r="L50" s="5"/>
      <c r="M50" s="5"/>
      <c r="N50" s="5"/>
      <c r="O50" s="5"/>
      <c r="P50" s="5"/>
      <c r="Q50" s="5"/>
      <c r="R50" s="5"/>
      <c r="S50" s="5"/>
      <c r="T50" s="5"/>
      <c r="U50" s="5"/>
      <c r="V50" s="5"/>
      <c r="W50" s="5"/>
      <c r="X50" s="5"/>
      <c r="Y50" s="5"/>
    </row>
    <row r="51">
      <c r="A51" s="114">
        <v>46051.0</v>
      </c>
      <c r="B51" s="121">
        <v>1000000.0</v>
      </c>
      <c r="C51" s="116">
        <f t="shared" si="3"/>
        <v>23994388.28</v>
      </c>
      <c r="D51" s="117">
        <f>IF(E51="","",D52)+45.04911</f>
        <v>1271.415736</v>
      </c>
      <c r="E51" s="118">
        <f>IFERROR(__xludf.DUMMYFUNCTION("FILTER(CUENTAS!AB:AB,A51=CUENTAS!A:A)
"),2.7847110580495346E7)</f>
        <v>27847110.58</v>
      </c>
      <c r="F51" s="118">
        <f t="shared" si="11"/>
        <v>-232662.6865</v>
      </c>
      <c r="G51" s="119">
        <f t="shared" si="6"/>
        <v>3857161.297</v>
      </c>
      <c r="H51" s="120">
        <f t="shared" si="7"/>
        <v>0.1383526771</v>
      </c>
      <c r="I51" s="4"/>
      <c r="J51" s="5"/>
      <c r="K51" s="5"/>
      <c r="L51" s="5"/>
      <c r="M51" s="5"/>
      <c r="N51" s="5"/>
      <c r="O51" s="5"/>
      <c r="P51" s="5"/>
      <c r="Q51" s="5"/>
      <c r="R51" s="5"/>
      <c r="S51" s="5"/>
      <c r="T51" s="5"/>
      <c r="U51" s="5"/>
      <c r="V51" s="5"/>
      <c r="W51" s="5"/>
      <c r="X51" s="5"/>
      <c r="Y51" s="5"/>
    </row>
    <row r="52">
      <c r="A52" s="114">
        <v>46050.0</v>
      </c>
      <c r="B52" s="115"/>
      <c r="C52" s="116">
        <f t="shared" si="3"/>
        <v>22994388.28</v>
      </c>
      <c r="D52" s="117">
        <f t="shared" ref="D52:D54" si="12">IF(E52="","",D53)</f>
        <v>1226.366626</v>
      </c>
      <c r="E52" s="118">
        <f>IFERROR(__xludf.DUMMYFUNCTION("FILTER(CUENTAS!AB:AB,A52=CUENTAS!A:A)
"),2.7079773266960647E7)</f>
        <v>27079773.27</v>
      </c>
      <c r="F52" s="118">
        <f t="shared" si="11"/>
        <v>119257.1638</v>
      </c>
      <c r="G52" s="119">
        <f t="shared" si="6"/>
        <v>4089823.984</v>
      </c>
      <c r="H52" s="120">
        <f t="shared" si="7"/>
        <v>0.150864815</v>
      </c>
      <c r="I52" s="4"/>
      <c r="J52" s="5"/>
      <c r="K52" s="5"/>
      <c r="L52" s="5"/>
      <c r="M52" s="5"/>
      <c r="N52" s="5"/>
      <c r="O52" s="5"/>
      <c r="P52" s="5"/>
      <c r="Q52" s="5"/>
      <c r="R52" s="5"/>
      <c r="S52" s="5"/>
      <c r="T52" s="5"/>
      <c r="U52" s="5"/>
      <c r="V52" s="5"/>
      <c r="W52" s="5"/>
      <c r="X52" s="5"/>
      <c r="Y52" s="5"/>
    </row>
    <row r="53">
      <c r="A53" s="114">
        <v>46049.0</v>
      </c>
      <c r="B53" s="115"/>
      <c r="C53" s="116">
        <f t="shared" si="3"/>
        <v>22994388.28</v>
      </c>
      <c r="D53" s="117">
        <f t="shared" si="12"/>
        <v>1226.366626</v>
      </c>
      <c r="E53" s="118">
        <f>IFERROR(__xludf.DUMMYFUNCTION("FILTER(CUENTAS!AB:AB,A53=CUENTAS!A:A)
"),2.6960516103160284E7)</f>
        <v>26960516.1</v>
      </c>
      <c r="F53" s="118">
        <f t="shared" si="11"/>
        <v>-21322.9859</v>
      </c>
      <c r="G53" s="119">
        <f t="shared" si="6"/>
        <v>3970566.82</v>
      </c>
      <c r="H53" s="120">
        <f t="shared" si="7"/>
        <v>0.1471087499</v>
      </c>
      <c r="I53" s="4"/>
      <c r="J53" s="5"/>
      <c r="K53" s="5"/>
      <c r="L53" s="5"/>
      <c r="M53" s="5"/>
      <c r="N53" s="5"/>
      <c r="O53" s="5"/>
      <c r="P53" s="5"/>
      <c r="Q53" s="5"/>
      <c r="R53" s="5"/>
      <c r="S53" s="5"/>
      <c r="T53" s="5"/>
      <c r="U53" s="5"/>
      <c r="V53" s="5"/>
      <c r="W53" s="5"/>
      <c r="X53" s="5"/>
      <c r="Y53" s="5"/>
    </row>
    <row r="54">
      <c r="A54" s="114">
        <v>46048.0</v>
      </c>
      <c r="B54" s="115"/>
      <c r="C54" s="116">
        <f t="shared" si="3"/>
        <v>22994388.28</v>
      </c>
      <c r="D54" s="117">
        <f t="shared" si="12"/>
        <v>1226.366626</v>
      </c>
      <c r="E54" s="118">
        <f>IFERROR(__xludf.DUMMYFUNCTION("FILTER(CUENTAS!AB:AB,A54=CUENTAS!A:A)
"),2.698183908906432E7)</f>
        <v>26981839.09</v>
      </c>
      <c r="F54" s="118">
        <f t="shared" si="11"/>
        <v>143956.8644</v>
      </c>
      <c r="G54" s="119">
        <f t="shared" si="6"/>
        <v>3991889.806</v>
      </c>
      <c r="H54" s="120">
        <f t="shared" si="7"/>
        <v>0.1477827658</v>
      </c>
      <c r="I54" s="4"/>
      <c r="J54" s="5"/>
      <c r="K54" s="5"/>
      <c r="L54" s="5"/>
      <c r="M54" s="5"/>
      <c r="N54" s="5"/>
      <c r="O54" s="5"/>
      <c r="P54" s="5"/>
      <c r="Q54" s="5"/>
      <c r="R54" s="5"/>
      <c r="S54" s="5"/>
      <c r="T54" s="5"/>
      <c r="U54" s="5"/>
      <c r="V54" s="5"/>
      <c r="W54" s="5"/>
      <c r="X54" s="5"/>
      <c r="Y54" s="5"/>
    </row>
    <row r="55">
      <c r="A55" s="114">
        <v>46047.0</v>
      </c>
      <c r="B55" s="121">
        <v>230000.0</v>
      </c>
      <c r="C55" s="116">
        <f t="shared" si="3"/>
        <v>22994388.28</v>
      </c>
      <c r="D55" s="117">
        <f>IF(E55="","",D56)+1.351755+9.0117</f>
        <v>1226.366626</v>
      </c>
      <c r="E55" s="118">
        <f>IFERROR(__xludf.DUMMYFUNCTION("FILTER(CUENTAS!AB:AB,A55=CUENTAS!A:A)
"),2.6837882224642817E7)</f>
        <v>26837882.22</v>
      </c>
      <c r="F55" s="118">
        <f t="shared" si="11"/>
        <v>4956.714777</v>
      </c>
      <c r="G55" s="119">
        <f t="shared" si="6"/>
        <v>3847932.942</v>
      </c>
      <c r="H55" s="120">
        <f t="shared" si="7"/>
        <v>0.1432115213</v>
      </c>
      <c r="I55" s="4"/>
      <c r="J55" s="5"/>
      <c r="K55" s="5"/>
      <c r="L55" s="5"/>
      <c r="M55" s="5"/>
      <c r="N55" s="5"/>
      <c r="O55" s="5"/>
      <c r="P55" s="5"/>
      <c r="Q55" s="5"/>
      <c r="R55" s="5"/>
      <c r="S55" s="5"/>
      <c r="T55" s="5"/>
      <c r="U55" s="5"/>
      <c r="V55" s="5"/>
      <c r="W55" s="5"/>
      <c r="X55" s="5"/>
      <c r="Y55" s="5"/>
    </row>
    <row r="56">
      <c r="A56" s="114">
        <v>46046.0</v>
      </c>
      <c r="B56" s="115"/>
      <c r="C56" s="116">
        <f t="shared" si="3"/>
        <v>22764388.28</v>
      </c>
      <c r="D56" s="117">
        <f t="shared" ref="D56:D61" si="13">IF(E56="","",D57)</f>
        <v>1216.003171</v>
      </c>
      <c r="E56" s="118">
        <f>IFERROR(__xludf.DUMMYFUNCTION("FILTER(CUENTAS!AB:AB,A56=CUENTAS!A:A)
"),2.6602925509865843E7)</f>
        <v>26602925.51</v>
      </c>
      <c r="F56" s="118">
        <f t="shared" si="11"/>
        <v>4956.565162</v>
      </c>
      <c r="G56" s="119">
        <f t="shared" si="6"/>
        <v>3842976.227</v>
      </c>
      <c r="H56" s="120">
        <f t="shared" si="7"/>
        <v>0.1442900415</v>
      </c>
      <c r="I56" s="4"/>
      <c r="J56" s="5"/>
      <c r="K56" s="5"/>
      <c r="L56" s="5"/>
      <c r="M56" s="5"/>
      <c r="N56" s="5"/>
      <c r="O56" s="5"/>
      <c r="P56" s="5"/>
      <c r="Q56" s="5"/>
      <c r="R56" s="5"/>
      <c r="S56" s="5"/>
      <c r="T56" s="5"/>
      <c r="U56" s="5"/>
      <c r="V56" s="5"/>
      <c r="W56" s="5"/>
      <c r="X56" s="5"/>
      <c r="Y56" s="5"/>
    </row>
    <row r="57">
      <c r="A57" s="114">
        <v>46045.0</v>
      </c>
      <c r="B57" s="115"/>
      <c r="C57" s="116">
        <f t="shared" si="3"/>
        <v>22764388.28</v>
      </c>
      <c r="D57" s="117">
        <f t="shared" si="13"/>
        <v>1216.003171</v>
      </c>
      <c r="E57" s="118">
        <f>IFERROR(__xludf.DUMMYFUNCTION("FILTER(CUENTAS!AB:AB,A57=CUENTAS!A:A)
"),2.6597968944703486E7)</f>
        <v>26597968.94</v>
      </c>
      <c r="F57" s="118">
        <f t="shared" si="11"/>
        <v>180856.4156</v>
      </c>
      <c r="G57" s="119">
        <f t="shared" si="6"/>
        <v>3838019.662</v>
      </c>
      <c r="H57" s="120">
        <f t="shared" si="7"/>
        <v>0.1441305789</v>
      </c>
      <c r="I57" s="4"/>
      <c r="J57" s="5"/>
      <c r="K57" s="5"/>
      <c r="L57" s="5"/>
      <c r="M57" s="5"/>
      <c r="N57" s="5"/>
      <c r="O57" s="5"/>
      <c r="P57" s="5"/>
      <c r="Q57" s="5"/>
      <c r="R57" s="5"/>
      <c r="S57" s="5"/>
      <c r="T57" s="5"/>
      <c r="U57" s="5"/>
      <c r="V57" s="5"/>
      <c r="W57" s="5"/>
      <c r="X57" s="5"/>
      <c r="Y57" s="5"/>
    </row>
    <row r="58">
      <c r="A58" s="114">
        <v>46044.0</v>
      </c>
      <c r="B58" s="115"/>
      <c r="C58" s="116">
        <f t="shared" si="3"/>
        <v>22764388.28</v>
      </c>
      <c r="D58" s="117">
        <f t="shared" si="13"/>
        <v>1216.003171</v>
      </c>
      <c r="E58" s="118">
        <f>IFERROR(__xludf.DUMMYFUNCTION("FILTER(CUENTAS!AB:AB,A58=CUENTAS!A:A)
"),2.6417112529125817E7)</f>
        <v>26417112.53</v>
      </c>
      <c r="F58" s="118">
        <f t="shared" si="11"/>
        <v>-45170.73398</v>
      </c>
      <c r="G58" s="119">
        <f t="shared" si="6"/>
        <v>3657163.246</v>
      </c>
      <c r="H58" s="120">
        <f t="shared" si="7"/>
        <v>0.1382711393</v>
      </c>
      <c r="I58" s="4"/>
      <c r="J58" s="5"/>
      <c r="K58" s="5"/>
      <c r="L58" s="5"/>
      <c r="M58" s="5"/>
      <c r="N58" s="5"/>
      <c r="O58" s="5"/>
      <c r="P58" s="5"/>
      <c r="Q58" s="5"/>
      <c r="R58" s="5"/>
      <c r="S58" s="5"/>
      <c r="T58" s="5"/>
      <c r="U58" s="5"/>
      <c r="V58" s="5"/>
      <c r="W58" s="5"/>
      <c r="X58" s="5"/>
      <c r="Y58" s="5"/>
    </row>
    <row r="59">
      <c r="A59" s="114">
        <v>46043.0</v>
      </c>
      <c r="B59" s="115"/>
      <c r="C59" s="116">
        <f t="shared" si="3"/>
        <v>22764388.28</v>
      </c>
      <c r="D59" s="117">
        <f t="shared" si="13"/>
        <v>1216.003171</v>
      </c>
      <c r="E59" s="118">
        <f>IFERROR(__xludf.DUMMYFUNCTION("FILTER(CUENTAS!AB:AB,A59=CUENTAS!A:A)
"),2.6462283263102937E7)</f>
        <v>26462283.26</v>
      </c>
      <c r="F59" s="118">
        <f t="shared" si="11"/>
        <v>158389.1165</v>
      </c>
      <c r="G59" s="119">
        <f t="shared" si="6"/>
        <v>3702333.98</v>
      </c>
      <c r="H59" s="120">
        <f t="shared" si="7"/>
        <v>0.139742098</v>
      </c>
      <c r="I59" s="4"/>
      <c r="J59" s="5"/>
      <c r="K59" s="5"/>
      <c r="L59" s="5"/>
      <c r="M59" s="5"/>
      <c r="N59" s="5"/>
      <c r="O59" s="5"/>
      <c r="P59" s="5"/>
      <c r="Q59" s="5"/>
      <c r="R59" s="5"/>
      <c r="S59" s="5"/>
      <c r="T59" s="5"/>
      <c r="U59" s="5"/>
      <c r="V59" s="5"/>
      <c r="W59" s="5"/>
      <c r="X59" s="5"/>
      <c r="Y59" s="5"/>
    </row>
    <row r="60">
      <c r="A60" s="114">
        <v>46042.0</v>
      </c>
      <c r="B60" s="115"/>
      <c r="C60" s="116">
        <f t="shared" si="3"/>
        <v>22764388.28</v>
      </c>
      <c r="D60" s="117">
        <f t="shared" si="13"/>
        <v>1216.003171</v>
      </c>
      <c r="E60" s="118">
        <f>IFERROR(__xludf.DUMMYFUNCTION("FILTER(CUENTAS!AB:AB,A60=CUENTAS!A:A)
"),2.630389414660493E7)</f>
        <v>26303894.15</v>
      </c>
      <c r="F60" s="118">
        <f t="shared" si="11"/>
        <v>156844.967</v>
      </c>
      <c r="G60" s="119">
        <f t="shared" si="6"/>
        <v>3543944.864</v>
      </c>
      <c r="H60" s="120">
        <f t="shared" si="7"/>
        <v>0.1345620479</v>
      </c>
      <c r="I60" s="4"/>
      <c r="J60" s="5"/>
      <c r="K60" s="5"/>
      <c r="L60" s="5"/>
      <c r="M60" s="5"/>
      <c r="N60" s="5"/>
      <c r="O60" s="5"/>
      <c r="P60" s="5"/>
      <c r="Q60" s="5"/>
      <c r="R60" s="5"/>
      <c r="S60" s="5"/>
      <c r="T60" s="5"/>
      <c r="U60" s="5"/>
      <c r="V60" s="5"/>
      <c r="W60" s="5"/>
      <c r="X60" s="5"/>
      <c r="Y60" s="5"/>
    </row>
    <row r="61">
      <c r="A61" s="114">
        <v>46041.0</v>
      </c>
      <c r="B61" s="121">
        <v>938913.387</v>
      </c>
      <c r="C61" s="116">
        <f t="shared" si="3"/>
        <v>22764388.28</v>
      </c>
      <c r="D61" s="117">
        <f t="shared" si="13"/>
        <v>1216.003171</v>
      </c>
      <c r="E61" s="118">
        <f>IFERROR(__xludf.DUMMYFUNCTION("FILTER(CUENTAS!AB:AB,A61=CUENTAS!A:A)
"),2.61470491796019E7)</f>
        <v>26147049.18</v>
      </c>
      <c r="F61" s="118">
        <f>(IF(E61&lt;&gt;0,E61-E62,""))</f>
        <v>207384.8175</v>
      </c>
      <c r="G61" s="119">
        <f>IF(E61="","",G62+F61)-B61-250607</f>
        <v>3387099.897</v>
      </c>
      <c r="H61" s="120">
        <f t="shared" si="7"/>
        <v>0.1293706557</v>
      </c>
      <c r="I61" s="4"/>
      <c r="J61" s="5"/>
      <c r="K61" s="5"/>
      <c r="L61" s="5"/>
      <c r="M61" s="5"/>
      <c r="N61" s="5"/>
      <c r="O61" s="5"/>
      <c r="P61" s="5"/>
      <c r="Q61" s="5"/>
      <c r="R61" s="5"/>
      <c r="S61" s="5"/>
      <c r="T61" s="5"/>
      <c r="U61" s="5"/>
      <c r="V61" s="5"/>
      <c r="W61" s="5"/>
      <c r="X61" s="5"/>
      <c r="Y61" s="5"/>
    </row>
    <row r="62">
      <c r="A62" s="114">
        <v>46040.0</v>
      </c>
      <c r="B62" s="121">
        <v>200000.0</v>
      </c>
      <c r="C62" s="116">
        <f t="shared" si="3"/>
        <v>21825474.9</v>
      </c>
      <c r="D62" s="117">
        <f>IF(E62="","",D63)+9.24064</f>
        <v>1216.003171</v>
      </c>
      <c r="E62" s="118">
        <f>IFERROR(__xludf.DUMMYFUNCTION("FILTER(CUENTAS!AB:AB,A62=CUENTAS!A:A)
"),2.593966436206395E7)</f>
        <v>25939664.36</v>
      </c>
      <c r="F62" s="118">
        <f t="shared" ref="F62:F101" si="14">(IF(E62&lt;&gt;0,E62-E63-B62,""))</f>
        <v>5574.666103</v>
      </c>
      <c r="G62" s="119">
        <f t="shared" ref="G62:G101" si="15">IF(E62="","",G63+F62)</f>
        <v>4369235.466</v>
      </c>
      <c r="H62" s="120">
        <f t="shared" si="7"/>
        <v>0.158606118</v>
      </c>
      <c r="I62" s="4"/>
      <c r="J62" s="5"/>
      <c r="K62" s="5"/>
      <c r="L62" s="5"/>
      <c r="M62" s="5"/>
      <c r="N62" s="5"/>
      <c r="O62" s="5"/>
      <c r="P62" s="5"/>
      <c r="Q62" s="5"/>
      <c r="R62" s="5"/>
      <c r="S62" s="5"/>
      <c r="T62" s="5"/>
      <c r="U62" s="5"/>
      <c r="V62" s="5"/>
      <c r="W62" s="5"/>
      <c r="X62" s="5"/>
      <c r="Y62" s="5"/>
    </row>
    <row r="63">
      <c r="A63" s="114">
        <v>46039.0</v>
      </c>
      <c r="B63" s="121">
        <f>-1245186.2+39230</f>
        <v>-1205956.2</v>
      </c>
      <c r="C63" s="116">
        <f t="shared" si="3"/>
        <v>21625474.9</v>
      </c>
      <c r="D63" s="117">
        <f>IF(E63="","",D64)-57.54239+1.812892</f>
        <v>1206.762531</v>
      </c>
      <c r="E63" s="118">
        <f>IFERROR(__xludf.DUMMYFUNCTION("FILTER(CUENTAS!AB:AB,A63=CUENTAS!A:A)
"),2.573408969596081E7)</f>
        <v>25734089.7</v>
      </c>
      <c r="F63" s="118">
        <f t="shared" si="14"/>
        <v>5674.514699</v>
      </c>
      <c r="G63" s="119">
        <f t="shared" si="15"/>
        <v>4363660.8</v>
      </c>
      <c r="H63" s="120">
        <f t="shared" si="7"/>
        <v>0.1596565042</v>
      </c>
      <c r="I63" s="4"/>
      <c r="J63" s="5"/>
      <c r="K63" s="5"/>
      <c r="L63" s="5"/>
      <c r="M63" s="5"/>
      <c r="N63" s="5"/>
      <c r="O63" s="5"/>
      <c r="P63" s="5"/>
      <c r="Q63" s="5"/>
      <c r="R63" s="5"/>
      <c r="S63" s="5"/>
      <c r="T63" s="5"/>
      <c r="U63" s="5"/>
      <c r="V63" s="5"/>
      <c r="W63" s="5"/>
      <c r="X63" s="5"/>
      <c r="Y63" s="5"/>
    </row>
    <row r="64">
      <c r="A64" s="114">
        <v>46038.0</v>
      </c>
      <c r="B64" s="115"/>
      <c r="C64" s="116">
        <f t="shared" si="3"/>
        <v>22831431.1</v>
      </c>
      <c r="D64" s="117">
        <f t="shared" ref="D64:D66" si="16">IF(E64="","",D65)</f>
        <v>1262.492029</v>
      </c>
      <c r="E64" s="118">
        <f>IFERROR(__xludf.DUMMYFUNCTION("FILTER(CUENTAS!AB:AB,A64=CUENTAS!A:A)
"),2.6934371381262176E7)</f>
        <v>26934371.38</v>
      </c>
      <c r="F64" s="118">
        <f t="shared" si="14"/>
        <v>300764.3633</v>
      </c>
      <c r="G64" s="119">
        <f t="shared" si="15"/>
        <v>4357986.285</v>
      </c>
      <c r="H64" s="120">
        <f t="shared" si="7"/>
        <v>0.1523310207</v>
      </c>
      <c r="I64" s="4"/>
      <c r="J64" s="5"/>
      <c r="K64" s="5"/>
      <c r="L64" s="5"/>
      <c r="M64" s="5"/>
      <c r="N64" s="5"/>
      <c r="O64" s="5"/>
      <c r="P64" s="5"/>
      <c r="Q64" s="5"/>
      <c r="R64" s="5"/>
      <c r="S64" s="5"/>
      <c r="T64" s="5"/>
      <c r="U64" s="5"/>
      <c r="V64" s="5"/>
      <c r="W64" s="5"/>
      <c r="X64" s="5"/>
      <c r="Y64" s="5"/>
    </row>
    <row r="65">
      <c r="A65" s="114">
        <v>46037.0</v>
      </c>
      <c r="B65" s="115"/>
      <c r="C65" s="116">
        <f t="shared" si="3"/>
        <v>22831431.1</v>
      </c>
      <c r="D65" s="117">
        <f t="shared" si="16"/>
        <v>1262.492029</v>
      </c>
      <c r="E65" s="118">
        <f>IFERROR(__xludf.DUMMYFUNCTION("FILTER(CUENTAS!AB:AB,A65=CUENTAS!A:A)
"),2.663360701793779E7)</f>
        <v>26633607.02</v>
      </c>
      <c r="F65" s="118">
        <f t="shared" si="14"/>
        <v>111024.212</v>
      </c>
      <c r="G65" s="119">
        <f t="shared" si="15"/>
        <v>4057221.922</v>
      </c>
      <c r="H65" s="120">
        <f t="shared" si="7"/>
        <v>0.1427585801</v>
      </c>
      <c r="I65" s="4"/>
      <c r="J65" s="5"/>
      <c r="K65" s="5"/>
      <c r="L65" s="5"/>
      <c r="M65" s="5"/>
      <c r="N65" s="5"/>
      <c r="O65" s="5"/>
      <c r="P65" s="5"/>
      <c r="Q65" s="5"/>
      <c r="R65" s="5"/>
      <c r="S65" s="5"/>
      <c r="T65" s="5"/>
      <c r="U65" s="5"/>
      <c r="V65" s="5"/>
      <c r="W65" s="5"/>
      <c r="X65" s="5"/>
      <c r="Y65" s="5"/>
    </row>
    <row r="66">
      <c r="A66" s="114">
        <v>46036.0</v>
      </c>
      <c r="B66" s="115"/>
      <c r="C66" s="116">
        <f t="shared" si="3"/>
        <v>22831431.1</v>
      </c>
      <c r="D66" s="117">
        <f t="shared" si="16"/>
        <v>1262.492029</v>
      </c>
      <c r="E66" s="118">
        <f>IFERROR(__xludf.DUMMYFUNCTION("FILTER(CUENTAS!AB:AB,A66=CUENTAS!A:A)
"),2.652258280595738E7)</f>
        <v>26522582.81</v>
      </c>
      <c r="F66" s="118">
        <f t="shared" si="14"/>
        <v>13404.06067</v>
      </c>
      <c r="G66" s="119">
        <f t="shared" si="15"/>
        <v>3946197.71</v>
      </c>
      <c r="H66" s="120">
        <f t="shared" si="7"/>
        <v>0.1391701456</v>
      </c>
      <c r="I66" s="122"/>
      <c r="J66" s="5"/>
      <c r="K66" s="5"/>
      <c r="L66" s="5"/>
      <c r="M66" s="5"/>
      <c r="N66" s="5"/>
      <c r="O66" s="5"/>
      <c r="P66" s="5"/>
      <c r="Q66" s="5"/>
      <c r="R66" s="5"/>
      <c r="S66" s="5"/>
      <c r="T66" s="5"/>
      <c r="U66" s="5"/>
      <c r="V66" s="5"/>
      <c r="W66" s="5"/>
      <c r="X66" s="5"/>
      <c r="Y66" s="5"/>
    </row>
    <row r="67">
      <c r="A67" s="114">
        <v>46035.0</v>
      </c>
      <c r="B67" s="121">
        <v>50000.0</v>
      </c>
      <c r="C67" s="116">
        <f t="shared" si="3"/>
        <v>22831431.1</v>
      </c>
      <c r="D67" s="117">
        <f>IF(E67="","",D68)+2.347643</f>
        <v>1262.492029</v>
      </c>
      <c r="E67" s="118">
        <f>IFERROR(__xludf.DUMMYFUNCTION("FILTER(CUENTAS!AB:AB,A67=CUENTAS!A:A)
"),2.650917874529068E7)</f>
        <v>26509178.75</v>
      </c>
      <c r="F67" s="118">
        <f t="shared" si="14"/>
        <v>-55596.09062</v>
      </c>
      <c r="G67" s="119">
        <f t="shared" si="15"/>
        <v>3932793.649</v>
      </c>
      <c r="H67" s="120">
        <f t="shared" si="7"/>
        <v>0.1387348769</v>
      </c>
      <c r="I67" s="122"/>
      <c r="J67" s="5"/>
      <c r="K67" s="5"/>
      <c r="L67" s="5"/>
      <c r="M67" s="5"/>
      <c r="N67" s="5"/>
      <c r="O67" s="5"/>
      <c r="P67" s="5"/>
      <c r="Q67" s="5"/>
      <c r="R67" s="5"/>
      <c r="S67" s="5"/>
      <c r="T67" s="5"/>
      <c r="U67" s="5"/>
      <c r="V67" s="5"/>
      <c r="W67" s="5"/>
      <c r="X67" s="5"/>
      <c r="Y67" s="5"/>
    </row>
    <row r="68">
      <c r="A68" s="114">
        <v>46034.0</v>
      </c>
      <c r="B68" s="115"/>
      <c r="C68" s="116">
        <f t="shared" si="3"/>
        <v>22781431.1</v>
      </c>
      <c r="D68" s="117">
        <f t="shared" ref="D68:D78" si="17">IF(E68="","",D69)</f>
        <v>1260.144386</v>
      </c>
      <c r="E68" s="118">
        <f>IFERROR(__xludf.DUMMYFUNCTION("FILTER(CUENTAS!AB:AB,A68=CUENTAS!A:A)
"),2.6514774835907433E7)</f>
        <v>26514774.84</v>
      </c>
      <c r="F68" s="118">
        <f t="shared" si="14"/>
        <v>5143.75813</v>
      </c>
      <c r="G68" s="119">
        <f t="shared" si="15"/>
        <v>3988389.74</v>
      </c>
      <c r="H68" s="120">
        <f t="shared" si="7"/>
        <v>0.1408023927</v>
      </c>
      <c r="I68" s="122"/>
      <c r="J68" s="5"/>
      <c r="K68" s="5"/>
      <c r="L68" s="5"/>
      <c r="M68" s="5"/>
      <c r="N68" s="5"/>
      <c r="O68" s="5"/>
      <c r="P68" s="5"/>
      <c r="Q68" s="5"/>
      <c r="R68" s="5"/>
      <c r="S68" s="5"/>
      <c r="T68" s="5"/>
      <c r="U68" s="5"/>
      <c r="V68" s="5"/>
      <c r="W68" s="5"/>
      <c r="X68" s="5"/>
      <c r="Y68" s="5"/>
    </row>
    <row r="69">
      <c r="A69" s="114">
        <v>46033.0</v>
      </c>
      <c r="B69" s="115"/>
      <c r="C69" s="116">
        <f t="shared" si="3"/>
        <v>22781431.1</v>
      </c>
      <c r="D69" s="117">
        <f t="shared" si="17"/>
        <v>1260.144386</v>
      </c>
      <c r="E69" s="118">
        <f>IFERROR(__xludf.DUMMYFUNCTION("FILTER(CUENTAS!AB:AB,A69=CUENTAS!A:A)
"),2.6509631077777393E7)</f>
        <v>26509631.08</v>
      </c>
      <c r="F69" s="118">
        <f t="shared" si="14"/>
        <v>5143.606907</v>
      </c>
      <c r="G69" s="119">
        <f t="shared" si="15"/>
        <v>3983245.982</v>
      </c>
      <c r="H69" s="120">
        <f t="shared" si="7"/>
        <v>0.1406356796</v>
      </c>
      <c r="I69" s="122"/>
      <c r="J69" s="5"/>
      <c r="K69" s="123"/>
      <c r="L69" s="5"/>
      <c r="M69" s="5"/>
      <c r="N69" s="5"/>
      <c r="O69" s="5"/>
      <c r="P69" s="5"/>
      <c r="Q69" s="5"/>
      <c r="R69" s="5"/>
      <c r="S69" s="5"/>
      <c r="T69" s="5"/>
      <c r="U69" s="5"/>
      <c r="V69" s="5"/>
      <c r="W69" s="5"/>
      <c r="X69" s="5"/>
      <c r="Y69" s="5"/>
    </row>
    <row r="70">
      <c r="A70" s="114">
        <v>46032.0</v>
      </c>
      <c r="B70" s="115"/>
      <c r="C70" s="116">
        <f t="shared" si="3"/>
        <v>22781431.1</v>
      </c>
      <c r="D70" s="117">
        <f t="shared" si="17"/>
        <v>1260.144386</v>
      </c>
      <c r="E70" s="118">
        <f>IFERROR(__xludf.DUMMYFUNCTION("FILTER(CUENTAS!AB:AB,A70=CUENTAS!A:A)
"),2.6504487470870305E7)</f>
        <v>26504487.47</v>
      </c>
      <c r="F70" s="118">
        <f t="shared" si="14"/>
        <v>5143.455714</v>
      </c>
      <c r="G70" s="119">
        <f t="shared" si="15"/>
        <v>3978102.375</v>
      </c>
      <c r="H70" s="120">
        <f t="shared" si="7"/>
        <v>0.1404689066</v>
      </c>
      <c r="I70" s="122"/>
      <c r="J70" s="5"/>
      <c r="K70" s="5"/>
      <c r="L70" s="5"/>
      <c r="M70" s="5"/>
      <c r="N70" s="5"/>
      <c r="O70" s="5"/>
      <c r="P70" s="5"/>
      <c r="Q70" s="5"/>
      <c r="R70" s="5"/>
      <c r="S70" s="5"/>
      <c r="T70" s="5"/>
      <c r="U70" s="5"/>
      <c r="V70" s="5"/>
      <c r="W70" s="5"/>
      <c r="X70" s="5"/>
      <c r="Y70" s="5"/>
    </row>
    <row r="71">
      <c r="A71" s="114">
        <v>46031.0</v>
      </c>
      <c r="B71" s="115"/>
      <c r="C71" s="116">
        <f t="shared" si="3"/>
        <v>22781431.1</v>
      </c>
      <c r="D71" s="117">
        <f t="shared" si="17"/>
        <v>1260.144386</v>
      </c>
      <c r="E71" s="118">
        <f>IFERROR(__xludf.DUMMYFUNCTION("FILTER(CUENTAS!AB:AB,A71=CUENTAS!A:A)
"),2.649934401515594E7)</f>
        <v>26499344.02</v>
      </c>
      <c r="F71" s="118">
        <f t="shared" si="14"/>
        <v>43823.30455</v>
      </c>
      <c r="G71" s="119">
        <f t="shared" si="15"/>
        <v>3972958.919</v>
      </c>
      <c r="H71" s="120">
        <f t="shared" si="7"/>
        <v>0.1403020738</v>
      </c>
      <c r="I71" s="122"/>
      <c r="J71" s="124"/>
      <c r="K71" s="5"/>
      <c r="L71" s="5"/>
      <c r="M71" s="5"/>
      <c r="N71" s="5"/>
      <c r="O71" s="5"/>
      <c r="P71" s="5"/>
      <c r="Q71" s="5"/>
      <c r="R71" s="5"/>
      <c r="S71" s="5"/>
      <c r="T71" s="5"/>
      <c r="U71" s="5"/>
      <c r="V71" s="5"/>
      <c r="W71" s="5"/>
      <c r="X71" s="5"/>
      <c r="Y71" s="5"/>
    </row>
    <row r="72">
      <c r="A72" s="114">
        <v>46030.0</v>
      </c>
      <c r="B72" s="115"/>
      <c r="C72" s="116">
        <f t="shared" si="3"/>
        <v>22781431.1</v>
      </c>
      <c r="D72" s="117">
        <f t="shared" si="17"/>
        <v>1260.144386</v>
      </c>
      <c r="E72" s="118">
        <f>IFERROR(__xludf.DUMMYFUNCTION("FILTER(CUENTAS!AB:AB,A72=CUENTAS!A:A)
"),2.645552071060406E7)</f>
        <v>26455520.71</v>
      </c>
      <c r="F72" s="118">
        <f t="shared" si="14"/>
        <v>31523.15342</v>
      </c>
      <c r="G72" s="119">
        <f t="shared" si="15"/>
        <v>3929135.615</v>
      </c>
      <c r="H72" s="120">
        <f t="shared" si="7"/>
        <v>0.1388779928</v>
      </c>
      <c r="I72" s="122"/>
      <c r="J72" s="5"/>
      <c r="K72" s="5"/>
      <c r="L72" s="5"/>
      <c r="M72" s="5"/>
      <c r="N72" s="5"/>
      <c r="O72" s="5"/>
      <c r="P72" s="5"/>
      <c r="Q72" s="5"/>
      <c r="R72" s="5"/>
      <c r="S72" s="5"/>
      <c r="T72" s="5"/>
      <c r="U72" s="5"/>
      <c r="V72" s="5"/>
      <c r="W72" s="5"/>
      <c r="X72" s="5"/>
      <c r="Y72" s="5"/>
    </row>
    <row r="73">
      <c r="A73" s="114">
        <v>46029.0</v>
      </c>
      <c r="B73" s="115"/>
      <c r="C73" s="116">
        <f t="shared" si="3"/>
        <v>22781431.1</v>
      </c>
      <c r="D73" s="117">
        <f t="shared" si="17"/>
        <v>1260.144386</v>
      </c>
      <c r="E73" s="118">
        <f>IFERROR(__xludf.DUMMYFUNCTION("FILTER(CUENTAS!AB:AB,A73=CUENTAS!A:A)
"),2.6423997557184447E7)</f>
        <v>26423997.56</v>
      </c>
      <c r="F73" s="118">
        <f t="shared" si="14"/>
        <v>-25336.99768</v>
      </c>
      <c r="G73" s="119">
        <f t="shared" si="15"/>
        <v>3897612.461</v>
      </c>
      <c r="H73" s="120">
        <f t="shared" si="7"/>
        <v>0.1378506963</v>
      </c>
      <c r="I73" s="122"/>
      <c r="J73" s="5"/>
      <c r="K73" s="5"/>
      <c r="L73" s="5"/>
      <c r="M73" s="5"/>
      <c r="N73" s="5"/>
      <c r="O73" s="5"/>
      <c r="P73" s="5"/>
      <c r="Q73" s="5"/>
      <c r="R73" s="5"/>
      <c r="S73" s="5"/>
      <c r="T73" s="5"/>
      <c r="U73" s="5"/>
      <c r="V73" s="5"/>
      <c r="W73" s="5"/>
      <c r="X73" s="5"/>
      <c r="Y73" s="5"/>
    </row>
    <row r="74">
      <c r="A74" s="114">
        <v>46028.0</v>
      </c>
      <c r="B74" s="115"/>
      <c r="C74" s="116">
        <f t="shared" si="3"/>
        <v>22781431.1</v>
      </c>
      <c r="D74" s="117">
        <f t="shared" si="17"/>
        <v>1260.144386</v>
      </c>
      <c r="E74" s="118">
        <f>IFERROR(__xludf.DUMMYFUNCTION("FILTER(CUENTAS!AB:AB,A74=CUENTAS!A:A)
"),2.6449334554866873E7)</f>
        <v>26449334.55</v>
      </c>
      <c r="F74" s="118">
        <f t="shared" si="14"/>
        <v>-179420.9723</v>
      </c>
      <c r="G74" s="119">
        <f t="shared" si="15"/>
        <v>3922949.459</v>
      </c>
      <c r="H74" s="120">
        <f t="shared" si="7"/>
        <v>0.1386765875</v>
      </c>
      <c r="I74" s="122"/>
      <c r="J74" s="5"/>
      <c r="K74" s="5"/>
      <c r="L74" s="5"/>
      <c r="M74" s="5"/>
      <c r="N74" s="5"/>
      <c r="O74" s="5"/>
      <c r="P74" s="5"/>
      <c r="Q74" s="5"/>
      <c r="R74" s="5"/>
      <c r="S74" s="5"/>
      <c r="T74" s="5"/>
      <c r="U74" s="5"/>
      <c r="V74" s="5"/>
      <c r="W74" s="5"/>
      <c r="X74" s="5"/>
      <c r="Y74" s="5"/>
    </row>
    <row r="75">
      <c r="A75" s="114">
        <v>46027.0</v>
      </c>
      <c r="B75" s="115"/>
      <c r="C75" s="116">
        <f t="shared" si="3"/>
        <v>22781431.1</v>
      </c>
      <c r="D75" s="117">
        <f t="shared" si="17"/>
        <v>1260.144386</v>
      </c>
      <c r="E75" s="118">
        <f>IFERROR(__xludf.DUMMYFUNCTION("FILTER(CUENTAS!AB:AB,A75=CUENTAS!A:A)
"),2.662875552716553E7)</f>
        <v>26628755.53</v>
      </c>
      <c r="F75" s="118">
        <f t="shared" si="14"/>
        <v>345722.7242</v>
      </c>
      <c r="G75" s="119">
        <f t="shared" si="15"/>
        <v>4102370.431</v>
      </c>
      <c r="H75" s="120">
        <f t="shared" si="7"/>
        <v>0.1444800688</v>
      </c>
      <c r="I75" s="122"/>
      <c r="J75" s="5"/>
      <c r="K75" s="5"/>
      <c r="L75" s="5"/>
      <c r="M75" s="5"/>
      <c r="N75" s="5"/>
      <c r="O75" s="5"/>
      <c r="P75" s="5"/>
      <c r="Q75" s="5"/>
      <c r="R75" s="5"/>
      <c r="S75" s="5"/>
      <c r="T75" s="5"/>
      <c r="U75" s="5"/>
      <c r="V75" s="5"/>
      <c r="W75" s="5"/>
      <c r="X75" s="5"/>
      <c r="Y75" s="5"/>
    </row>
    <row r="76">
      <c r="A76" s="114">
        <v>46026.0</v>
      </c>
      <c r="B76" s="115"/>
      <c r="C76" s="116">
        <f t="shared" si="3"/>
        <v>22781431.1</v>
      </c>
      <c r="D76" s="117">
        <f t="shared" si="17"/>
        <v>1260.144386</v>
      </c>
      <c r="E76" s="118">
        <f>IFERROR(__xludf.DUMMYFUNCTION("FILTER(CUENTAS!AB:AB,A76=CUENTAS!A:A)
"),2.6283032802968603E7)</f>
        <v>26283032.8</v>
      </c>
      <c r="F76" s="118">
        <f t="shared" si="14"/>
        <v>2482.585178</v>
      </c>
      <c r="G76" s="119">
        <f t="shared" si="15"/>
        <v>3756647.707</v>
      </c>
      <c r="H76" s="120">
        <f t="shared" si="7"/>
        <v>0.1332266993</v>
      </c>
      <c r="I76" s="122"/>
      <c r="J76" s="5"/>
      <c r="K76" s="5"/>
      <c r="L76" s="5"/>
      <c r="M76" s="5"/>
      <c r="N76" s="5"/>
      <c r="O76" s="5"/>
      <c r="P76" s="5"/>
      <c r="Q76" s="5"/>
      <c r="R76" s="5"/>
      <c r="S76" s="5"/>
      <c r="T76" s="5"/>
      <c r="U76" s="5"/>
      <c r="V76" s="5"/>
      <c r="W76" s="5"/>
      <c r="X76" s="5"/>
      <c r="Y76" s="5"/>
    </row>
    <row r="77">
      <c r="A77" s="114">
        <v>46025.0</v>
      </c>
      <c r="B77" s="115"/>
      <c r="C77" s="116">
        <f t="shared" si="3"/>
        <v>22781431.1</v>
      </c>
      <c r="D77" s="117">
        <f t="shared" si="17"/>
        <v>1260.144386</v>
      </c>
      <c r="E77" s="118">
        <f>IFERROR(__xludf.DUMMYFUNCTION("FILTER(CUENTAS!AB:AB,A77=CUENTAS!A:A)
"),2.6280550217790287E7)</f>
        <v>26280550.22</v>
      </c>
      <c r="F77" s="118">
        <f t="shared" si="14"/>
        <v>2482.446188</v>
      </c>
      <c r="G77" s="119">
        <f t="shared" si="15"/>
        <v>3754165.122</v>
      </c>
      <c r="H77" s="120">
        <f t="shared" si="7"/>
        <v>0.1331448198</v>
      </c>
      <c r="I77" s="122"/>
      <c r="J77" s="5"/>
      <c r="K77" s="5"/>
      <c r="L77" s="5"/>
      <c r="M77" s="5"/>
      <c r="N77" s="5"/>
      <c r="O77" s="5"/>
      <c r="P77" s="5"/>
      <c r="Q77" s="5"/>
      <c r="R77" s="5"/>
      <c r="S77" s="5"/>
      <c r="T77" s="5"/>
      <c r="U77" s="5"/>
      <c r="V77" s="5"/>
      <c r="W77" s="5"/>
      <c r="X77" s="5"/>
      <c r="Y77" s="5"/>
    </row>
    <row r="78">
      <c r="A78" s="114">
        <v>46024.0</v>
      </c>
      <c r="B78" s="115"/>
      <c r="C78" s="116">
        <f t="shared" si="3"/>
        <v>22781431.1</v>
      </c>
      <c r="D78" s="117">
        <f t="shared" si="17"/>
        <v>1260.144386</v>
      </c>
      <c r="E78" s="118">
        <f>IFERROR(__xludf.DUMMYFUNCTION("FILTER(CUENTAS!AB:AB,A78=CUENTAS!A:A)
"),2.6278067771602783E7)</f>
        <v>26278067.77</v>
      </c>
      <c r="F78" s="118">
        <f t="shared" si="14"/>
        <v>132802.3072</v>
      </c>
      <c r="G78" s="119">
        <f t="shared" si="15"/>
        <v>3751682.676</v>
      </c>
      <c r="H78" s="120">
        <f t="shared" si="7"/>
        <v>0.1330629294</v>
      </c>
      <c r="I78" s="122"/>
      <c r="J78" s="5"/>
      <c r="K78" s="5"/>
      <c r="L78" s="5"/>
      <c r="M78" s="5"/>
      <c r="N78" s="5"/>
      <c r="O78" s="5"/>
      <c r="P78" s="5"/>
      <c r="Q78" s="5"/>
      <c r="R78" s="5"/>
      <c r="S78" s="5"/>
      <c r="T78" s="5"/>
      <c r="U78" s="5"/>
      <c r="V78" s="5"/>
      <c r="W78" s="5"/>
      <c r="X78" s="5"/>
      <c r="Y78" s="5"/>
    </row>
    <row r="79">
      <c r="A79" s="114">
        <v>46023.0</v>
      </c>
      <c r="B79" s="121">
        <v>3300000.0</v>
      </c>
      <c r="C79" s="116">
        <f t="shared" si="3"/>
        <v>22781431.1</v>
      </c>
      <c r="D79" s="117">
        <f>IF(E79="","",D80)+4.750726
+9.501451+142.521771</f>
        <v>1260.144386</v>
      </c>
      <c r="E79" s="118">
        <f>IFERROR(__xludf.DUMMYFUNCTION("FILTER(CUENTAS!AB:AB,A79=CUENTAS!A:A)
"),2.61452654643783E7)</f>
        <v>26145265.46</v>
      </c>
      <c r="F79" s="118">
        <f t="shared" si="14"/>
        <v>2662.172288</v>
      </c>
      <c r="G79" s="119">
        <f t="shared" si="15"/>
        <v>3618880.368</v>
      </c>
      <c r="H79" s="120">
        <f t="shared" si="7"/>
        <v>0.1286594077</v>
      </c>
      <c r="I79" s="122"/>
      <c r="J79" s="5"/>
      <c r="K79" s="5"/>
      <c r="L79" s="5"/>
      <c r="M79" s="5"/>
      <c r="N79" s="5"/>
      <c r="O79" s="5"/>
      <c r="P79" s="5"/>
      <c r="Q79" s="5"/>
      <c r="R79" s="5"/>
      <c r="S79" s="5"/>
      <c r="T79" s="5"/>
      <c r="U79" s="5"/>
      <c r="V79" s="5"/>
      <c r="W79" s="5"/>
      <c r="X79" s="5"/>
      <c r="Y79" s="5"/>
    </row>
    <row r="80">
      <c r="A80" s="114">
        <v>46022.0</v>
      </c>
      <c r="B80" s="115"/>
      <c r="C80" s="116">
        <f t="shared" si="3"/>
        <v>19481431.1</v>
      </c>
      <c r="D80" s="117">
        <f>IF(E80="","",D81)</f>
        <v>1103.370438</v>
      </c>
      <c r="E80" s="118">
        <f>IFERROR(__xludf.DUMMYFUNCTION("FILTER(CUENTAS!AB:AB,A80=CUENTAS!A:A)
"),2.2842603292089853E7)</f>
        <v>22842603.29</v>
      </c>
      <c r="F80" s="118">
        <f t="shared" si="14"/>
        <v>2662.037379</v>
      </c>
      <c r="G80" s="119">
        <f t="shared" si="15"/>
        <v>3616218.196</v>
      </c>
      <c r="H80" s="120">
        <f t="shared" si="7"/>
        <v>0.1471448833</v>
      </c>
      <c r="I80" s="122"/>
      <c r="J80" s="5"/>
      <c r="K80" s="5"/>
      <c r="L80" s="5"/>
      <c r="M80" s="5"/>
      <c r="N80" s="5"/>
      <c r="O80" s="5"/>
      <c r="P80" s="5"/>
      <c r="Q80" s="5"/>
      <c r="R80" s="5"/>
      <c r="S80" s="5"/>
      <c r="T80" s="5"/>
      <c r="U80" s="5"/>
      <c r="V80" s="5"/>
      <c r="W80" s="5"/>
      <c r="X80" s="5"/>
      <c r="Y80" s="5"/>
    </row>
    <row r="81">
      <c r="A81" s="114">
        <v>46021.0</v>
      </c>
      <c r="B81" s="121">
        <v>200000.0</v>
      </c>
      <c r="C81" s="116">
        <f t="shared" si="3"/>
        <v>19481431.1</v>
      </c>
      <c r="D81" s="117">
        <f>IF(E81="","",D82)+9.50363</f>
        <v>1103.370438</v>
      </c>
      <c r="E81" s="118">
        <f>IFERROR(__xludf.DUMMYFUNCTION("FILTER(CUENTAS!AB:AB,A81=CUENTAS!A:A)
"),2.2839941254710466E7)</f>
        <v>22839941.25</v>
      </c>
      <c r="F81" s="118">
        <f t="shared" si="14"/>
        <v>-624458.0975</v>
      </c>
      <c r="G81" s="119">
        <f t="shared" si="15"/>
        <v>3613556.159</v>
      </c>
      <c r="H81" s="120">
        <f t="shared" si="7"/>
        <v>0.1470454815</v>
      </c>
      <c r="I81" s="122"/>
      <c r="J81" s="5"/>
      <c r="K81" s="5"/>
      <c r="L81" s="5"/>
      <c r="M81" s="5"/>
      <c r="N81" s="5"/>
      <c r="O81" s="5"/>
      <c r="P81" s="5"/>
      <c r="Q81" s="5"/>
      <c r="R81" s="5"/>
      <c r="S81" s="5"/>
      <c r="T81" s="5"/>
      <c r="U81" s="5"/>
      <c r="V81" s="5"/>
      <c r="W81" s="5"/>
      <c r="X81" s="5"/>
      <c r="Y81" s="5"/>
    </row>
    <row r="82">
      <c r="A82" s="114">
        <v>46020.0</v>
      </c>
      <c r="B82" s="115"/>
      <c r="C82" s="116">
        <f t="shared" si="3"/>
        <v>19281431.1</v>
      </c>
      <c r="D82" s="117">
        <f t="shared" ref="D82:D85" si="18">IF(E82="","",D83)</f>
        <v>1093.866808</v>
      </c>
      <c r="E82" s="118">
        <f>IFERROR(__xludf.DUMMYFUNCTION("FILTER(CUENTAS!AB:AB,A82=CUENTAS!A:A)
"),2.3264399352213155E7)</f>
        <v>23264399.35</v>
      </c>
      <c r="F82" s="118">
        <f t="shared" si="14"/>
        <v>104461.7676</v>
      </c>
      <c r="G82" s="119">
        <f t="shared" si="15"/>
        <v>4238014.256</v>
      </c>
      <c r="H82" s="120">
        <f t="shared" si="7"/>
        <v>0.1712044311</v>
      </c>
      <c r="I82" s="122"/>
      <c r="J82" s="5"/>
      <c r="K82" s="5"/>
      <c r="L82" s="5"/>
      <c r="M82" s="5"/>
      <c r="N82" s="5"/>
      <c r="O82" s="5"/>
      <c r="P82" s="5"/>
      <c r="Q82" s="5"/>
      <c r="R82" s="5"/>
      <c r="S82" s="5"/>
      <c r="T82" s="5"/>
      <c r="U82" s="5"/>
      <c r="V82" s="5"/>
      <c r="W82" s="5"/>
      <c r="X82" s="5"/>
      <c r="Y82" s="5"/>
    </row>
    <row r="83">
      <c r="A83" s="114">
        <v>46019.0</v>
      </c>
      <c r="B83" s="115"/>
      <c r="C83" s="116">
        <f t="shared" si="3"/>
        <v>19281431.1</v>
      </c>
      <c r="D83" s="117">
        <f t="shared" si="18"/>
        <v>1093.866808</v>
      </c>
      <c r="E83" s="118">
        <f>IFERROR(__xludf.DUMMYFUNCTION("FILTER(CUENTAS!AB:AB,A83=CUENTAS!A:A)
"),2.3159937584570948E7)</f>
        <v>23159937.58</v>
      </c>
      <c r="F83" s="118">
        <f t="shared" si="14"/>
        <v>2661.632814</v>
      </c>
      <c r="G83" s="119">
        <f t="shared" si="15"/>
        <v>4133552.488</v>
      </c>
      <c r="H83" s="120">
        <f t="shared" si="7"/>
        <v>0.1674661892</v>
      </c>
      <c r="I83" s="122"/>
      <c r="J83" s="5"/>
      <c r="K83" s="5"/>
      <c r="L83" s="5"/>
      <c r="M83" s="5"/>
      <c r="N83" s="5"/>
      <c r="O83" s="5"/>
      <c r="P83" s="5"/>
      <c r="Q83" s="5"/>
      <c r="R83" s="5"/>
      <c r="S83" s="5"/>
      <c r="T83" s="5"/>
      <c r="U83" s="5"/>
      <c r="V83" s="5"/>
      <c r="W83" s="5"/>
      <c r="X83" s="5"/>
      <c r="Y83" s="5"/>
    </row>
    <row r="84">
      <c r="A84" s="114">
        <v>46018.0</v>
      </c>
      <c r="B84" s="115"/>
      <c r="C84" s="116">
        <f t="shared" si="3"/>
        <v>19281431.1</v>
      </c>
      <c r="D84" s="117">
        <f t="shared" si="18"/>
        <v>1093.866808</v>
      </c>
      <c r="E84" s="118">
        <f>IFERROR(__xludf.DUMMYFUNCTION("FILTER(CUENTAS!AB:AB,A84=CUENTAS!A:A)
"),2.3157275951756876E7)</f>
        <v>23157275.95</v>
      </c>
      <c r="F84" s="118">
        <f t="shared" si="14"/>
        <v>2661.498013</v>
      </c>
      <c r="G84" s="119">
        <f t="shared" si="15"/>
        <v>4130890.856</v>
      </c>
      <c r="H84" s="120">
        <f t="shared" si="7"/>
        <v>0.1673705</v>
      </c>
      <c r="I84" s="122"/>
      <c r="J84" s="5"/>
      <c r="K84" s="5"/>
      <c r="L84" s="5"/>
      <c r="M84" s="5"/>
      <c r="N84" s="5"/>
      <c r="O84" s="5"/>
      <c r="P84" s="5"/>
      <c r="Q84" s="5"/>
      <c r="R84" s="5"/>
      <c r="S84" s="5"/>
      <c r="T84" s="5"/>
      <c r="U84" s="5"/>
      <c r="V84" s="5"/>
      <c r="W84" s="5"/>
      <c r="X84" s="5"/>
      <c r="Y84" s="5"/>
    </row>
    <row r="85">
      <c r="A85" s="114">
        <v>46017.0</v>
      </c>
      <c r="B85" s="115"/>
      <c r="C85" s="116">
        <f t="shared" si="3"/>
        <v>19281431.1</v>
      </c>
      <c r="D85" s="117">
        <f t="shared" si="18"/>
        <v>1093.866808</v>
      </c>
      <c r="E85" s="118">
        <f>IFERROR(__xludf.DUMMYFUNCTION("FILTER(CUENTAS!AB:AB,A85=CUENTAS!A:A)
"),2.3154614453743994E7)</f>
        <v>23154614.45</v>
      </c>
      <c r="F85" s="118">
        <f t="shared" si="14"/>
        <v>16321.36324</v>
      </c>
      <c r="G85" s="119">
        <f t="shared" si="15"/>
        <v>4128229.358</v>
      </c>
      <c r="H85" s="120">
        <f t="shared" si="7"/>
        <v>0.1672747938</v>
      </c>
      <c r="I85" s="122"/>
      <c r="J85" s="5"/>
      <c r="K85" s="5"/>
      <c r="L85" s="5"/>
      <c r="M85" s="5"/>
      <c r="N85" s="5"/>
      <c r="O85" s="5"/>
      <c r="P85" s="5"/>
      <c r="Q85" s="5"/>
      <c r="R85" s="5"/>
      <c r="S85" s="5"/>
      <c r="T85" s="5"/>
      <c r="U85" s="5"/>
      <c r="V85" s="5"/>
      <c r="W85" s="5"/>
      <c r="X85" s="5"/>
      <c r="Y85" s="5"/>
    </row>
    <row r="86">
      <c r="A86" s="114">
        <v>46016.0</v>
      </c>
      <c r="B86" s="121">
        <v>2750000.0</v>
      </c>
      <c r="C86" s="116">
        <f t="shared" si="3"/>
        <v>19281431.1</v>
      </c>
      <c r="D86" s="117">
        <f>IF(E86="","",D87)+47.275173
+82.731553</f>
        <v>1093.866808</v>
      </c>
      <c r="E86" s="118">
        <f>IFERROR(__xludf.DUMMYFUNCTION("FILTER(CUENTAS!AB:AB,A86=CUENTAS!A:A)
"),2.3138293090505328E7)</f>
        <v>23138293.09</v>
      </c>
      <c r="F86" s="118">
        <f t="shared" si="14"/>
        <v>6981.228491</v>
      </c>
      <c r="G86" s="119">
        <f t="shared" si="15"/>
        <v>4111907.994</v>
      </c>
      <c r="H86" s="120">
        <f t="shared" si="7"/>
        <v>0.1666874034</v>
      </c>
      <c r="I86" s="122"/>
      <c r="J86" s="5"/>
      <c r="K86" s="5"/>
      <c r="L86" s="5"/>
      <c r="M86" s="5"/>
      <c r="N86" s="5"/>
      <c r="O86" s="5"/>
      <c r="P86" s="5"/>
      <c r="Q86" s="5"/>
      <c r="R86" s="5"/>
      <c r="S86" s="5"/>
      <c r="T86" s="5"/>
      <c r="U86" s="5"/>
      <c r="V86" s="5"/>
      <c r="W86" s="5"/>
      <c r="X86" s="5"/>
      <c r="Y86" s="5"/>
    </row>
    <row r="87">
      <c r="A87" s="114">
        <v>46015.0</v>
      </c>
      <c r="B87" s="115"/>
      <c r="C87" s="116">
        <f t="shared" si="3"/>
        <v>16531431.1</v>
      </c>
      <c r="D87" s="117">
        <f t="shared" ref="D87:D99" si="19">IF(E87="","",D88)</f>
        <v>963.8600818</v>
      </c>
      <c r="E87" s="118">
        <f>IFERROR(__xludf.DUMMYFUNCTION("FILTER(CUENTAS!AB:AB,A87=CUENTAS!A:A)
"),2.0381311862013943E7)</f>
        <v>20381311.86</v>
      </c>
      <c r="F87" s="118">
        <f t="shared" si="14"/>
        <v>-5658.906229</v>
      </c>
      <c r="G87" s="119">
        <f t="shared" si="15"/>
        <v>4104926.766</v>
      </c>
      <c r="H87" s="120">
        <f t="shared" si="7"/>
        <v>0.1888926872</v>
      </c>
      <c r="I87" s="122"/>
      <c r="J87" s="5"/>
      <c r="K87" s="5"/>
      <c r="L87" s="5"/>
      <c r="M87" s="5"/>
      <c r="N87" s="5"/>
      <c r="O87" s="5"/>
      <c r="P87" s="5"/>
      <c r="Q87" s="5"/>
      <c r="R87" s="5"/>
      <c r="S87" s="5"/>
      <c r="T87" s="5"/>
      <c r="U87" s="5"/>
      <c r="V87" s="5"/>
      <c r="W87" s="5"/>
      <c r="X87" s="5"/>
      <c r="Y87" s="5"/>
    </row>
    <row r="88">
      <c r="A88" s="114">
        <v>46014.0</v>
      </c>
      <c r="B88" s="115"/>
      <c r="C88" s="116">
        <f t="shared" si="3"/>
        <v>16531431.1</v>
      </c>
      <c r="D88" s="117">
        <f t="shared" si="19"/>
        <v>963.8600818</v>
      </c>
      <c r="E88" s="118">
        <f>IFERROR(__xludf.DUMMYFUNCTION("FILTER(CUENTAS!AB:AB,A88=CUENTAS!A:A)
"),2.038697076824289E7)</f>
        <v>20386970.77</v>
      </c>
      <c r="F88" s="118">
        <f t="shared" si="14"/>
        <v>97820.95908</v>
      </c>
      <c r="G88" s="119">
        <f t="shared" si="15"/>
        <v>4110585.672</v>
      </c>
      <c r="H88" s="120">
        <f t="shared" si="7"/>
        <v>0.18911783</v>
      </c>
      <c r="I88" s="125"/>
      <c r="J88" s="5"/>
      <c r="K88" s="5"/>
      <c r="L88" s="5"/>
      <c r="M88" s="5"/>
      <c r="N88" s="5"/>
      <c r="O88" s="5"/>
      <c r="P88" s="5"/>
      <c r="Q88" s="5"/>
      <c r="R88" s="5"/>
      <c r="S88" s="5"/>
      <c r="T88" s="5"/>
      <c r="U88" s="5"/>
      <c r="V88" s="5"/>
      <c r="W88" s="5"/>
      <c r="X88" s="5"/>
      <c r="Y88" s="5"/>
    </row>
    <row r="89">
      <c r="A89" s="114">
        <v>46013.0</v>
      </c>
      <c r="B89" s="115"/>
      <c r="C89" s="116">
        <f t="shared" si="3"/>
        <v>16531431.1</v>
      </c>
      <c r="D89" s="117">
        <f t="shared" si="19"/>
        <v>963.8600818</v>
      </c>
      <c r="E89" s="118">
        <f>IFERROR(__xludf.DUMMYFUNCTION("FILTER(CUENTAS!AB:AB,A89=CUENTAS!A:A)
"),2.0289149809165224E7)</f>
        <v>20289149.81</v>
      </c>
      <c r="F89" s="118">
        <f t="shared" si="14"/>
        <v>60704.84361</v>
      </c>
      <c r="G89" s="119">
        <f t="shared" si="15"/>
        <v>4012764.713</v>
      </c>
      <c r="H89" s="120">
        <f t="shared" si="7"/>
        <v>0.1852082886</v>
      </c>
      <c r="I89" s="125"/>
      <c r="J89" s="5"/>
      <c r="K89" s="5"/>
      <c r="L89" s="5"/>
      <c r="M89" s="5"/>
      <c r="N89" s="5"/>
      <c r="O89" s="5"/>
      <c r="P89" s="5"/>
      <c r="Q89" s="5"/>
      <c r="R89" s="5"/>
      <c r="S89" s="5"/>
      <c r="T89" s="5"/>
      <c r="U89" s="5"/>
      <c r="V89" s="5"/>
      <c r="W89" s="5"/>
      <c r="X89" s="5"/>
      <c r="Y89" s="5"/>
    </row>
    <row r="90">
      <c r="A90" s="114">
        <v>46012.0</v>
      </c>
      <c r="B90" s="115"/>
      <c r="C90" s="116">
        <f t="shared" si="3"/>
        <v>16531431.1</v>
      </c>
      <c r="D90" s="117">
        <f t="shared" si="19"/>
        <v>963.8600818</v>
      </c>
      <c r="E90" s="118">
        <f>IFERROR(__xludf.DUMMYFUNCTION("FILTER(CUENTAS!AB:AB,A90=CUENTAS!A:A)
"),2.0228444965557862E7)</f>
        <v>20228444.97</v>
      </c>
      <c r="F90" s="118">
        <f t="shared" si="14"/>
        <v>12564.72816</v>
      </c>
      <c r="G90" s="119">
        <f t="shared" si="15"/>
        <v>3952059.869</v>
      </c>
      <c r="H90" s="120">
        <f t="shared" si="7"/>
        <v>0.1827631277</v>
      </c>
      <c r="I90" s="125"/>
      <c r="J90" s="5"/>
      <c r="K90" s="5"/>
      <c r="L90" s="5"/>
      <c r="M90" s="5"/>
      <c r="N90" s="5"/>
      <c r="O90" s="5"/>
      <c r="P90" s="5"/>
      <c r="Q90" s="5"/>
      <c r="R90" s="5"/>
      <c r="S90" s="5"/>
      <c r="T90" s="5"/>
      <c r="U90" s="5"/>
      <c r="V90" s="5"/>
      <c r="W90" s="5"/>
      <c r="X90" s="5"/>
      <c r="Y90" s="5"/>
    </row>
    <row r="91">
      <c r="A91" s="114">
        <v>46011.0</v>
      </c>
      <c r="B91" s="115"/>
      <c r="C91" s="116">
        <f t="shared" si="3"/>
        <v>16531431.1</v>
      </c>
      <c r="D91" s="117">
        <f t="shared" si="19"/>
        <v>963.8600818</v>
      </c>
      <c r="E91" s="118">
        <f>IFERROR(__xludf.DUMMYFUNCTION("FILTER(CUENTAS!AB:AB,A91=CUENTAS!A:A)
"),2.021588023739771E7)</f>
        <v>20215880.24</v>
      </c>
      <c r="F91" s="118">
        <f t="shared" si="14"/>
        <v>12564.61274</v>
      </c>
      <c r="G91" s="119">
        <f t="shared" si="15"/>
        <v>3939495.141</v>
      </c>
      <c r="H91" s="120">
        <f t="shared" si="7"/>
        <v>0.1822551924</v>
      </c>
      <c r="I91" s="125"/>
      <c r="J91" s="5"/>
      <c r="K91" s="5"/>
      <c r="L91" s="5"/>
      <c r="M91" s="5"/>
      <c r="N91" s="5"/>
      <c r="O91" s="5"/>
      <c r="P91" s="5"/>
      <c r="Q91" s="5"/>
      <c r="R91" s="5"/>
      <c r="S91" s="5"/>
      <c r="T91" s="5"/>
      <c r="U91" s="5"/>
      <c r="V91" s="5"/>
      <c r="W91" s="5"/>
      <c r="X91" s="5"/>
      <c r="Y91" s="5"/>
    </row>
    <row r="92">
      <c r="A92" s="114">
        <v>46010.0</v>
      </c>
      <c r="B92" s="126"/>
      <c r="C92" s="116">
        <f t="shared" si="3"/>
        <v>16531431.1</v>
      </c>
      <c r="D92" s="117">
        <f t="shared" si="19"/>
        <v>963.8600818</v>
      </c>
      <c r="E92" s="118">
        <f>IFERROR(__xludf.DUMMYFUNCTION("FILTER(CUENTAS!AB:AB,A92=CUENTAS!A:A)
"),2.0203315624661688E7)</f>
        <v>20203315.62</v>
      </c>
      <c r="F92" s="118">
        <f t="shared" si="14"/>
        <v>-109855.5027</v>
      </c>
      <c r="G92" s="119">
        <f t="shared" si="15"/>
        <v>3926930.529</v>
      </c>
      <c r="H92" s="120">
        <f t="shared" si="7"/>
        <v>0.1817466299</v>
      </c>
      <c r="I92" s="125"/>
      <c r="J92" s="5"/>
      <c r="K92" s="5"/>
      <c r="L92" s="5"/>
      <c r="M92" s="5"/>
      <c r="N92" s="5"/>
      <c r="O92" s="5"/>
      <c r="P92" s="5"/>
      <c r="Q92" s="5"/>
      <c r="R92" s="5"/>
      <c r="S92" s="5"/>
      <c r="T92" s="5"/>
      <c r="U92" s="5"/>
      <c r="V92" s="5"/>
      <c r="W92" s="5"/>
      <c r="X92" s="5"/>
      <c r="Y92" s="5"/>
    </row>
    <row r="93">
      <c r="A93" s="114">
        <v>46009.0</v>
      </c>
      <c r="B93" s="127"/>
      <c r="C93" s="116">
        <f t="shared" si="3"/>
        <v>16531431.1</v>
      </c>
      <c r="D93" s="117">
        <f t="shared" si="19"/>
        <v>963.8600818</v>
      </c>
      <c r="E93" s="118">
        <f>IFERROR(__xludf.DUMMYFUNCTION("FILTER(CUENTAS!AB:AB,A93=CUENTAS!A:A)
"),2.0313171127326705E7)</f>
        <v>20313171.13</v>
      </c>
      <c r="F93" s="118">
        <f t="shared" si="14"/>
        <v>-173915.618</v>
      </c>
      <c r="G93" s="119">
        <f t="shared" si="15"/>
        <v>4036786.031</v>
      </c>
      <c r="H93" s="120">
        <f t="shared" si="7"/>
        <v>0.1861718196</v>
      </c>
      <c r="I93" s="125"/>
      <c r="J93" s="5"/>
      <c r="K93" s="5"/>
      <c r="L93" s="5"/>
      <c r="M93" s="5"/>
      <c r="N93" s="5"/>
      <c r="O93" s="5"/>
      <c r="P93" s="5"/>
      <c r="Q93" s="5"/>
      <c r="R93" s="5"/>
      <c r="S93" s="5"/>
      <c r="T93" s="5"/>
      <c r="U93" s="5"/>
      <c r="V93" s="5"/>
      <c r="W93" s="5"/>
      <c r="X93" s="5"/>
      <c r="Y93" s="5"/>
    </row>
    <row r="94">
      <c r="A94" s="114">
        <v>46008.0</v>
      </c>
      <c r="B94" s="127"/>
      <c r="C94" s="116">
        <f t="shared" si="3"/>
        <v>16531431.1</v>
      </c>
      <c r="D94" s="117">
        <f t="shared" si="19"/>
        <v>963.8600818</v>
      </c>
      <c r="E94" s="118">
        <f>IFERROR(__xludf.DUMMYFUNCTION("FILTER(CUENTAS!AB:AB,A94=CUENTAS!A:A)
"),2.048708674536969E7)</f>
        <v>20487086.75</v>
      </c>
      <c r="F94" s="118">
        <f t="shared" si="14"/>
        <v>81044.2666</v>
      </c>
      <c r="G94" s="119">
        <f t="shared" si="15"/>
        <v>4210701.649</v>
      </c>
      <c r="H94" s="120">
        <f t="shared" si="7"/>
        <v>0.1930804364</v>
      </c>
      <c r="I94" s="125"/>
      <c r="J94" s="5"/>
      <c r="K94" s="5"/>
      <c r="L94" s="5"/>
      <c r="M94" s="5"/>
      <c r="N94" s="5"/>
      <c r="O94" s="5"/>
      <c r="P94" s="5"/>
      <c r="Q94" s="5"/>
      <c r="R94" s="5"/>
      <c r="S94" s="5"/>
      <c r="T94" s="5"/>
      <c r="U94" s="5"/>
      <c r="V94" s="5"/>
      <c r="W94" s="5"/>
      <c r="X94" s="5"/>
      <c r="Y94" s="5"/>
    </row>
    <row r="95">
      <c r="A95" s="114">
        <v>46007.0</v>
      </c>
      <c r="B95" s="127"/>
      <c r="C95" s="116">
        <f t="shared" si="3"/>
        <v>16531431.1</v>
      </c>
      <c r="D95" s="117">
        <f t="shared" si="19"/>
        <v>963.8600818</v>
      </c>
      <c r="E95" s="118">
        <f>IFERROR(__xludf.DUMMYFUNCTION("FILTER(CUENTAS!AB:AB,A95=CUENTAS!A:A)
"),2.040604247876757E7)</f>
        <v>20406042.48</v>
      </c>
      <c r="F95" s="118">
        <f t="shared" si="14"/>
        <v>-184715.8487</v>
      </c>
      <c r="G95" s="119">
        <f t="shared" si="15"/>
        <v>4129657.383</v>
      </c>
      <c r="H95" s="120">
        <f t="shared" si="7"/>
        <v>0.1898756894</v>
      </c>
      <c r="I95" s="125"/>
      <c r="J95" s="5"/>
      <c r="K95" s="5"/>
      <c r="L95" s="5"/>
      <c r="M95" s="5"/>
      <c r="N95" s="5"/>
      <c r="O95" s="5"/>
      <c r="P95" s="5"/>
      <c r="Q95" s="5"/>
      <c r="R95" s="5"/>
      <c r="S95" s="5"/>
      <c r="T95" s="5"/>
      <c r="U95" s="5"/>
      <c r="V95" s="5"/>
      <c r="W95" s="5"/>
      <c r="X95" s="5"/>
      <c r="Y95" s="5"/>
    </row>
    <row r="96">
      <c r="A96" s="114">
        <v>46006.0</v>
      </c>
      <c r="B96" s="127"/>
      <c r="C96" s="116">
        <f t="shared" si="3"/>
        <v>16531431.1</v>
      </c>
      <c r="D96" s="117">
        <f t="shared" si="19"/>
        <v>963.8600818</v>
      </c>
      <c r="E96" s="118">
        <f>IFERROR(__xludf.DUMMYFUNCTION("FILTER(CUENTAS!AB:AB,A96=CUENTAS!A:A)
"),2.0590758327497285E7)</f>
        <v>20590758.33</v>
      </c>
      <c r="F96" s="118">
        <f t="shared" si="14"/>
        <v>-65515.96404</v>
      </c>
      <c r="G96" s="119">
        <f t="shared" si="15"/>
        <v>4314373.231</v>
      </c>
      <c r="H96" s="120">
        <f t="shared" si="7"/>
        <v>0.1971431633</v>
      </c>
      <c r="I96" s="125"/>
      <c r="J96" s="5"/>
      <c r="K96" s="5"/>
      <c r="L96" s="5"/>
      <c r="M96" s="5"/>
      <c r="N96" s="5"/>
      <c r="O96" s="5"/>
      <c r="P96" s="5"/>
      <c r="Q96" s="5"/>
      <c r="R96" s="5"/>
      <c r="S96" s="5"/>
      <c r="T96" s="5"/>
      <c r="U96" s="5"/>
      <c r="V96" s="5"/>
      <c r="W96" s="5"/>
      <c r="X96" s="5"/>
      <c r="Y96" s="5"/>
    </row>
    <row r="97">
      <c r="A97" s="114">
        <v>46005.0</v>
      </c>
      <c r="B97" s="127"/>
      <c r="C97" s="116">
        <f t="shared" si="3"/>
        <v>16531431.1</v>
      </c>
      <c r="D97" s="117">
        <f t="shared" si="19"/>
        <v>963.8600818</v>
      </c>
      <c r="E97" s="118">
        <f>IFERROR(__xludf.DUMMYFUNCTION("FILTER(CUENTAS!AB:AB,A97=CUENTAS!A:A)
"),2.065627429153577E7)</f>
        <v>20656274.29</v>
      </c>
      <c r="F97" s="118">
        <f t="shared" si="14"/>
        <v>2563.920676</v>
      </c>
      <c r="G97" s="119">
        <f t="shared" si="15"/>
        <v>4379889.195</v>
      </c>
      <c r="H97" s="120">
        <f t="shared" si="7"/>
        <v>0.1996896022</v>
      </c>
      <c r="I97" s="125"/>
      <c r="J97" s="5"/>
      <c r="K97" s="5"/>
      <c r="L97" s="5"/>
      <c r="M97" s="5"/>
      <c r="N97" s="5"/>
      <c r="O97" s="5"/>
      <c r="P97" s="5"/>
      <c r="Q97" s="5"/>
      <c r="R97" s="5"/>
      <c r="S97" s="5"/>
      <c r="T97" s="5"/>
      <c r="U97" s="5"/>
      <c r="V97" s="5"/>
      <c r="W97" s="5"/>
      <c r="X97" s="5"/>
      <c r="Y97" s="5"/>
    </row>
    <row r="98">
      <c r="A98" s="114">
        <v>46004.0</v>
      </c>
      <c r="B98" s="127"/>
      <c r="C98" s="116">
        <f t="shared" si="3"/>
        <v>16531431.1</v>
      </c>
      <c r="D98" s="117">
        <f t="shared" si="19"/>
        <v>963.8600818</v>
      </c>
      <c r="E98" s="118">
        <f>IFERROR(__xludf.DUMMYFUNCTION("FILTER(CUENTAS!AB:AB,A98=CUENTAS!A:A)
"),2.0653710370859966E7)</f>
        <v>20653710.37</v>
      </c>
      <c r="F98" s="118">
        <f t="shared" si="14"/>
        <v>2563.805413</v>
      </c>
      <c r="G98" s="119">
        <f t="shared" si="15"/>
        <v>4377325.275</v>
      </c>
      <c r="H98" s="120">
        <f t="shared" si="7"/>
        <v>0.1995902528</v>
      </c>
      <c r="I98" s="125"/>
      <c r="J98" s="5"/>
      <c r="K98" s="5"/>
      <c r="L98" s="5"/>
      <c r="M98" s="5"/>
      <c r="N98" s="5"/>
      <c r="O98" s="5"/>
      <c r="P98" s="5"/>
      <c r="Q98" s="5"/>
      <c r="R98" s="5"/>
      <c r="S98" s="5"/>
      <c r="T98" s="5"/>
      <c r="U98" s="5"/>
      <c r="V98" s="5"/>
      <c r="W98" s="5"/>
      <c r="X98" s="5"/>
      <c r="Y98" s="5"/>
    </row>
    <row r="99">
      <c r="A99" s="114">
        <v>46003.0</v>
      </c>
      <c r="B99" s="127"/>
      <c r="C99" s="116">
        <f t="shared" si="3"/>
        <v>16531431.1</v>
      </c>
      <c r="D99" s="117">
        <f t="shared" si="19"/>
        <v>963.8600818</v>
      </c>
      <c r="E99" s="118">
        <f>IFERROR(__xludf.DUMMYFUNCTION("FILTER(CUENTAS!AB:AB,A99=CUENTAS!A:A)
"),2.0651146565446828E7)</f>
        <v>20651146.57</v>
      </c>
      <c r="F99" s="118">
        <f t="shared" si="14"/>
        <v>27643.69017</v>
      </c>
      <c r="G99" s="119">
        <f t="shared" si="15"/>
        <v>4374761.469</v>
      </c>
      <c r="H99" s="120">
        <f t="shared" si="7"/>
        <v>0.1994908833</v>
      </c>
      <c r="I99" s="125"/>
      <c r="J99" s="5"/>
      <c r="K99" s="5"/>
      <c r="L99" s="5"/>
      <c r="M99" s="5"/>
      <c r="N99" s="5"/>
      <c r="O99" s="5"/>
      <c r="P99" s="5"/>
      <c r="Q99" s="5"/>
      <c r="R99" s="5"/>
      <c r="S99" s="5"/>
      <c r="T99" s="5"/>
      <c r="U99" s="5"/>
      <c r="V99" s="5"/>
      <c r="W99" s="5"/>
      <c r="X99" s="5"/>
      <c r="Y99" s="5"/>
    </row>
    <row r="100">
      <c r="A100" s="114">
        <v>46002.0</v>
      </c>
      <c r="B100" s="128">
        <v>1500000.0</v>
      </c>
      <c r="C100" s="116">
        <f t="shared" si="3"/>
        <v>16531431.1</v>
      </c>
      <c r="D100" s="117">
        <f>IF(E100="","",D101)+70.104004</f>
        <v>963.8600818</v>
      </c>
      <c r="E100" s="118">
        <f>IFERROR(__xludf.DUMMYFUNCTION("FILTER(CUENTAS!AB:AB,A100=CUENTAS!A:A)
"),2.0623502875273306E7)</f>
        <v>20623502.88</v>
      </c>
      <c r="F100" s="118">
        <f t="shared" si="14"/>
        <v>81103.57496</v>
      </c>
      <c r="G100" s="119">
        <f t="shared" si="15"/>
        <v>4347117.779</v>
      </c>
      <c r="H100" s="120">
        <f t="shared" si="7"/>
        <v>0.1984178829</v>
      </c>
      <c r="I100" s="125"/>
      <c r="J100" s="5"/>
      <c r="K100" s="5"/>
      <c r="L100" s="5"/>
      <c r="M100" s="5"/>
      <c r="N100" s="5"/>
      <c r="O100" s="5"/>
      <c r="P100" s="5"/>
      <c r="Q100" s="5"/>
      <c r="R100" s="5"/>
      <c r="S100" s="5"/>
      <c r="T100" s="5"/>
      <c r="U100" s="5"/>
      <c r="V100" s="5"/>
      <c r="W100" s="5"/>
      <c r="X100" s="5"/>
      <c r="Y100" s="5"/>
    </row>
    <row r="101">
      <c r="A101" s="114">
        <v>46001.0</v>
      </c>
      <c r="B101" s="127"/>
      <c r="C101" s="116">
        <f t="shared" si="3"/>
        <v>15031431.1</v>
      </c>
      <c r="D101" s="117">
        <f t="shared" ref="D101:D102" si="20">IF(E101="","",D102)</f>
        <v>893.7560778</v>
      </c>
      <c r="E101" s="118">
        <f>IFERROR(__xludf.DUMMYFUNCTION("FILTER(CUENTAS!AB:AB,A101=CUENTAS!A:A)
"),1.904239930031634E7)</f>
        <v>19042399.3</v>
      </c>
      <c r="F101" s="118">
        <f t="shared" si="14"/>
        <v>65723.45976</v>
      </c>
      <c r="G101" s="119">
        <f t="shared" si="15"/>
        <v>4266014.204</v>
      </c>
      <c r="H101" s="120">
        <f t="shared" si="7"/>
        <v>0.2106335521</v>
      </c>
      <c r="I101" s="125"/>
      <c r="J101" s="5"/>
      <c r="K101" s="5"/>
      <c r="L101" s="5"/>
      <c r="M101" s="5"/>
      <c r="N101" s="5"/>
      <c r="O101" s="5"/>
      <c r="P101" s="5"/>
      <c r="Q101" s="5"/>
      <c r="R101" s="5"/>
      <c r="S101" s="5"/>
      <c r="T101" s="5"/>
      <c r="U101" s="5"/>
      <c r="V101" s="5"/>
      <c r="W101" s="5"/>
      <c r="X101" s="5"/>
      <c r="Y101" s="5"/>
    </row>
    <row r="102">
      <c r="A102" s="114">
        <v>46000.0</v>
      </c>
      <c r="B102" s="127"/>
      <c r="C102" s="116">
        <f t="shared" si="3"/>
        <v>15031431.1</v>
      </c>
      <c r="D102" s="117">
        <f t="shared" si="20"/>
        <v>893.7560778</v>
      </c>
      <c r="E102" s="118">
        <f>IFERROR(__xludf.DUMMYFUNCTION("FILTER(CUENTAS!AB:AB,A102=CUENTAS!A:A)
"),1.897667584055291E7)</f>
        <v>18976675.84</v>
      </c>
      <c r="F102" s="118">
        <f t="shared" ref="F102:F358" si="21">IF(E102&lt;&gt;0,E102-E103,)-B102</f>
        <v>124855.4479</v>
      </c>
      <c r="G102" s="119">
        <f t="shared" ref="G102:G397" si="22">G103+F102</f>
        <v>4200290.744</v>
      </c>
      <c r="H102" s="120">
        <f t="shared" ref="H102:H399" si="23">1-C102/E102</f>
        <v>0.2078996752</v>
      </c>
      <c r="I102" s="125"/>
      <c r="J102" s="5"/>
      <c r="K102" s="5"/>
      <c r="L102" s="5"/>
      <c r="M102" s="5"/>
      <c r="N102" s="5"/>
      <c r="O102" s="5"/>
      <c r="P102" s="5"/>
      <c r="Q102" s="5"/>
      <c r="R102" s="5"/>
      <c r="S102" s="5"/>
      <c r="T102" s="5"/>
      <c r="U102" s="5"/>
      <c r="V102" s="5"/>
      <c r="W102" s="5"/>
      <c r="X102" s="5"/>
      <c r="Y102" s="5"/>
    </row>
    <row r="103">
      <c r="A103" s="114">
        <v>45999.0</v>
      </c>
      <c r="B103" s="127"/>
      <c r="C103" s="118">
        <f t="shared" ref="C103:C398" si="24">C104+B103</f>
        <v>15031431.1</v>
      </c>
      <c r="D103" s="117">
        <f t="shared" ref="D103:D106" si="25">210.124911099241+8.48693+1.41387+35.69908-22.25544+5.26036-25.33826+1.156+29.113+28.99684+23.19747+57.54239+232.54495+2.88206+22.74505+4.63519+2.11353+52.6273-66.00251229+104.20941+104.43522+25.90764+2.58334+40.783046+4.974062+3.412215+0.974662+9.746616+19.493232-6.12208-19.493232+19.763238-9.538779-27.557959+1.008144+14.234584</f>
        <v>893.7560778</v>
      </c>
      <c r="E103" s="118">
        <f>IFERROR(__xludf.DUMMYFUNCTION("FILTER(CUENTAS!AB:AB,A103=CUENTAS!A:A)
"),1.8851820392629974E7)</f>
        <v>18851820.39</v>
      </c>
      <c r="F103" s="118">
        <f t="shared" si="21"/>
        <v>5175.332775</v>
      </c>
      <c r="G103" s="119">
        <f t="shared" si="22"/>
        <v>4075435.297</v>
      </c>
      <c r="H103" s="120">
        <f t="shared" si="23"/>
        <v>0.2026536015</v>
      </c>
      <c r="I103" s="125"/>
      <c r="J103" s="5"/>
      <c r="K103" s="5"/>
      <c r="L103" s="5"/>
      <c r="M103" s="5"/>
      <c r="N103" s="5"/>
      <c r="O103" s="5"/>
      <c r="P103" s="5"/>
      <c r="Q103" s="5"/>
      <c r="R103" s="5"/>
      <c r="S103" s="5"/>
      <c r="T103" s="5"/>
      <c r="U103" s="5"/>
      <c r="V103" s="5"/>
      <c r="W103" s="5"/>
      <c r="X103" s="5"/>
      <c r="Y103" s="5"/>
    </row>
    <row r="104">
      <c r="A104" s="114">
        <v>45998.0</v>
      </c>
      <c r="B104" s="127"/>
      <c r="C104" s="118">
        <f t="shared" si="24"/>
        <v>15031431.1</v>
      </c>
      <c r="D104" s="117">
        <f t="shared" si="25"/>
        <v>893.7560778</v>
      </c>
      <c r="E104" s="118">
        <f>IFERROR(__xludf.DUMMYFUNCTION("FILTER(CUENTAS!AB:AB,A104=CUENTAS!A:A)
"),1.8846645059854507E7)</f>
        <v>18846645.06</v>
      </c>
      <c r="F104" s="118">
        <f t="shared" si="21"/>
        <v>5175.217651</v>
      </c>
      <c r="G104" s="119">
        <f t="shared" si="22"/>
        <v>4070259.964</v>
      </c>
      <c r="H104" s="120">
        <f t="shared" si="23"/>
        <v>0.2024346483</v>
      </c>
      <c r="I104" s="125"/>
      <c r="J104" s="5"/>
      <c r="K104" s="5"/>
      <c r="L104" s="5"/>
      <c r="M104" s="5"/>
      <c r="N104" s="5"/>
      <c r="O104" s="5"/>
      <c r="P104" s="5"/>
      <c r="Q104" s="5"/>
      <c r="R104" s="5"/>
      <c r="S104" s="5"/>
      <c r="T104" s="5"/>
      <c r="U104" s="5"/>
      <c r="V104" s="5"/>
      <c r="W104" s="5"/>
      <c r="X104" s="5"/>
      <c r="Y104" s="5"/>
    </row>
    <row r="105">
      <c r="A105" s="114">
        <v>45997.0</v>
      </c>
      <c r="B105" s="127"/>
      <c r="C105" s="118">
        <f t="shared" si="24"/>
        <v>15031431.1</v>
      </c>
      <c r="D105" s="117">
        <f t="shared" si="25"/>
        <v>893.7560778</v>
      </c>
      <c r="E105" s="118">
        <v>1.884146984220348E7</v>
      </c>
      <c r="F105" s="118">
        <f t="shared" si="21"/>
        <v>5175.10255</v>
      </c>
      <c r="G105" s="119">
        <f t="shared" si="22"/>
        <v>4065084.746</v>
      </c>
      <c r="H105" s="120">
        <f t="shared" si="23"/>
        <v>0.2022155797</v>
      </c>
      <c r="I105" s="125"/>
      <c r="J105" s="5"/>
      <c r="K105" s="5"/>
      <c r="L105" s="5"/>
      <c r="M105" s="5"/>
      <c r="N105" s="5"/>
      <c r="O105" s="5"/>
      <c r="P105" s="5"/>
      <c r="Q105" s="5"/>
      <c r="R105" s="5"/>
      <c r="S105" s="5"/>
      <c r="T105" s="5"/>
      <c r="U105" s="5"/>
      <c r="V105" s="5"/>
      <c r="W105" s="5"/>
      <c r="X105" s="5"/>
      <c r="Y105" s="5"/>
    </row>
    <row r="106">
      <c r="A106" s="114">
        <v>45996.0</v>
      </c>
      <c r="B106" s="128">
        <v>300000.0</v>
      </c>
      <c r="C106" s="118">
        <f t="shared" si="24"/>
        <v>15031431.1</v>
      </c>
      <c r="D106" s="117">
        <f t="shared" si="25"/>
        <v>893.7560778</v>
      </c>
      <c r="E106" s="118">
        <v>1.8836294739653874E7</v>
      </c>
      <c r="F106" s="118">
        <f t="shared" si="21"/>
        <v>-117525.0125</v>
      </c>
      <c r="G106" s="119">
        <f t="shared" si="22"/>
        <v>4059909.644</v>
      </c>
      <c r="H106" s="120">
        <f t="shared" si="23"/>
        <v>0.2019963956</v>
      </c>
      <c r="I106" s="125"/>
      <c r="J106" s="5"/>
      <c r="K106" s="5"/>
      <c r="L106" s="5"/>
      <c r="M106" s="5"/>
      <c r="N106" s="5"/>
      <c r="O106" s="5"/>
      <c r="P106" s="5"/>
      <c r="Q106" s="5"/>
      <c r="R106" s="5"/>
      <c r="S106" s="5"/>
      <c r="T106" s="5"/>
      <c r="U106" s="5"/>
      <c r="V106" s="5"/>
      <c r="W106" s="5"/>
      <c r="X106" s="5"/>
      <c r="Y106" s="5"/>
    </row>
    <row r="107">
      <c r="A107" s="114">
        <v>45995.0</v>
      </c>
      <c r="B107" s="127"/>
      <c r="C107" s="118">
        <f t="shared" si="24"/>
        <v>14731431.1</v>
      </c>
      <c r="D107" s="117">
        <f t="shared" ref="D107:D111" si="26">210.124911099241+8.48693+1.41387+35.69908-22.25544+5.26036-25.33826+1.156+29.113+28.99684+23.19747+57.54239+232.54495+2.88206+22.74505+4.63519+2.11353+52.6273-66.00251229+104.20941+104.43522+25.90764+2.58334+40.783046+4.974062+3.412215+0.974662+9.746616+19.493232-6.12208-19.493232+19.763238-9.538779-27.557959+1.008144</f>
        <v>879.5214938</v>
      </c>
      <c r="E107" s="118">
        <v>1.8653819752182677E7</v>
      </c>
      <c r="F107" s="118">
        <f t="shared" si="21"/>
        <v>4294.872416</v>
      </c>
      <c r="G107" s="119">
        <f t="shared" si="22"/>
        <v>4177434.656</v>
      </c>
      <c r="H107" s="120">
        <f t="shared" si="23"/>
        <v>0.2102726792</v>
      </c>
      <c r="I107" s="125"/>
      <c r="J107" s="5"/>
      <c r="K107" s="5"/>
      <c r="L107" s="5"/>
      <c r="M107" s="5"/>
      <c r="N107" s="5"/>
      <c r="O107" s="5"/>
      <c r="P107" s="5"/>
      <c r="Q107" s="5"/>
      <c r="R107" s="5"/>
      <c r="S107" s="5"/>
      <c r="T107" s="5"/>
      <c r="U107" s="5"/>
      <c r="V107" s="5"/>
      <c r="W107" s="5"/>
      <c r="X107" s="5"/>
      <c r="Y107" s="5"/>
    </row>
    <row r="108">
      <c r="A108" s="114">
        <v>45994.0</v>
      </c>
      <c r="B108" s="127"/>
      <c r="C108" s="118">
        <f t="shared" si="24"/>
        <v>14731431.1</v>
      </c>
      <c r="D108" s="117">
        <f t="shared" si="26"/>
        <v>879.5214938</v>
      </c>
      <c r="E108" s="118">
        <v>1.8649524879766878E7</v>
      </c>
      <c r="F108" s="118">
        <f t="shared" si="21"/>
        <v>-67265.24262</v>
      </c>
      <c r="G108" s="119">
        <f t="shared" si="22"/>
        <v>4173139.784</v>
      </c>
      <c r="H108" s="120">
        <f t="shared" si="23"/>
        <v>0.2100908098</v>
      </c>
      <c r="I108" s="125"/>
      <c r="J108" s="5"/>
      <c r="K108" s="5"/>
      <c r="L108" s="5"/>
      <c r="M108" s="5"/>
      <c r="N108" s="5"/>
      <c r="O108" s="5"/>
      <c r="P108" s="5"/>
      <c r="Q108" s="5"/>
      <c r="R108" s="5"/>
      <c r="S108" s="5"/>
      <c r="T108" s="5"/>
      <c r="U108" s="5"/>
      <c r="V108" s="5"/>
      <c r="W108" s="5"/>
      <c r="X108" s="5"/>
      <c r="Y108" s="5"/>
    </row>
    <row r="109">
      <c r="A109" s="114">
        <v>45993.0</v>
      </c>
      <c r="B109" s="127"/>
      <c r="C109" s="118">
        <f t="shared" si="24"/>
        <v>14731431.1</v>
      </c>
      <c r="D109" s="117">
        <f t="shared" si="26"/>
        <v>879.5214938</v>
      </c>
      <c r="E109" s="118">
        <v>1.871679012238346E7</v>
      </c>
      <c r="F109" s="118">
        <f t="shared" si="21"/>
        <v>151554.6424</v>
      </c>
      <c r="G109" s="119">
        <f t="shared" si="22"/>
        <v>4240405.026</v>
      </c>
      <c r="H109" s="120">
        <f t="shared" si="23"/>
        <v>0.212929621</v>
      </c>
      <c r="I109" s="125"/>
      <c r="J109" s="5"/>
      <c r="K109" s="5"/>
      <c r="L109" s="5"/>
      <c r="M109" s="5"/>
      <c r="N109" s="5"/>
      <c r="O109" s="5"/>
      <c r="P109" s="5"/>
      <c r="Q109" s="5"/>
      <c r="R109" s="5"/>
      <c r="S109" s="5"/>
      <c r="T109" s="5"/>
      <c r="U109" s="5"/>
      <c r="V109" s="5"/>
      <c r="W109" s="5"/>
      <c r="X109" s="5"/>
      <c r="Y109" s="5"/>
    </row>
    <row r="110">
      <c r="A110" s="114">
        <v>45992.0</v>
      </c>
      <c r="B110" s="127"/>
      <c r="C110" s="118">
        <f t="shared" si="24"/>
        <v>14731431.1</v>
      </c>
      <c r="D110" s="117">
        <f t="shared" si="26"/>
        <v>879.5214938</v>
      </c>
      <c r="E110" s="118">
        <v>1.856523548000943E7</v>
      </c>
      <c r="F110" s="118">
        <f t="shared" si="21"/>
        <v>113375.1848</v>
      </c>
      <c r="G110" s="119">
        <f t="shared" si="22"/>
        <v>4088850.384</v>
      </c>
      <c r="H110" s="120">
        <f t="shared" si="23"/>
        <v>0.2065044846</v>
      </c>
      <c r="I110" s="125"/>
      <c r="J110" s="5"/>
      <c r="K110" s="5"/>
      <c r="L110" s="5"/>
      <c r="M110" s="5"/>
      <c r="N110" s="5"/>
      <c r="O110" s="5"/>
      <c r="P110" s="5"/>
      <c r="Q110" s="5"/>
      <c r="R110" s="5"/>
      <c r="S110" s="5"/>
      <c r="T110" s="5"/>
      <c r="U110" s="5"/>
      <c r="V110" s="5"/>
      <c r="W110" s="5"/>
      <c r="X110" s="5"/>
      <c r="Y110" s="5"/>
    </row>
    <row r="111">
      <c r="A111" s="114">
        <v>45991.0</v>
      </c>
      <c r="B111" s="128">
        <f>-578150+21150</f>
        <v>-557000</v>
      </c>
      <c r="C111" s="118">
        <f t="shared" si="24"/>
        <v>14731431.1</v>
      </c>
      <c r="D111" s="117">
        <f t="shared" si="26"/>
        <v>879.5214938</v>
      </c>
      <c r="E111" s="118">
        <v>1.8451860295211952E7</v>
      </c>
      <c r="F111" s="118">
        <f t="shared" si="21"/>
        <v>5611.849834</v>
      </c>
      <c r="G111" s="119">
        <f t="shared" si="22"/>
        <v>3975475.199</v>
      </c>
      <c r="H111" s="120">
        <f t="shared" si="23"/>
        <v>0.201628949</v>
      </c>
      <c r="I111" s="125"/>
      <c r="J111" s="5"/>
      <c r="K111" s="5"/>
      <c r="L111" s="5"/>
      <c r="M111" s="5"/>
      <c r="N111" s="5"/>
      <c r="O111" s="5"/>
      <c r="P111" s="5"/>
      <c r="Q111" s="5"/>
      <c r="R111" s="5"/>
      <c r="S111" s="5"/>
      <c r="T111" s="5"/>
      <c r="U111" s="5"/>
      <c r="V111" s="5"/>
      <c r="W111" s="5"/>
      <c r="X111" s="5"/>
      <c r="Y111" s="5"/>
    </row>
    <row r="112">
      <c r="A112" s="114">
        <v>45990.0</v>
      </c>
      <c r="B112" s="127"/>
      <c r="C112" s="118">
        <f t="shared" si="24"/>
        <v>15288431.1</v>
      </c>
      <c r="D112" s="117">
        <f t="shared" ref="D112:D113" si="27">210.124911099241+8.48693+1.41387+35.69908-22.25544+5.26036-25.33826+1.156+29.113+28.99684+23.19747+57.54239+232.54495+2.88206+22.74505+4.63519+2.11353+52.6273-66.00251229+104.20941+104.43522+25.90764+2.58334+40.783046+4.974062+3.412215+0.974662+9.746616+19.493232-6.12208-19.493232+19.763238-9.538779</f>
        <v>906.0713088</v>
      </c>
      <c r="E112" s="118">
        <v>1.9003248445377875E7</v>
      </c>
      <c r="F112" s="118">
        <f t="shared" si="21"/>
        <v>5611.734894</v>
      </c>
      <c r="G112" s="119">
        <f t="shared" si="22"/>
        <v>3969863.349</v>
      </c>
      <c r="H112" s="120">
        <f t="shared" si="23"/>
        <v>0.1954832807</v>
      </c>
      <c r="I112" s="125"/>
      <c r="J112" s="5"/>
      <c r="K112" s="5"/>
      <c r="L112" s="5"/>
      <c r="M112" s="5"/>
      <c r="N112" s="5"/>
      <c r="O112" s="5"/>
      <c r="P112" s="5"/>
      <c r="Q112" s="5"/>
      <c r="R112" s="5"/>
      <c r="S112" s="5"/>
      <c r="T112" s="5"/>
      <c r="U112" s="5"/>
      <c r="V112" s="5"/>
      <c r="W112" s="5"/>
      <c r="X112" s="5"/>
      <c r="Y112" s="5"/>
    </row>
    <row r="113">
      <c r="A113" s="114">
        <v>45989.0</v>
      </c>
      <c r="B113" s="128">
        <v>-200000.0</v>
      </c>
      <c r="C113" s="118">
        <f t="shared" si="24"/>
        <v>15288431.1</v>
      </c>
      <c r="D113" s="117">
        <f t="shared" si="27"/>
        <v>906.0713088</v>
      </c>
      <c r="E113" s="118">
        <v>1.89976367104842E7</v>
      </c>
      <c r="F113" s="118">
        <f t="shared" si="21"/>
        <v>129711.62</v>
      </c>
      <c r="G113" s="119">
        <f t="shared" si="22"/>
        <v>3964251.614</v>
      </c>
      <c r="H113" s="120">
        <f t="shared" si="23"/>
        <v>0.1952456335</v>
      </c>
      <c r="I113" s="125"/>
      <c r="J113" s="5"/>
      <c r="K113" s="5"/>
      <c r="L113" s="5"/>
      <c r="M113" s="5"/>
      <c r="N113" s="5"/>
      <c r="O113" s="5"/>
      <c r="P113" s="5"/>
      <c r="Q113" s="5"/>
      <c r="R113" s="5"/>
      <c r="S113" s="5"/>
      <c r="T113" s="5"/>
      <c r="U113" s="5"/>
      <c r="V113" s="5"/>
      <c r="W113" s="5"/>
      <c r="X113" s="5"/>
      <c r="Y113" s="5"/>
    </row>
    <row r="114">
      <c r="A114" s="114">
        <v>45988.0</v>
      </c>
      <c r="B114" s="127"/>
      <c r="C114" s="118">
        <f t="shared" si="24"/>
        <v>15488431.1</v>
      </c>
      <c r="D114" s="117">
        <f t="shared" ref="D114:D120" si="28">210.124911099241+8.48693+1.41387+35.69908-22.25544+5.26036-25.33826+1.156+29.113+28.99684+23.19747+57.54239+232.54495+2.88206+22.74505+4.63519+2.11353+52.6273-66.00251229+104.20941+104.43522+25.90764+2.58334+40.783046+4.974062+3.412215+0.974662+9.746616+19.493232-6.12208-19.493232+19.763238</f>
        <v>915.6100878</v>
      </c>
      <c r="E114" s="118">
        <v>1.9067925090507954E7</v>
      </c>
      <c r="F114" s="118">
        <f t="shared" si="21"/>
        <v>551.5050818</v>
      </c>
      <c r="G114" s="119">
        <f t="shared" si="22"/>
        <v>3834539.994</v>
      </c>
      <c r="H114" s="120">
        <f t="shared" si="23"/>
        <v>0.187723309</v>
      </c>
      <c r="I114" s="125"/>
      <c r="J114" s="5"/>
      <c r="K114" s="5"/>
      <c r="L114" s="5"/>
      <c r="M114" s="5"/>
      <c r="N114" s="5"/>
      <c r="O114" s="5"/>
      <c r="P114" s="5"/>
      <c r="Q114" s="5"/>
      <c r="R114" s="5"/>
      <c r="S114" s="5"/>
      <c r="T114" s="5"/>
      <c r="U114" s="5"/>
      <c r="V114" s="5"/>
      <c r="W114" s="5"/>
      <c r="X114" s="5"/>
      <c r="Y114" s="5"/>
    </row>
    <row r="115">
      <c r="A115" s="114">
        <v>45987.0</v>
      </c>
      <c r="B115" s="127"/>
      <c r="C115" s="118">
        <f t="shared" si="24"/>
        <v>15488431.1</v>
      </c>
      <c r="D115" s="117">
        <f t="shared" si="28"/>
        <v>915.6100878</v>
      </c>
      <c r="E115" s="118">
        <v>1.906737358542615E7</v>
      </c>
      <c r="F115" s="118">
        <f t="shared" si="21"/>
        <v>29671.39021</v>
      </c>
      <c r="G115" s="119">
        <f t="shared" si="22"/>
        <v>3833988.489</v>
      </c>
      <c r="H115" s="120">
        <f t="shared" si="23"/>
        <v>0.1876998147</v>
      </c>
      <c r="I115" s="125"/>
      <c r="J115" s="5"/>
      <c r="K115" s="5"/>
      <c r="L115" s="5"/>
      <c r="M115" s="5"/>
      <c r="N115" s="5"/>
      <c r="O115" s="5"/>
      <c r="P115" s="5"/>
      <c r="Q115" s="5"/>
      <c r="R115" s="5"/>
      <c r="S115" s="5"/>
      <c r="T115" s="5"/>
      <c r="U115" s="5"/>
      <c r="V115" s="5"/>
      <c r="W115" s="5"/>
      <c r="X115" s="5"/>
      <c r="Y115" s="5"/>
    </row>
    <row r="116">
      <c r="A116" s="114">
        <v>45986.0</v>
      </c>
      <c r="B116" s="127"/>
      <c r="C116" s="118">
        <f t="shared" si="24"/>
        <v>15488431.1</v>
      </c>
      <c r="D116" s="117">
        <f t="shared" si="28"/>
        <v>915.6100878</v>
      </c>
      <c r="E116" s="118">
        <v>1.9037702195215825E7</v>
      </c>
      <c r="F116" s="118">
        <f t="shared" si="21"/>
        <v>230951.2754</v>
      </c>
      <c r="G116" s="119">
        <f t="shared" si="22"/>
        <v>3804317.099</v>
      </c>
      <c r="H116" s="120">
        <f t="shared" si="23"/>
        <v>0.1864337966</v>
      </c>
      <c r="I116" s="125"/>
      <c r="J116" s="5"/>
      <c r="K116" s="5"/>
      <c r="L116" s="5"/>
      <c r="M116" s="5"/>
      <c r="N116" s="5"/>
      <c r="O116" s="5"/>
      <c r="P116" s="5"/>
      <c r="Q116" s="5"/>
      <c r="R116" s="5"/>
      <c r="S116" s="5"/>
      <c r="T116" s="5"/>
      <c r="U116" s="5"/>
      <c r="V116" s="5"/>
      <c r="W116" s="5"/>
      <c r="X116" s="5"/>
      <c r="Y116" s="5"/>
    </row>
    <row r="117">
      <c r="A117" s="114">
        <v>45985.0</v>
      </c>
      <c r="B117" s="127"/>
      <c r="C117" s="118">
        <f t="shared" si="24"/>
        <v>15488431.1</v>
      </c>
      <c r="D117" s="117">
        <f t="shared" si="28"/>
        <v>915.6100878</v>
      </c>
      <c r="E117" s="118">
        <v>1.8806750919854E7</v>
      </c>
      <c r="F117" s="118">
        <f t="shared" si="21"/>
        <v>-357465.0324</v>
      </c>
      <c r="G117" s="119">
        <f t="shared" si="22"/>
        <v>3573365.824</v>
      </c>
      <c r="H117" s="120">
        <f t="shared" si="23"/>
        <v>0.1764430144</v>
      </c>
      <c r="I117" s="125"/>
      <c r="J117" s="5"/>
      <c r="K117" s="5"/>
      <c r="L117" s="5"/>
      <c r="M117" s="5"/>
      <c r="N117" s="5"/>
      <c r="O117" s="5"/>
      <c r="P117" s="5"/>
      <c r="Q117" s="5"/>
      <c r="R117" s="5"/>
      <c r="S117" s="5"/>
      <c r="T117" s="5"/>
      <c r="U117" s="5"/>
      <c r="V117" s="5"/>
      <c r="W117" s="5"/>
      <c r="X117" s="5"/>
      <c r="Y117" s="5"/>
    </row>
    <row r="118">
      <c r="A118" s="114">
        <v>45984.0</v>
      </c>
      <c r="B118" s="127"/>
      <c r="C118" s="118">
        <f t="shared" si="24"/>
        <v>15488431.1</v>
      </c>
      <c r="D118" s="117">
        <f t="shared" si="28"/>
        <v>915.6100878</v>
      </c>
      <c r="E118" s="118">
        <v>1.916421595229847E7</v>
      </c>
      <c r="F118" s="118">
        <f t="shared" si="21"/>
        <v>-6886.985645</v>
      </c>
      <c r="G118" s="119">
        <f t="shared" si="22"/>
        <v>3930830.856</v>
      </c>
      <c r="H118" s="120">
        <f t="shared" si="23"/>
        <v>0.1918046042</v>
      </c>
      <c r="I118" s="125"/>
      <c r="J118" s="5"/>
      <c r="K118" s="5"/>
      <c r="L118" s="5"/>
      <c r="M118" s="5"/>
      <c r="N118" s="5"/>
      <c r="O118" s="5"/>
      <c r="P118" s="5"/>
      <c r="Q118" s="5"/>
      <c r="R118" s="5"/>
      <c r="S118" s="5"/>
      <c r="T118" s="5"/>
      <c r="U118" s="5"/>
      <c r="V118" s="5"/>
      <c r="W118" s="5"/>
      <c r="X118" s="5"/>
      <c r="Y118" s="5"/>
    </row>
    <row r="119">
      <c r="A119" s="114">
        <v>45983.0</v>
      </c>
      <c r="B119" s="127"/>
      <c r="C119" s="118">
        <f t="shared" si="24"/>
        <v>15488431.1</v>
      </c>
      <c r="D119" s="117">
        <f t="shared" si="28"/>
        <v>915.6100878</v>
      </c>
      <c r="E119" s="118">
        <v>1.9171102937943596E7</v>
      </c>
      <c r="F119" s="118">
        <f t="shared" si="21"/>
        <v>-5898.782822</v>
      </c>
      <c r="G119" s="119">
        <f t="shared" si="22"/>
        <v>3937717.842</v>
      </c>
      <c r="H119" s="120">
        <f t="shared" si="23"/>
        <v>0.1920949386</v>
      </c>
      <c r="I119" s="125"/>
      <c r="J119" s="5"/>
      <c r="K119" s="5"/>
      <c r="L119" s="5"/>
      <c r="M119" s="5"/>
      <c r="N119" s="5"/>
      <c r="O119" s="5"/>
      <c r="P119" s="5"/>
      <c r="Q119" s="5"/>
      <c r="R119" s="5"/>
      <c r="S119" s="5"/>
      <c r="T119" s="5"/>
      <c r="U119" s="5"/>
      <c r="V119" s="5"/>
      <c r="W119" s="5"/>
      <c r="X119" s="5"/>
      <c r="Y119" s="5"/>
    </row>
    <row r="120">
      <c r="A120" s="114">
        <v>45982.0</v>
      </c>
      <c r="B120" s="128">
        <v>413931.2677</v>
      </c>
      <c r="C120" s="118">
        <f t="shared" si="24"/>
        <v>15488431.1</v>
      </c>
      <c r="D120" s="117">
        <f t="shared" si="28"/>
        <v>915.6100878</v>
      </c>
      <c r="E120" s="118">
        <v>1.9177001720765967E7</v>
      </c>
      <c r="F120" s="118">
        <f t="shared" si="21"/>
        <v>-19128.58752</v>
      </c>
      <c r="G120" s="119">
        <f t="shared" si="22"/>
        <v>3943616.625</v>
      </c>
      <c r="H120" s="120">
        <f t="shared" si="23"/>
        <v>0.1923434476</v>
      </c>
      <c r="I120" s="125"/>
      <c r="J120" s="5"/>
      <c r="K120" s="5"/>
      <c r="L120" s="5"/>
      <c r="M120" s="5"/>
      <c r="N120" s="5"/>
      <c r="O120" s="5"/>
      <c r="P120" s="5"/>
      <c r="Q120" s="5"/>
      <c r="R120" s="5"/>
      <c r="S120" s="5"/>
      <c r="T120" s="5"/>
      <c r="U120" s="5"/>
      <c r="V120" s="5"/>
      <c r="W120" s="5"/>
      <c r="X120" s="5"/>
      <c r="Y120" s="5"/>
    </row>
    <row r="121">
      <c r="A121" s="114">
        <v>45981.0</v>
      </c>
      <c r="B121" s="127"/>
      <c r="C121" s="118">
        <f t="shared" si="24"/>
        <v>15074499.83</v>
      </c>
      <c r="D121" s="117">
        <f t="shared" ref="D121:D122" si="29">210.124911099241+8.48693+1.41387+35.69908-22.25544+5.26036-25.33826+1.156+29.113+28.99684+23.19747+57.54239+232.54495+2.88206+22.74505+4.63519+2.11353+52.6273-66.00251229+104.20941+104.43522+25.90764+2.58334+40.783046+4.974062+3.412215+0.974662+9.746616+19.493232-6.12208-19.493232</f>
        <v>895.8468498</v>
      </c>
      <c r="E121" s="118">
        <v>1.8782199040589042E7</v>
      </c>
      <c r="F121" s="118">
        <f t="shared" si="21"/>
        <v>-240763.3948</v>
      </c>
      <c r="G121" s="119">
        <f t="shared" si="22"/>
        <v>3962745.212</v>
      </c>
      <c r="H121" s="120">
        <f t="shared" si="23"/>
        <v>0.197404958</v>
      </c>
      <c r="I121" s="125"/>
      <c r="J121" s="5"/>
      <c r="K121" s="5"/>
      <c r="L121" s="5"/>
      <c r="M121" s="5"/>
      <c r="N121" s="5"/>
      <c r="O121" s="5"/>
      <c r="P121" s="5"/>
      <c r="Q121" s="5"/>
      <c r="R121" s="5"/>
      <c r="S121" s="5"/>
      <c r="T121" s="5"/>
      <c r="U121" s="5"/>
      <c r="V121" s="5"/>
      <c r="W121" s="5"/>
      <c r="X121" s="5"/>
      <c r="Y121" s="5"/>
    </row>
    <row r="122">
      <c r="A122" s="114">
        <v>45980.0</v>
      </c>
      <c r="B122" s="128">
        <f>-130000-413931.2677</f>
        <v>-543931.2677</v>
      </c>
      <c r="C122" s="118">
        <f t="shared" si="24"/>
        <v>15074499.83</v>
      </c>
      <c r="D122" s="117">
        <f t="shared" si="29"/>
        <v>895.8468498</v>
      </c>
      <c r="E122" s="118">
        <v>1.9022962435409166E7</v>
      </c>
      <c r="F122" s="118">
        <f t="shared" si="21"/>
        <v>-118998.2047</v>
      </c>
      <c r="G122" s="119">
        <f t="shared" si="22"/>
        <v>4203508.607</v>
      </c>
      <c r="H122" s="120">
        <f t="shared" si="23"/>
        <v>0.2075629714</v>
      </c>
      <c r="I122" s="125"/>
      <c r="J122" s="5"/>
      <c r="K122" s="5"/>
      <c r="L122" s="5"/>
      <c r="M122" s="5"/>
      <c r="N122" s="5"/>
      <c r="O122" s="5"/>
      <c r="P122" s="5"/>
      <c r="Q122" s="5"/>
      <c r="R122" s="5"/>
      <c r="S122" s="5"/>
      <c r="T122" s="5"/>
      <c r="U122" s="5"/>
      <c r="V122" s="5"/>
      <c r="W122" s="5"/>
      <c r="X122" s="5"/>
      <c r="Y122" s="5"/>
    </row>
    <row r="123">
      <c r="A123" s="114">
        <v>45979.0</v>
      </c>
      <c r="B123" s="127"/>
      <c r="C123" s="118">
        <f t="shared" si="24"/>
        <v>15618431.1</v>
      </c>
      <c r="D123" s="117">
        <f t="shared" ref="D123:D138" si="30">210.124911099241+8.48693+1.41387+35.69908-22.25544+5.26036-25.33826+1.156+29.113+28.99684+23.19747+57.54239+232.54495+2.88206+22.74505+4.63519+2.11353+52.6273-66.00251229+104.20941+104.43522+25.90764+2.58334+40.783046+4.974062+3.412215+0.974662+9.746616+19.493232</f>
        <v>921.4621618</v>
      </c>
      <c r="E123" s="118">
        <v>1.9685891907821402E7</v>
      </c>
      <c r="F123" s="118">
        <f t="shared" si="21"/>
        <v>-48933.0172</v>
      </c>
      <c r="G123" s="119">
        <f t="shared" si="22"/>
        <v>4322506.812</v>
      </c>
      <c r="H123" s="120">
        <f t="shared" si="23"/>
        <v>0.2066180608</v>
      </c>
      <c r="I123" s="125"/>
      <c r="J123" s="5"/>
      <c r="K123" s="5"/>
      <c r="L123" s="5"/>
      <c r="M123" s="5"/>
      <c r="N123" s="5"/>
      <c r="O123" s="5"/>
      <c r="P123" s="5"/>
      <c r="Q123" s="5"/>
      <c r="R123" s="5"/>
      <c r="S123" s="5"/>
      <c r="T123" s="5"/>
      <c r="U123" s="5"/>
      <c r="V123" s="5"/>
      <c r="W123" s="5"/>
      <c r="X123" s="5"/>
      <c r="Y123" s="5"/>
    </row>
    <row r="124">
      <c r="A124" s="114">
        <v>45978.0</v>
      </c>
      <c r="B124" s="127"/>
      <c r="C124" s="118">
        <f t="shared" si="24"/>
        <v>15618431.1</v>
      </c>
      <c r="D124" s="117">
        <f t="shared" si="30"/>
        <v>921.4621618</v>
      </c>
      <c r="E124" s="118">
        <v>1.9734824925019503E7</v>
      </c>
      <c r="F124" s="118">
        <f t="shared" si="21"/>
        <v>-18607.83228</v>
      </c>
      <c r="G124" s="119">
        <f t="shared" si="22"/>
        <v>4371439.829</v>
      </c>
      <c r="H124" s="120">
        <f t="shared" si="23"/>
        <v>0.2085852722</v>
      </c>
      <c r="I124" s="125"/>
      <c r="J124" s="5"/>
      <c r="K124" s="5"/>
      <c r="L124" s="5"/>
      <c r="M124" s="5"/>
      <c r="N124" s="5"/>
      <c r="O124" s="5"/>
      <c r="P124" s="5"/>
      <c r="Q124" s="5"/>
      <c r="R124" s="5"/>
      <c r="S124" s="5"/>
      <c r="T124" s="5"/>
      <c r="U124" s="5"/>
      <c r="V124" s="5"/>
      <c r="W124" s="5"/>
      <c r="X124" s="5"/>
      <c r="Y124" s="5"/>
    </row>
    <row r="125">
      <c r="A125" s="114">
        <v>45977.0</v>
      </c>
      <c r="B125" s="127"/>
      <c r="C125" s="118">
        <f t="shared" si="24"/>
        <v>15618431.1</v>
      </c>
      <c r="D125" s="117">
        <f t="shared" si="30"/>
        <v>921.4621618</v>
      </c>
      <c r="E125" s="118">
        <v>1.9753432757295936E7</v>
      </c>
      <c r="F125" s="118">
        <f t="shared" si="21"/>
        <v>-18602.64995</v>
      </c>
      <c r="G125" s="119">
        <f t="shared" si="22"/>
        <v>4390047.661</v>
      </c>
      <c r="H125" s="120">
        <f t="shared" si="23"/>
        <v>0.2093307888</v>
      </c>
      <c r="I125" s="125"/>
      <c r="J125" s="5"/>
      <c r="K125" s="5"/>
      <c r="L125" s="5"/>
      <c r="M125" s="5"/>
      <c r="N125" s="5"/>
      <c r="O125" s="5"/>
      <c r="P125" s="5"/>
      <c r="Q125" s="5"/>
      <c r="R125" s="5"/>
      <c r="S125" s="5"/>
      <c r="T125" s="5"/>
      <c r="U125" s="5"/>
      <c r="V125" s="5"/>
      <c r="W125" s="5"/>
      <c r="X125" s="5"/>
      <c r="Y125" s="5"/>
    </row>
    <row r="126">
      <c r="A126" s="114">
        <v>45976.0</v>
      </c>
      <c r="B126" s="127"/>
      <c r="C126" s="118">
        <f t="shared" si="24"/>
        <v>15618431.1</v>
      </c>
      <c r="D126" s="117">
        <f t="shared" si="30"/>
        <v>921.4621618</v>
      </c>
      <c r="E126" s="118">
        <v>1.9772035407241855E7</v>
      </c>
      <c r="F126" s="118">
        <f t="shared" si="21"/>
        <v>-18597.47021</v>
      </c>
      <c r="G126" s="119">
        <f t="shared" si="22"/>
        <v>4408650.311</v>
      </c>
      <c r="H126" s="120">
        <f t="shared" si="23"/>
        <v>0.2100746952</v>
      </c>
      <c r="I126" s="125"/>
      <c r="J126" s="5"/>
      <c r="K126" s="5"/>
      <c r="L126" s="5"/>
      <c r="M126" s="5"/>
      <c r="N126" s="5"/>
      <c r="O126" s="5"/>
      <c r="P126" s="5"/>
      <c r="Q126" s="5"/>
      <c r="R126" s="5"/>
      <c r="S126" s="5"/>
      <c r="T126" s="5"/>
      <c r="U126" s="5"/>
      <c r="V126" s="5"/>
      <c r="W126" s="5"/>
      <c r="X126" s="5"/>
      <c r="Y126" s="5"/>
    </row>
    <row r="127">
      <c r="A127" s="114">
        <v>45975.0</v>
      </c>
      <c r="B127" s="127"/>
      <c r="C127" s="118">
        <f t="shared" si="24"/>
        <v>15618431.1</v>
      </c>
      <c r="D127" s="117">
        <f t="shared" si="30"/>
        <v>921.4621618</v>
      </c>
      <c r="E127" s="118">
        <v>1.9790632877447136E7</v>
      </c>
      <c r="F127" s="118">
        <f t="shared" si="21"/>
        <v>230047.7069</v>
      </c>
      <c r="G127" s="119">
        <f t="shared" si="22"/>
        <v>4427247.781</v>
      </c>
      <c r="H127" s="120">
        <f t="shared" si="23"/>
        <v>0.2108169965</v>
      </c>
      <c r="I127" s="125"/>
      <c r="J127" s="5"/>
      <c r="K127" s="5"/>
      <c r="L127" s="5"/>
      <c r="M127" s="5"/>
      <c r="N127" s="5"/>
      <c r="O127" s="5"/>
      <c r="P127" s="5"/>
      <c r="Q127" s="5"/>
      <c r="R127" s="5"/>
      <c r="S127" s="5"/>
      <c r="T127" s="5"/>
      <c r="U127" s="5"/>
      <c r="V127" s="5"/>
      <c r="W127" s="5"/>
      <c r="X127" s="5"/>
      <c r="Y127" s="5"/>
    </row>
    <row r="128">
      <c r="A128" s="114">
        <v>45974.0</v>
      </c>
      <c r="B128" s="127"/>
      <c r="C128" s="118">
        <f t="shared" si="24"/>
        <v>15618431.1</v>
      </c>
      <c r="D128" s="117">
        <f t="shared" si="30"/>
        <v>921.4621618</v>
      </c>
      <c r="E128" s="118">
        <v>1.9560585170500353E7</v>
      </c>
      <c r="F128" s="118">
        <f t="shared" si="21"/>
        <v>-53143.97406</v>
      </c>
      <c r="G128" s="119">
        <f t="shared" si="22"/>
        <v>4197200.074</v>
      </c>
      <c r="H128" s="120">
        <f t="shared" si="23"/>
        <v>0.2015355901</v>
      </c>
      <c r="I128" s="125"/>
      <c r="J128" s="5"/>
      <c r="K128" s="5"/>
      <c r="L128" s="5"/>
      <c r="M128" s="5"/>
      <c r="N128" s="5"/>
      <c r="O128" s="5"/>
      <c r="P128" s="5"/>
      <c r="Q128" s="5"/>
      <c r="R128" s="5"/>
      <c r="S128" s="5"/>
      <c r="T128" s="5"/>
      <c r="U128" s="5"/>
      <c r="V128" s="5"/>
      <c r="W128" s="5"/>
      <c r="X128" s="5"/>
      <c r="Y128" s="5"/>
    </row>
    <row r="129">
      <c r="A129" s="114">
        <v>45973.0</v>
      </c>
      <c r="B129" s="127"/>
      <c r="C129" s="118">
        <f t="shared" si="24"/>
        <v>15618431.1</v>
      </c>
      <c r="D129" s="117">
        <f t="shared" si="30"/>
        <v>921.4621618</v>
      </c>
      <c r="E129" s="118">
        <v>1.9613729144561008E7</v>
      </c>
      <c r="F129" s="118">
        <f t="shared" si="21"/>
        <v>28645.23433</v>
      </c>
      <c r="G129" s="119">
        <f t="shared" si="22"/>
        <v>4250344.048</v>
      </c>
      <c r="H129" s="120">
        <f t="shared" si="23"/>
        <v>0.2036990528</v>
      </c>
      <c r="I129" s="125"/>
      <c r="J129" s="5"/>
      <c r="K129" s="5"/>
      <c r="L129" s="5"/>
      <c r="M129" s="5"/>
      <c r="N129" s="5"/>
      <c r="O129" s="5"/>
      <c r="P129" s="5"/>
      <c r="Q129" s="5"/>
      <c r="R129" s="5"/>
      <c r="S129" s="5"/>
      <c r="T129" s="5"/>
      <c r="U129" s="5"/>
      <c r="V129" s="5"/>
      <c r="W129" s="5"/>
      <c r="X129" s="5"/>
      <c r="Y129" s="5"/>
    </row>
    <row r="130">
      <c r="A130" s="114">
        <v>45972.0</v>
      </c>
      <c r="B130" s="127"/>
      <c r="C130" s="118">
        <f t="shared" si="24"/>
        <v>15618431.1</v>
      </c>
      <c r="D130" s="117">
        <f t="shared" si="30"/>
        <v>921.4621618</v>
      </c>
      <c r="E130" s="118">
        <v>1.9585083910233285E7</v>
      </c>
      <c r="F130" s="118">
        <f t="shared" si="21"/>
        <v>6644.443112</v>
      </c>
      <c r="G130" s="119">
        <f t="shared" si="22"/>
        <v>4221698.814</v>
      </c>
      <c r="H130" s="120">
        <f t="shared" si="23"/>
        <v>0.2025343793</v>
      </c>
      <c r="I130" s="125"/>
      <c r="J130" s="5"/>
      <c r="K130" s="5"/>
      <c r="L130" s="5"/>
      <c r="M130" s="5"/>
      <c r="N130" s="5"/>
      <c r="O130" s="5"/>
      <c r="P130" s="5"/>
      <c r="Q130" s="5"/>
      <c r="R130" s="5"/>
      <c r="S130" s="5"/>
      <c r="T130" s="5"/>
      <c r="U130" s="5"/>
      <c r="V130" s="5"/>
      <c r="W130" s="5"/>
      <c r="X130" s="5"/>
      <c r="Y130" s="5"/>
    </row>
    <row r="131">
      <c r="A131" s="114">
        <v>45971.0</v>
      </c>
      <c r="B131" s="127"/>
      <c r="C131" s="118">
        <f t="shared" si="24"/>
        <v>15618431.1</v>
      </c>
      <c r="D131" s="117">
        <f t="shared" si="30"/>
        <v>921.4621618</v>
      </c>
      <c r="E131" s="118">
        <v>1.9578439467121586E7</v>
      </c>
      <c r="F131" s="118">
        <f t="shared" si="21"/>
        <v>44383.65229</v>
      </c>
      <c r="G131" s="119">
        <f t="shared" si="22"/>
        <v>4215054.371</v>
      </c>
      <c r="H131" s="120">
        <f t="shared" si="23"/>
        <v>0.202263739</v>
      </c>
      <c r="I131" s="125"/>
      <c r="J131" s="5"/>
      <c r="K131" s="5"/>
      <c r="L131" s="5"/>
      <c r="M131" s="5"/>
      <c r="N131" s="5"/>
      <c r="O131" s="5"/>
      <c r="P131" s="5"/>
      <c r="Q131" s="5"/>
      <c r="R131" s="5"/>
      <c r="S131" s="5"/>
      <c r="T131" s="5"/>
      <c r="U131" s="5"/>
      <c r="V131" s="5"/>
      <c r="W131" s="5"/>
      <c r="X131" s="5"/>
      <c r="Y131" s="5"/>
    </row>
    <row r="132">
      <c r="A132" s="114">
        <v>45970.0</v>
      </c>
      <c r="B132" s="127"/>
      <c r="C132" s="118">
        <f t="shared" si="24"/>
        <v>15618431.1</v>
      </c>
      <c r="D132" s="117">
        <f t="shared" si="30"/>
        <v>921.4621618</v>
      </c>
      <c r="E132" s="118">
        <v>1.9534055814830504E7</v>
      </c>
      <c r="F132" s="118">
        <f t="shared" si="21"/>
        <v>5522.861866</v>
      </c>
      <c r="G132" s="119">
        <f t="shared" si="22"/>
        <v>4170670.719</v>
      </c>
      <c r="H132" s="120">
        <f t="shared" si="23"/>
        <v>0.2004511892</v>
      </c>
      <c r="I132" s="125"/>
      <c r="J132" s="5"/>
      <c r="K132" s="5"/>
      <c r="L132" s="5"/>
      <c r="M132" s="5"/>
      <c r="N132" s="5"/>
      <c r="O132" s="5"/>
      <c r="P132" s="5"/>
      <c r="Q132" s="5"/>
      <c r="R132" s="5"/>
      <c r="S132" s="5"/>
      <c r="T132" s="5"/>
      <c r="U132" s="5"/>
      <c r="V132" s="5"/>
      <c r="W132" s="5"/>
      <c r="X132" s="5"/>
      <c r="Y132" s="5"/>
    </row>
    <row r="133">
      <c r="A133" s="114">
        <v>45969.0</v>
      </c>
      <c r="B133" s="127"/>
      <c r="C133" s="118">
        <f t="shared" si="24"/>
        <v>15618431.1</v>
      </c>
      <c r="D133" s="116">
        <f t="shared" si="30"/>
        <v>921.4621618</v>
      </c>
      <c r="E133" s="118">
        <v>1.9528532952964816E7</v>
      </c>
      <c r="F133" s="118">
        <f t="shared" si="21"/>
        <v>5522.071835</v>
      </c>
      <c r="G133" s="119">
        <f t="shared" si="22"/>
        <v>4165147.857</v>
      </c>
      <c r="H133" s="120">
        <f t="shared" si="23"/>
        <v>0.2002250689</v>
      </c>
      <c r="I133" s="125"/>
      <c r="J133" s="5"/>
      <c r="K133" s="5"/>
      <c r="L133" s="5"/>
      <c r="M133" s="5"/>
      <c r="N133" s="5"/>
      <c r="O133" s="5"/>
      <c r="P133" s="5"/>
      <c r="Q133" s="5"/>
      <c r="R133" s="5"/>
      <c r="S133" s="5"/>
      <c r="T133" s="5"/>
      <c r="U133" s="5"/>
      <c r="V133" s="5"/>
      <c r="W133" s="5"/>
      <c r="X133" s="5"/>
      <c r="Y133" s="5"/>
    </row>
    <row r="134">
      <c r="A134" s="114">
        <v>45968.0</v>
      </c>
      <c r="B134" s="127"/>
      <c r="C134" s="118">
        <f t="shared" si="24"/>
        <v>15618431.1</v>
      </c>
      <c r="D134" s="116">
        <f t="shared" si="30"/>
        <v>921.4621618</v>
      </c>
      <c r="E134" s="118">
        <v>1.9523010881129507E7</v>
      </c>
      <c r="F134" s="118">
        <f t="shared" si="21"/>
        <v>108561.2822</v>
      </c>
      <c r="G134" s="119">
        <f t="shared" si="22"/>
        <v>4159625.785</v>
      </c>
      <c r="H134" s="120">
        <f t="shared" si="23"/>
        <v>0.1999988531</v>
      </c>
      <c r="I134" s="125"/>
      <c r="J134" s="5"/>
      <c r="K134" s="5"/>
      <c r="L134" s="5"/>
      <c r="M134" s="5"/>
      <c r="N134" s="5"/>
      <c r="O134" s="5"/>
      <c r="P134" s="5"/>
      <c r="Q134" s="5"/>
      <c r="R134" s="5"/>
      <c r="S134" s="5"/>
      <c r="T134" s="5"/>
      <c r="U134" s="5"/>
      <c r="V134" s="5"/>
      <c r="W134" s="5"/>
      <c r="X134" s="5"/>
      <c r="Y134" s="5"/>
    </row>
    <row r="135">
      <c r="A135" s="114">
        <v>45967.0</v>
      </c>
      <c r="B135" s="127"/>
      <c r="C135" s="118">
        <f t="shared" si="24"/>
        <v>15618431.1</v>
      </c>
      <c r="D135" s="116">
        <f t="shared" si="30"/>
        <v>921.4621618</v>
      </c>
      <c r="E135" s="118">
        <v>1.941444959892976E7</v>
      </c>
      <c r="F135" s="118">
        <f t="shared" si="21"/>
        <v>90020.49296</v>
      </c>
      <c r="G135" s="119">
        <f t="shared" si="22"/>
        <v>4051064.503</v>
      </c>
      <c r="H135" s="120">
        <f t="shared" si="23"/>
        <v>0.1955254247</v>
      </c>
      <c r="I135" s="125"/>
      <c r="J135" s="5"/>
      <c r="K135" s="5"/>
      <c r="L135" s="5"/>
      <c r="M135" s="5"/>
      <c r="N135" s="5"/>
      <c r="O135" s="5"/>
      <c r="P135" s="5"/>
      <c r="Q135" s="5"/>
      <c r="R135" s="5"/>
      <c r="S135" s="5"/>
      <c r="T135" s="5"/>
      <c r="U135" s="5"/>
      <c r="V135" s="5"/>
      <c r="W135" s="5"/>
      <c r="X135" s="5"/>
      <c r="Y135" s="5"/>
    </row>
    <row r="136">
      <c r="A136" s="114">
        <v>45966.0</v>
      </c>
      <c r="B136" s="127"/>
      <c r="C136" s="118">
        <f t="shared" si="24"/>
        <v>15618431.1</v>
      </c>
      <c r="D136" s="116">
        <f t="shared" si="30"/>
        <v>921.4621618</v>
      </c>
      <c r="E136" s="118">
        <v>1.932442910597096E7</v>
      </c>
      <c r="F136" s="118">
        <f t="shared" si="21"/>
        <v>351339.7041</v>
      </c>
      <c r="G136" s="119">
        <f t="shared" si="22"/>
        <v>3961044.01</v>
      </c>
      <c r="H136" s="120">
        <f t="shared" si="23"/>
        <v>0.1917778781</v>
      </c>
      <c r="I136" s="125"/>
      <c r="J136" s="5"/>
      <c r="K136" s="5"/>
      <c r="L136" s="5"/>
      <c r="M136" s="5"/>
      <c r="N136" s="5"/>
      <c r="O136" s="5"/>
      <c r="P136" s="5"/>
      <c r="Q136" s="5"/>
      <c r="R136" s="5"/>
      <c r="S136" s="5"/>
      <c r="T136" s="5"/>
      <c r="U136" s="5"/>
      <c r="V136" s="5"/>
      <c r="W136" s="5"/>
      <c r="X136" s="5"/>
      <c r="Y136" s="5"/>
    </row>
    <row r="137">
      <c r="A137" s="114">
        <v>45965.0</v>
      </c>
      <c r="B137" s="127"/>
      <c r="C137" s="118">
        <f t="shared" si="24"/>
        <v>15618431.1</v>
      </c>
      <c r="D137" s="116">
        <f t="shared" si="30"/>
        <v>921.4621618</v>
      </c>
      <c r="E137" s="118">
        <v>1.8973089401858684E7</v>
      </c>
      <c r="F137" s="118">
        <f t="shared" si="21"/>
        <v>64738.91566</v>
      </c>
      <c r="G137" s="119">
        <f t="shared" si="22"/>
        <v>3609704.306</v>
      </c>
      <c r="H137" s="120">
        <f t="shared" si="23"/>
        <v>0.1768113898</v>
      </c>
      <c r="I137" s="125"/>
      <c r="J137" s="5"/>
      <c r="K137" s="5"/>
      <c r="L137" s="5"/>
      <c r="M137" s="5"/>
      <c r="N137" s="5"/>
      <c r="O137" s="5"/>
      <c r="P137" s="5"/>
      <c r="Q137" s="5"/>
      <c r="R137" s="5"/>
      <c r="S137" s="5"/>
      <c r="T137" s="5"/>
      <c r="U137" s="5"/>
      <c r="V137" s="5"/>
      <c r="W137" s="5"/>
      <c r="X137" s="5"/>
      <c r="Y137" s="5"/>
    </row>
    <row r="138">
      <c r="A138" s="114">
        <v>45964.0</v>
      </c>
      <c r="B138" s="128">
        <v>620000.0</v>
      </c>
      <c r="C138" s="118">
        <f t="shared" si="24"/>
        <v>15618431.1</v>
      </c>
      <c r="D138" s="116">
        <f t="shared" si="30"/>
        <v>921.4621618</v>
      </c>
      <c r="E138" s="118">
        <v>1.8908350486198697E7</v>
      </c>
      <c r="F138" s="118">
        <f t="shared" si="21"/>
        <v>4818.227552</v>
      </c>
      <c r="G138" s="119">
        <f t="shared" si="22"/>
        <v>3544965.39</v>
      </c>
      <c r="H138" s="120">
        <f t="shared" si="23"/>
        <v>0.1739929346</v>
      </c>
      <c r="I138" s="125"/>
      <c r="J138" s="5"/>
      <c r="K138" s="5"/>
      <c r="L138" s="5"/>
      <c r="M138" s="5"/>
      <c r="N138" s="5"/>
      <c r="O138" s="5"/>
      <c r="P138" s="5"/>
      <c r="Q138" s="5"/>
      <c r="R138" s="5"/>
      <c r="S138" s="5"/>
      <c r="T138" s="5"/>
      <c r="U138" s="5"/>
      <c r="V138" s="5"/>
      <c r="W138" s="5"/>
      <c r="X138" s="5"/>
      <c r="Y138" s="5"/>
    </row>
    <row r="139">
      <c r="A139" s="114">
        <v>45963.0</v>
      </c>
      <c r="B139" s="128">
        <v>70000.0</v>
      </c>
      <c r="C139" s="118">
        <f t="shared" si="24"/>
        <v>14998431.1</v>
      </c>
      <c r="D139" s="116">
        <f>210.124911099241+8.48693+1.41387+35.69908-22.25544+5.26036-25.33826+1.156+29.113+28.99684+23.19747+57.54239+232.54495+2.88206+22.74505+4.63519+2.11353+52.6273-66.00251229+104.20941+104.43522+25.90764+2.58334+40.783046+4.974062+3.412215</f>
        <v>891.2476518</v>
      </c>
      <c r="E139" s="129">
        <v>1.8283532258647E7</v>
      </c>
      <c r="F139" s="118">
        <f t="shared" si="21"/>
        <v>5317.539787</v>
      </c>
      <c r="G139" s="119">
        <f t="shared" si="22"/>
        <v>3540147.163</v>
      </c>
      <c r="H139" s="120">
        <f t="shared" si="23"/>
        <v>0.1796754104</v>
      </c>
      <c r="I139" s="125"/>
      <c r="J139" s="5"/>
      <c r="K139" s="5"/>
      <c r="L139" s="5"/>
      <c r="M139" s="5"/>
      <c r="N139" s="5"/>
      <c r="O139" s="5"/>
      <c r="P139" s="5"/>
      <c r="Q139" s="5"/>
      <c r="R139" s="5"/>
      <c r="S139" s="5"/>
      <c r="T139" s="5"/>
      <c r="U139" s="5"/>
      <c r="V139" s="5"/>
      <c r="W139" s="5"/>
      <c r="X139" s="5"/>
      <c r="Y139" s="5"/>
    </row>
    <row r="140">
      <c r="A140" s="114">
        <v>45962.0</v>
      </c>
      <c r="B140" s="127"/>
      <c r="C140" s="118">
        <f t="shared" si="24"/>
        <v>14928431.1</v>
      </c>
      <c r="D140" s="116">
        <f t="shared" ref="D140:D148" si="31">210.124911099241+8.48693+1.41387+35.69908-22.25544+5.26036-25.33826+1.156+29.113+28.99684+23.19747+57.54239+232.54495+2.88206+22.74505+4.63519+2.11353+52.6273-66.00251229+104.20941+104.43522+25.90764+2.58334+40.783046+4.974062</f>
        <v>887.8354368</v>
      </c>
      <c r="E140" s="118">
        <v>1.8208214718859565E7</v>
      </c>
      <c r="F140" s="118">
        <f t="shared" si="21"/>
        <v>5316.852367</v>
      </c>
      <c r="G140" s="119">
        <f t="shared" si="22"/>
        <v>3534829.623</v>
      </c>
      <c r="H140" s="120">
        <f t="shared" si="23"/>
        <v>0.1801265898</v>
      </c>
      <c r="I140" s="125"/>
      <c r="J140" s="5"/>
      <c r="K140" s="5"/>
      <c r="L140" s="5"/>
      <c r="M140" s="5"/>
      <c r="N140" s="5"/>
      <c r="O140" s="5"/>
      <c r="P140" s="5"/>
      <c r="Q140" s="5"/>
      <c r="R140" s="5"/>
      <c r="S140" s="5"/>
      <c r="T140" s="5"/>
      <c r="U140" s="5"/>
      <c r="V140" s="5"/>
      <c r="W140" s="5"/>
      <c r="X140" s="5"/>
      <c r="Y140" s="5"/>
    </row>
    <row r="141">
      <c r="A141" s="114">
        <v>45961.0</v>
      </c>
      <c r="B141" s="127"/>
      <c r="C141" s="118">
        <f t="shared" si="24"/>
        <v>14928431.1</v>
      </c>
      <c r="D141" s="116">
        <f t="shared" si="31"/>
        <v>887.8354368</v>
      </c>
      <c r="E141" s="118">
        <v>1.8202897866492826E7</v>
      </c>
      <c r="F141" s="118">
        <f t="shared" si="21"/>
        <v>44776.16529</v>
      </c>
      <c r="G141" s="119">
        <f t="shared" si="22"/>
        <v>3529512.77</v>
      </c>
      <c r="H141" s="120">
        <f t="shared" si="23"/>
        <v>0.1798871144</v>
      </c>
      <c r="I141" s="125"/>
      <c r="J141" s="5"/>
      <c r="K141" s="5"/>
      <c r="L141" s="5"/>
      <c r="M141" s="5"/>
      <c r="N141" s="5"/>
      <c r="O141" s="5"/>
      <c r="P141" s="5"/>
      <c r="Q141" s="5"/>
      <c r="R141" s="5"/>
      <c r="S141" s="5"/>
      <c r="T141" s="5"/>
      <c r="U141" s="5"/>
      <c r="V141" s="5"/>
      <c r="W141" s="5"/>
      <c r="X141" s="5"/>
      <c r="Y141" s="5"/>
    </row>
    <row r="142">
      <c r="A142" s="114">
        <v>45960.0</v>
      </c>
      <c r="B142" s="127"/>
      <c r="C142" s="118">
        <f t="shared" si="24"/>
        <v>14928431.1</v>
      </c>
      <c r="D142" s="116">
        <f t="shared" si="31"/>
        <v>887.8354368</v>
      </c>
      <c r="E142" s="118">
        <v>1.81581217012032E7</v>
      </c>
      <c r="F142" s="118">
        <f t="shared" si="21"/>
        <v>-28588.84141</v>
      </c>
      <c r="G142" s="119">
        <f t="shared" si="22"/>
        <v>3484736.605</v>
      </c>
      <c r="H142" s="120">
        <f t="shared" si="23"/>
        <v>0.1778647956</v>
      </c>
      <c r="I142" s="125"/>
      <c r="J142" s="5"/>
      <c r="K142" s="5"/>
      <c r="L142" s="5"/>
      <c r="M142" s="5"/>
      <c r="N142" s="5"/>
      <c r="O142" s="5"/>
      <c r="P142" s="5"/>
      <c r="Q142" s="5"/>
      <c r="R142" s="5"/>
      <c r="S142" s="5"/>
      <c r="T142" s="5"/>
      <c r="U142" s="5"/>
      <c r="V142" s="5"/>
      <c r="W142" s="5"/>
      <c r="X142" s="5"/>
      <c r="Y142" s="5"/>
    </row>
    <row r="143">
      <c r="A143" s="114">
        <v>45959.0</v>
      </c>
      <c r="B143" s="127"/>
      <c r="C143" s="118">
        <f t="shared" si="24"/>
        <v>14928431.1</v>
      </c>
      <c r="D143" s="116">
        <f t="shared" si="31"/>
        <v>887.8354368</v>
      </c>
      <c r="E143" s="118">
        <v>1.8186710542611644E7</v>
      </c>
      <c r="F143" s="118">
        <f t="shared" si="21"/>
        <v>99309.99078</v>
      </c>
      <c r="G143" s="119">
        <f t="shared" si="22"/>
        <v>3513325.447</v>
      </c>
      <c r="H143" s="120">
        <f t="shared" si="23"/>
        <v>0.179157162</v>
      </c>
      <c r="I143" s="125"/>
      <c r="J143" s="5"/>
      <c r="K143" s="5"/>
      <c r="L143" s="5"/>
      <c r="M143" s="5"/>
      <c r="N143" s="5"/>
      <c r="O143" s="5"/>
      <c r="P143" s="5"/>
      <c r="Q143" s="5"/>
      <c r="R143" s="5"/>
      <c r="S143" s="5"/>
      <c r="T143" s="5"/>
      <c r="U143" s="5"/>
      <c r="V143" s="5"/>
      <c r="W143" s="5"/>
      <c r="X143" s="5"/>
      <c r="Y143" s="5"/>
    </row>
    <row r="144">
      <c r="A144" s="114">
        <v>45958.0</v>
      </c>
      <c r="B144" s="127"/>
      <c r="C144" s="118">
        <f t="shared" si="24"/>
        <v>14928431.1</v>
      </c>
      <c r="D144" s="116">
        <f t="shared" si="31"/>
        <v>887.8354368</v>
      </c>
      <c r="E144" s="118">
        <v>1.808740055182926E7</v>
      </c>
      <c r="F144" s="118">
        <f t="shared" si="21"/>
        <v>61129.47323</v>
      </c>
      <c r="G144" s="119">
        <f t="shared" si="22"/>
        <v>3414015.456</v>
      </c>
      <c r="H144" s="120">
        <f t="shared" si="23"/>
        <v>0.1746502736</v>
      </c>
      <c r="I144" s="125"/>
      <c r="J144" s="5"/>
      <c r="K144" s="5"/>
      <c r="L144" s="5"/>
      <c r="M144" s="5"/>
      <c r="N144" s="5"/>
      <c r="O144" s="5"/>
      <c r="P144" s="5"/>
      <c r="Q144" s="5"/>
      <c r="R144" s="5"/>
      <c r="S144" s="5"/>
      <c r="T144" s="5"/>
      <c r="U144" s="5"/>
      <c r="V144" s="5"/>
      <c r="W144" s="5"/>
      <c r="X144" s="5"/>
      <c r="Y144" s="5"/>
    </row>
    <row r="145">
      <c r="A145" s="114">
        <v>45957.0</v>
      </c>
      <c r="B145" s="127"/>
      <c r="C145" s="118">
        <f t="shared" si="24"/>
        <v>14928431.1</v>
      </c>
      <c r="D145" s="116">
        <f t="shared" si="31"/>
        <v>887.8354368</v>
      </c>
      <c r="E145" s="118">
        <v>1.8026271078597274E7</v>
      </c>
      <c r="F145" s="118">
        <f t="shared" si="21"/>
        <v>168528.9559</v>
      </c>
      <c r="G145" s="119">
        <f t="shared" si="22"/>
        <v>3352885.982</v>
      </c>
      <c r="H145" s="120">
        <f t="shared" si="23"/>
        <v>0.1718514034</v>
      </c>
      <c r="I145" s="125"/>
      <c r="J145" s="5"/>
      <c r="K145" s="5"/>
      <c r="L145" s="5"/>
      <c r="M145" s="5"/>
      <c r="N145" s="5"/>
      <c r="O145" s="5"/>
      <c r="P145" s="5"/>
      <c r="Q145" s="5"/>
      <c r="R145" s="5"/>
      <c r="S145" s="5"/>
      <c r="T145" s="5"/>
      <c r="U145" s="5"/>
      <c r="V145" s="5"/>
      <c r="W145" s="5"/>
      <c r="X145" s="5"/>
      <c r="Y145" s="5"/>
    </row>
    <row r="146">
      <c r="A146" s="114">
        <v>45956.0</v>
      </c>
      <c r="B146" s="127"/>
      <c r="C146" s="118">
        <f t="shared" si="24"/>
        <v>14928431.1</v>
      </c>
      <c r="D146" s="116">
        <f t="shared" si="31"/>
        <v>887.8354368</v>
      </c>
      <c r="E146" s="118">
        <v>1.785774212265703E7</v>
      </c>
      <c r="F146" s="118">
        <f t="shared" si="21"/>
        <v>4218.779737</v>
      </c>
      <c r="G146" s="119">
        <f t="shared" si="22"/>
        <v>3184357.027</v>
      </c>
      <c r="H146" s="120">
        <f t="shared" si="23"/>
        <v>0.1640359126</v>
      </c>
      <c r="I146" s="125"/>
      <c r="J146" s="5"/>
      <c r="K146" s="5"/>
      <c r="L146" s="5"/>
      <c r="M146" s="5"/>
      <c r="N146" s="5"/>
      <c r="O146" s="5"/>
      <c r="P146" s="5"/>
      <c r="Q146" s="5"/>
      <c r="R146" s="5"/>
      <c r="S146" s="5"/>
      <c r="T146" s="5"/>
      <c r="U146" s="5"/>
      <c r="V146" s="5"/>
      <c r="W146" s="5"/>
      <c r="X146" s="5"/>
      <c r="Y146" s="5"/>
    </row>
    <row r="147">
      <c r="A147" s="114">
        <v>45955.0</v>
      </c>
      <c r="B147" s="127"/>
      <c r="C147" s="118">
        <f t="shared" si="24"/>
        <v>14928431.1</v>
      </c>
      <c r="D147" s="116">
        <f t="shared" si="31"/>
        <v>887.8354368</v>
      </c>
      <c r="E147" s="118">
        <v>1.7853523342920437E7</v>
      </c>
      <c r="F147" s="118">
        <f t="shared" si="21"/>
        <v>4218.147849</v>
      </c>
      <c r="G147" s="119">
        <f t="shared" si="22"/>
        <v>3180138.247</v>
      </c>
      <c r="H147" s="120">
        <f t="shared" si="23"/>
        <v>0.1638383747</v>
      </c>
      <c r="I147" s="125"/>
      <c r="J147" s="5"/>
      <c r="K147" s="5"/>
      <c r="L147" s="5"/>
      <c r="M147" s="5"/>
      <c r="N147" s="5"/>
      <c r="O147" s="5"/>
      <c r="P147" s="5"/>
      <c r="Q147" s="5"/>
      <c r="R147" s="5"/>
      <c r="S147" s="5"/>
      <c r="T147" s="5"/>
      <c r="U147" s="5"/>
      <c r="V147" s="5"/>
      <c r="W147" s="5"/>
      <c r="X147" s="5"/>
      <c r="Y147" s="5"/>
    </row>
    <row r="148">
      <c r="A148" s="114">
        <v>45954.0</v>
      </c>
      <c r="B148" s="128">
        <v>100000.0</v>
      </c>
      <c r="C148" s="118">
        <f t="shared" si="24"/>
        <v>14928431.1</v>
      </c>
      <c r="D148" s="116">
        <f t="shared" si="31"/>
        <v>887.8354368</v>
      </c>
      <c r="E148" s="118">
        <v>1.784930519507156E7</v>
      </c>
      <c r="F148" s="118">
        <f t="shared" si="21"/>
        <v>173637.5163</v>
      </c>
      <c r="G148" s="119">
        <f t="shared" si="22"/>
        <v>3175920.099</v>
      </c>
      <c r="H148" s="120">
        <f t="shared" si="23"/>
        <v>0.163640773</v>
      </c>
      <c r="I148" s="125"/>
      <c r="J148" s="5"/>
      <c r="K148" s="5"/>
      <c r="L148" s="5"/>
      <c r="M148" s="5"/>
      <c r="N148" s="5"/>
      <c r="O148" s="5"/>
      <c r="P148" s="5"/>
      <c r="Q148" s="5"/>
      <c r="R148" s="5"/>
      <c r="S148" s="5"/>
      <c r="T148" s="5"/>
      <c r="U148" s="5"/>
      <c r="V148" s="5"/>
      <c r="W148" s="5"/>
      <c r="X148" s="5"/>
      <c r="Y148" s="5"/>
    </row>
    <row r="149">
      <c r="A149" s="114">
        <v>45953.0</v>
      </c>
      <c r="B149" s="127"/>
      <c r="C149" s="118">
        <f t="shared" si="24"/>
        <v>14828431.1</v>
      </c>
      <c r="D149" s="116">
        <f t="shared" ref="D149:D152" si="32">210.124911099241+8.48693+1.41387+35.69908-22.25544+5.26036-25.33826+1.156+29.113+28.99684+23.19747+57.54239+232.54495+2.88206+22.74505+4.63519+2.11353+52.6273-66.00251229+104.20941+104.43522+25.90764+2.58334+40.783046</f>
        <v>882.8613748</v>
      </c>
      <c r="E149" s="118">
        <v>1.757566767879459E7</v>
      </c>
      <c r="F149" s="118">
        <f t="shared" si="21"/>
        <v>103296.885</v>
      </c>
      <c r="G149" s="119">
        <f t="shared" si="22"/>
        <v>3002282.583</v>
      </c>
      <c r="H149" s="120">
        <f t="shared" si="23"/>
        <v>0.1563090878</v>
      </c>
      <c r="I149" s="125"/>
      <c r="J149" s="5"/>
      <c r="K149" s="5"/>
      <c r="L149" s="5"/>
      <c r="M149" s="5"/>
      <c r="N149" s="5"/>
      <c r="O149" s="5"/>
      <c r="P149" s="5"/>
      <c r="Q149" s="5"/>
      <c r="R149" s="5"/>
      <c r="S149" s="5"/>
      <c r="T149" s="5"/>
      <c r="U149" s="5"/>
      <c r="V149" s="5"/>
      <c r="W149" s="5"/>
      <c r="X149" s="5"/>
      <c r="Y149" s="5"/>
    </row>
    <row r="150">
      <c r="A150" s="114">
        <v>45952.0</v>
      </c>
      <c r="B150" s="127"/>
      <c r="C150" s="118">
        <f t="shared" si="24"/>
        <v>14828431.1</v>
      </c>
      <c r="D150" s="116">
        <f t="shared" si="32"/>
        <v>882.8613748</v>
      </c>
      <c r="E150" s="118">
        <v>1.747237079377391E7</v>
      </c>
      <c r="F150" s="118">
        <f t="shared" si="21"/>
        <v>153336.2541</v>
      </c>
      <c r="G150" s="119">
        <f t="shared" si="22"/>
        <v>2898985.698</v>
      </c>
      <c r="H150" s="120">
        <f t="shared" si="23"/>
        <v>0.1513211761</v>
      </c>
      <c r="I150" s="125"/>
      <c r="J150" s="5"/>
      <c r="K150" s="5"/>
      <c r="L150" s="5"/>
      <c r="M150" s="5"/>
      <c r="N150" s="5"/>
      <c r="O150" s="5"/>
      <c r="P150" s="5"/>
      <c r="Q150" s="5"/>
      <c r="R150" s="5"/>
      <c r="S150" s="5"/>
      <c r="T150" s="5"/>
      <c r="U150" s="5"/>
      <c r="V150" s="5"/>
      <c r="W150" s="5"/>
      <c r="X150" s="5"/>
      <c r="Y150" s="5"/>
    </row>
    <row r="151">
      <c r="A151" s="114">
        <v>45951.0</v>
      </c>
      <c r="B151" s="127"/>
      <c r="C151" s="118">
        <f t="shared" si="24"/>
        <v>14828431.1</v>
      </c>
      <c r="D151" s="116">
        <f t="shared" si="32"/>
        <v>882.8613748</v>
      </c>
      <c r="E151" s="118">
        <v>1.731903453969405E7</v>
      </c>
      <c r="F151" s="118">
        <f t="shared" si="21"/>
        <v>1035.623454</v>
      </c>
      <c r="G151" s="119">
        <f t="shared" si="22"/>
        <v>2745649.444</v>
      </c>
      <c r="H151" s="120">
        <f t="shared" si="23"/>
        <v>0.1438072912</v>
      </c>
      <c r="I151" s="125"/>
      <c r="J151" s="5"/>
      <c r="K151" s="5"/>
      <c r="L151" s="5"/>
      <c r="M151" s="5"/>
      <c r="N151" s="5"/>
      <c r="O151" s="5"/>
      <c r="P151" s="5"/>
      <c r="Q151" s="5"/>
      <c r="R151" s="5"/>
      <c r="S151" s="5"/>
      <c r="T151" s="5"/>
      <c r="U151" s="5"/>
      <c r="V151" s="5"/>
      <c r="W151" s="5"/>
      <c r="X151" s="5"/>
      <c r="Y151" s="5"/>
    </row>
    <row r="152">
      <c r="A152" s="114">
        <v>45950.0</v>
      </c>
      <c r="B152" s="128">
        <v>800000.0</v>
      </c>
      <c r="C152" s="118">
        <f t="shared" si="24"/>
        <v>14828431.1</v>
      </c>
      <c r="D152" s="116">
        <f t="shared" si="32"/>
        <v>882.8613748</v>
      </c>
      <c r="E152" s="118">
        <v>1.7317998916239694E7</v>
      </c>
      <c r="F152" s="118">
        <f t="shared" si="21"/>
        <v>-10445.00686</v>
      </c>
      <c r="G152" s="119">
        <f t="shared" si="22"/>
        <v>2744613.82</v>
      </c>
      <c r="H152" s="120">
        <f t="shared" si="23"/>
        <v>0.1437560905</v>
      </c>
      <c r="I152" s="125"/>
      <c r="J152" s="5"/>
      <c r="K152" s="5"/>
      <c r="L152" s="5"/>
      <c r="M152" s="5"/>
      <c r="N152" s="5"/>
      <c r="O152" s="5"/>
      <c r="P152" s="5"/>
      <c r="Q152" s="5"/>
      <c r="R152" s="5"/>
      <c r="S152" s="5"/>
      <c r="T152" s="5"/>
      <c r="U152" s="5"/>
      <c r="V152" s="5"/>
      <c r="W152" s="5"/>
      <c r="X152" s="5"/>
      <c r="Y152" s="5"/>
    </row>
    <row r="153">
      <c r="A153" s="114">
        <v>45949.0</v>
      </c>
      <c r="B153" s="127"/>
      <c r="C153" s="118">
        <f t="shared" si="24"/>
        <v>14028431.1</v>
      </c>
      <c r="D153" s="116">
        <f t="shared" ref="D153:D158" si="33">210.124911099241+8.48693+1.41387+35.69908-22.25544+5.26036-25.33826+1.156+29.113+28.99684+23.19747+57.54239+232.54495+2.88206+22.74505+4.63519+2.11353+52.6273-66.00251229+104.20941+104.43522+25.90764+2.58334</f>
        <v>842.0783288</v>
      </c>
      <c r="E153" s="118">
        <v>1.6528443923095694E7</v>
      </c>
      <c r="F153" s="118">
        <f t="shared" si="21"/>
        <v>4214.363149</v>
      </c>
      <c r="G153" s="119">
        <f t="shared" si="22"/>
        <v>2755058.827</v>
      </c>
      <c r="H153" s="120">
        <f t="shared" si="23"/>
        <v>0.151255184</v>
      </c>
      <c r="I153" s="125"/>
      <c r="J153" s="5"/>
      <c r="K153" s="5"/>
      <c r="L153" s="5"/>
      <c r="M153" s="5"/>
      <c r="N153" s="5"/>
      <c r="O153" s="5"/>
      <c r="P153" s="5"/>
      <c r="Q153" s="5"/>
      <c r="R153" s="5"/>
      <c r="S153" s="5"/>
      <c r="T153" s="5"/>
      <c r="U153" s="5"/>
      <c r="V153" s="5"/>
      <c r="W153" s="5"/>
      <c r="X153" s="5"/>
      <c r="Y153" s="5"/>
    </row>
    <row r="154">
      <c r="A154" s="114">
        <v>45948.0</v>
      </c>
      <c r="B154" s="127"/>
      <c r="C154" s="118">
        <f t="shared" si="24"/>
        <v>14028431.1</v>
      </c>
      <c r="D154" s="116">
        <f t="shared" si="33"/>
        <v>842.0783288</v>
      </c>
      <c r="E154" s="118">
        <v>1.6524229559947047E7</v>
      </c>
      <c r="F154" s="118">
        <f t="shared" si="21"/>
        <v>4213.733468</v>
      </c>
      <c r="G154" s="119">
        <f t="shared" si="22"/>
        <v>2750844.464</v>
      </c>
      <c r="H154" s="120">
        <f t="shared" si="23"/>
        <v>0.1510387189</v>
      </c>
      <c r="I154" s="125"/>
      <c r="J154" s="5"/>
      <c r="K154" s="5"/>
      <c r="L154" s="5"/>
      <c r="M154" s="5"/>
      <c r="N154" s="5"/>
      <c r="O154" s="5"/>
      <c r="P154" s="5"/>
      <c r="Q154" s="5"/>
      <c r="R154" s="5"/>
      <c r="S154" s="5"/>
      <c r="T154" s="5"/>
      <c r="U154" s="5"/>
      <c r="V154" s="5"/>
      <c r="W154" s="5"/>
      <c r="X154" s="5"/>
      <c r="Y154" s="5"/>
    </row>
    <row r="155">
      <c r="A155" s="114">
        <v>45947.0</v>
      </c>
      <c r="B155" s="127"/>
      <c r="C155" s="118">
        <f t="shared" si="24"/>
        <v>14028431.1</v>
      </c>
      <c r="D155" s="116">
        <f t="shared" si="33"/>
        <v>842.0783288</v>
      </c>
      <c r="E155" s="118">
        <v>1.6520015826478912E7</v>
      </c>
      <c r="F155" s="118">
        <f t="shared" si="21"/>
        <v>121253.1041</v>
      </c>
      <c r="G155" s="119">
        <f t="shared" si="22"/>
        <v>2746630.73</v>
      </c>
      <c r="H155" s="120">
        <f t="shared" si="23"/>
        <v>0.1508221758</v>
      </c>
      <c r="I155" s="125"/>
      <c r="J155" s="5"/>
      <c r="K155" s="5"/>
      <c r="L155" s="5"/>
      <c r="M155" s="5"/>
      <c r="N155" s="5"/>
      <c r="O155" s="5"/>
      <c r="P155" s="5"/>
      <c r="Q155" s="5"/>
      <c r="R155" s="5"/>
      <c r="S155" s="5"/>
      <c r="T155" s="5"/>
      <c r="U155" s="5"/>
      <c r="V155" s="5"/>
      <c r="W155" s="5"/>
      <c r="X155" s="5"/>
      <c r="Y155" s="5"/>
    </row>
    <row r="156">
      <c r="A156" s="114">
        <v>45946.0</v>
      </c>
      <c r="B156" s="127"/>
      <c r="C156" s="118">
        <f t="shared" si="24"/>
        <v>14028431.1</v>
      </c>
      <c r="D156" s="116">
        <f t="shared" si="33"/>
        <v>842.0783288</v>
      </c>
      <c r="E156" s="118">
        <v>1.639876272237661E7</v>
      </c>
      <c r="F156" s="118">
        <f t="shared" si="21"/>
        <v>59872.47505</v>
      </c>
      <c r="G156" s="119">
        <f t="shared" si="22"/>
        <v>2625377.626</v>
      </c>
      <c r="H156" s="120">
        <f t="shared" si="23"/>
        <v>0.1445433211</v>
      </c>
      <c r="I156" s="125"/>
      <c r="J156" s="5"/>
      <c r="K156" s="5"/>
      <c r="L156" s="5"/>
      <c r="M156" s="5"/>
      <c r="N156" s="5"/>
      <c r="O156" s="5"/>
      <c r="P156" s="5"/>
      <c r="Q156" s="5"/>
      <c r="R156" s="5"/>
      <c r="S156" s="5"/>
      <c r="T156" s="5"/>
      <c r="U156" s="5"/>
      <c r="V156" s="5"/>
      <c r="W156" s="5"/>
      <c r="X156" s="5"/>
      <c r="Y156" s="5"/>
    </row>
    <row r="157">
      <c r="A157" s="114">
        <v>45945.0</v>
      </c>
      <c r="B157" s="128"/>
      <c r="C157" s="118">
        <f t="shared" si="24"/>
        <v>14028431.1</v>
      </c>
      <c r="D157" s="116">
        <f t="shared" si="33"/>
        <v>842.0783288</v>
      </c>
      <c r="E157" s="118">
        <v>1.6338890247325614E7</v>
      </c>
      <c r="F157" s="118">
        <f t="shared" si="21"/>
        <v>40632.32607</v>
      </c>
      <c r="G157" s="119">
        <f t="shared" si="22"/>
        <v>2565505.151</v>
      </c>
      <c r="H157" s="120">
        <f t="shared" si="23"/>
        <v>0.1414085728</v>
      </c>
      <c r="I157" s="125"/>
      <c r="J157" s="5"/>
      <c r="K157" s="5"/>
      <c r="L157" s="5"/>
      <c r="M157" s="5"/>
      <c r="N157" s="5"/>
      <c r="O157" s="5"/>
      <c r="P157" s="5"/>
      <c r="Q157" s="5"/>
      <c r="R157" s="5"/>
      <c r="S157" s="5"/>
      <c r="T157" s="5"/>
      <c r="U157" s="5"/>
      <c r="V157" s="5"/>
      <c r="W157" s="5"/>
      <c r="X157" s="5"/>
      <c r="Y157" s="5"/>
    </row>
    <row r="158">
      <c r="A158" s="114">
        <v>45944.0</v>
      </c>
      <c r="B158" s="128">
        <v>50000.0</v>
      </c>
      <c r="C158" s="118">
        <f t="shared" si="24"/>
        <v>14028431.1</v>
      </c>
      <c r="D158" s="116">
        <f t="shared" si="33"/>
        <v>842.0783288</v>
      </c>
      <c r="E158" s="129">
        <v>1.62982579212514E7</v>
      </c>
      <c r="F158" s="118">
        <f t="shared" si="21"/>
        <v>46571.85733</v>
      </c>
      <c r="G158" s="119">
        <f t="shared" si="22"/>
        <v>2524872.825</v>
      </c>
      <c r="H158" s="120">
        <f t="shared" si="23"/>
        <v>0.1392680639</v>
      </c>
      <c r="I158" s="125"/>
      <c r="J158" s="5"/>
      <c r="K158" s="5"/>
      <c r="L158" s="5"/>
      <c r="M158" s="5"/>
      <c r="N158" s="5"/>
      <c r="O158" s="5"/>
      <c r="P158" s="5"/>
      <c r="Q158" s="5"/>
      <c r="R158" s="5"/>
      <c r="S158" s="5"/>
      <c r="T158" s="5"/>
      <c r="U158" s="5"/>
      <c r="V158" s="5"/>
      <c r="W158" s="5"/>
      <c r="X158" s="5"/>
      <c r="Y158" s="5"/>
    </row>
    <row r="159">
      <c r="A159" s="114">
        <v>45943.0</v>
      </c>
      <c r="B159" s="128">
        <v>500000.0</v>
      </c>
      <c r="C159" s="118">
        <f t="shared" si="24"/>
        <v>13978431.1</v>
      </c>
      <c r="D159" s="116">
        <f>210.124911099241+8.48693+1.41387+35.69908-22.25544+5.26036-25.33826+1.156+29.113+28.99684+23.19747+57.54239+232.54495+2.88206+22.74505+4.63519+2.11353+52.6273-66.00251229+104.20941+104.43522+25.90764</f>
        <v>839.4949888</v>
      </c>
      <c r="E159" s="129">
        <v>1.62016860639197E7</v>
      </c>
      <c r="F159" s="118">
        <f t="shared" si="21"/>
        <v>3891.388824</v>
      </c>
      <c r="G159" s="119">
        <f t="shared" si="22"/>
        <v>2478300.968</v>
      </c>
      <c r="H159" s="120">
        <f t="shared" si="23"/>
        <v>0.137223679</v>
      </c>
      <c r="I159" s="125"/>
      <c r="J159" s="5"/>
      <c r="K159" s="5"/>
      <c r="L159" s="5"/>
      <c r="M159" s="5"/>
      <c r="N159" s="5"/>
      <c r="O159" s="5"/>
      <c r="P159" s="5"/>
      <c r="Q159" s="5"/>
      <c r="R159" s="5"/>
      <c r="S159" s="5"/>
      <c r="T159" s="5"/>
      <c r="U159" s="5"/>
      <c r="V159" s="5"/>
      <c r="W159" s="5"/>
      <c r="X159" s="5"/>
      <c r="Y159" s="5"/>
    </row>
    <row r="160">
      <c r="A160" s="114">
        <v>45942.0</v>
      </c>
      <c r="B160" s="127"/>
      <c r="C160" s="118">
        <f t="shared" si="24"/>
        <v>13478431.1</v>
      </c>
      <c r="D160" s="116">
        <f t="shared" ref="D160:D170" si="34">210.124911099241+8.48693+1.41387+35.69908-22.25544+5.26036-25.33826+1.156+29.113+28.99684+23.19747+57.54239+232.54495+2.88206+22.74505+4.63519+2.11353+52.6273-66.00251229+104.20941+104.43522</f>
        <v>813.5873488</v>
      </c>
      <c r="E160" s="118">
        <v>1.5697794675096147E7</v>
      </c>
      <c r="F160" s="118">
        <f t="shared" si="21"/>
        <v>3890.920549</v>
      </c>
      <c r="G160" s="119">
        <f t="shared" si="22"/>
        <v>2474409.579</v>
      </c>
      <c r="H160" s="120">
        <f t="shared" si="23"/>
        <v>0.1413805968</v>
      </c>
      <c r="I160" s="125"/>
      <c r="J160" s="5"/>
      <c r="K160" s="5"/>
      <c r="L160" s="5"/>
      <c r="M160" s="5"/>
      <c r="N160" s="5"/>
      <c r="O160" s="5"/>
      <c r="P160" s="5"/>
      <c r="Q160" s="5"/>
      <c r="R160" s="5"/>
      <c r="S160" s="5"/>
      <c r="T160" s="5"/>
      <c r="U160" s="5"/>
      <c r="V160" s="5"/>
      <c r="W160" s="5"/>
      <c r="X160" s="5"/>
      <c r="Y160" s="5"/>
    </row>
    <row r="161">
      <c r="A161" s="114">
        <v>45941.0</v>
      </c>
      <c r="B161" s="127"/>
      <c r="C161" s="118">
        <f t="shared" si="24"/>
        <v>13478431.1</v>
      </c>
      <c r="D161" s="116">
        <f t="shared" si="34"/>
        <v>813.5873488</v>
      </c>
      <c r="E161" s="118">
        <v>1.5693903754546657E7</v>
      </c>
      <c r="F161" s="118">
        <f t="shared" si="21"/>
        <v>3890.452509</v>
      </c>
      <c r="G161" s="119">
        <f t="shared" si="22"/>
        <v>2470518.658</v>
      </c>
      <c r="H161" s="120">
        <f t="shared" si="23"/>
        <v>0.141167723</v>
      </c>
      <c r="I161" s="125"/>
      <c r="J161" s="5"/>
      <c r="K161" s="5"/>
      <c r="L161" s="5"/>
      <c r="M161" s="5"/>
      <c r="N161" s="5"/>
      <c r="O161" s="5"/>
      <c r="P161" s="5"/>
      <c r="Q161" s="5"/>
      <c r="R161" s="5"/>
      <c r="S161" s="5"/>
      <c r="T161" s="5"/>
      <c r="U161" s="5"/>
      <c r="V161" s="5"/>
      <c r="W161" s="5"/>
      <c r="X161" s="5"/>
      <c r="Y161" s="5"/>
    </row>
    <row r="162">
      <c r="A162" s="114">
        <v>45940.0</v>
      </c>
      <c r="B162" s="127"/>
      <c r="C162" s="118">
        <f t="shared" si="24"/>
        <v>13478431.1</v>
      </c>
      <c r="D162" s="116">
        <f t="shared" si="34"/>
        <v>813.5873488</v>
      </c>
      <c r="E162" s="118">
        <v>1.56900133020372E7</v>
      </c>
      <c r="F162" s="118">
        <f t="shared" si="21"/>
        <v>-52370.0153</v>
      </c>
      <c r="G162" s="119">
        <f t="shared" si="22"/>
        <v>2466628.206</v>
      </c>
      <c r="H162" s="120">
        <f t="shared" si="23"/>
        <v>0.1409547693</v>
      </c>
      <c r="I162" s="125"/>
      <c r="J162" s="5"/>
      <c r="K162" s="5"/>
      <c r="L162" s="5"/>
      <c r="M162" s="5"/>
      <c r="N162" s="5"/>
      <c r="O162" s="5"/>
      <c r="P162" s="5"/>
      <c r="Q162" s="5"/>
      <c r="R162" s="5"/>
      <c r="S162" s="5"/>
      <c r="T162" s="5"/>
      <c r="U162" s="5"/>
      <c r="V162" s="5"/>
      <c r="W162" s="5"/>
      <c r="X162" s="5"/>
      <c r="Y162" s="5"/>
    </row>
    <row r="163">
      <c r="A163" s="114">
        <v>45939.0</v>
      </c>
      <c r="B163" s="127"/>
      <c r="C163" s="118">
        <f t="shared" si="24"/>
        <v>13478431.1</v>
      </c>
      <c r="D163" s="116">
        <f t="shared" si="34"/>
        <v>813.5873488</v>
      </c>
      <c r="E163" s="118">
        <v>1.5742383317333873E7</v>
      </c>
      <c r="F163" s="118">
        <f t="shared" si="21"/>
        <v>67569.51713</v>
      </c>
      <c r="G163" s="119">
        <f t="shared" si="22"/>
        <v>2518998.221</v>
      </c>
      <c r="H163" s="120">
        <f t="shared" si="23"/>
        <v>0.1438125458</v>
      </c>
      <c r="I163" s="125"/>
      <c r="J163" s="5"/>
      <c r="K163" s="5"/>
      <c r="L163" s="5"/>
      <c r="M163" s="5"/>
      <c r="N163" s="5"/>
      <c r="O163" s="5"/>
      <c r="P163" s="5"/>
      <c r="Q163" s="5"/>
      <c r="R163" s="5"/>
      <c r="S163" s="5"/>
      <c r="T163" s="5"/>
      <c r="U163" s="5"/>
      <c r="V163" s="5"/>
      <c r="W163" s="5"/>
      <c r="X163" s="5"/>
      <c r="Y163" s="5"/>
    </row>
    <row r="164">
      <c r="A164" s="114">
        <v>45938.0</v>
      </c>
      <c r="B164" s="127"/>
      <c r="C164" s="118">
        <f t="shared" si="24"/>
        <v>13478431.1</v>
      </c>
      <c r="D164" s="116">
        <f t="shared" si="34"/>
        <v>813.5873488</v>
      </c>
      <c r="E164" s="118">
        <v>1.5674813800202895E7</v>
      </c>
      <c r="F164" s="118">
        <f t="shared" si="21"/>
        <v>5928.660737</v>
      </c>
      <c r="G164" s="119">
        <f t="shared" si="22"/>
        <v>2451428.704</v>
      </c>
      <c r="H164" s="120">
        <f t="shared" si="23"/>
        <v>0.1401217732</v>
      </c>
      <c r="I164" s="125"/>
      <c r="J164" s="5"/>
      <c r="K164" s="5"/>
      <c r="L164" s="5"/>
      <c r="M164" s="5"/>
      <c r="N164" s="5"/>
      <c r="O164" s="5"/>
      <c r="P164" s="5"/>
      <c r="Q164" s="5"/>
      <c r="R164" s="5"/>
      <c r="S164" s="5"/>
      <c r="T164" s="5"/>
      <c r="U164" s="5"/>
      <c r="V164" s="5"/>
      <c r="W164" s="5"/>
      <c r="X164" s="5"/>
      <c r="Y164" s="5"/>
    </row>
    <row r="165">
      <c r="A165" s="114">
        <v>45937.0</v>
      </c>
      <c r="B165" s="127"/>
      <c r="C165" s="118">
        <f t="shared" si="24"/>
        <v>13478431.1</v>
      </c>
      <c r="D165" s="116">
        <f t="shared" si="34"/>
        <v>813.5873488</v>
      </c>
      <c r="E165" s="118">
        <v>1.5668885139466064E7</v>
      </c>
      <c r="F165" s="118">
        <f t="shared" si="21"/>
        <v>42888.30452</v>
      </c>
      <c r="G165" s="119">
        <f t="shared" si="22"/>
        <v>2445500.043</v>
      </c>
      <c r="H165" s="120">
        <f t="shared" si="23"/>
        <v>0.1397964197</v>
      </c>
      <c r="I165" s="125"/>
      <c r="J165" s="5"/>
      <c r="K165" s="5"/>
      <c r="L165" s="5"/>
      <c r="M165" s="5"/>
      <c r="N165" s="5"/>
      <c r="O165" s="5"/>
      <c r="P165" s="5"/>
      <c r="Q165" s="5"/>
      <c r="R165" s="5"/>
      <c r="S165" s="5"/>
      <c r="T165" s="5"/>
      <c r="U165" s="5"/>
      <c r="V165" s="5"/>
      <c r="W165" s="5"/>
      <c r="X165" s="5"/>
      <c r="Y165" s="5"/>
    </row>
    <row r="166">
      <c r="A166" s="114">
        <v>45936.0</v>
      </c>
      <c r="B166" s="127"/>
      <c r="C166" s="118">
        <f t="shared" si="24"/>
        <v>13478431.1</v>
      </c>
      <c r="D166" s="116">
        <f t="shared" si="34"/>
        <v>813.5873488</v>
      </c>
      <c r="E166" s="118">
        <v>1.5625996834945269E7</v>
      </c>
      <c r="F166" s="118">
        <f t="shared" si="21"/>
        <v>-14132.05152</v>
      </c>
      <c r="G166" s="119">
        <f t="shared" si="22"/>
        <v>2402611.739</v>
      </c>
      <c r="H166" s="120">
        <f t="shared" si="23"/>
        <v>0.1374354393</v>
      </c>
      <c r="I166" s="125"/>
      <c r="J166" s="5"/>
      <c r="K166" s="5"/>
      <c r="L166" s="5"/>
      <c r="M166" s="5"/>
      <c r="N166" s="5"/>
      <c r="O166" s="5"/>
      <c r="P166" s="5"/>
      <c r="Q166" s="5"/>
      <c r="R166" s="5"/>
      <c r="S166" s="5"/>
      <c r="T166" s="5"/>
      <c r="U166" s="5"/>
      <c r="V166" s="5"/>
      <c r="W166" s="5"/>
      <c r="X166" s="5"/>
      <c r="Y166" s="5"/>
    </row>
    <row r="167">
      <c r="A167" s="114">
        <v>45935.0</v>
      </c>
      <c r="B167" s="127"/>
      <c r="C167" s="118">
        <f t="shared" si="24"/>
        <v>13478431.1</v>
      </c>
      <c r="D167" s="116">
        <f t="shared" si="34"/>
        <v>813.5873488</v>
      </c>
      <c r="E167" s="118">
        <v>1.5640128886462498E7</v>
      </c>
      <c r="F167" s="118">
        <f t="shared" si="21"/>
        <v>6434.283379</v>
      </c>
      <c r="G167" s="119">
        <f t="shared" si="22"/>
        <v>2416743.79</v>
      </c>
      <c r="H167" s="120">
        <f t="shared" si="23"/>
        <v>0.1382148322</v>
      </c>
      <c r="I167" s="125"/>
      <c r="J167" s="5"/>
      <c r="K167" s="5"/>
      <c r="L167" s="5"/>
      <c r="M167" s="5"/>
      <c r="N167" s="5"/>
      <c r="O167" s="5"/>
      <c r="P167" s="5"/>
      <c r="Q167" s="5"/>
      <c r="R167" s="5"/>
      <c r="S167" s="5"/>
      <c r="T167" s="5"/>
      <c r="U167" s="5"/>
      <c r="V167" s="5"/>
      <c r="W167" s="5"/>
      <c r="X167" s="5"/>
      <c r="Y167" s="5"/>
    </row>
    <row r="168">
      <c r="A168" s="114">
        <v>45934.0</v>
      </c>
      <c r="B168" s="127"/>
      <c r="C168" s="118">
        <f t="shared" si="24"/>
        <v>13478431.1</v>
      </c>
      <c r="D168" s="116">
        <f t="shared" si="34"/>
        <v>813.5873488</v>
      </c>
      <c r="E168" s="118">
        <v>1.5633694603083415E7</v>
      </c>
      <c r="F168" s="118">
        <f t="shared" si="21"/>
        <v>6273.373378</v>
      </c>
      <c r="G168" s="119">
        <f t="shared" si="22"/>
        <v>2410309.507</v>
      </c>
      <c r="H168" s="120">
        <f t="shared" si="23"/>
        <v>0.1378601515</v>
      </c>
      <c r="I168" s="125"/>
      <c r="J168" s="5"/>
      <c r="K168" s="5"/>
      <c r="L168" s="5"/>
      <c r="M168" s="5"/>
      <c r="N168" s="5"/>
      <c r="O168" s="5"/>
      <c r="P168" s="5"/>
      <c r="Q168" s="5"/>
      <c r="R168" s="5"/>
      <c r="S168" s="5"/>
      <c r="T168" s="5"/>
      <c r="U168" s="5"/>
      <c r="V168" s="5"/>
      <c r="W168" s="5"/>
      <c r="X168" s="5"/>
      <c r="Y168" s="5"/>
    </row>
    <row r="169">
      <c r="A169" s="114">
        <v>45933.0</v>
      </c>
      <c r="B169" s="127"/>
      <c r="C169" s="118">
        <f t="shared" si="24"/>
        <v>13478431.1</v>
      </c>
      <c r="D169" s="116">
        <f t="shared" si="34"/>
        <v>813.5873488</v>
      </c>
      <c r="E169" s="118">
        <v>1.5627421229705082E7</v>
      </c>
      <c r="F169" s="118">
        <f t="shared" si="21"/>
        <v>46712.8478</v>
      </c>
      <c r="G169" s="119">
        <f t="shared" si="22"/>
        <v>2404036.134</v>
      </c>
      <c r="H169" s="120">
        <f t="shared" si="23"/>
        <v>0.1375140596</v>
      </c>
      <c r="I169" s="125"/>
      <c r="J169" s="5"/>
      <c r="K169" s="5"/>
      <c r="L169" s="5"/>
      <c r="M169" s="5"/>
      <c r="N169" s="5"/>
      <c r="O169" s="5"/>
      <c r="P169" s="5"/>
      <c r="Q169" s="5"/>
      <c r="R169" s="5"/>
      <c r="S169" s="5"/>
      <c r="T169" s="5"/>
      <c r="U169" s="5"/>
      <c r="V169" s="5"/>
      <c r="W169" s="5"/>
      <c r="X169" s="5"/>
      <c r="Y169" s="5"/>
    </row>
    <row r="170">
      <c r="A170" s="114">
        <v>45932.0</v>
      </c>
      <c r="B170" s="128">
        <v>2000000.0</v>
      </c>
      <c r="C170" s="118">
        <f t="shared" si="24"/>
        <v>13478431.1</v>
      </c>
      <c r="D170" s="116">
        <f t="shared" si="34"/>
        <v>813.5873488</v>
      </c>
      <c r="E170" s="129">
        <v>1.5580708381907E7</v>
      </c>
      <c r="F170" s="118">
        <f t="shared" si="21"/>
        <v>-29427.67736</v>
      </c>
      <c r="G170" s="119">
        <f t="shared" si="22"/>
        <v>2357323.286</v>
      </c>
      <c r="H170" s="120">
        <f t="shared" si="23"/>
        <v>0.1349282224</v>
      </c>
      <c r="I170" s="125"/>
      <c r="J170" s="5"/>
      <c r="K170" s="5"/>
      <c r="L170" s="5"/>
      <c r="M170" s="5"/>
      <c r="N170" s="5"/>
      <c r="O170" s="5"/>
      <c r="P170" s="5"/>
      <c r="Q170" s="5"/>
      <c r="R170" s="5"/>
      <c r="S170" s="5"/>
      <c r="T170" s="5"/>
      <c r="U170" s="5"/>
      <c r="V170" s="5"/>
      <c r="W170" s="5"/>
      <c r="X170" s="5"/>
      <c r="Y170" s="5"/>
    </row>
    <row r="171">
      <c r="A171" s="114">
        <v>45931.0</v>
      </c>
      <c r="B171" s="128">
        <v>2000000.0</v>
      </c>
      <c r="C171" s="118">
        <f t="shared" si="24"/>
        <v>11478431.1</v>
      </c>
      <c r="D171" s="116">
        <f>210.124911099241+8.48693+1.41387+35.69908-22.25544+5.26036-25.33826+1.156+29.113+28.99684+23.19747+57.54239+232.54495+2.88206+22.74505+4.63519+2.11353+52.6273-66.00251229+104.20941</f>
        <v>709.1521288</v>
      </c>
      <c r="E171" s="129">
        <v>1.36101360592691E7</v>
      </c>
      <c r="F171" s="118">
        <f t="shared" si="21"/>
        <v>-28928.2021</v>
      </c>
      <c r="G171" s="119">
        <f t="shared" si="22"/>
        <v>2386750.963</v>
      </c>
      <c r="H171" s="120">
        <f t="shared" si="23"/>
        <v>0.1566262787</v>
      </c>
      <c r="I171" s="125"/>
      <c r="J171" s="5"/>
      <c r="K171" s="5"/>
      <c r="L171" s="5"/>
      <c r="M171" s="5"/>
      <c r="N171" s="5"/>
      <c r="O171" s="5"/>
      <c r="P171" s="5"/>
      <c r="Q171" s="5"/>
      <c r="R171" s="5"/>
      <c r="S171" s="5"/>
      <c r="T171" s="5"/>
      <c r="U171" s="5"/>
      <c r="V171" s="5"/>
      <c r="W171" s="5"/>
      <c r="X171" s="5"/>
      <c r="Y171" s="5"/>
    </row>
    <row r="172">
      <c r="A172" s="114">
        <v>45930.0</v>
      </c>
      <c r="B172" s="127"/>
      <c r="C172" s="118">
        <f t="shared" si="24"/>
        <v>9478431.096</v>
      </c>
      <c r="D172" s="116">
        <f t="shared" ref="D172:D180" si="35">210.124911099241+8.48693+1.41387+35.69908-22.25544+5.26036-25.33826+1.156+29.113+28.99684+23.19747+57.54239+232.54495+2.88206+22.74505+4.63519+2.11353+52.6273-66.00251229</f>
        <v>604.9427188</v>
      </c>
      <c r="E172" s="118">
        <v>1.1639064261371614E7</v>
      </c>
      <c r="F172" s="118">
        <f t="shared" si="21"/>
        <v>-7188.726423</v>
      </c>
      <c r="G172" s="119">
        <f t="shared" si="22"/>
        <v>2415679.165</v>
      </c>
      <c r="H172" s="120">
        <f t="shared" si="23"/>
        <v>0.1856363292</v>
      </c>
      <c r="I172" s="125"/>
      <c r="J172" s="5"/>
      <c r="K172" s="5"/>
      <c r="L172" s="5"/>
      <c r="M172" s="5"/>
      <c r="N172" s="5"/>
      <c r="O172" s="5"/>
      <c r="P172" s="5"/>
      <c r="Q172" s="5"/>
      <c r="R172" s="5"/>
      <c r="S172" s="5"/>
      <c r="T172" s="5"/>
      <c r="U172" s="5"/>
      <c r="V172" s="5"/>
      <c r="W172" s="5"/>
      <c r="X172" s="5"/>
      <c r="Y172" s="5"/>
    </row>
    <row r="173">
      <c r="A173" s="114">
        <v>45929.0</v>
      </c>
      <c r="B173" s="127"/>
      <c r="C173" s="118">
        <f t="shared" si="24"/>
        <v>9478431.096</v>
      </c>
      <c r="D173" s="116">
        <f t="shared" si="35"/>
        <v>604.9427188</v>
      </c>
      <c r="E173" s="118">
        <v>1.1646252987794997E7</v>
      </c>
      <c r="F173" s="118">
        <f t="shared" si="21"/>
        <v>9410.749675</v>
      </c>
      <c r="G173" s="119">
        <f t="shared" si="22"/>
        <v>2422867.892</v>
      </c>
      <c r="H173" s="120">
        <f t="shared" si="23"/>
        <v>0.1861390006</v>
      </c>
      <c r="I173" s="125"/>
      <c r="J173" s="5"/>
      <c r="K173" s="5"/>
      <c r="L173" s="5"/>
      <c r="M173" s="5"/>
      <c r="N173" s="5"/>
      <c r="O173" s="5"/>
      <c r="P173" s="5"/>
      <c r="Q173" s="5"/>
      <c r="R173" s="5"/>
      <c r="S173" s="5"/>
      <c r="T173" s="5"/>
      <c r="U173" s="5"/>
      <c r="V173" s="5"/>
      <c r="W173" s="5"/>
      <c r="X173" s="5"/>
      <c r="Y173" s="5"/>
    </row>
    <row r="174">
      <c r="A174" s="114">
        <v>45928.0</v>
      </c>
      <c r="B174" s="127"/>
      <c r="C174" s="118">
        <f t="shared" si="24"/>
        <v>9478431.096</v>
      </c>
      <c r="D174" s="116">
        <f t="shared" si="35"/>
        <v>604.9427188</v>
      </c>
      <c r="E174" s="118">
        <v>1.1636842238120167E7</v>
      </c>
      <c r="F174" s="118">
        <f t="shared" si="21"/>
        <v>5890.226192</v>
      </c>
      <c r="G174" s="119">
        <f t="shared" si="22"/>
        <v>2413457.142</v>
      </c>
      <c r="H174" s="120">
        <f t="shared" si="23"/>
        <v>0.1854808287</v>
      </c>
      <c r="I174" s="125"/>
      <c r="J174" s="5"/>
      <c r="K174" s="5"/>
      <c r="L174" s="5"/>
      <c r="M174" s="5"/>
      <c r="N174" s="5"/>
      <c r="O174" s="5"/>
      <c r="P174" s="5"/>
      <c r="Q174" s="5"/>
      <c r="R174" s="5"/>
      <c r="S174" s="5"/>
      <c r="T174" s="5"/>
      <c r="U174" s="5"/>
      <c r="V174" s="5"/>
      <c r="W174" s="5"/>
      <c r="X174" s="5"/>
      <c r="Y174" s="5"/>
    </row>
    <row r="175">
      <c r="A175" s="114">
        <v>45927.0</v>
      </c>
      <c r="B175" s="127"/>
      <c r="C175" s="118">
        <f t="shared" si="24"/>
        <v>9478431.096</v>
      </c>
      <c r="D175" s="116">
        <f t="shared" si="35"/>
        <v>604.9427188</v>
      </c>
      <c r="E175" s="118">
        <v>1.1630952011928335E7</v>
      </c>
      <c r="F175" s="118">
        <f t="shared" si="21"/>
        <v>5889.703127</v>
      </c>
      <c r="G175" s="119">
        <f t="shared" si="22"/>
        <v>2407566.916</v>
      </c>
      <c r="H175" s="120">
        <f t="shared" si="23"/>
        <v>0.1850683344</v>
      </c>
      <c r="I175" s="125"/>
      <c r="J175" s="5"/>
      <c r="K175" s="5"/>
      <c r="L175" s="5"/>
      <c r="M175" s="5"/>
      <c r="N175" s="5"/>
      <c r="O175" s="5"/>
      <c r="P175" s="5"/>
      <c r="Q175" s="5"/>
      <c r="R175" s="5"/>
      <c r="S175" s="5"/>
      <c r="T175" s="5"/>
      <c r="U175" s="5"/>
      <c r="V175" s="5"/>
      <c r="W175" s="5"/>
      <c r="X175" s="5"/>
      <c r="Y175" s="5"/>
    </row>
    <row r="176">
      <c r="A176" s="114">
        <v>45926.0</v>
      </c>
      <c r="B176" s="127"/>
      <c r="C176" s="118">
        <f t="shared" si="24"/>
        <v>9478431.096</v>
      </c>
      <c r="D176" s="116">
        <f t="shared" si="35"/>
        <v>604.9427188</v>
      </c>
      <c r="E176" s="118">
        <v>1.1625062308801055E7</v>
      </c>
      <c r="F176" s="118">
        <f t="shared" si="21"/>
        <v>-10750.81952</v>
      </c>
      <c r="G176" s="119">
        <f t="shared" si="22"/>
        <v>2401677.213</v>
      </c>
      <c r="H176" s="120">
        <f t="shared" si="23"/>
        <v>0.1846554587</v>
      </c>
      <c r="I176" s="125"/>
      <c r="J176" s="5"/>
      <c r="K176" s="5"/>
      <c r="L176" s="5"/>
      <c r="M176" s="5"/>
      <c r="N176" s="5"/>
      <c r="O176" s="5"/>
      <c r="P176" s="5"/>
      <c r="Q176" s="5"/>
      <c r="R176" s="5"/>
      <c r="S176" s="5"/>
      <c r="T176" s="5"/>
      <c r="U176" s="5"/>
      <c r="V176" s="5"/>
      <c r="W176" s="5"/>
      <c r="X176" s="5"/>
      <c r="Y176" s="5"/>
    </row>
    <row r="177">
      <c r="A177" s="114">
        <v>45925.0</v>
      </c>
      <c r="B177" s="127"/>
      <c r="C177" s="118">
        <f t="shared" si="24"/>
        <v>9478431.096</v>
      </c>
      <c r="D177" s="116">
        <f t="shared" si="35"/>
        <v>604.9427188</v>
      </c>
      <c r="E177" s="118">
        <v>1.1635813128320206E7</v>
      </c>
      <c r="F177" s="118">
        <f t="shared" si="21"/>
        <v>-13311.34175</v>
      </c>
      <c r="G177" s="119">
        <f t="shared" si="22"/>
        <v>2412428.032</v>
      </c>
      <c r="H177" s="120">
        <f t="shared" si="23"/>
        <v>0.18540879</v>
      </c>
      <c r="I177" s="125"/>
      <c r="J177" s="5"/>
      <c r="K177" s="5"/>
      <c r="L177" s="5"/>
      <c r="M177" s="5"/>
      <c r="N177" s="5"/>
      <c r="O177" s="5"/>
      <c r="P177" s="5"/>
      <c r="Q177" s="5"/>
      <c r="R177" s="5"/>
      <c r="S177" s="5"/>
      <c r="T177" s="5"/>
      <c r="U177" s="5"/>
      <c r="V177" s="5"/>
      <c r="W177" s="5"/>
      <c r="X177" s="5"/>
      <c r="Y177" s="5"/>
    </row>
    <row r="178">
      <c r="A178" s="114">
        <v>45924.0</v>
      </c>
      <c r="B178" s="127"/>
      <c r="C178" s="118">
        <f t="shared" si="24"/>
        <v>9478431.096</v>
      </c>
      <c r="D178" s="116">
        <f t="shared" si="35"/>
        <v>604.9427188</v>
      </c>
      <c r="E178" s="118">
        <v>1.1649124470068006E7</v>
      </c>
      <c r="F178" s="118">
        <f t="shared" si="21"/>
        <v>34298.13644</v>
      </c>
      <c r="G178" s="119">
        <f t="shared" si="22"/>
        <v>2425739.374</v>
      </c>
      <c r="H178" s="120">
        <f t="shared" si="23"/>
        <v>0.1863396154</v>
      </c>
      <c r="I178" s="125"/>
      <c r="J178" s="5"/>
      <c r="K178" s="5"/>
      <c r="L178" s="5"/>
      <c r="M178" s="5"/>
      <c r="N178" s="5"/>
      <c r="O178" s="5"/>
      <c r="P178" s="5"/>
      <c r="Q178" s="5"/>
      <c r="R178" s="5"/>
      <c r="S178" s="5"/>
      <c r="T178" s="5"/>
      <c r="U178" s="5"/>
      <c r="V178" s="5"/>
      <c r="W178" s="5"/>
      <c r="X178" s="5"/>
      <c r="Y178" s="5"/>
    </row>
    <row r="179">
      <c r="A179" s="114">
        <v>45923.0</v>
      </c>
      <c r="B179" s="127"/>
      <c r="C179" s="118">
        <f t="shared" si="24"/>
        <v>9478431.096</v>
      </c>
      <c r="D179" s="116">
        <f t="shared" si="35"/>
        <v>604.9427188</v>
      </c>
      <c r="E179" s="118">
        <v>1.1614826333627006E7</v>
      </c>
      <c r="F179" s="118">
        <f t="shared" si="21"/>
        <v>515.872441</v>
      </c>
      <c r="G179" s="119">
        <f t="shared" si="22"/>
        <v>2391441.238</v>
      </c>
      <c r="H179" s="120">
        <f t="shared" si="23"/>
        <v>0.1839369075</v>
      </c>
      <c r="I179" s="125"/>
      <c r="J179" s="5"/>
      <c r="K179" s="5"/>
      <c r="L179" s="5"/>
      <c r="M179" s="5"/>
      <c r="N179" s="5"/>
      <c r="O179" s="5"/>
      <c r="P179" s="5"/>
      <c r="Q179" s="5"/>
      <c r="R179" s="5"/>
      <c r="S179" s="5"/>
      <c r="T179" s="5"/>
      <c r="U179" s="5"/>
      <c r="V179" s="5"/>
      <c r="W179" s="5"/>
      <c r="X179" s="5"/>
      <c r="Y179" s="5"/>
    </row>
    <row r="180">
      <c r="A180" s="114">
        <v>45922.0</v>
      </c>
      <c r="B180" s="127">
        <v>-1267183.9039013975</v>
      </c>
      <c r="C180" s="118">
        <f t="shared" si="24"/>
        <v>9478431.096</v>
      </c>
      <c r="D180" s="116">
        <f t="shared" si="35"/>
        <v>604.9427188</v>
      </c>
      <c r="E180" s="118">
        <f>12881494.461186-1267184</f>
        <v>11614310.46</v>
      </c>
      <c r="F180" s="118">
        <f t="shared" si="21"/>
        <v>68325.77634</v>
      </c>
      <c r="G180" s="119">
        <f t="shared" si="22"/>
        <v>2390925.365</v>
      </c>
      <c r="H180" s="120">
        <f t="shared" si="23"/>
        <v>0.1839006605</v>
      </c>
      <c r="I180" s="125"/>
      <c r="J180" s="5"/>
      <c r="K180" s="5"/>
      <c r="L180" s="5"/>
      <c r="M180" s="5"/>
      <c r="N180" s="5"/>
      <c r="O180" s="5"/>
      <c r="P180" s="5"/>
      <c r="Q180" s="5"/>
      <c r="R180" s="5"/>
      <c r="S180" s="5"/>
      <c r="T180" s="5"/>
      <c r="U180" s="5"/>
      <c r="V180" s="5"/>
      <c r="W180" s="5"/>
      <c r="X180" s="5"/>
      <c r="Y180" s="5"/>
    </row>
    <row r="181">
      <c r="A181" s="114">
        <v>45921.0</v>
      </c>
      <c r="B181" s="127"/>
      <c r="C181" s="118">
        <f t="shared" si="24"/>
        <v>10745615</v>
      </c>
      <c r="D181" s="116">
        <f t="shared" ref="D181:D185" si="36">210.124911099241+8.48693+1.41387+35.69908-22.25544+5.26036-25.33826+1.156+29.113+28.99684+23.19747+57.54239+232.54495+2.88206+22.74505+4.63519+2.11353+52.6273</f>
        <v>670.9452311</v>
      </c>
      <c r="E181" s="118">
        <v>1.2813168588745007E7</v>
      </c>
      <c r="F181" s="118">
        <f t="shared" si="21"/>
        <v>5285.872441</v>
      </c>
      <c r="G181" s="119">
        <f t="shared" si="22"/>
        <v>2322599.589</v>
      </c>
      <c r="H181" s="120">
        <f t="shared" si="23"/>
        <v>0.1613616159</v>
      </c>
      <c r="I181" s="125"/>
      <c r="J181" s="5"/>
      <c r="K181" s="5"/>
      <c r="L181" s="5"/>
      <c r="M181" s="5"/>
      <c r="N181" s="5"/>
      <c r="O181" s="5"/>
      <c r="P181" s="5"/>
      <c r="Q181" s="5"/>
      <c r="R181" s="5"/>
      <c r="S181" s="5"/>
      <c r="T181" s="5"/>
      <c r="U181" s="5"/>
      <c r="V181" s="5"/>
      <c r="W181" s="5"/>
      <c r="X181" s="5"/>
      <c r="Y181" s="5"/>
    </row>
    <row r="182">
      <c r="A182" s="114">
        <v>45920.0</v>
      </c>
      <c r="B182" s="127"/>
      <c r="C182" s="118">
        <f t="shared" si="24"/>
        <v>10745615</v>
      </c>
      <c r="D182" s="116">
        <f t="shared" si="36"/>
        <v>670.9452311</v>
      </c>
      <c r="E182" s="118">
        <v>1.2807882716304004E7</v>
      </c>
      <c r="F182" s="118">
        <f t="shared" si="21"/>
        <v>20535.87244</v>
      </c>
      <c r="G182" s="119">
        <f t="shared" si="22"/>
        <v>2317313.716</v>
      </c>
      <c r="H182" s="120">
        <f t="shared" si="23"/>
        <v>0.161015506</v>
      </c>
      <c r="I182" s="125"/>
      <c r="J182" s="5"/>
      <c r="K182" s="5"/>
      <c r="L182" s="5"/>
      <c r="M182" s="5"/>
      <c r="N182" s="5"/>
      <c r="O182" s="5"/>
      <c r="P182" s="5"/>
      <c r="Q182" s="5"/>
      <c r="R182" s="5"/>
      <c r="S182" s="5"/>
      <c r="T182" s="5"/>
      <c r="U182" s="5"/>
      <c r="V182" s="5"/>
      <c r="W182" s="5"/>
      <c r="X182" s="5"/>
      <c r="Y182" s="5"/>
    </row>
    <row r="183">
      <c r="A183" s="114">
        <v>45919.0</v>
      </c>
      <c r="B183" s="127"/>
      <c r="C183" s="118">
        <f t="shared" si="24"/>
        <v>10745615</v>
      </c>
      <c r="D183" s="116">
        <f t="shared" si="36"/>
        <v>670.9452311</v>
      </c>
      <c r="E183" s="118">
        <v>1.2787346843863005E7</v>
      </c>
      <c r="F183" s="118">
        <f t="shared" si="21"/>
        <v>24015.87244</v>
      </c>
      <c r="G183" s="119">
        <f t="shared" si="22"/>
        <v>2296777.844</v>
      </c>
      <c r="H183" s="120">
        <f t="shared" si="23"/>
        <v>0.1596681367</v>
      </c>
      <c r="I183" s="125"/>
      <c r="J183" s="5"/>
      <c r="K183" s="5"/>
      <c r="L183" s="5"/>
      <c r="M183" s="5"/>
      <c r="N183" s="5"/>
      <c r="O183" s="5"/>
      <c r="P183" s="5"/>
      <c r="Q183" s="5"/>
      <c r="R183" s="5"/>
      <c r="S183" s="5"/>
      <c r="T183" s="5"/>
      <c r="U183" s="5"/>
      <c r="V183" s="5"/>
      <c r="W183" s="5"/>
      <c r="X183" s="5"/>
      <c r="Y183" s="5"/>
    </row>
    <row r="184">
      <c r="A184" s="114">
        <v>45918.0</v>
      </c>
      <c r="B184" s="127"/>
      <c r="C184" s="118">
        <f t="shared" si="24"/>
        <v>10745615</v>
      </c>
      <c r="D184" s="116">
        <f t="shared" si="36"/>
        <v>670.9452311</v>
      </c>
      <c r="E184" s="118">
        <v>1.2763330971422005E7</v>
      </c>
      <c r="F184" s="118">
        <f t="shared" si="21"/>
        <v>14335.87244</v>
      </c>
      <c r="G184" s="119">
        <f t="shared" si="22"/>
        <v>2272761.971</v>
      </c>
      <c r="H184" s="120">
        <f t="shared" si="23"/>
        <v>0.1580869427</v>
      </c>
      <c r="I184" s="125"/>
      <c r="J184" s="5"/>
      <c r="K184" s="5"/>
      <c r="L184" s="5"/>
      <c r="M184" s="5"/>
      <c r="N184" s="5"/>
      <c r="O184" s="5"/>
      <c r="P184" s="5"/>
      <c r="Q184" s="5"/>
      <c r="R184" s="5"/>
      <c r="S184" s="5"/>
      <c r="T184" s="5"/>
      <c r="U184" s="5"/>
      <c r="V184" s="5"/>
      <c r="W184" s="5"/>
      <c r="X184" s="5"/>
      <c r="Y184" s="5"/>
    </row>
    <row r="185">
      <c r="A185" s="114">
        <v>45917.0</v>
      </c>
      <c r="B185" s="128">
        <v>1000000.0</v>
      </c>
      <c r="C185" s="118">
        <f t="shared" si="24"/>
        <v>10745615</v>
      </c>
      <c r="D185" s="116">
        <f t="shared" si="36"/>
        <v>670.9452311</v>
      </c>
      <c r="E185" s="129">
        <v>1.2748995098981E7</v>
      </c>
      <c r="F185" s="118">
        <f t="shared" si="21"/>
        <v>-26564.12756</v>
      </c>
      <c r="G185" s="119">
        <f t="shared" si="22"/>
        <v>2258426.099</v>
      </c>
      <c r="H185" s="120">
        <f t="shared" si="23"/>
        <v>0.157140236</v>
      </c>
      <c r="I185" s="125"/>
      <c r="J185" s="5"/>
      <c r="K185" s="5"/>
      <c r="L185" s="5"/>
      <c r="M185" s="5"/>
      <c r="N185" s="5"/>
      <c r="O185" s="5"/>
      <c r="P185" s="5"/>
      <c r="Q185" s="5"/>
      <c r="R185" s="5"/>
      <c r="S185" s="5"/>
      <c r="T185" s="5"/>
      <c r="U185" s="5"/>
      <c r="V185" s="5"/>
      <c r="W185" s="5"/>
      <c r="X185" s="5"/>
      <c r="Y185" s="5"/>
    </row>
    <row r="186">
      <c r="A186" s="114">
        <v>45916.0</v>
      </c>
      <c r="B186" s="127"/>
      <c r="C186" s="118">
        <f t="shared" si="24"/>
        <v>9745615</v>
      </c>
      <c r="D186" s="116">
        <f t="shared" ref="D186:D191" si="37">210.124911099241+8.48693+1.41387+35.69908-22.25544+5.26036-25.33826+1.156+29.113+28.99684+23.19747+57.54239+232.54495+2.88206+22.74505+4.63519+2.11353</f>
        <v>618.3179311</v>
      </c>
      <c r="E186" s="118">
        <v>1.1775559226540007E7</v>
      </c>
      <c r="F186" s="118">
        <f t="shared" si="21"/>
        <v>-9064.127559</v>
      </c>
      <c r="G186" s="119">
        <f t="shared" si="22"/>
        <v>2284990.227</v>
      </c>
      <c r="H186" s="120">
        <f t="shared" si="23"/>
        <v>0.1723862271</v>
      </c>
      <c r="I186" s="125"/>
      <c r="J186" s="5"/>
      <c r="K186" s="5"/>
      <c r="L186" s="5"/>
      <c r="M186" s="5"/>
      <c r="N186" s="5"/>
      <c r="O186" s="5"/>
      <c r="P186" s="5"/>
      <c r="Q186" s="5"/>
      <c r="R186" s="5"/>
      <c r="S186" s="5"/>
      <c r="T186" s="5"/>
      <c r="U186" s="5"/>
      <c r="V186" s="5"/>
      <c r="W186" s="5"/>
      <c r="X186" s="5"/>
      <c r="Y186" s="5"/>
    </row>
    <row r="187">
      <c r="A187" s="114">
        <v>45915.0</v>
      </c>
      <c r="B187" s="127"/>
      <c r="C187" s="118">
        <f t="shared" si="24"/>
        <v>9745615</v>
      </c>
      <c r="D187" s="116">
        <f t="shared" si="37"/>
        <v>618.3179311</v>
      </c>
      <c r="E187" s="118">
        <v>1.1784623354099005E7</v>
      </c>
      <c r="F187" s="118">
        <f t="shared" si="21"/>
        <v>30515.87244</v>
      </c>
      <c r="G187" s="119">
        <f t="shared" si="22"/>
        <v>2294054.354</v>
      </c>
      <c r="H187" s="120">
        <f t="shared" si="23"/>
        <v>0.1730227851</v>
      </c>
      <c r="I187" s="125"/>
      <c r="J187" s="5"/>
      <c r="K187" s="5"/>
      <c r="L187" s="5"/>
      <c r="M187" s="5"/>
      <c r="N187" s="5"/>
      <c r="O187" s="5"/>
      <c r="P187" s="5"/>
      <c r="Q187" s="5"/>
      <c r="R187" s="5"/>
      <c r="S187" s="5"/>
      <c r="T187" s="5"/>
      <c r="U187" s="5"/>
      <c r="V187" s="5"/>
      <c r="W187" s="5"/>
      <c r="X187" s="5"/>
      <c r="Y187" s="5"/>
    </row>
    <row r="188">
      <c r="A188" s="114">
        <v>45914.0</v>
      </c>
      <c r="B188" s="127"/>
      <c r="C188" s="118">
        <f t="shared" si="24"/>
        <v>9745615</v>
      </c>
      <c r="D188" s="116">
        <f t="shared" si="37"/>
        <v>618.3179311</v>
      </c>
      <c r="E188" s="118">
        <v>1.1754107481658006E7</v>
      </c>
      <c r="F188" s="118">
        <f t="shared" si="21"/>
        <v>33094.87244</v>
      </c>
      <c r="G188" s="119">
        <f t="shared" si="22"/>
        <v>2263538.482</v>
      </c>
      <c r="H188" s="120">
        <f t="shared" si="23"/>
        <v>0.1708757968</v>
      </c>
      <c r="I188" s="125"/>
      <c r="J188" s="5"/>
      <c r="K188" s="5"/>
      <c r="L188" s="5"/>
      <c r="M188" s="5"/>
      <c r="N188" s="5"/>
      <c r="O188" s="5"/>
      <c r="P188" s="5"/>
      <c r="Q188" s="5"/>
      <c r="R188" s="5"/>
      <c r="S188" s="5"/>
      <c r="T188" s="5"/>
      <c r="U188" s="5"/>
      <c r="V188" s="5"/>
      <c r="W188" s="5"/>
      <c r="X188" s="5"/>
      <c r="Y188" s="5"/>
    </row>
    <row r="189">
      <c r="A189" s="114">
        <v>45913.0</v>
      </c>
      <c r="B189" s="127"/>
      <c r="C189" s="118">
        <f t="shared" si="24"/>
        <v>9745615</v>
      </c>
      <c r="D189" s="116">
        <f t="shared" si="37"/>
        <v>618.3179311</v>
      </c>
      <c r="E189" s="118">
        <v>1.1721012609217007E7</v>
      </c>
      <c r="F189" s="118">
        <f t="shared" si="21"/>
        <v>23098.87244</v>
      </c>
      <c r="G189" s="119">
        <f t="shared" si="22"/>
        <v>2230443.609</v>
      </c>
      <c r="H189" s="120">
        <f t="shared" si="23"/>
        <v>0.1685347226</v>
      </c>
      <c r="I189" s="125"/>
      <c r="J189" s="5"/>
      <c r="K189" s="5"/>
      <c r="L189" s="5"/>
      <c r="M189" s="5"/>
      <c r="N189" s="5"/>
      <c r="O189" s="5"/>
      <c r="P189" s="5"/>
      <c r="Q189" s="5"/>
      <c r="R189" s="5"/>
      <c r="S189" s="5"/>
      <c r="T189" s="5"/>
      <c r="U189" s="5"/>
      <c r="V189" s="5"/>
      <c r="W189" s="5"/>
      <c r="X189" s="5"/>
      <c r="Y189" s="5"/>
    </row>
    <row r="190">
      <c r="A190" s="114">
        <v>45912.0</v>
      </c>
      <c r="B190" s="127"/>
      <c r="C190" s="118">
        <f t="shared" si="24"/>
        <v>9745615</v>
      </c>
      <c r="D190" s="116">
        <f t="shared" si="37"/>
        <v>618.3179311</v>
      </c>
      <c r="E190" s="118">
        <v>1.1697913736776007E7</v>
      </c>
      <c r="F190" s="118">
        <f t="shared" si="21"/>
        <v>-4161.127559</v>
      </c>
      <c r="G190" s="119">
        <f t="shared" si="22"/>
        <v>2207344.737</v>
      </c>
      <c r="H190" s="120">
        <f t="shared" si="23"/>
        <v>0.1668928991</v>
      </c>
      <c r="I190" s="125"/>
      <c r="J190" s="5"/>
      <c r="K190" s="5"/>
      <c r="L190" s="5"/>
      <c r="M190" s="5"/>
      <c r="N190" s="5"/>
      <c r="O190" s="5"/>
      <c r="P190" s="5"/>
      <c r="Q190" s="5"/>
      <c r="R190" s="5"/>
      <c r="S190" s="5"/>
      <c r="T190" s="5"/>
      <c r="U190" s="5"/>
      <c r="V190" s="5"/>
      <c r="W190" s="5"/>
      <c r="X190" s="5"/>
      <c r="Y190" s="5"/>
    </row>
    <row r="191">
      <c r="A191" s="114">
        <v>45911.0</v>
      </c>
      <c r="B191" s="128">
        <v>40000.0</v>
      </c>
      <c r="C191" s="130">
        <f t="shared" si="24"/>
        <v>9745615</v>
      </c>
      <c r="D191" s="131">
        <f t="shared" si="37"/>
        <v>618.3179311</v>
      </c>
      <c r="E191" s="132">
        <v>1.1702074864335E7</v>
      </c>
      <c r="F191" s="130">
        <f t="shared" si="21"/>
        <v>-41901.12756</v>
      </c>
      <c r="G191" s="119">
        <f t="shared" si="22"/>
        <v>2211505.864</v>
      </c>
      <c r="H191" s="120">
        <f t="shared" si="23"/>
        <v>0.1671891427</v>
      </c>
      <c r="I191" s="125"/>
      <c r="J191" s="5"/>
      <c r="K191" s="5"/>
      <c r="L191" s="5"/>
      <c r="M191" s="5"/>
      <c r="N191" s="5"/>
      <c r="O191" s="5"/>
      <c r="P191" s="5"/>
      <c r="Q191" s="5"/>
      <c r="R191" s="5"/>
      <c r="S191" s="5"/>
      <c r="T191" s="5"/>
      <c r="U191" s="5"/>
      <c r="V191" s="5"/>
      <c r="W191" s="5"/>
      <c r="X191" s="5"/>
      <c r="Y191" s="5"/>
    </row>
    <row r="192">
      <c r="A192" s="114">
        <v>45910.0</v>
      </c>
      <c r="B192" s="127"/>
      <c r="C192" s="130">
        <f t="shared" si="24"/>
        <v>9705615</v>
      </c>
      <c r="D192" s="131">
        <f t="shared" ref="D192:D201" si="38">210.124911099241+8.48693+1.41387+35.69908-22.25544+5.26036-25.33826+1.156+29.113+28.99684+23.19747+57.54239+232.54495+2.88206+22.74505+4.63519</f>
        <v>616.2044011</v>
      </c>
      <c r="E192" s="56">
        <v>1.1703975991894005E7</v>
      </c>
      <c r="F192" s="130">
        <f t="shared" si="21"/>
        <v>51138.87244</v>
      </c>
      <c r="G192" s="119">
        <f t="shared" si="22"/>
        <v>2253406.992</v>
      </c>
      <c r="H192" s="120">
        <f t="shared" si="23"/>
        <v>0.1707420618</v>
      </c>
      <c r="I192" s="125"/>
      <c r="J192" s="5"/>
      <c r="K192" s="5"/>
      <c r="L192" s="5"/>
      <c r="M192" s="5"/>
      <c r="N192" s="5"/>
      <c r="O192" s="5"/>
      <c r="P192" s="5"/>
      <c r="Q192" s="5"/>
      <c r="R192" s="5"/>
      <c r="S192" s="5"/>
      <c r="T192" s="5"/>
      <c r="U192" s="5"/>
      <c r="V192" s="5"/>
      <c r="W192" s="5"/>
      <c r="X192" s="5"/>
      <c r="Y192" s="5"/>
    </row>
    <row r="193">
      <c r="A193" s="114">
        <v>45909.0</v>
      </c>
      <c r="B193" s="127"/>
      <c r="C193" s="130">
        <f t="shared" si="24"/>
        <v>9705615</v>
      </c>
      <c r="D193" s="131">
        <f t="shared" si="38"/>
        <v>616.2044011</v>
      </c>
      <c r="E193" s="56">
        <v>1.1652837119453005E7</v>
      </c>
      <c r="F193" s="130">
        <f t="shared" si="21"/>
        <v>78458.87244</v>
      </c>
      <c r="G193" s="119">
        <f t="shared" si="22"/>
        <v>2202268.119</v>
      </c>
      <c r="H193" s="120">
        <f t="shared" si="23"/>
        <v>0.1671028351</v>
      </c>
      <c r="I193" s="125"/>
      <c r="J193" s="5"/>
      <c r="K193" s="5"/>
      <c r="L193" s="5"/>
      <c r="M193" s="5"/>
      <c r="N193" s="5"/>
      <c r="O193" s="5"/>
      <c r="P193" s="5"/>
      <c r="Q193" s="5"/>
      <c r="R193" s="5"/>
      <c r="S193" s="5"/>
      <c r="T193" s="5"/>
      <c r="U193" s="5"/>
      <c r="V193" s="5"/>
      <c r="W193" s="5"/>
      <c r="X193" s="5"/>
      <c r="Y193" s="5"/>
    </row>
    <row r="194">
      <c r="A194" s="114">
        <v>45908.0</v>
      </c>
      <c r="B194" s="127"/>
      <c r="C194" s="130">
        <f t="shared" si="24"/>
        <v>9705615</v>
      </c>
      <c r="D194" s="131">
        <f t="shared" si="38"/>
        <v>616.2044011</v>
      </c>
      <c r="E194" s="56">
        <v>1.1574378247012006E7</v>
      </c>
      <c r="F194" s="130">
        <f t="shared" si="21"/>
        <v>71618.87244</v>
      </c>
      <c r="G194" s="119">
        <f t="shared" si="22"/>
        <v>2123809.247</v>
      </c>
      <c r="H194" s="120">
        <f t="shared" si="23"/>
        <v>0.1614569014</v>
      </c>
      <c r="I194" s="125"/>
      <c r="J194" s="5"/>
      <c r="K194" s="5"/>
      <c r="L194" s="5"/>
      <c r="M194" s="5"/>
      <c r="N194" s="5"/>
      <c r="O194" s="5"/>
      <c r="P194" s="5"/>
      <c r="Q194" s="5"/>
      <c r="R194" s="5"/>
      <c r="S194" s="5"/>
      <c r="T194" s="5"/>
      <c r="U194" s="5"/>
      <c r="V194" s="5"/>
      <c r="W194" s="5"/>
      <c r="X194" s="5"/>
      <c r="Y194" s="5"/>
    </row>
    <row r="195">
      <c r="A195" s="114">
        <v>45907.0</v>
      </c>
      <c r="B195" s="127"/>
      <c r="C195" s="130">
        <f t="shared" si="24"/>
        <v>9705615</v>
      </c>
      <c r="D195" s="131">
        <f t="shared" si="38"/>
        <v>616.2044011</v>
      </c>
      <c r="E195" s="56">
        <v>1.1502759374571007E7</v>
      </c>
      <c r="F195" s="130">
        <f t="shared" si="21"/>
        <v>45698.87244</v>
      </c>
      <c r="G195" s="119">
        <f t="shared" si="22"/>
        <v>2052190.375</v>
      </c>
      <c r="H195" s="120">
        <f t="shared" si="23"/>
        <v>0.1562359357</v>
      </c>
      <c r="I195" s="125"/>
      <c r="J195" s="5"/>
      <c r="K195" s="5"/>
      <c r="L195" s="5"/>
      <c r="M195" s="5"/>
      <c r="N195" s="5"/>
      <c r="O195" s="5"/>
      <c r="P195" s="5"/>
      <c r="Q195" s="5"/>
      <c r="R195" s="5"/>
      <c r="S195" s="5"/>
      <c r="T195" s="5"/>
      <c r="U195" s="5"/>
      <c r="V195" s="5"/>
      <c r="W195" s="5"/>
      <c r="X195" s="5"/>
      <c r="Y195" s="5"/>
    </row>
    <row r="196">
      <c r="A196" s="114">
        <v>45906.0</v>
      </c>
      <c r="B196" s="127"/>
      <c r="C196" s="130">
        <f t="shared" si="24"/>
        <v>9705615</v>
      </c>
      <c r="D196" s="131">
        <f t="shared" si="38"/>
        <v>616.2044011</v>
      </c>
      <c r="E196" s="56">
        <v>1.1457060502130007E7</v>
      </c>
      <c r="F196" s="130">
        <f t="shared" si="21"/>
        <v>21885.87244</v>
      </c>
      <c r="G196" s="119">
        <f t="shared" si="22"/>
        <v>2006491.502</v>
      </c>
      <c r="H196" s="120">
        <f t="shared" si="23"/>
        <v>0.152870407</v>
      </c>
      <c r="I196" s="125"/>
      <c r="J196" s="5"/>
      <c r="K196" s="5"/>
      <c r="L196" s="5"/>
      <c r="M196" s="5"/>
      <c r="N196" s="5"/>
      <c r="O196" s="5"/>
      <c r="P196" s="5"/>
      <c r="Q196" s="5"/>
      <c r="R196" s="5"/>
      <c r="S196" s="5"/>
      <c r="T196" s="5"/>
      <c r="U196" s="5"/>
      <c r="V196" s="5"/>
      <c r="W196" s="5"/>
      <c r="X196" s="5"/>
      <c r="Y196" s="5"/>
    </row>
    <row r="197">
      <c r="A197" s="114">
        <v>45905.0</v>
      </c>
      <c r="B197" s="127"/>
      <c r="C197" s="130">
        <f t="shared" si="24"/>
        <v>9705615</v>
      </c>
      <c r="D197" s="131">
        <f t="shared" si="38"/>
        <v>616.2044011</v>
      </c>
      <c r="E197" s="56">
        <v>1.1435174629689008E7</v>
      </c>
      <c r="F197" s="130">
        <f t="shared" si="21"/>
        <v>71345.87244</v>
      </c>
      <c r="G197" s="119">
        <f t="shared" si="22"/>
        <v>1984605.63</v>
      </c>
      <c r="H197" s="120">
        <f t="shared" si="23"/>
        <v>0.1512490789</v>
      </c>
      <c r="I197" s="125"/>
      <c r="J197" s="5"/>
      <c r="K197" s="5"/>
      <c r="L197" s="5"/>
      <c r="M197" s="5"/>
      <c r="N197" s="5"/>
      <c r="O197" s="5"/>
      <c r="P197" s="5"/>
      <c r="Q197" s="5"/>
      <c r="R197" s="5"/>
      <c r="S197" s="5"/>
      <c r="T197" s="5"/>
      <c r="U197" s="5"/>
      <c r="V197" s="5"/>
      <c r="W197" s="5"/>
      <c r="X197" s="5"/>
      <c r="Y197" s="5"/>
    </row>
    <row r="198">
      <c r="A198" s="114">
        <v>45904.0</v>
      </c>
      <c r="B198" s="127"/>
      <c r="C198" s="130">
        <f t="shared" si="24"/>
        <v>9705615</v>
      </c>
      <c r="D198" s="131">
        <f t="shared" si="38"/>
        <v>616.2044011</v>
      </c>
      <c r="E198" s="56">
        <v>1.1363828757248007E7</v>
      </c>
      <c r="F198" s="130">
        <f t="shared" si="21"/>
        <v>103625.8724</v>
      </c>
      <c r="G198" s="119">
        <f t="shared" si="22"/>
        <v>1913259.757</v>
      </c>
      <c r="H198" s="120">
        <f t="shared" si="23"/>
        <v>0.1459203401</v>
      </c>
      <c r="I198" s="125"/>
      <c r="J198" s="5"/>
      <c r="K198" s="5"/>
      <c r="L198" s="5"/>
      <c r="M198" s="5"/>
      <c r="N198" s="5"/>
      <c r="O198" s="5"/>
      <c r="P198" s="5"/>
      <c r="Q198" s="5"/>
      <c r="R198" s="5"/>
      <c r="S198" s="5"/>
      <c r="T198" s="5"/>
      <c r="U198" s="5"/>
      <c r="V198" s="5"/>
      <c r="W198" s="5"/>
      <c r="X198" s="5"/>
      <c r="Y198" s="5"/>
    </row>
    <row r="199">
      <c r="A199" s="114">
        <v>45903.0</v>
      </c>
      <c r="B199" s="127"/>
      <c r="C199" s="130">
        <f t="shared" si="24"/>
        <v>9705615</v>
      </c>
      <c r="D199" s="131">
        <f t="shared" si="38"/>
        <v>616.2044011</v>
      </c>
      <c r="E199" s="56">
        <v>1.1260202884807006E7</v>
      </c>
      <c r="F199" s="130">
        <f t="shared" si="21"/>
        <v>-44314.12756</v>
      </c>
      <c r="G199" s="119">
        <f t="shared" si="22"/>
        <v>1809633.885</v>
      </c>
      <c r="H199" s="120">
        <f t="shared" si="23"/>
        <v>0.1380603796</v>
      </c>
      <c r="I199" s="125"/>
      <c r="J199" s="5"/>
      <c r="K199" s="5"/>
      <c r="L199" s="5"/>
      <c r="M199" s="5"/>
      <c r="N199" s="5"/>
      <c r="O199" s="5"/>
      <c r="P199" s="5"/>
      <c r="Q199" s="5"/>
      <c r="R199" s="5"/>
      <c r="S199" s="5"/>
      <c r="T199" s="5"/>
      <c r="U199" s="5"/>
      <c r="V199" s="5"/>
      <c r="W199" s="5"/>
      <c r="X199" s="5"/>
      <c r="Y199" s="5"/>
    </row>
    <row r="200">
      <c r="A200" s="114">
        <v>45902.0</v>
      </c>
      <c r="B200" s="127"/>
      <c r="C200" s="130">
        <f t="shared" si="24"/>
        <v>9705615</v>
      </c>
      <c r="D200" s="131">
        <f t="shared" si="38"/>
        <v>616.2044011</v>
      </c>
      <c r="E200" s="56">
        <v>1.1304517012366006E7</v>
      </c>
      <c r="F200" s="130">
        <f t="shared" si="21"/>
        <v>4565.872441</v>
      </c>
      <c r="G200" s="119">
        <f t="shared" si="22"/>
        <v>1853948.012</v>
      </c>
      <c r="H200" s="120">
        <f t="shared" si="23"/>
        <v>0.141439215</v>
      </c>
      <c r="I200" s="125"/>
      <c r="J200" s="5"/>
      <c r="K200" s="5"/>
      <c r="L200" s="5"/>
      <c r="M200" s="5"/>
      <c r="N200" s="5"/>
      <c r="O200" s="5"/>
      <c r="P200" s="5"/>
      <c r="Q200" s="5"/>
      <c r="R200" s="5"/>
      <c r="S200" s="5"/>
      <c r="T200" s="5"/>
      <c r="U200" s="5"/>
      <c r="V200" s="5"/>
      <c r="W200" s="5"/>
      <c r="X200" s="5"/>
      <c r="Y200" s="5"/>
    </row>
    <row r="201">
      <c r="A201" s="114">
        <v>45901.0</v>
      </c>
      <c r="B201" s="128">
        <v>85000.0</v>
      </c>
      <c r="C201" s="130">
        <f t="shared" si="24"/>
        <v>9705615</v>
      </c>
      <c r="D201" s="131">
        <f t="shared" si="38"/>
        <v>616.2044011</v>
      </c>
      <c r="E201" s="56">
        <v>1.1299951139925007E7</v>
      </c>
      <c r="F201" s="130">
        <f t="shared" si="21"/>
        <v>-60554.12756</v>
      </c>
      <c r="G201" s="119">
        <f t="shared" si="22"/>
        <v>1849382.14</v>
      </c>
      <c r="H201" s="120">
        <f t="shared" si="23"/>
        <v>0.1410923039</v>
      </c>
      <c r="I201" s="125"/>
      <c r="J201" s="5"/>
      <c r="K201" s="5"/>
      <c r="L201" s="5"/>
      <c r="M201" s="5"/>
      <c r="N201" s="5"/>
      <c r="O201" s="5"/>
      <c r="P201" s="5"/>
      <c r="Q201" s="5"/>
      <c r="R201" s="5"/>
      <c r="S201" s="5"/>
      <c r="T201" s="5"/>
      <c r="U201" s="5"/>
      <c r="V201" s="5"/>
      <c r="W201" s="5"/>
      <c r="X201" s="5"/>
      <c r="Y201" s="5"/>
    </row>
    <row r="202">
      <c r="A202" s="114">
        <v>45900.0</v>
      </c>
      <c r="B202" s="127"/>
      <c r="C202" s="130">
        <f t="shared" si="24"/>
        <v>9620615</v>
      </c>
      <c r="D202" s="131">
        <f t="shared" ref="D202:D221" si="39">210.124911099241+8.48693+1.41387+35.69908-22.25544+5.26036-25.33826+1.156+29.113+28.99684+23.19747+57.54239+232.54495+2.88206+22.74505</f>
        <v>611.5692111</v>
      </c>
      <c r="E202" s="56">
        <v>1.127550526748401E7</v>
      </c>
      <c r="F202" s="130">
        <f t="shared" si="21"/>
        <v>4865.872441</v>
      </c>
      <c r="G202" s="119">
        <f t="shared" si="22"/>
        <v>1909936.267</v>
      </c>
      <c r="H202" s="120">
        <f t="shared" si="23"/>
        <v>0.1467686129</v>
      </c>
      <c r="I202" s="125"/>
      <c r="J202" s="5"/>
      <c r="K202" s="5"/>
      <c r="L202" s="5"/>
      <c r="M202" s="5"/>
      <c r="N202" s="5"/>
      <c r="O202" s="5"/>
      <c r="P202" s="5"/>
      <c r="Q202" s="5"/>
      <c r="R202" s="5"/>
      <c r="S202" s="5"/>
      <c r="T202" s="5"/>
      <c r="U202" s="5"/>
      <c r="V202" s="5"/>
      <c r="W202" s="5"/>
      <c r="X202" s="5"/>
      <c r="Y202" s="5"/>
    </row>
    <row r="203">
      <c r="A203" s="114">
        <v>45899.0</v>
      </c>
      <c r="B203" s="127"/>
      <c r="C203" s="130">
        <f t="shared" si="24"/>
        <v>9620615</v>
      </c>
      <c r="D203" s="131">
        <f t="shared" si="39"/>
        <v>611.5692111</v>
      </c>
      <c r="E203" s="56">
        <v>1.1270639395043008E7</v>
      </c>
      <c r="F203" s="130">
        <f t="shared" si="21"/>
        <v>4865.872441</v>
      </c>
      <c r="G203" s="119">
        <f t="shared" si="22"/>
        <v>1905070.395</v>
      </c>
      <c r="H203" s="120">
        <f t="shared" si="23"/>
        <v>0.1464002473</v>
      </c>
      <c r="I203" s="125"/>
      <c r="J203" s="5"/>
      <c r="K203" s="5"/>
      <c r="L203" s="5"/>
      <c r="M203" s="5"/>
      <c r="N203" s="5"/>
      <c r="O203" s="5"/>
      <c r="P203" s="5"/>
      <c r="Q203" s="5"/>
      <c r="R203" s="5"/>
      <c r="S203" s="5"/>
      <c r="T203" s="5"/>
      <c r="U203" s="5"/>
      <c r="V203" s="5"/>
      <c r="W203" s="5"/>
      <c r="X203" s="5"/>
      <c r="Y203" s="5"/>
    </row>
    <row r="204">
      <c r="A204" s="114">
        <v>45898.0</v>
      </c>
      <c r="B204" s="127"/>
      <c r="C204" s="130">
        <f t="shared" si="24"/>
        <v>9620615</v>
      </c>
      <c r="D204" s="131">
        <f t="shared" si="39"/>
        <v>611.5692111</v>
      </c>
      <c r="E204" s="56">
        <v>1.1265773522602009E7</v>
      </c>
      <c r="F204" s="130">
        <f t="shared" si="21"/>
        <v>3565.872441</v>
      </c>
      <c r="G204" s="119">
        <f t="shared" si="22"/>
        <v>1900204.523</v>
      </c>
      <c r="H204" s="120">
        <f t="shared" si="23"/>
        <v>0.1460315636</v>
      </c>
      <c r="I204" s="125"/>
      <c r="J204" s="5"/>
      <c r="K204" s="5"/>
      <c r="L204" s="5"/>
      <c r="M204" s="5"/>
      <c r="N204" s="5"/>
      <c r="O204" s="5"/>
      <c r="P204" s="5"/>
      <c r="Q204" s="5"/>
      <c r="R204" s="5"/>
      <c r="S204" s="5"/>
      <c r="T204" s="5"/>
      <c r="U204" s="5"/>
      <c r="V204" s="5"/>
      <c r="W204" s="5"/>
      <c r="X204" s="5"/>
      <c r="Y204" s="5"/>
    </row>
    <row r="205">
      <c r="A205" s="114">
        <v>45897.0</v>
      </c>
      <c r="B205" s="127"/>
      <c r="C205" s="130">
        <f t="shared" si="24"/>
        <v>9620615</v>
      </c>
      <c r="D205" s="131">
        <f t="shared" si="39"/>
        <v>611.5692111</v>
      </c>
      <c r="E205" s="56">
        <v>1.126220765016101E7</v>
      </c>
      <c r="F205" s="130">
        <f t="shared" si="21"/>
        <v>59245.87244</v>
      </c>
      <c r="G205" s="119">
        <f t="shared" si="22"/>
        <v>1896638.65</v>
      </c>
      <c r="H205" s="120">
        <f t="shared" si="23"/>
        <v>0.1457611777</v>
      </c>
      <c r="I205" s="125"/>
      <c r="J205" s="5"/>
      <c r="K205" s="5"/>
      <c r="L205" s="5"/>
      <c r="M205" s="5"/>
      <c r="N205" s="5"/>
      <c r="O205" s="5"/>
      <c r="P205" s="5"/>
      <c r="Q205" s="5"/>
      <c r="R205" s="5"/>
      <c r="S205" s="5"/>
      <c r="T205" s="5"/>
      <c r="U205" s="5"/>
      <c r="V205" s="5"/>
      <c r="W205" s="5"/>
      <c r="X205" s="5"/>
      <c r="Y205" s="5"/>
    </row>
    <row r="206">
      <c r="A206" s="114">
        <v>45896.0</v>
      </c>
      <c r="B206" s="127"/>
      <c r="C206" s="130">
        <f t="shared" si="24"/>
        <v>9620615</v>
      </c>
      <c r="D206" s="131">
        <f t="shared" si="39"/>
        <v>611.5692111</v>
      </c>
      <c r="E206" s="56">
        <v>1.1202961777720006E7</v>
      </c>
      <c r="F206" s="130">
        <f t="shared" si="21"/>
        <v>-114.127559</v>
      </c>
      <c r="G206" s="119">
        <f t="shared" si="22"/>
        <v>1837392.778</v>
      </c>
      <c r="H206" s="120">
        <f t="shared" si="23"/>
        <v>0.1412436112</v>
      </c>
      <c r="I206" s="125"/>
      <c r="J206" s="5"/>
      <c r="K206" s="5"/>
      <c r="L206" s="5"/>
      <c r="M206" s="5"/>
      <c r="N206" s="5"/>
      <c r="O206" s="5"/>
      <c r="P206" s="5"/>
      <c r="Q206" s="5"/>
      <c r="R206" s="5"/>
      <c r="S206" s="5"/>
      <c r="T206" s="5"/>
      <c r="U206" s="5"/>
      <c r="V206" s="5"/>
      <c r="W206" s="5"/>
      <c r="X206" s="5"/>
      <c r="Y206" s="5"/>
    </row>
    <row r="207">
      <c r="A207" s="114">
        <v>45895.0</v>
      </c>
      <c r="B207" s="127"/>
      <c r="C207" s="130">
        <f t="shared" si="24"/>
        <v>9620615</v>
      </c>
      <c r="D207" s="131">
        <f t="shared" si="39"/>
        <v>611.5692111</v>
      </c>
      <c r="E207" s="56">
        <v>1.1203075905279005E7</v>
      </c>
      <c r="F207" s="130">
        <f t="shared" si="21"/>
        <v>30805.87244</v>
      </c>
      <c r="G207" s="119">
        <f t="shared" si="22"/>
        <v>1837506.905</v>
      </c>
      <c r="H207" s="120">
        <f t="shared" si="23"/>
        <v>0.1412523595</v>
      </c>
      <c r="I207" s="125"/>
      <c r="J207" s="5"/>
      <c r="K207" s="5"/>
      <c r="L207" s="5"/>
      <c r="M207" s="5"/>
      <c r="N207" s="5"/>
      <c r="O207" s="5"/>
      <c r="P207" s="5"/>
      <c r="Q207" s="5"/>
      <c r="R207" s="5"/>
      <c r="S207" s="5"/>
      <c r="T207" s="5"/>
      <c r="U207" s="5"/>
      <c r="V207" s="5"/>
      <c r="W207" s="5"/>
      <c r="X207" s="5"/>
      <c r="Y207" s="5"/>
    </row>
    <row r="208">
      <c r="A208" s="114">
        <v>45894.0</v>
      </c>
      <c r="B208" s="127"/>
      <c r="C208" s="130">
        <f t="shared" si="24"/>
        <v>9620615</v>
      </c>
      <c r="D208" s="131">
        <f t="shared" si="39"/>
        <v>611.5692111</v>
      </c>
      <c r="E208" s="56">
        <v>1.1172270032838006E7</v>
      </c>
      <c r="F208" s="130">
        <f t="shared" si="21"/>
        <v>6765.872441</v>
      </c>
      <c r="G208" s="119">
        <f t="shared" si="22"/>
        <v>1806701.033</v>
      </c>
      <c r="H208" s="120">
        <f t="shared" si="23"/>
        <v>0.1388844906</v>
      </c>
      <c r="I208" s="125"/>
      <c r="J208" s="5"/>
      <c r="K208" s="5"/>
      <c r="L208" s="5"/>
      <c r="M208" s="5"/>
      <c r="N208" s="5"/>
      <c r="O208" s="5"/>
      <c r="P208" s="5"/>
      <c r="Q208" s="5"/>
      <c r="R208" s="5"/>
      <c r="S208" s="5"/>
      <c r="T208" s="5"/>
      <c r="U208" s="5"/>
      <c r="V208" s="5"/>
      <c r="W208" s="5"/>
      <c r="X208" s="5"/>
      <c r="Y208" s="5"/>
    </row>
    <row r="209">
      <c r="A209" s="114">
        <v>45893.0</v>
      </c>
      <c r="B209" s="127"/>
      <c r="C209" s="130">
        <f t="shared" si="24"/>
        <v>9620615</v>
      </c>
      <c r="D209" s="131">
        <f t="shared" si="39"/>
        <v>611.5692111</v>
      </c>
      <c r="E209" s="56">
        <v>1.1165504160397006E7</v>
      </c>
      <c r="F209" s="130">
        <f t="shared" si="21"/>
        <v>442.872441</v>
      </c>
      <c r="G209" s="119">
        <f t="shared" si="22"/>
        <v>1799935.16</v>
      </c>
      <c r="H209" s="120">
        <f t="shared" si="23"/>
        <v>0.1383626873</v>
      </c>
      <c r="I209" s="125"/>
      <c r="J209" s="5"/>
      <c r="K209" s="5"/>
      <c r="L209" s="5"/>
      <c r="M209" s="5"/>
      <c r="N209" s="5"/>
      <c r="O209" s="5"/>
      <c r="P209" s="5"/>
      <c r="Q209" s="5"/>
      <c r="R209" s="5"/>
      <c r="S209" s="5"/>
      <c r="T209" s="5"/>
      <c r="U209" s="5"/>
      <c r="V209" s="5"/>
      <c r="W209" s="5"/>
      <c r="X209" s="5"/>
      <c r="Y209" s="5"/>
    </row>
    <row r="210">
      <c r="A210" s="114">
        <v>45892.0</v>
      </c>
      <c r="B210" s="127"/>
      <c r="C210" s="130">
        <f t="shared" si="24"/>
        <v>9620615</v>
      </c>
      <c r="D210" s="131">
        <f t="shared" si="39"/>
        <v>611.5692111</v>
      </c>
      <c r="E210" s="56">
        <v>1.1165061287956005E7</v>
      </c>
      <c r="F210" s="130">
        <f t="shared" si="21"/>
        <v>442.872441</v>
      </c>
      <c r="G210" s="119">
        <f t="shared" si="22"/>
        <v>1799492.288</v>
      </c>
      <c r="H210" s="120">
        <f t="shared" si="23"/>
        <v>0.1383285096</v>
      </c>
      <c r="I210" s="125"/>
      <c r="J210" s="5"/>
      <c r="K210" s="5"/>
      <c r="L210" s="5"/>
      <c r="M210" s="5"/>
      <c r="N210" s="5"/>
      <c r="O210" s="5"/>
      <c r="P210" s="5"/>
      <c r="Q210" s="5"/>
      <c r="R210" s="5"/>
      <c r="S210" s="5"/>
      <c r="T210" s="5"/>
      <c r="U210" s="5"/>
      <c r="V210" s="5"/>
      <c r="W210" s="5"/>
      <c r="X210" s="5"/>
      <c r="Y210" s="5"/>
    </row>
    <row r="211">
      <c r="A211" s="114">
        <v>45891.0</v>
      </c>
      <c r="B211" s="127"/>
      <c r="C211" s="130">
        <f t="shared" si="24"/>
        <v>9620615</v>
      </c>
      <c r="D211" s="131">
        <f t="shared" si="39"/>
        <v>611.5692111</v>
      </c>
      <c r="E211" s="56">
        <v>1.1164618415515004E7</v>
      </c>
      <c r="F211" s="130">
        <f t="shared" si="21"/>
        <v>46152.87244</v>
      </c>
      <c r="G211" s="119">
        <f t="shared" si="22"/>
        <v>1799049.416</v>
      </c>
      <c r="H211" s="120">
        <f t="shared" si="23"/>
        <v>0.1382943293</v>
      </c>
      <c r="I211" s="125"/>
      <c r="J211" s="5"/>
      <c r="K211" s="5"/>
      <c r="L211" s="5"/>
      <c r="M211" s="5"/>
      <c r="N211" s="5"/>
      <c r="O211" s="5"/>
      <c r="P211" s="5"/>
      <c r="Q211" s="5"/>
      <c r="R211" s="5"/>
      <c r="S211" s="5"/>
      <c r="T211" s="5"/>
      <c r="U211" s="5"/>
      <c r="V211" s="5"/>
      <c r="W211" s="5"/>
      <c r="X211" s="5"/>
      <c r="Y211" s="5"/>
    </row>
    <row r="212">
      <c r="A212" s="114">
        <v>45890.0</v>
      </c>
      <c r="B212" s="127"/>
      <c r="C212" s="130">
        <f t="shared" si="24"/>
        <v>9620615</v>
      </c>
      <c r="D212" s="131">
        <f t="shared" si="39"/>
        <v>611.5692111</v>
      </c>
      <c r="E212" s="56">
        <v>1.1118465543074004E7</v>
      </c>
      <c r="F212" s="130">
        <f t="shared" si="21"/>
        <v>-19847.12756</v>
      </c>
      <c r="G212" s="119">
        <f t="shared" si="22"/>
        <v>1752896.543</v>
      </c>
      <c r="H212" s="120">
        <f t="shared" si="23"/>
        <v>0.1347173796</v>
      </c>
      <c r="I212" s="125"/>
      <c r="J212" s="5"/>
      <c r="K212" s="5"/>
      <c r="L212" s="5"/>
      <c r="M212" s="5"/>
      <c r="N212" s="5"/>
      <c r="O212" s="5"/>
      <c r="P212" s="5"/>
      <c r="Q212" s="5"/>
      <c r="R212" s="5"/>
      <c r="S212" s="5"/>
      <c r="T212" s="5"/>
      <c r="U212" s="5"/>
      <c r="V212" s="5"/>
      <c r="W212" s="5"/>
      <c r="X212" s="5"/>
      <c r="Y212" s="5"/>
    </row>
    <row r="213">
      <c r="A213" s="114">
        <v>45889.0</v>
      </c>
      <c r="B213" s="127"/>
      <c r="C213" s="130">
        <f t="shared" si="24"/>
        <v>9620615</v>
      </c>
      <c r="D213" s="131">
        <f t="shared" si="39"/>
        <v>611.5692111</v>
      </c>
      <c r="E213" s="56">
        <v>1.1138312670633005E7</v>
      </c>
      <c r="F213" s="130">
        <f t="shared" si="21"/>
        <v>-30465.12756</v>
      </c>
      <c r="G213" s="119">
        <f t="shared" si="22"/>
        <v>1772743.671</v>
      </c>
      <c r="H213" s="120">
        <f t="shared" si="23"/>
        <v>0.1362592087</v>
      </c>
      <c r="I213" s="125"/>
      <c r="J213" s="5"/>
      <c r="K213" s="5"/>
      <c r="L213" s="5"/>
      <c r="M213" s="5"/>
      <c r="N213" s="5"/>
      <c r="O213" s="5"/>
      <c r="P213" s="5"/>
      <c r="Q213" s="5"/>
      <c r="R213" s="5"/>
      <c r="S213" s="5"/>
      <c r="T213" s="5"/>
      <c r="U213" s="5"/>
      <c r="V213" s="5"/>
      <c r="W213" s="5"/>
      <c r="X213" s="5"/>
      <c r="Y213" s="5"/>
    </row>
    <row r="214">
      <c r="A214" s="114">
        <v>45888.0</v>
      </c>
      <c r="B214" s="127"/>
      <c r="C214" s="130">
        <f t="shared" si="24"/>
        <v>9620615</v>
      </c>
      <c r="D214" s="131">
        <f t="shared" si="39"/>
        <v>611.5692111</v>
      </c>
      <c r="E214" s="56">
        <v>1.1168777798192004E7</v>
      </c>
      <c r="F214" s="130">
        <f t="shared" si="21"/>
        <v>51112.87244</v>
      </c>
      <c r="G214" s="119">
        <f t="shared" si="22"/>
        <v>1803208.798</v>
      </c>
      <c r="H214" s="120">
        <f t="shared" si="23"/>
        <v>0.1386152385</v>
      </c>
      <c r="I214" s="125"/>
      <c r="J214" s="5"/>
      <c r="K214" s="5"/>
      <c r="L214" s="5"/>
      <c r="M214" s="5"/>
      <c r="N214" s="5"/>
      <c r="O214" s="5"/>
      <c r="P214" s="5"/>
      <c r="Q214" s="5"/>
      <c r="R214" s="5"/>
      <c r="S214" s="5"/>
      <c r="T214" s="5"/>
      <c r="U214" s="5"/>
      <c r="V214" s="5"/>
      <c r="W214" s="5"/>
      <c r="X214" s="5"/>
      <c r="Y214" s="5"/>
    </row>
    <row r="215">
      <c r="A215" s="114">
        <v>45887.0</v>
      </c>
      <c r="B215" s="127"/>
      <c r="C215" s="130">
        <f t="shared" si="24"/>
        <v>9620615</v>
      </c>
      <c r="D215" s="131">
        <f t="shared" si="39"/>
        <v>611.5692111</v>
      </c>
      <c r="E215" s="56">
        <v>1.1117664925751003E7</v>
      </c>
      <c r="F215" s="130">
        <f t="shared" si="21"/>
        <v>23850.87244</v>
      </c>
      <c r="G215" s="119">
        <f t="shared" si="22"/>
        <v>1752095.926</v>
      </c>
      <c r="H215" s="120">
        <f t="shared" si="23"/>
        <v>0.1346550679</v>
      </c>
      <c r="I215" s="125"/>
      <c r="J215" s="5"/>
      <c r="K215" s="5"/>
      <c r="L215" s="5"/>
      <c r="M215" s="5"/>
      <c r="N215" s="5"/>
      <c r="O215" s="5"/>
      <c r="P215" s="5"/>
      <c r="Q215" s="5"/>
      <c r="R215" s="5"/>
      <c r="S215" s="5"/>
      <c r="T215" s="5"/>
      <c r="U215" s="5"/>
      <c r="V215" s="5"/>
      <c r="W215" s="5"/>
      <c r="X215" s="5"/>
      <c r="Y215" s="5"/>
    </row>
    <row r="216">
      <c r="A216" s="114">
        <v>45886.0</v>
      </c>
      <c r="B216" s="127"/>
      <c r="C216" s="130">
        <f t="shared" si="24"/>
        <v>9620615</v>
      </c>
      <c r="D216" s="131">
        <f t="shared" si="39"/>
        <v>611.5692111</v>
      </c>
      <c r="E216" s="56">
        <v>1.1093814053310001E7</v>
      </c>
      <c r="F216" s="130">
        <f t="shared" si="21"/>
        <v>492.872441</v>
      </c>
      <c r="G216" s="119">
        <f t="shared" si="22"/>
        <v>1728245.053</v>
      </c>
      <c r="H216" s="120">
        <f t="shared" si="23"/>
        <v>0.1327946409</v>
      </c>
      <c r="I216" s="125"/>
      <c r="J216" s="5"/>
      <c r="K216" s="5"/>
      <c r="L216" s="5"/>
      <c r="M216" s="5"/>
      <c r="N216" s="5"/>
      <c r="O216" s="5"/>
      <c r="P216" s="5"/>
      <c r="Q216" s="5"/>
      <c r="R216" s="5"/>
      <c r="S216" s="5"/>
      <c r="T216" s="5"/>
      <c r="U216" s="5"/>
      <c r="V216" s="5"/>
      <c r="W216" s="5"/>
      <c r="X216" s="5"/>
      <c r="Y216" s="5"/>
    </row>
    <row r="217">
      <c r="A217" s="114">
        <v>45885.0</v>
      </c>
      <c r="B217" s="127"/>
      <c r="C217" s="130">
        <f t="shared" si="24"/>
        <v>9620615</v>
      </c>
      <c r="D217" s="131">
        <f t="shared" si="39"/>
        <v>611.5692111</v>
      </c>
      <c r="E217" s="56">
        <v>1.1093321180869002E7</v>
      </c>
      <c r="F217" s="130">
        <f t="shared" si="21"/>
        <v>492.872441</v>
      </c>
      <c r="G217" s="119">
        <f t="shared" si="22"/>
        <v>1727752.181</v>
      </c>
      <c r="H217" s="120">
        <f t="shared" si="23"/>
        <v>0.1327561113</v>
      </c>
      <c r="I217" s="125"/>
      <c r="J217" s="5"/>
      <c r="K217" s="5"/>
      <c r="L217" s="5"/>
      <c r="M217" s="5"/>
      <c r="N217" s="5"/>
      <c r="O217" s="5"/>
      <c r="P217" s="5"/>
      <c r="Q217" s="5"/>
      <c r="R217" s="5"/>
      <c r="S217" s="5"/>
      <c r="T217" s="5"/>
      <c r="U217" s="5"/>
      <c r="V217" s="5"/>
      <c r="W217" s="5"/>
      <c r="X217" s="5"/>
      <c r="Y217" s="5"/>
    </row>
    <row r="218">
      <c r="A218" s="114">
        <v>45884.0</v>
      </c>
      <c r="B218" s="127"/>
      <c r="C218" s="130">
        <f t="shared" si="24"/>
        <v>9620615</v>
      </c>
      <c r="D218" s="131">
        <f t="shared" si="39"/>
        <v>611.5692111</v>
      </c>
      <c r="E218" s="56">
        <v>1.1092828308428003E7</v>
      </c>
      <c r="F218" s="130">
        <f t="shared" si="21"/>
        <v>243274.8724</v>
      </c>
      <c r="G218" s="119">
        <f t="shared" si="22"/>
        <v>1727259.308</v>
      </c>
      <c r="H218" s="120">
        <f t="shared" si="23"/>
        <v>0.1327175782</v>
      </c>
      <c r="I218" s="125"/>
      <c r="J218" s="5"/>
      <c r="K218" s="5"/>
      <c r="L218" s="5"/>
      <c r="M218" s="5"/>
      <c r="N218" s="5"/>
      <c r="O218" s="5"/>
      <c r="P218" s="5"/>
      <c r="Q218" s="5"/>
      <c r="R218" s="5"/>
      <c r="S218" s="5"/>
      <c r="T218" s="5"/>
      <c r="U218" s="5"/>
      <c r="V218" s="5"/>
      <c r="W218" s="5"/>
      <c r="X218" s="5"/>
      <c r="Y218" s="5"/>
    </row>
    <row r="219">
      <c r="A219" s="114">
        <v>45883.0</v>
      </c>
      <c r="B219" s="127"/>
      <c r="C219" s="130">
        <f t="shared" si="24"/>
        <v>9620615</v>
      </c>
      <c r="D219" s="131">
        <f t="shared" si="39"/>
        <v>611.5692111</v>
      </c>
      <c r="E219" s="56">
        <v>1.0849553435987001E7</v>
      </c>
      <c r="F219" s="130">
        <f t="shared" si="21"/>
        <v>215.872441</v>
      </c>
      <c r="G219" s="119">
        <f t="shared" si="22"/>
        <v>1483984.436</v>
      </c>
      <c r="H219" s="120">
        <f t="shared" si="23"/>
        <v>0.1132708773</v>
      </c>
      <c r="I219" s="125"/>
      <c r="J219" s="5"/>
      <c r="K219" s="5"/>
      <c r="L219" s="5"/>
      <c r="M219" s="5"/>
      <c r="N219" s="5"/>
      <c r="O219" s="5"/>
      <c r="P219" s="5"/>
      <c r="Q219" s="5"/>
      <c r="R219" s="5"/>
      <c r="S219" s="5"/>
      <c r="T219" s="5"/>
      <c r="U219" s="5"/>
      <c r="V219" s="5"/>
      <c r="W219" s="5"/>
      <c r="X219" s="5"/>
      <c r="Y219" s="5"/>
    </row>
    <row r="220">
      <c r="A220" s="114">
        <v>45882.0</v>
      </c>
      <c r="B220" s="127"/>
      <c r="C220" s="130">
        <f t="shared" si="24"/>
        <v>9620615</v>
      </c>
      <c r="D220" s="131">
        <f t="shared" si="39"/>
        <v>611.5692111</v>
      </c>
      <c r="E220" s="56">
        <v>1.0849337563546002E7</v>
      </c>
      <c r="F220" s="130">
        <f t="shared" si="21"/>
        <v>94132.87244</v>
      </c>
      <c r="G220" s="119">
        <f t="shared" si="22"/>
        <v>1483768.564</v>
      </c>
      <c r="H220" s="120">
        <f t="shared" si="23"/>
        <v>0.1132532338</v>
      </c>
      <c r="I220" s="125"/>
      <c r="J220" s="5"/>
      <c r="K220" s="5"/>
      <c r="L220" s="5"/>
      <c r="M220" s="5"/>
      <c r="N220" s="5"/>
      <c r="O220" s="5"/>
      <c r="P220" s="5"/>
      <c r="Q220" s="5"/>
      <c r="R220" s="5"/>
      <c r="S220" s="5"/>
      <c r="T220" s="5"/>
      <c r="U220" s="5"/>
      <c r="V220" s="5"/>
      <c r="W220" s="5"/>
      <c r="X220" s="5"/>
      <c r="Y220" s="5"/>
    </row>
    <row r="221">
      <c r="A221" s="114">
        <v>45881.0</v>
      </c>
      <c r="B221" s="128">
        <v>400000.0</v>
      </c>
      <c r="C221" s="130">
        <f t="shared" si="24"/>
        <v>9620615</v>
      </c>
      <c r="D221" s="131">
        <f t="shared" si="39"/>
        <v>611.5692111</v>
      </c>
      <c r="E221" s="132">
        <v>1.0755204691105E7</v>
      </c>
      <c r="F221" s="130">
        <f t="shared" si="21"/>
        <v>17802.87244</v>
      </c>
      <c r="G221" s="119">
        <f t="shared" si="22"/>
        <v>1389635.691</v>
      </c>
      <c r="H221" s="120">
        <f t="shared" si="23"/>
        <v>0.1054921523</v>
      </c>
      <c r="I221" s="125"/>
      <c r="J221" s="5"/>
      <c r="K221" s="5"/>
      <c r="L221" s="5"/>
      <c r="M221" s="5"/>
      <c r="N221" s="5"/>
      <c r="O221" s="5"/>
      <c r="P221" s="5"/>
      <c r="Q221" s="5"/>
      <c r="R221" s="5"/>
      <c r="S221" s="5"/>
      <c r="T221" s="5"/>
      <c r="U221" s="5"/>
      <c r="V221" s="5"/>
      <c r="W221" s="5"/>
      <c r="X221" s="5"/>
      <c r="Y221" s="5"/>
    </row>
    <row r="222">
      <c r="A222" s="114">
        <v>45880.0</v>
      </c>
      <c r="B222" s="127"/>
      <c r="C222" s="130">
        <f t="shared" si="24"/>
        <v>9220615</v>
      </c>
      <c r="D222" s="131">
        <f t="shared" ref="D222:D230" si="40">210.124911099241+8.48693+1.41387+35.69908-22.25544+5.26036-25.33826+1.156+29.113+28.99684+23.19747+57.54239+232.54495+2.88206</f>
        <v>588.8241611</v>
      </c>
      <c r="E222" s="56">
        <v>1.0337401818664E7</v>
      </c>
      <c r="F222" s="130">
        <f t="shared" si="21"/>
        <v>-12917.12756</v>
      </c>
      <c r="G222" s="119">
        <f t="shared" si="22"/>
        <v>1371832.819</v>
      </c>
      <c r="H222" s="120">
        <f t="shared" si="23"/>
        <v>0.1080336083</v>
      </c>
      <c r="I222" s="125"/>
      <c r="J222" s="5"/>
      <c r="K222" s="5"/>
      <c r="L222" s="5"/>
      <c r="M222" s="5"/>
      <c r="N222" s="5"/>
      <c r="O222" s="5"/>
      <c r="P222" s="5"/>
      <c r="Q222" s="5"/>
      <c r="R222" s="5"/>
      <c r="S222" s="5"/>
      <c r="T222" s="5"/>
      <c r="U222" s="5"/>
      <c r="V222" s="5"/>
      <c r="W222" s="5"/>
      <c r="X222" s="5"/>
      <c r="Y222" s="5"/>
    </row>
    <row r="223">
      <c r="A223" s="114">
        <v>45879.0</v>
      </c>
      <c r="B223" s="127"/>
      <c r="C223" s="130">
        <f t="shared" si="24"/>
        <v>9220615</v>
      </c>
      <c r="D223" s="131">
        <f t="shared" si="40"/>
        <v>588.8241611</v>
      </c>
      <c r="E223" s="56">
        <v>1.0350318946222998E7</v>
      </c>
      <c r="F223" s="130">
        <f t="shared" si="21"/>
        <v>122.872441</v>
      </c>
      <c r="G223" s="119">
        <f t="shared" si="22"/>
        <v>1384749.946</v>
      </c>
      <c r="H223" s="120">
        <f t="shared" si="23"/>
        <v>0.1091467763</v>
      </c>
      <c r="I223" s="125"/>
      <c r="J223" s="5"/>
      <c r="K223" s="5"/>
      <c r="L223" s="5"/>
      <c r="M223" s="5"/>
      <c r="N223" s="5"/>
      <c r="O223" s="5"/>
      <c r="P223" s="5"/>
      <c r="Q223" s="5"/>
      <c r="R223" s="5"/>
      <c r="S223" s="5"/>
      <c r="T223" s="5"/>
      <c r="U223" s="5"/>
      <c r="V223" s="5"/>
      <c r="W223" s="5"/>
      <c r="X223" s="5"/>
      <c r="Y223" s="5"/>
    </row>
    <row r="224">
      <c r="A224" s="114">
        <v>45878.0</v>
      </c>
      <c r="B224" s="127"/>
      <c r="C224" s="130">
        <f t="shared" si="24"/>
        <v>9220615</v>
      </c>
      <c r="D224" s="131">
        <f t="shared" si="40"/>
        <v>588.8241611</v>
      </c>
      <c r="E224" s="56">
        <v>1.0350196073781999E7</v>
      </c>
      <c r="F224" s="130">
        <f t="shared" si="21"/>
        <v>122.872441</v>
      </c>
      <c r="G224" s="119">
        <f t="shared" si="22"/>
        <v>1384627.074</v>
      </c>
      <c r="H224" s="120">
        <f t="shared" si="23"/>
        <v>0.1091362005</v>
      </c>
      <c r="I224" s="125"/>
      <c r="J224" s="5"/>
      <c r="K224" s="5"/>
      <c r="L224" s="5"/>
      <c r="M224" s="5"/>
      <c r="N224" s="5"/>
      <c r="O224" s="5"/>
      <c r="P224" s="5"/>
      <c r="Q224" s="5"/>
      <c r="R224" s="5"/>
      <c r="S224" s="5"/>
      <c r="T224" s="5"/>
      <c r="U224" s="5"/>
      <c r="V224" s="5"/>
      <c r="W224" s="5"/>
      <c r="X224" s="5"/>
      <c r="Y224" s="5"/>
    </row>
    <row r="225">
      <c r="A225" s="114">
        <v>45877.0</v>
      </c>
      <c r="B225" s="127"/>
      <c r="C225" s="130">
        <f t="shared" si="24"/>
        <v>9220615</v>
      </c>
      <c r="D225" s="131">
        <f t="shared" si="40"/>
        <v>588.8241611</v>
      </c>
      <c r="E225" s="56">
        <v>1.0350073201341E7</v>
      </c>
      <c r="F225" s="130">
        <f t="shared" si="21"/>
        <v>70182.87244</v>
      </c>
      <c r="G225" s="119">
        <f t="shared" si="22"/>
        <v>1384504.201</v>
      </c>
      <c r="H225" s="120">
        <f t="shared" si="23"/>
        <v>0.1091256245</v>
      </c>
      <c r="I225" s="125"/>
      <c r="J225" s="5"/>
      <c r="K225" s="5"/>
      <c r="L225" s="5"/>
      <c r="M225" s="5"/>
      <c r="N225" s="5"/>
      <c r="O225" s="5"/>
      <c r="P225" s="5"/>
      <c r="Q225" s="5"/>
      <c r="R225" s="5"/>
      <c r="S225" s="5"/>
      <c r="T225" s="5"/>
      <c r="U225" s="5"/>
      <c r="V225" s="5"/>
      <c r="W225" s="5"/>
      <c r="X225" s="5"/>
      <c r="Y225" s="5"/>
    </row>
    <row r="226">
      <c r="A226" s="114">
        <v>45876.0</v>
      </c>
      <c r="B226" s="127"/>
      <c r="C226" s="130">
        <f t="shared" si="24"/>
        <v>9220615</v>
      </c>
      <c r="D226" s="131">
        <f t="shared" si="40"/>
        <v>588.8241611</v>
      </c>
      <c r="E226" s="56">
        <v>1.02798903289E7</v>
      </c>
      <c r="F226" s="130">
        <f t="shared" si="21"/>
        <v>-24014.11388</v>
      </c>
      <c r="G226" s="119">
        <f t="shared" si="22"/>
        <v>1314321.329</v>
      </c>
      <c r="H226" s="120">
        <f t="shared" si="23"/>
        <v>0.1030434465</v>
      </c>
      <c r="I226" s="125"/>
      <c r="J226" s="5"/>
      <c r="K226" s="5"/>
      <c r="L226" s="5"/>
      <c r="M226" s="5"/>
      <c r="N226" s="5"/>
      <c r="O226" s="5"/>
      <c r="P226" s="5"/>
      <c r="Q226" s="5"/>
      <c r="R226" s="5"/>
      <c r="S226" s="5"/>
      <c r="T226" s="5"/>
      <c r="U226" s="5"/>
      <c r="V226" s="5"/>
      <c r="W226" s="5"/>
      <c r="X226" s="5"/>
      <c r="Y226" s="5"/>
    </row>
    <row r="227">
      <c r="A227" s="114">
        <v>45875.0</v>
      </c>
      <c r="B227" s="127"/>
      <c r="C227" s="130">
        <f t="shared" si="24"/>
        <v>9220615</v>
      </c>
      <c r="D227" s="131">
        <f t="shared" si="40"/>
        <v>588.8241611</v>
      </c>
      <c r="E227" s="56">
        <v>1.0303904442777999E7</v>
      </c>
      <c r="F227" s="130">
        <f t="shared" si="21"/>
        <v>53325.06422</v>
      </c>
      <c r="G227" s="119">
        <f t="shared" si="22"/>
        <v>1338335.443</v>
      </c>
      <c r="H227" s="120">
        <f t="shared" si="23"/>
        <v>0.105133879</v>
      </c>
      <c r="I227" s="125"/>
      <c r="J227" s="5"/>
      <c r="K227" s="5"/>
      <c r="L227" s="5"/>
      <c r="M227" s="5"/>
      <c r="N227" s="5"/>
      <c r="O227" s="5"/>
      <c r="P227" s="5"/>
      <c r="Q227" s="5"/>
      <c r="R227" s="5"/>
      <c r="S227" s="5"/>
      <c r="T227" s="5"/>
      <c r="U227" s="5"/>
      <c r="V227" s="5"/>
      <c r="W227" s="5"/>
      <c r="X227" s="5"/>
      <c r="Y227" s="5"/>
    </row>
    <row r="228">
      <c r="A228" s="114">
        <v>45874.0</v>
      </c>
      <c r="B228" s="127"/>
      <c r="C228" s="130">
        <f t="shared" si="24"/>
        <v>9220615</v>
      </c>
      <c r="D228" s="131">
        <f t="shared" si="40"/>
        <v>588.8241611</v>
      </c>
      <c r="E228" s="56">
        <v>1.0250579378555998E7</v>
      </c>
      <c r="F228" s="130">
        <f t="shared" si="21"/>
        <v>33545.06422</v>
      </c>
      <c r="G228" s="119">
        <f t="shared" si="22"/>
        <v>1285010.379</v>
      </c>
      <c r="H228" s="120">
        <f t="shared" si="23"/>
        <v>0.1004786501</v>
      </c>
      <c r="I228" s="125"/>
      <c r="J228" s="5"/>
      <c r="K228" s="5"/>
      <c r="L228" s="5"/>
      <c r="M228" s="5"/>
      <c r="N228" s="5"/>
      <c r="O228" s="5"/>
      <c r="P228" s="5"/>
      <c r="Q228" s="5"/>
      <c r="R228" s="5"/>
      <c r="S228" s="5"/>
      <c r="T228" s="5"/>
      <c r="U228" s="5"/>
      <c r="V228" s="5"/>
      <c r="W228" s="5"/>
      <c r="X228" s="5"/>
      <c r="Y228" s="5"/>
    </row>
    <row r="229">
      <c r="A229" s="114">
        <v>45873.0</v>
      </c>
      <c r="B229" s="127"/>
      <c r="C229" s="130">
        <f t="shared" si="24"/>
        <v>9220615</v>
      </c>
      <c r="D229" s="131">
        <f t="shared" si="40"/>
        <v>588.8241611</v>
      </c>
      <c r="E229" s="56">
        <v>1.0217034314333998E7</v>
      </c>
      <c r="F229" s="130">
        <f t="shared" si="21"/>
        <v>1715.475198</v>
      </c>
      <c r="G229" s="119">
        <f t="shared" si="22"/>
        <v>1251465.314</v>
      </c>
      <c r="H229" s="120">
        <f t="shared" si="23"/>
        <v>0.09752529782</v>
      </c>
      <c r="I229" s="125"/>
      <c r="J229" s="5"/>
      <c r="K229" s="5"/>
      <c r="L229" s="5"/>
      <c r="M229" s="5"/>
      <c r="N229" s="5"/>
      <c r="O229" s="5"/>
      <c r="P229" s="5"/>
      <c r="Q229" s="5"/>
      <c r="R229" s="5"/>
      <c r="S229" s="5"/>
      <c r="T229" s="5"/>
      <c r="U229" s="5"/>
      <c r="V229" s="5"/>
      <c r="W229" s="5"/>
      <c r="X229" s="5"/>
      <c r="Y229" s="5"/>
    </row>
    <row r="230">
      <c r="A230" s="114">
        <v>45872.0</v>
      </c>
      <c r="B230" s="128">
        <v>50000.0</v>
      </c>
      <c r="C230" s="130">
        <f t="shared" si="24"/>
        <v>9220615</v>
      </c>
      <c r="D230" s="131">
        <f t="shared" si="40"/>
        <v>588.8241611</v>
      </c>
      <c r="E230" s="132">
        <v>1.0215318839136E7</v>
      </c>
      <c r="F230" s="130">
        <f t="shared" si="21"/>
        <v>122.872441</v>
      </c>
      <c r="G230" s="119">
        <f t="shared" si="22"/>
        <v>1249749.839</v>
      </c>
      <c r="H230" s="120">
        <f t="shared" si="23"/>
        <v>0.09737374377</v>
      </c>
      <c r="I230" s="125"/>
      <c r="J230" s="5"/>
      <c r="K230" s="5"/>
      <c r="L230" s="5"/>
      <c r="M230" s="5"/>
      <c r="N230" s="5"/>
      <c r="O230" s="5"/>
      <c r="P230" s="5"/>
      <c r="Q230" s="5"/>
      <c r="R230" s="5"/>
      <c r="S230" s="5"/>
      <c r="T230" s="5"/>
      <c r="U230" s="5"/>
      <c r="V230" s="5"/>
      <c r="W230" s="5"/>
      <c r="X230" s="5"/>
      <c r="Y230" s="5"/>
    </row>
    <row r="231">
      <c r="A231" s="114">
        <v>45871.0</v>
      </c>
      <c r="B231" s="128"/>
      <c r="C231" s="130">
        <f t="shared" si="24"/>
        <v>9170615</v>
      </c>
      <c r="D231" s="131">
        <f t="shared" ref="D231:D237" si="41">210.124911099241+8.48693+1.41387+35.69908-22.25544+5.26036-25.33826+1.156+29.113+28.99684+23.19747+57.54239+232.54495</f>
        <v>585.9421011</v>
      </c>
      <c r="E231" s="56">
        <v>1.0165195966694996E7</v>
      </c>
      <c r="F231" s="130">
        <f t="shared" si="21"/>
        <v>122.872441</v>
      </c>
      <c r="G231" s="119">
        <f t="shared" si="22"/>
        <v>1249626.967</v>
      </c>
      <c r="H231" s="120">
        <f t="shared" si="23"/>
        <v>0.09784178977</v>
      </c>
      <c r="I231" s="125"/>
      <c r="J231" s="5"/>
      <c r="K231" s="5"/>
      <c r="L231" s="5"/>
      <c r="M231" s="5"/>
      <c r="N231" s="5"/>
      <c r="O231" s="5"/>
      <c r="P231" s="5"/>
      <c r="Q231" s="5"/>
      <c r="R231" s="5"/>
      <c r="S231" s="5"/>
      <c r="T231" s="5"/>
      <c r="U231" s="5"/>
      <c r="V231" s="5"/>
      <c r="W231" s="5"/>
      <c r="X231" s="5"/>
      <c r="Y231" s="5"/>
    </row>
    <row r="232">
      <c r="A232" s="114">
        <v>45870.0</v>
      </c>
      <c r="B232" s="127"/>
      <c r="C232" s="130">
        <f t="shared" si="24"/>
        <v>9170615</v>
      </c>
      <c r="D232" s="131">
        <f t="shared" si="41"/>
        <v>585.9421011</v>
      </c>
      <c r="E232" s="56">
        <v>1.0165073094253996E7</v>
      </c>
      <c r="F232" s="130">
        <f t="shared" si="21"/>
        <v>-135177.1276</v>
      </c>
      <c r="G232" s="119">
        <f t="shared" si="22"/>
        <v>1249504.094</v>
      </c>
      <c r="H232" s="120">
        <f t="shared" si="23"/>
        <v>0.09783088474</v>
      </c>
      <c r="I232" s="125"/>
      <c r="J232" s="5"/>
      <c r="K232" s="5"/>
      <c r="L232" s="5"/>
      <c r="M232" s="5"/>
      <c r="N232" s="5"/>
      <c r="O232" s="5"/>
      <c r="P232" s="5"/>
      <c r="Q232" s="5"/>
      <c r="R232" s="5"/>
      <c r="S232" s="5"/>
      <c r="T232" s="5"/>
      <c r="U232" s="5"/>
      <c r="V232" s="5"/>
      <c r="W232" s="5"/>
      <c r="X232" s="5"/>
      <c r="Y232" s="5"/>
    </row>
    <row r="233">
      <c r="A233" s="114">
        <v>45869.0</v>
      </c>
      <c r="B233" s="127"/>
      <c r="C233" s="130">
        <f t="shared" si="24"/>
        <v>9170615</v>
      </c>
      <c r="D233" s="131">
        <f t="shared" si="41"/>
        <v>585.9421011</v>
      </c>
      <c r="E233" s="56">
        <v>1.0300250221812995E7</v>
      </c>
      <c r="F233" s="130">
        <f t="shared" si="21"/>
        <v>19122.87244</v>
      </c>
      <c r="G233" s="119">
        <f t="shared" si="22"/>
        <v>1384681.222</v>
      </c>
      <c r="H233" s="120">
        <f t="shared" si="23"/>
        <v>0.1096706582</v>
      </c>
      <c r="I233" s="125"/>
      <c r="J233" s="5"/>
      <c r="K233" s="5"/>
      <c r="L233" s="5"/>
      <c r="M233" s="5"/>
      <c r="N233" s="5"/>
      <c r="O233" s="5"/>
      <c r="P233" s="5"/>
      <c r="Q233" s="5"/>
      <c r="R233" s="5"/>
      <c r="S233" s="5"/>
      <c r="T233" s="5"/>
      <c r="U233" s="5"/>
      <c r="V233" s="5"/>
      <c r="W233" s="5"/>
      <c r="X233" s="5"/>
      <c r="Y233" s="5"/>
    </row>
    <row r="234">
      <c r="A234" s="114">
        <v>45868.0</v>
      </c>
      <c r="B234" s="127"/>
      <c r="C234" s="130">
        <f t="shared" si="24"/>
        <v>9170615</v>
      </c>
      <c r="D234" s="131">
        <f t="shared" si="41"/>
        <v>585.9421011</v>
      </c>
      <c r="E234" s="56">
        <v>1.0281127349371996E7</v>
      </c>
      <c r="F234" s="130">
        <f t="shared" si="21"/>
        <v>59222.87244</v>
      </c>
      <c r="G234" s="119">
        <f t="shared" si="22"/>
        <v>1365558.349</v>
      </c>
      <c r="H234" s="120">
        <f t="shared" si="23"/>
        <v>0.1080146478</v>
      </c>
      <c r="I234" s="125"/>
      <c r="J234" s="5"/>
      <c r="K234" s="5"/>
      <c r="L234" s="5"/>
      <c r="M234" s="5"/>
      <c r="N234" s="5"/>
      <c r="O234" s="5"/>
      <c r="P234" s="5"/>
      <c r="Q234" s="5"/>
      <c r="R234" s="5"/>
      <c r="S234" s="5"/>
      <c r="T234" s="5"/>
      <c r="U234" s="5"/>
      <c r="V234" s="5"/>
      <c r="W234" s="5"/>
      <c r="X234" s="5"/>
      <c r="Y234" s="5"/>
    </row>
    <row r="235">
      <c r="A235" s="114">
        <v>45867.0</v>
      </c>
      <c r="B235" s="127"/>
      <c r="C235" s="130">
        <f t="shared" si="24"/>
        <v>9170615</v>
      </c>
      <c r="D235" s="131">
        <f t="shared" si="41"/>
        <v>585.9421011</v>
      </c>
      <c r="E235" s="56">
        <v>1.0221904476930995E7</v>
      </c>
      <c r="F235" s="130">
        <f t="shared" si="21"/>
        <v>35185.87244</v>
      </c>
      <c r="G235" s="119">
        <f t="shared" si="22"/>
        <v>1306335.477</v>
      </c>
      <c r="H235" s="120">
        <f t="shared" si="23"/>
        <v>0.1028467327</v>
      </c>
      <c r="I235" s="125"/>
      <c r="J235" s="5"/>
      <c r="K235" s="5"/>
      <c r="L235" s="5"/>
      <c r="M235" s="5"/>
      <c r="N235" s="5"/>
      <c r="O235" s="5"/>
      <c r="P235" s="5"/>
      <c r="Q235" s="5"/>
      <c r="R235" s="5"/>
      <c r="S235" s="5"/>
      <c r="T235" s="5"/>
      <c r="U235" s="5"/>
      <c r="V235" s="5"/>
      <c r="W235" s="5"/>
      <c r="X235" s="5"/>
      <c r="Y235" s="5"/>
    </row>
    <row r="236">
      <c r="A236" s="114">
        <v>45866.0</v>
      </c>
      <c r="B236" s="127"/>
      <c r="C236" s="130">
        <f t="shared" si="24"/>
        <v>9170615</v>
      </c>
      <c r="D236" s="131">
        <f t="shared" si="41"/>
        <v>585.9421011</v>
      </c>
      <c r="E236" s="56">
        <v>1.0186718604489997E7</v>
      </c>
      <c r="F236" s="130">
        <f t="shared" si="21"/>
        <v>107942.8724</v>
      </c>
      <c r="G236" s="119">
        <f t="shared" si="22"/>
        <v>1271149.604</v>
      </c>
      <c r="H236" s="120">
        <f t="shared" si="23"/>
        <v>0.09974788192</v>
      </c>
      <c r="I236" s="125"/>
      <c r="J236" s="5"/>
      <c r="K236" s="5"/>
      <c r="L236" s="5"/>
      <c r="M236" s="5"/>
      <c r="N236" s="5"/>
      <c r="O236" s="5"/>
      <c r="P236" s="5"/>
      <c r="Q236" s="5"/>
      <c r="R236" s="5"/>
      <c r="S236" s="5"/>
      <c r="T236" s="5"/>
      <c r="U236" s="5"/>
      <c r="V236" s="5"/>
      <c r="W236" s="5"/>
      <c r="X236" s="5"/>
      <c r="Y236" s="5"/>
    </row>
    <row r="237">
      <c r="A237" s="114">
        <v>45865.0</v>
      </c>
      <c r="B237" s="128">
        <v>4000000.0</v>
      </c>
      <c r="C237" s="130">
        <f t="shared" si="24"/>
        <v>9170615</v>
      </c>
      <c r="D237" s="131">
        <f t="shared" si="41"/>
        <v>585.9421011</v>
      </c>
      <c r="E237" s="132">
        <v>1.0078775732049E7</v>
      </c>
      <c r="F237" s="130">
        <f t="shared" si="21"/>
        <v>-1697.127559</v>
      </c>
      <c r="G237" s="119">
        <f t="shared" si="22"/>
        <v>1163206.732</v>
      </c>
      <c r="H237" s="120">
        <f t="shared" si="23"/>
        <v>0.09010625459</v>
      </c>
      <c r="I237" s="125"/>
      <c r="J237" s="5"/>
      <c r="K237" s="5"/>
      <c r="L237" s="5"/>
      <c r="M237" s="5"/>
      <c r="N237" s="5"/>
      <c r="O237" s="5"/>
      <c r="P237" s="5"/>
      <c r="Q237" s="5"/>
      <c r="R237" s="5"/>
      <c r="S237" s="5"/>
      <c r="T237" s="5"/>
      <c r="U237" s="5"/>
      <c r="V237" s="5"/>
      <c r="W237" s="5"/>
      <c r="X237" s="5"/>
      <c r="Y237" s="5"/>
    </row>
    <row r="238">
      <c r="A238" s="114">
        <v>45864.0</v>
      </c>
      <c r="B238" s="127"/>
      <c r="C238" s="130">
        <f t="shared" si="24"/>
        <v>5170615</v>
      </c>
      <c r="D238" s="131">
        <f t="shared" ref="D238:D246" si="42">210.124911099241+8.48693+1.41387+35.69908-22.25544+5.26036-25.33826+1.156+29.113+28.99684+23.19747+57.54239</f>
        <v>353.3971511</v>
      </c>
      <c r="E238" s="56">
        <v>6080472.859607996</v>
      </c>
      <c r="F238" s="130">
        <f t="shared" si="21"/>
        <v>-1697.127559</v>
      </c>
      <c r="G238" s="119">
        <f t="shared" si="22"/>
        <v>1164903.86</v>
      </c>
      <c r="H238" s="120">
        <f t="shared" si="23"/>
        <v>0.1496360366</v>
      </c>
      <c r="I238" s="125"/>
      <c r="J238" s="5"/>
      <c r="K238" s="5"/>
      <c r="L238" s="5"/>
      <c r="M238" s="5"/>
      <c r="N238" s="5"/>
      <c r="O238" s="5"/>
      <c r="P238" s="5"/>
      <c r="Q238" s="5"/>
      <c r="R238" s="5"/>
      <c r="S238" s="5"/>
      <c r="T238" s="5"/>
      <c r="U238" s="5"/>
      <c r="V238" s="5"/>
      <c r="W238" s="5"/>
      <c r="X238" s="5"/>
      <c r="Y238" s="5"/>
    </row>
    <row r="239">
      <c r="A239" s="114">
        <v>45863.0</v>
      </c>
      <c r="B239" s="127"/>
      <c r="C239" s="130">
        <f t="shared" si="24"/>
        <v>5170615</v>
      </c>
      <c r="D239" s="131">
        <f t="shared" si="42"/>
        <v>353.3971511</v>
      </c>
      <c r="E239" s="56">
        <v>6082169.987166994</v>
      </c>
      <c r="F239" s="130">
        <f t="shared" si="21"/>
        <v>-37257.12756</v>
      </c>
      <c r="G239" s="119">
        <f t="shared" si="22"/>
        <v>1166600.987</v>
      </c>
      <c r="H239" s="120">
        <f t="shared" si="23"/>
        <v>0.1498733164</v>
      </c>
      <c r="I239" s="125"/>
      <c r="J239" s="5"/>
      <c r="K239" s="5"/>
      <c r="L239" s="5"/>
      <c r="M239" s="5"/>
      <c r="N239" s="5"/>
      <c r="O239" s="5"/>
      <c r="P239" s="5"/>
      <c r="Q239" s="5"/>
      <c r="R239" s="5"/>
      <c r="S239" s="5"/>
      <c r="T239" s="5"/>
      <c r="U239" s="5"/>
      <c r="V239" s="5"/>
      <c r="W239" s="5"/>
      <c r="X239" s="5"/>
      <c r="Y239" s="5"/>
    </row>
    <row r="240">
      <c r="A240" s="114">
        <v>45862.0</v>
      </c>
      <c r="B240" s="127"/>
      <c r="C240" s="130">
        <f t="shared" si="24"/>
        <v>5170615</v>
      </c>
      <c r="D240" s="131">
        <f t="shared" si="42"/>
        <v>353.3971511</v>
      </c>
      <c r="E240" s="56">
        <v>6119427.114725995</v>
      </c>
      <c r="F240" s="130">
        <f t="shared" si="21"/>
        <v>1122.872441</v>
      </c>
      <c r="G240" s="119">
        <f t="shared" si="22"/>
        <v>1203858.115</v>
      </c>
      <c r="H240" s="120">
        <f t="shared" si="23"/>
        <v>0.1550491732</v>
      </c>
      <c r="I240" s="125"/>
      <c r="J240" s="5"/>
      <c r="K240" s="5"/>
      <c r="L240" s="5"/>
      <c r="M240" s="5"/>
      <c r="N240" s="5"/>
      <c r="O240" s="5"/>
      <c r="P240" s="5"/>
      <c r="Q240" s="5"/>
      <c r="R240" s="5"/>
      <c r="S240" s="5"/>
      <c r="T240" s="5"/>
      <c r="U240" s="5"/>
      <c r="V240" s="5"/>
      <c r="W240" s="5"/>
      <c r="X240" s="5"/>
      <c r="Y240" s="5"/>
    </row>
    <row r="241">
      <c r="A241" s="114">
        <v>45861.0</v>
      </c>
      <c r="B241" s="127"/>
      <c r="C241" s="130">
        <f t="shared" si="24"/>
        <v>5170615</v>
      </c>
      <c r="D241" s="131">
        <f t="shared" si="42"/>
        <v>353.3971511</v>
      </c>
      <c r="E241" s="56">
        <v>6118304.242284996</v>
      </c>
      <c r="F241" s="130">
        <f t="shared" si="21"/>
        <v>1862.872441</v>
      </c>
      <c r="G241" s="119">
        <f t="shared" si="22"/>
        <v>1202735.242</v>
      </c>
      <c r="H241" s="120">
        <f t="shared" si="23"/>
        <v>0.1548941021</v>
      </c>
      <c r="I241" s="125"/>
      <c r="J241" s="5"/>
      <c r="K241" s="5"/>
      <c r="L241" s="5"/>
      <c r="M241" s="5"/>
      <c r="N241" s="5"/>
      <c r="O241" s="5"/>
      <c r="P241" s="5"/>
      <c r="Q241" s="5"/>
      <c r="R241" s="5"/>
      <c r="S241" s="5"/>
      <c r="T241" s="5"/>
      <c r="U241" s="5"/>
      <c r="V241" s="5"/>
      <c r="W241" s="5"/>
      <c r="X241" s="5"/>
      <c r="Y241" s="5"/>
    </row>
    <row r="242">
      <c r="A242" s="114">
        <v>45860.0</v>
      </c>
      <c r="B242" s="127"/>
      <c r="C242" s="130">
        <f t="shared" si="24"/>
        <v>5170615</v>
      </c>
      <c r="D242" s="131">
        <f t="shared" si="42"/>
        <v>353.3971511</v>
      </c>
      <c r="E242" s="56">
        <v>6116441.369843996</v>
      </c>
      <c r="F242" s="130">
        <f t="shared" si="21"/>
        <v>-20637.12756</v>
      </c>
      <c r="G242" s="119">
        <f t="shared" si="22"/>
        <v>1200872.37</v>
      </c>
      <c r="H242" s="120">
        <f t="shared" si="23"/>
        <v>0.1546367099</v>
      </c>
      <c r="I242" s="125"/>
      <c r="J242" s="5"/>
      <c r="K242" s="5"/>
      <c r="L242" s="5"/>
      <c r="M242" s="5"/>
      <c r="N242" s="5"/>
      <c r="O242" s="5"/>
      <c r="P242" s="5"/>
      <c r="Q242" s="5"/>
      <c r="R242" s="5"/>
      <c r="S242" s="5"/>
      <c r="T242" s="5"/>
      <c r="U242" s="5"/>
      <c r="V242" s="5"/>
      <c r="W242" s="5"/>
      <c r="X242" s="5"/>
      <c r="Y242" s="5"/>
    </row>
    <row r="243">
      <c r="A243" s="114">
        <v>45859.0</v>
      </c>
      <c r="B243" s="127"/>
      <c r="C243" s="130">
        <f t="shared" si="24"/>
        <v>5170615</v>
      </c>
      <c r="D243" s="131">
        <f t="shared" si="42"/>
        <v>353.3971511</v>
      </c>
      <c r="E243" s="56">
        <v>6137078.497402996</v>
      </c>
      <c r="F243" s="130">
        <f t="shared" si="21"/>
        <v>-6237.127559</v>
      </c>
      <c r="G243" s="119">
        <f t="shared" si="22"/>
        <v>1221509.497</v>
      </c>
      <c r="H243" s="120">
        <f t="shared" si="23"/>
        <v>0.1574794094</v>
      </c>
      <c r="I243" s="4"/>
      <c r="J243" s="5"/>
      <c r="K243" s="5"/>
      <c r="L243" s="5"/>
      <c r="M243" s="5"/>
      <c r="N243" s="5"/>
      <c r="O243" s="5"/>
      <c r="P243" s="5"/>
      <c r="Q243" s="5"/>
      <c r="R243" s="5"/>
      <c r="S243" s="5"/>
      <c r="T243" s="5"/>
      <c r="U243" s="5"/>
      <c r="V243" s="5"/>
      <c r="W243" s="5"/>
      <c r="X243" s="5"/>
      <c r="Y243" s="5"/>
    </row>
    <row r="244">
      <c r="A244" s="114">
        <v>45858.0</v>
      </c>
      <c r="B244" s="127"/>
      <c r="C244" s="130">
        <f t="shared" si="24"/>
        <v>5170615</v>
      </c>
      <c r="D244" s="131">
        <f t="shared" si="42"/>
        <v>353.3971511</v>
      </c>
      <c r="E244" s="56">
        <v>6143315.624961996</v>
      </c>
      <c r="F244" s="130">
        <f t="shared" si="21"/>
        <v>-1697.127559</v>
      </c>
      <c r="G244" s="119">
        <f t="shared" si="22"/>
        <v>1227746.625</v>
      </c>
      <c r="H244" s="120">
        <f t="shared" si="23"/>
        <v>0.1583347958</v>
      </c>
      <c r="I244" s="4"/>
      <c r="J244" s="5"/>
      <c r="K244" s="5"/>
      <c r="L244" s="5"/>
      <c r="M244" s="5"/>
      <c r="N244" s="5"/>
      <c r="O244" s="5"/>
      <c r="P244" s="5"/>
      <c r="Q244" s="5"/>
      <c r="R244" s="5"/>
      <c r="S244" s="5"/>
      <c r="T244" s="5"/>
      <c r="U244" s="5"/>
      <c r="V244" s="5"/>
      <c r="W244" s="5"/>
      <c r="X244" s="5"/>
      <c r="Y244" s="5"/>
    </row>
    <row r="245">
      <c r="A245" s="114">
        <v>45857.0</v>
      </c>
      <c r="B245" s="127"/>
      <c r="C245" s="130">
        <f t="shared" si="24"/>
        <v>5170615</v>
      </c>
      <c r="D245" s="131">
        <f t="shared" si="42"/>
        <v>353.3971511</v>
      </c>
      <c r="E245" s="56">
        <v>6145012.752520996</v>
      </c>
      <c r="F245" s="130">
        <f t="shared" si="21"/>
        <v>3502.872441</v>
      </c>
      <c r="G245" s="119">
        <f t="shared" si="22"/>
        <v>1229443.753</v>
      </c>
      <c r="H245" s="120">
        <f t="shared" si="23"/>
        <v>0.1585672466</v>
      </c>
      <c r="I245" s="4"/>
      <c r="J245" s="5"/>
      <c r="K245" s="5"/>
      <c r="L245" s="5"/>
      <c r="M245" s="5"/>
      <c r="N245" s="5"/>
      <c r="O245" s="5"/>
      <c r="P245" s="5"/>
      <c r="Q245" s="5"/>
      <c r="R245" s="5"/>
      <c r="S245" s="5"/>
      <c r="T245" s="5"/>
      <c r="U245" s="5"/>
      <c r="V245" s="5"/>
      <c r="W245" s="5"/>
      <c r="X245" s="5"/>
      <c r="Y245" s="5"/>
    </row>
    <row r="246">
      <c r="A246" s="114">
        <v>45856.0</v>
      </c>
      <c r="B246" s="128">
        <v>1000000.0</v>
      </c>
      <c r="C246" s="130">
        <f t="shared" si="24"/>
        <v>5170615</v>
      </c>
      <c r="D246" s="131">
        <f t="shared" si="42"/>
        <v>353.3971511</v>
      </c>
      <c r="E246" s="132">
        <v>6141509.88008</v>
      </c>
      <c r="F246" s="130">
        <f t="shared" si="21"/>
        <v>-101174.1276</v>
      </c>
      <c r="G246" s="119">
        <f t="shared" si="22"/>
        <v>1225940.88</v>
      </c>
      <c r="H246" s="120">
        <f t="shared" si="23"/>
        <v>0.1580873269</v>
      </c>
      <c r="I246" s="4"/>
      <c r="J246" s="5"/>
      <c r="K246" s="5"/>
      <c r="L246" s="5"/>
      <c r="M246" s="5"/>
      <c r="N246" s="5"/>
      <c r="O246" s="5"/>
      <c r="P246" s="5"/>
      <c r="Q246" s="5"/>
      <c r="R246" s="5"/>
      <c r="S246" s="5"/>
      <c r="T246" s="5"/>
      <c r="U246" s="5"/>
      <c r="V246" s="5"/>
      <c r="W246" s="5"/>
      <c r="X246" s="5"/>
      <c r="Y246" s="5"/>
    </row>
    <row r="247">
      <c r="A247" s="114">
        <v>45855.0</v>
      </c>
      <c r="B247" s="127"/>
      <c r="C247" s="130">
        <f t="shared" si="24"/>
        <v>4170615</v>
      </c>
      <c r="D247" s="131">
        <f t="shared" ref="D247:D250" si="43">210.124911099241+8.48693+1.41387+35.69908-22.25544+5.26036-25.33826+1.156+29.113+28.99684+23.19747</f>
        <v>295.8547611</v>
      </c>
      <c r="E247" s="56">
        <v>5242684.007638996</v>
      </c>
      <c r="F247" s="130">
        <f t="shared" si="21"/>
        <v>40137.87244</v>
      </c>
      <c r="G247" s="119">
        <f t="shared" si="22"/>
        <v>1327115.008</v>
      </c>
      <c r="H247" s="120">
        <f t="shared" si="23"/>
        <v>0.2044885799</v>
      </c>
      <c r="I247" s="4"/>
      <c r="J247" s="5"/>
      <c r="K247" s="5"/>
      <c r="L247" s="5"/>
      <c r="M247" s="5"/>
      <c r="N247" s="5"/>
      <c r="O247" s="5"/>
      <c r="P247" s="5"/>
      <c r="Q247" s="5"/>
      <c r="R247" s="5"/>
      <c r="S247" s="5"/>
      <c r="T247" s="5"/>
      <c r="U247" s="5"/>
      <c r="V247" s="5"/>
      <c r="W247" s="5"/>
      <c r="X247" s="5"/>
      <c r="Y247" s="5"/>
    </row>
    <row r="248">
      <c r="A248" s="114">
        <v>45854.0</v>
      </c>
      <c r="B248" s="127"/>
      <c r="C248" s="130">
        <f t="shared" si="24"/>
        <v>4170615</v>
      </c>
      <c r="D248" s="131">
        <f t="shared" si="43"/>
        <v>295.8547611</v>
      </c>
      <c r="E248" s="56">
        <v>5202546.135197996</v>
      </c>
      <c r="F248" s="130">
        <f t="shared" si="21"/>
        <v>23222.87244</v>
      </c>
      <c r="G248" s="119">
        <f t="shared" si="22"/>
        <v>1286977.135</v>
      </c>
      <c r="H248" s="120">
        <f t="shared" si="23"/>
        <v>0.1983511743</v>
      </c>
      <c r="I248" s="4"/>
      <c r="J248" s="5"/>
      <c r="K248" s="5"/>
      <c r="L248" s="5"/>
      <c r="M248" s="5"/>
      <c r="N248" s="5"/>
      <c r="O248" s="5"/>
      <c r="P248" s="5"/>
      <c r="Q248" s="5"/>
      <c r="R248" s="5"/>
      <c r="S248" s="5"/>
      <c r="T248" s="5"/>
      <c r="U248" s="5"/>
      <c r="V248" s="5"/>
      <c r="W248" s="5"/>
      <c r="X248" s="5"/>
      <c r="Y248" s="5"/>
    </row>
    <row r="249">
      <c r="A249" s="114">
        <v>45853.0</v>
      </c>
      <c r="B249" s="127"/>
      <c r="C249" s="130">
        <f t="shared" si="24"/>
        <v>4170615</v>
      </c>
      <c r="D249" s="131">
        <f t="shared" si="43"/>
        <v>295.8547611</v>
      </c>
      <c r="E249" s="56">
        <v>5179323.262756996</v>
      </c>
      <c r="F249" s="130">
        <f t="shared" si="21"/>
        <v>77822.87244</v>
      </c>
      <c r="G249" s="119">
        <f t="shared" si="22"/>
        <v>1263754.263</v>
      </c>
      <c r="H249" s="120">
        <f t="shared" si="23"/>
        <v>0.1947567687</v>
      </c>
      <c r="I249" s="4"/>
      <c r="J249" s="5"/>
      <c r="K249" s="5"/>
      <c r="L249" s="5"/>
      <c r="M249" s="5"/>
      <c r="N249" s="5"/>
      <c r="O249" s="5"/>
      <c r="P249" s="5"/>
      <c r="Q249" s="5"/>
      <c r="R249" s="5"/>
      <c r="S249" s="5"/>
      <c r="T249" s="5"/>
      <c r="U249" s="5"/>
      <c r="V249" s="5"/>
      <c r="W249" s="5"/>
      <c r="X249" s="5"/>
      <c r="Y249" s="5"/>
    </row>
    <row r="250">
      <c r="A250" s="114">
        <v>45852.0</v>
      </c>
      <c r="B250" s="128">
        <f>500000+400000</f>
        <v>900000</v>
      </c>
      <c r="C250" s="130">
        <f t="shared" si="24"/>
        <v>4170615</v>
      </c>
      <c r="D250" s="131">
        <f t="shared" si="43"/>
        <v>295.8547611</v>
      </c>
      <c r="E250" s="56">
        <v>5101500.390315996</v>
      </c>
      <c r="F250" s="130">
        <f t="shared" si="21"/>
        <v>9877.872441</v>
      </c>
      <c r="G250" s="119">
        <f t="shared" si="22"/>
        <v>1185931.39</v>
      </c>
      <c r="H250" s="120">
        <f t="shared" si="23"/>
        <v>0.1824728647</v>
      </c>
      <c r="I250" s="4"/>
      <c r="J250" s="5"/>
      <c r="K250" s="5"/>
      <c r="L250" s="5"/>
      <c r="M250" s="5"/>
      <c r="N250" s="5"/>
      <c r="O250" s="5"/>
      <c r="P250" s="5"/>
      <c r="Q250" s="5"/>
      <c r="R250" s="5"/>
      <c r="S250" s="5"/>
      <c r="T250" s="5"/>
      <c r="U250" s="5"/>
      <c r="V250" s="5"/>
      <c r="W250" s="5"/>
      <c r="X250" s="5"/>
      <c r="Y250" s="5"/>
    </row>
    <row r="251">
      <c r="A251" s="114">
        <v>45851.0</v>
      </c>
      <c r="B251" s="127"/>
      <c r="C251" s="130">
        <f t="shared" si="24"/>
        <v>3270615</v>
      </c>
      <c r="D251" s="131">
        <f t="shared" ref="D251:D253" si="44">210.124911099241+8.48693+1.41387+35.69908-22.25544+5.26036-25.33826+1.156+29.113</f>
        <v>243.6604511</v>
      </c>
      <c r="E251" s="56">
        <v>4191622.5178749952</v>
      </c>
      <c r="F251" s="130">
        <f t="shared" si="21"/>
        <v>3442.872441</v>
      </c>
      <c r="G251" s="119">
        <f t="shared" si="22"/>
        <v>1176053.518</v>
      </c>
      <c r="H251" s="120">
        <f t="shared" si="23"/>
        <v>0.2197257778</v>
      </c>
      <c r="I251" s="4"/>
      <c r="J251" s="5"/>
      <c r="K251" s="5"/>
      <c r="L251" s="5"/>
      <c r="M251" s="5"/>
      <c r="N251" s="5"/>
      <c r="O251" s="5"/>
      <c r="P251" s="5"/>
      <c r="Q251" s="5"/>
      <c r="R251" s="5"/>
      <c r="S251" s="5"/>
      <c r="T251" s="5"/>
      <c r="U251" s="5"/>
      <c r="V251" s="5"/>
      <c r="W251" s="5"/>
      <c r="X251" s="5"/>
      <c r="Y251" s="5"/>
    </row>
    <row r="252">
      <c r="A252" s="114">
        <v>45850.0</v>
      </c>
      <c r="B252" s="127"/>
      <c r="C252" s="130">
        <f t="shared" si="24"/>
        <v>3270615</v>
      </c>
      <c r="D252" s="131">
        <f t="shared" si="44"/>
        <v>243.6604511</v>
      </c>
      <c r="E252" s="56">
        <v>4188179.6454339963</v>
      </c>
      <c r="F252" s="130">
        <f t="shared" si="21"/>
        <v>3442.872441</v>
      </c>
      <c r="G252" s="119">
        <f t="shared" si="22"/>
        <v>1172610.645</v>
      </c>
      <c r="H252" s="120">
        <f t="shared" si="23"/>
        <v>0.2190843572</v>
      </c>
      <c r="I252" s="4"/>
      <c r="J252" s="5"/>
      <c r="K252" s="5"/>
      <c r="L252" s="5"/>
      <c r="M252" s="5"/>
      <c r="N252" s="5"/>
      <c r="O252" s="5"/>
      <c r="P252" s="5"/>
      <c r="Q252" s="5"/>
      <c r="R252" s="5"/>
      <c r="S252" s="5"/>
      <c r="T252" s="5"/>
      <c r="U252" s="5"/>
      <c r="V252" s="5"/>
      <c r="W252" s="5"/>
      <c r="X252" s="5"/>
      <c r="Y252" s="5"/>
    </row>
    <row r="253">
      <c r="A253" s="114">
        <v>45849.0</v>
      </c>
      <c r="B253" s="128">
        <v>500000.0</v>
      </c>
      <c r="C253" s="130">
        <f t="shared" si="24"/>
        <v>3270615</v>
      </c>
      <c r="D253" s="131">
        <f t="shared" si="44"/>
        <v>243.6604511</v>
      </c>
      <c r="E253" s="56">
        <v>4184736.7729929965</v>
      </c>
      <c r="F253" s="130">
        <f t="shared" si="21"/>
        <v>5014.872441</v>
      </c>
      <c r="G253" s="119">
        <f t="shared" si="22"/>
        <v>1169167.773</v>
      </c>
      <c r="H253" s="120">
        <f t="shared" si="23"/>
        <v>0.2184418812</v>
      </c>
      <c r="I253" s="4"/>
      <c r="J253" s="5"/>
      <c r="K253" s="5"/>
      <c r="L253" s="5"/>
      <c r="M253" s="5"/>
      <c r="N253" s="5"/>
      <c r="O253" s="5"/>
      <c r="P253" s="5"/>
      <c r="Q253" s="5"/>
      <c r="R253" s="5"/>
      <c r="S253" s="5"/>
      <c r="T253" s="5"/>
      <c r="U253" s="5"/>
      <c r="V253" s="5"/>
      <c r="W253" s="5"/>
      <c r="X253" s="5"/>
      <c r="Y253" s="5"/>
    </row>
    <row r="254">
      <c r="A254" s="114">
        <v>45848.0</v>
      </c>
      <c r="B254" s="128"/>
      <c r="C254" s="130">
        <f t="shared" si="24"/>
        <v>2770615</v>
      </c>
      <c r="D254" s="131">
        <f t="shared" ref="D254:D263" si="45">210.124911099241+8.48693+1.41387+35.69908-22.25544+5.26036-25.33826+1.156</f>
        <v>214.5474511</v>
      </c>
      <c r="E254" s="56">
        <v>3679721.900551996</v>
      </c>
      <c r="F254" s="130">
        <f t="shared" si="21"/>
        <v>7287.872441</v>
      </c>
      <c r="G254" s="119">
        <f t="shared" si="22"/>
        <v>1164152.901</v>
      </c>
      <c r="H254" s="120">
        <f t="shared" si="23"/>
        <v>0.247058589</v>
      </c>
      <c r="I254" s="4"/>
      <c r="J254" s="5"/>
      <c r="K254" s="5"/>
      <c r="L254" s="5"/>
      <c r="M254" s="5"/>
      <c r="N254" s="5"/>
      <c r="O254" s="5"/>
      <c r="P254" s="5"/>
      <c r="Q254" s="5"/>
      <c r="R254" s="5"/>
      <c r="S254" s="5"/>
      <c r="T254" s="5"/>
      <c r="U254" s="5"/>
      <c r="V254" s="5"/>
      <c r="W254" s="5"/>
      <c r="X254" s="5"/>
      <c r="Y254" s="5"/>
    </row>
    <row r="255">
      <c r="A255" s="114">
        <v>45847.0</v>
      </c>
      <c r="B255" s="127"/>
      <c r="C255" s="130">
        <f t="shared" si="24"/>
        <v>2770615</v>
      </c>
      <c r="D255" s="131">
        <f t="shared" si="45"/>
        <v>214.5474511</v>
      </c>
      <c r="E255" s="56">
        <v>3672434.0281109964</v>
      </c>
      <c r="F255" s="130">
        <f t="shared" si="21"/>
        <v>-61797.12756</v>
      </c>
      <c r="G255" s="119">
        <f t="shared" si="22"/>
        <v>1156865.028</v>
      </c>
      <c r="H255" s="120">
        <f t="shared" si="23"/>
        <v>0.2455643917</v>
      </c>
      <c r="I255" s="4"/>
      <c r="J255" s="5"/>
      <c r="K255" s="5"/>
      <c r="L255" s="5"/>
      <c r="M255" s="5"/>
      <c r="N255" s="5"/>
      <c r="O255" s="5"/>
      <c r="P255" s="5"/>
      <c r="Q255" s="5"/>
      <c r="R255" s="5"/>
      <c r="S255" s="5"/>
      <c r="T255" s="5"/>
      <c r="U255" s="5"/>
      <c r="V255" s="5"/>
      <c r="W255" s="5"/>
      <c r="X255" s="5"/>
      <c r="Y255" s="5"/>
    </row>
    <row r="256">
      <c r="A256" s="114">
        <v>45846.0</v>
      </c>
      <c r="B256" s="127"/>
      <c r="C256" s="130">
        <f t="shared" si="24"/>
        <v>2770615</v>
      </c>
      <c r="D256" s="131">
        <f t="shared" si="45"/>
        <v>214.5474511</v>
      </c>
      <c r="E256" s="56">
        <v>3734231.155669996</v>
      </c>
      <c r="F256" s="130">
        <f t="shared" si="21"/>
        <v>29607.87244</v>
      </c>
      <c r="G256" s="119">
        <f t="shared" si="22"/>
        <v>1218662.156</v>
      </c>
      <c r="H256" s="120">
        <f t="shared" si="23"/>
        <v>0.2580494124</v>
      </c>
      <c r="I256" s="4"/>
      <c r="J256" s="5"/>
      <c r="K256" s="5"/>
      <c r="L256" s="5"/>
      <c r="M256" s="5"/>
      <c r="N256" s="5"/>
      <c r="O256" s="5"/>
      <c r="P256" s="5"/>
      <c r="Q256" s="5"/>
      <c r="R256" s="5"/>
      <c r="S256" s="5"/>
      <c r="T256" s="5"/>
      <c r="U256" s="5"/>
      <c r="V256" s="5"/>
      <c r="W256" s="5"/>
      <c r="X256" s="5"/>
      <c r="Y256" s="5"/>
    </row>
    <row r="257">
      <c r="A257" s="114">
        <v>45845.0</v>
      </c>
      <c r="B257" s="127"/>
      <c r="C257" s="130">
        <f t="shared" si="24"/>
        <v>2770615</v>
      </c>
      <c r="D257" s="131">
        <f t="shared" si="45"/>
        <v>214.5474511</v>
      </c>
      <c r="E257" s="56">
        <v>3704623.283228997</v>
      </c>
      <c r="F257" s="130">
        <f t="shared" si="21"/>
        <v>5447.872441</v>
      </c>
      <c r="G257" s="119">
        <f t="shared" si="22"/>
        <v>1189054.283</v>
      </c>
      <c r="H257" s="120">
        <f t="shared" si="23"/>
        <v>0.2521196386</v>
      </c>
      <c r="I257" s="4"/>
      <c r="J257" s="5"/>
      <c r="K257" s="5"/>
      <c r="L257" s="5"/>
      <c r="M257" s="5"/>
      <c r="N257" s="5"/>
      <c r="O257" s="5"/>
      <c r="P257" s="5"/>
      <c r="Q257" s="5"/>
      <c r="R257" s="5"/>
      <c r="S257" s="5"/>
      <c r="T257" s="5"/>
      <c r="U257" s="5"/>
      <c r="V257" s="5"/>
      <c r="W257" s="5"/>
      <c r="X257" s="5"/>
      <c r="Y257" s="5"/>
    </row>
    <row r="258">
      <c r="A258" s="114">
        <v>45844.0</v>
      </c>
      <c r="B258" s="127"/>
      <c r="C258" s="130">
        <f t="shared" si="24"/>
        <v>2770615</v>
      </c>
      <c r="D258" s="131">
        <f t="shared" si="45"/>
        <v>214.5474511</v>
      </c>
      <c r="E258" s="56">
        <v>3699175.410787997</v>
      </c>
      <c r="F258" s="130">
        <f t="shared" si="21"/>
        <v>-1557.127559</v>
      </c>
      <c r="G258" s="119">
        <f t="shared" si="22"/>
        <v>1183606.411</v>
      </c>
      <c r="H258" s="120">
        <f t="shared" si="23"/>
        <v>0.2510182156</v>
      </c>
      <c r="I258" s="4"/>
      <c r="J258" s="5"/>
      <c r="K258" s="5"/>
      <c r="L258" s="5"/>
      <c r="M258" s="5"/>
      <c r="N258" s="5"/>
      <c r="O258" s="5"/>
      <c r="P258" s="5"/>
      <c r="Q258" s="5"/>
      <c r="R258" s="5"/>
      <c r="S258" s="5"/>
      <c r="T258" s="5"/>
      <c r="U258" s="5"/>
      <c r="V258" s="5"/>
      <c r="W258" s="5"/>
      <c r="X258" s="5"/>
      <c r="Y258" s="5"/>
    </row>
    <row r="259">
      <c r="A259" s="114">
        <v>45843.0</v>
      </c>
      <c r="B259" s="127"/>
      <c r="C259" s="130">
        <f t="shared" si="24"/>
        <v>2770615</v>
      </c>
      <c r="D259" s="131">
        <f t="shared" si="45"/>
        <v>214.5474511</v>
      </c>
      <c r="E259" s="56">
        <v>3700732.538346996</v>
      </c>
      <c r="F259" s="130">
        <f t="shared" si="21"/>
        <v>-1557.127559</v>
      </c>
      <c r="G259" s="119">
        <f t="shared" si="22"/>
        <v>1185163.538</v>
      </c>
      <c r="H259" s="120">
        <f t="shared" si="23"/>
        <v>0.2513333587</v>
      </c>
      <c r="I259" s="4"/>
      <c r="J259" s="5"/>
      <c r="K259" s="5"/>
      <c r="L259" s="5"/>
      <c r="M259" s="5"/>
      <c r="N259" s="5"/>
      <c r="O259" s="5"/>
      <c r="P259" s="5"/>
      <c r="Q259" s="5"/>
      <c r="R259" s="5"/>
      <c r="S259" s="5"/>
      <c r="T259" s="5"/>
      <c r="U259" s="5"/>
      <c r="V259" s="5"/>
      <c r="W259" s="5"/>
      <c r="X259" s="5"/>
      <c r="Y259" s="5"/>
    </row>
    <row r="260">
      <c r="A260" s="114">
        <v>45842.0</v>
      </c>
      <c r="B260" s="127"/>
      <c r="C260" s="130">
        <f t="shared" si="24"/>
        <v>2770615</v>
      </c>
      <c r="D260" s="131">
        <f t="shared" si="45"/>
        <v>214.5474511</v>
      </c>
      <c r="E260" s="56">
        <v>3702289.6659059967</v>
      </c>
      <c r="F260" s="130">
        <f t="shared" si="21"/>
        <v>-4822.127559</v>
      </c>
      <c r="G260" s="119">
        <f t="shared" si="22"/>
        <v>1186720.666</v>
      </c>
      <c r="H260" s="120">
        <f t="shared" si="23"/>
        <v>0.2516482366</v>
      </c>
      <c r="I260" s="4"/>
      <c r="J260" s="5"/>
      <c r="K260" s="5"/>
      <c r="L260" s="5"/>
      <c r="M260" s="5"/>
      <c r="N260" s="5"/>
      <c r="O260" s="5"/>
      <c r="P260" s="5"/>
      <c r="Q260" s="5"/>
      <c r="R260" s="5"/>
      <c r="S260" s="5"/>
      <c r="T260" s="5"/>
      <c r="U260" s="5"/>
      <c r="V260" s="5"/>
      <c r="W260" s="5"/>
      <c r="X260" s="5"/>
      <c r="Y260" s="5"/>
    </row>
    <row r="261">
      <c r="A261" s="114">
        <v>45841.0</v>
      </c>
      <c r="B261" s="127"/>
      <c r="C261" s="130">
        <f t="shared" si="24"/>
        <v>2770615</v>
      </c>
      <c r="D261" s="131">
        <f t="shared" si="45"/>
        <v>214.5474511</v>
      </c>
      <c r="E261" s="56">
        <v>3707111.793464997</v>
      </c>
      <c r="F261" s="130">
        <f t="shared" si="21"/>
        <v>-22312.12756</v>
      </c>
      <c r="G261" s="119">
        <f t="shared" si="22"/>
        <v>1191542.793</v>
      </c>
      <c r="H261" s="120">
        <f t="shared" si="23"/>
        <v>0.2526216758</v>
      </c>
      <c r="I261" s="4"/>
      <c r="J261" s="5"/>
      <c r="K261" s="5"/>
      <c r="L261" s="5"/>
      <c r="M261" s="5"/>
      <c r="N261" s="5"/>
      <c r="O261" s="5"/>
      <c r="P261" s="5"/>
      <c r="Q261" s="5"/>
      <c r="R261" s="5"/>
      <c r="S261" s="5"/>
      <c r="T261" s="5"/>
      <c r="U261" s="5"/>
      <c r="V261" s="5"/>
      <c r="W261" s="5"/>
      <c r="X261" s="5"/>
      <c r="Y261" s="5"/>
    </row>
    <row r="262">
      <c r="A262" s="114">
        <v>45840.0</v>
      </c>
      <c r="B262" s="127"/>
      <c r="C262" s="130">
        <f t="shared" si="24"/>
        <v>2770615</v>
      </c>
      <c r="D262" s="131">
        <f t="shared" si="45"/>
        <v>214.5474511</v>
      </c>
      <c r="E262" s="56">
        <v>3729423.9210239965</v>
      </c>
      <c r="F262" s="130">
        <f t="shared" si="21"/>
        <v>17542.87244</v>
      </c>
      <c r="G262" s="119">
        <f t="shared" si="22"/>
        <v>1213854.921</v>
      </c>
      <c r="H262" s="120">
        <f t="shared" si="23"/>
        <v>0.2570930367</v>
      </c>
      <c r="I262" s="4"/>
      <c r="J262" s="5"/>
      <c r="K262" s="5"/>
      <c r="L262" s="5"/>
      <c r="M262" s="5"/>
      <c r="N262" s="5"/>
      <c r="O262" s="5"/>
      <c r="P262" s="5"/>
      <c r="Q262" s="5"/>
      <c r="R262" s="5"/>
      <c r="S262" s="5"/>
      <c r="T262" s="5"/>
      <c r="U262" s="5"/>
      <c r="V262" s="5"/>
      <c r="W262" s="5"/>
      <c r="X262" s="5"/>
      <c r="Y262" s="5"/>
    </row>
    <row r="263">
      <c r="A263" s="114">
        <v>45839.0</v>
      </c>
      <c r="B263" s="128">
        <v>20000.0</v>
      </c>
      <c r="C263" s="130">
        <f t="shared" si="24"/>
        <v>2770615</v>
      </c>
      <c r="D263" s="131">
        <f t="shared" si="45"/>
        <v>214.5474511</v>
      </c>
      <c r="E263" s="56">
        <f>3691881.048583+20000</f>
        <v>3711881.049</v>
      </c>
      <c r="F263" s="130">
        <f t="shared" si="21"/>
        <v>-11622.12756</v>
      </c>
      <c r="G263" s="119">
        <f t="shared" si="22"/>
        <v>1196312.049</v>
      </c>
      <c r="H263" s="120">
        <f t="shared" si="23"/>
        <v>0.2535819538</v>
      </c>
      <c r="I263" s="4"/>
      <c r="J263" s="5"/>
      <c r="K263" s="5"/>
      <c r="L263" s="5"/>
      <c r="M263" s="5"/>
      <c r="N263" s="5"/>
      <c r="O263" s="5"/>
      <c r="P263" s="5"/>
      <c r="Q263" s="5"/>
      <c r="R263" s="5"/>
      <c r="S263" s="5"/>
      <c r="T263" s="5"/>
      <c r="U263" s="5"/>
      <c r="V263" s="5"/>
      <c r="W263" s="5"/>
      <c r="X263" s="5"/>
      <c r="Y263" s="5"/>
    </row>
    <row r="264">
      <c r="A264" s="114">
        <v>45838.0</v>
      </c>
      <c r="B264" s="127"/>
      <c r="C264" s="130">
        <f t="shared" si="24"/>
        <v>2750615</v>
      </c>
      <c r="D264" s="131">
        <f t="shared" ref="D264:D267" si="46">210.124911099241+8.48693+1.41387+35.69908-22.25544+5.26036-25.33826</f>
        <v>213.3914511</v>
      </c>
      <c r="E264" s="56">
        <v>3703503.1761419964</v>
      </c>
      <c r="F264" s="130">
        <f t="shared" si="21"/>
        <v>-1557.407559</v>
      </c>
      <c r="G264" s="119">
        <f t="shared" si="22"/>
        <v>1207934.176</v>
      </c>
      <c r="H264" s="120">
        <f t="shared" si="23"/>
        <v>0.2572937381</v>
      </c>
      <c r="I264" s="4"/>
      <c r="J264" s="5"/>
      <c r="K264" s="5"/>
      <c r="L264" s="5"/>
      <c r="M264" s="5"/>
      <c r="N264" s="5"/>
      <c r="O264" s="5"/>
      <c r="P264" s="5"/>
      <c r="Q264" s="5"/>
      <c r="R264" s="5"/>
      <c r="S264" s="5"/>
      <c r="T264" s="5"/>
      <c r="U264" s="5"/>
      <c r="V264" s="5"/>
      <c r="W264" s="5"/>
      <c r="X264" s="5"/>
      <c r="Y264" s="5"/>
    </row>
    <row r="265">
      <c r="A265" s="114">
        <v>45837.0</v>
      </c>
      <c r="B265" s="127"/>
      <c r="C265" s="130">
        <f t="shared" si="24"/>
        <v>2750615</v>
      </c>
      <c r="D265" s="131">
        <f t="shared" si="46"/>
        <v>213.3914511</v>
      </c>
      <c r="E265" s="56">
        <v>3705060.583700997</v>
      </c>
      <c r="F265" s="130">
        <f t="shared" si="21"/>
        <v>-245.647559</v>
      </c>
      <c r="G265" s="119">
        <f t="shared" si="22"/>
        <v>1209491.584</v>
      </c>
      <c r="H265" s="120">
        <f t="shared" si="23"/>
        <v>0.2576059317</v>
      </c>
      <c r="I265" s="4"/>
      <c r="J265" s="5"/>
      <c r="K265" s="5"/>
      <c r="L265" s="5"/>
      <c r="M265" s="5"/>
      <c r="N265" s="5"/>
      <c r="O265" s="5"/>
      <c r="P265" s="5"/>
      <c r="Q265" s="5"/>
      <c r="R265" s="5"/>
      <c r="S265" s="5"/>
      <c r="T265" s="5"/>
      <c r="U265" s="5"/>
      <c r="V265" s="5"/>
      <c r="W265" s="5"/>
      <c r="X265" s="5"/>
      <c r="Y265" s="5"/>
    </row>
    <row r="266">
      <c r="A266" s="114">
        <v>45836.0</v>
      </c>
      <c r="B266" s="127"/>
      <c r="C266" s="130">
        <f t="shared" si="24"/>
        <v>2750615</v>
      </c>
      <c r="D266" s="131">
        <f t="shared" si="46"/>
        <v>213.3914511</v>
      </c>
      <c r="E266" s="56">
        <v>3705306.231259995</v>
      </c>
      <c r="F266" s="130">
        <f t="shared" si="21"/>
        <v>-245.647559</v>
      </c>
      <c r="G266" s="119">
        <f t="shared" si="22"/>
        <v>1209737.231</v>
      </c>
      <c r="H266" s="120">
        <f t="shared" si="23"/>
        <v>0.2576551496</v>
      </c>
      <c r="I266" s="4"/>
      <c r="J266" s="5"/>
      <c r="K266" s="5"/>
      <c r="L266" s="5"/>
      <c r="M266" s="5"/>
      <c r="N266" s="5"/>
      <c r="O266" s="5"/>
      <c r="P266" s="5"/>
      <c r="Q266" s="5"/>
      <c r="R266" s="5"/>
      <c r="S266" s="5"/>
      <c r="T266" s="5"/>
      <c r="U266" s="5"/>
      <c r="V266" s="5"/>
      <c r="W266" s="5"/>
      <c r="X266" s="5"/>
      <c r="Y266" s="5"/>
    </row>
    <row r="267">
      <c r="A267" s="114">
        <v>45835.0</v>
      </c>
      <c r="B267" s="128">
        <v>-440000.0</v>
      </c>
      <c r="C267" s="130">
        <f t="shared" si="24"/>
        <v>2750615</v>
      </c>
      <c r="D267" s="131">
        <f t="shared" si="46"/>
        <v>213.3914511</v>
      </c>
      <c r="E267" s="56">
        <f>4145551.878819-440000</f>
        <v>3705551.879</v>
      </c>
      <c r="F267" s="130">
        <f t="shared" si="21"/>
        <v>108976.3524</v>
      </c>
      <c r="G267" s="119">
        <f t="shared" si="22"/>
        <v>1209982.879</v>
      </c>
      <c r="H267" s="120">
        <f t="shared" si="23"/>
        <v>0.2577043609</v>
      </c>
      <c r="I267" s="4"/>
      <c r="J267" s="5"/>
      <c r="K267" s="5"/>
      <c r="L267" s="5"/>
      <c r="M267" s="5"/>
      <c r="N267" s="5"/>
      <c r="O267" s="5"/>
      <c r="P267" s="5"/>
      <c r="Q267" s="5"/>
      <c r="R267" s="5"/>
      <c r="S267" s="5"/>
      <c r="T267" s="5"/>
      <c r="U267" s="5"/>
      <c r="V267" s="5"/>
      <c r="W267" s="5"/>
      <c r="X267" s="5"/>
      <c r="Y267" s="5"/>
    </row>
    <row r="268">
      <c r="A268" s="114">
        <v>45834.0</v>
      </c>
      <c r="B268" s="127"/>
      <c r="C268" s="130">
        <f t="shared" si="24"/>
        <v>3190615</v>
      </c>
      <c r="D268" s="131">
        <f t="shared" ref="D268:D317" si="47">210.124911099241+8.48693+1.41387+35.69908-22.25544+5.26036</f>
        <v>238.7297111</v>
      </c>
      <c r="E268" s="56">
        <v>4036575.526377996</v>
      </c>
      <c r="F268" s="130">
        <f t="shared" si="21"/>
        <v>25236.35244</v>
      </c>
      <c r="G268" s="119">
        <f t="shared" si="22"/>
        <v>1101006.526</v>
      </c>
      <c r="H268" s="120">
        <f t="shared" si="23"/>
        <v>0.2095738135</v>
      </c>
      <c r="I268" s="4"/>
      <c r="J268" s="5"/>
      <c r="K268" s="5"/>
      <c r="L268" s="5"/>
      <c r="M268" s="5"/>
      <c r="N268" s="5"/>
      <c r="O268" s="5"/>
      <c r="P268" s="5"/>
      <c r="Q268" s="5"/>
      <c r="R268" s="5"/>
      <c r="S268" s="5"/>
      <c r="T268" s="5"/>
      <c r="U268" s="5"/>
      <c r="V268" s="5"/>
      <c r="W268" s="5"/>
      <c r="X268" s="5"/>
      <c r="Y268" s="5"/>
    </row>
    <row r="269">
      <c r="A269" s="114">
        <v>45833.0</v>
      </c>
      <c r="B269" s="127"/>
      <c r="C269" s="130">
        <f t="shared" si="24"/>
        <v>3190615</v>
      </c>
      <c r="D269" s="131">
        <f t="shared" si="47"/>
        <v>238.7297111</v>
      </c>
      <c r="E269" s="56">
        <v>4011339.1739369966</v>
      </c>
      <c r="F269" s="130">
        <f t="shared" si="21"/>
        <v>-15143.64756</v>
      </c>
      <c r="G269" s="119">
        <f t="shared" si="22"/>
        <v>1075770.174</v>
      </c>
      <c r="H269" s="120">
        <f t="shared" si="23"/>
        <v>0.2046010418</v>
      </c>
      <c r="I269" s="4"/>
      <c r="J269" s="5"/>
      <c r="K269" s="5"/>
      <c r="L269" s="5"/>
      <c r="M269" s="5"/>
      <c r="N269" s="5"/>
      <c r="O269" s="5"/>
      <c r="P269" s="5"/>
      <c r="Q269" s="5"/>
      <c r="R269" s="5"/>
      <c r="S269" s="5"/>
      <c r="T269" s="5"/>
      <c r="U269" s="5"/>
      <c r="V269" s="5"/>
      <c r="W269" s="5"/>
      <c r="X269" s="5"/>
      <c r="Y269" s="5"/>
    </row>
    <row r="270">
      <c r="A270" s="114">
        <v>45832.0</v>
      </c>
      <c r="B270" s="127"/>
      <c r="C270" s="130">
        <f t="shared" si="24"/>
        <v>3190615</v>
      </c>
      <c r="D270" s="131">
        <f t="shared" si="47"/>
        <v>238.7297111</v>
      </c>
      <c r="E270" s="56">
        <v>4026482.821495996</v>
      </c>
      <c r="F270" s="130">
        <f t="shared" si="21"/>
        <v>20796.35244</v>
      </c>
      <c r="G270" s="119">
        <f t="shared" si="22"/>
        <v>1090913.821</v>
      </c>
      <c r="H270" s="120">
        <f t="shared" si="23"/>
        <v>0.2075925463</v>
      </c>
      <c r="I270" s="4"/>
      <c r="J270" s="5"/>
      <c r="K270" s="5"/>
      <c r="L270" s="5"/>
      <c r="M270" s="5"/>
      <c r="N270" s="5"/>
      <c r="O270" s="5"/>
      <c r="P270" s="5"/>
      <c r="Q270" s="5"/>
      <c r="R270" s="5"/>
      <c r="S270" s="5"/>
      <c r="T270" s="5"/>
      <c r="U270" s="5"/>
      <c r="V270" s="5"/>
      <c r="W270" s="5"/>
      <c r="X270" s="5"/>
      <c r="Y270" s="5"/>
    </row>
    <row r="271">
      <c r="A271" s="114">
        <v>45831.0</v>
      </c>
      <c r="B271" s="127"/>
      <c r="C271" s="130">
        <f t="shared" si="24"/>
        <v>3190615</v>
      </c>
      <c r="D271" s="131">
        <f t="shared" si="47"/>
        <v>238.7297111</v>
      </c>
      <c r="E271" s="56">
        <v>4005686.4690549974</v>
      </c>
      <c r="F271" s="130">
        <f t="shared" si="21"/>
        <v>-183.647559</v>
      </c>
      <c r="G271" s="119">
        <f t="shared" si="22"/>
        <v>1070117.469</v>
      </c>
      <c r="H271" s="120">
        <f t="shared" si="23"/>
        <v>0.2034785986</v>
      </c>
      <c r="I271" s="4"/>
      <c r="J271" s="5"/>
      <c r="K271" s="5"/>
      <c r="L271" s="5"/>
      <c r="M271" s="5"/>
      <c r="N271" s="5"/>
      <c r="O271" s="5"/>
      <c r="P271" s="5"/>
      <c r="Q271" s="5"/>
      <c r="R271" s="5"/>
      <c r="S271" s="5"/>
      <c r="T271" s="5"/>
      <c r="U271" s="5"/>
      <c r="V271" s="5"/>
      <c r="W271" s="5"/>
      <c r="X271" s="5"/>
      <c r="Y271" s="5"/>
    </row>
    <row r="272">
      <c r="A272" s="114">
        <v>45830.0</v>
      </c>
      <c r="B272" s="127"/>
      <c r="C272" s="130">
        <f t="shared" si="24"/>
        <v>3190615</v>
      </c>
      <c r="D272" s="131">
        <f t="shared" si="47"/>
        <v>238.7297111</v>
      </c>
      <c r="E272" s="56">
        <v>4005870.1166139957</v>
      </c>
      <c r="F272" s="130">
        <f t="shared" si="21"/>
        <v>-183.647559</v>
      </c>
      <c r="G272" s="119">
        <f t="shared" si="22"/>
        <v>1070301.117</v>
      </c>
      <c r="H272" s="120">
        <f t="shared" si="23"/>
        <v>0.2035151148</v>
      </c>
      <c r="I272" s="4"/>
      <c r="J272" s="5"/>
      <c r="K272" s="5"/>
      <c r="L272" s="5"/>
      <c r="M272" s="5"/>
      <c r="N272" s="5"/>
      <c r="O272" s="5"/>
      <c r="P272" s="5"/>
      <c r="Q272" s="5"/>
      <c r="R272" s="5"/>
      <c r="S272" s="5"/>
      <c r="T272" s="5"/>
      <c r="U272" s="5"/>
      <c r="V272" s="5"/>
      <c r="W272" s="5"/>
      <c r="X272" s="5"/>
      <c r="Y272" s="5"/>
    </row>
    <row r="273">
      <c r="A273" s="114">
        <v>45829.0</v>
      </c>
      <c r="B273" s="127"/>
      <c r="C273" s="130">
        <f t="shared" si="24"/>
        <v>3190615</v>
      </c>
      <c r="D273" s="131">
        <f t="shared" si="47"/>
        <v>238.7297111</v>
      </c>
      <c r="E273" s="56">
        <v>4006053.7641729973</v>
      </c>
      <c r="F273" s="130">
        <f t="shared" si="21"/>
        <v>16296.35244</v>
      </c>
      <c r="G273" s="119">
        <f t="shared" si="22"/>
        <v>1070484.764</v>
      </c>
      <c r="H273" s="120">
        <f t="shared" si="23"/>
        <v>0.2035516277</v>
      </c>
      <c r="I273" s="4"/>
      <c r="J273" s="5"/>
      <c r="K273" s="5"/>
      <c r="L273" s="5"/>
      <c r="M273" s="5"/>
      <c r="N273" s="5"/>
      <c r="O273" s="5"/>
      <c r="P273" s="5"/>
      <c r="Q273" s="5"/>
      <c r="R273" s="5"/>
      <c r="S273" s="5"/>
      <c r="T273" s="5"/>
      <c r="U273" s="5"/>
      <c r="V273" s="5"/>
      <c r="W273" s="5"/>
      <c r="X273" s="5"/>
      <c r="Y273" s="5"/>
    </row>
    <row r="274">
      <c r="A274" s="114">
        <v>45828.0</v>
      </c>
      <c r="B274" s="127"/>
      <c r="C274" s="130">
        <f t="shared" si="24"/>
        <v>3190615</v>
      </c>
      <c r="D274" s="131">
        <f t="shared" si="47"/>
        <v>238.7297111</v>
      </c>
      <c r="E274" s="56">
        <v>3989757.4117319966</v>
      </c>
      <c r="F274" s="130">
        <f t="shared" si="21"/>
        <v>-15958.64756</v>
      </c>
      <c r="G274" s="119">
        <f t="shared" si="22"/>
        <v>1054188.412</v>
      </c>
      <c r="H274" s="120">
        <f t="shared" si="23"/>
        <v>0.2002984967</v>
      </c>
      <c r="I274" s="4"/>
      <c r="J274" s="5"/>
      <c r="K274" s="5"/>
      <c r="L274" s="5"/>
      <c r="M274" s="5"/>
      <c r="N274" s="5"/>
      <c r="O274" s="5"/>
      <c r="P274" s="5"/>
      <c r="Q274" s="5"/>
      <c r="R274" s="5"/>
      <c r="S274" s="5"/>
      <c r="T274" s="5"/>
      <c r="U274" s="5"/>
      <c r="V274" s="5"/>
      <c r="W274" s="5"/>
      <c r="X274" s="5"/>
      <c r="Y274" s="5"/>
    </row>
    <row r="275">
      <c r="A275" s="114">
        <v>45827.0</v>
      </c>
      <c r="B275" s="127"/>
      <c r="C275" s="130">
        <f t="shared" si="24"/>
        <v>3190615</v>
      </c>
      <c r="D275" s="131">
        <f t="shared" si="47"/>
        <v>238.7297111</v>
      </c>
      <c r="E275" s="56">
        <v>4005716.059290997</v>
      </c>
      <c r="F275" s="130">
        <f t="shared" si="21"/>
        <v>35101.35244</v>
      </c>
      <c r="G275" s="119">
        <f t="shared" si="22"/>
        <v>1070147.059</v>
      </c>
      <c r="H275" s="120">
        <f t="shared" si="23"/>
        <v>0.2034844825</v>
      </c>
      <c r="I275" s="4"/>
      <c r="J275" s="5"/>
      <c r="K275" s="5"/>
      <c r="L275" s="5"/>
      <c r="M275" s="5"/>
      <c r="N275" s="5"/>
      <c r="O275" s="5"/>
      <c r="P275" s="5"/>
      <c r="Q275" s="5"/>
      <c r="R275" s="5"/>
      <c r="S275" s="5"/>
      <c r="T275" s="5"/>
      <c r="U275" s="5"/>
      <c r="V275" s="5"/>
      <c r="W275" s="5"/>
      <c r="X275" s="5"/>
      <c r="Y275" s="5"/>
    </row>
    <row r="276">
      <c r="A276" s="114">
        <v>45826.0</v>
      </c>
      <c r="B276" s="127"/>
      <c r="C276" s="130">
        <f t="shared" si="24"/>
        <v>3190615</v>
      </c>
      <c r="D276" s="131">
        <f t="shared" si="47"/>
        <v>238.7297111</v>
      </c>
      <c r="E276" s="56">
        <v>3970614.7068499965</v>
      </c>
      <c r="F276" s="130">
        <f t="shared" si="21"/>
        <v>37781.35244</v>
      </c>
      <c r="G276" s="119">
        <f t="shared" si="22"/>
        <v>1035045.707</v>
      </c>
      <c r="H276" s="120">
        <f t="shared" si="23"/>
        <v>0.1964430609</v>
      </c>
      <c r="I276" s="4"/>
      <c r="J276" s="5"/>
      <c r="K276" s="5"/>
      <c r="L276" s="5"/>
      <c r="M276" s="5"/>
      <c r="N276" s="5"/>
      <c r="O276" s="5"/>
      <c r="P276" s="5"/>
      <c r="Q276" s="5"/>
      <c r="R276" s="5"/>
      <c r="S276" s="5"/>
      <c r="T276" s="5"/>
      <c r="U276" s="5"/>
      <c r="V276" s="5"/>
      <c r="W276" s="5"/>
      <c r="X276" s="5"/>
      <c r="Y276" s="5"/>
    </row>
    <row r="277">
      <c r="A277" s="114">
        <v>45825.0</v>
      </c>
      <c r="B277" s="127"/>
      <c r="C277" s="130">
        <f t="shared" si="24"/>
        <v>3190615</v>
      </c>
      <c r="D277" s="131">
        <f t="shared" si="47"/>
        <v>238.7297111</v>
      </c>
      <c r="E277" s="56">
        <v>3932833.354408997</v>
      </c>
      <c r="F277" s="130">
        <f t="shared" si="21"/>
        <v>-50723.64756</v>
      </c>
      <c r="G277" s="119">
        <f t="shared" si="22"/>
        <v>997264.3544</v>
      </c>
      <c r="H277" s="120">
        <f t="shared" si="23"/>
        <v>0.1887235709</v>
      </c>
      <c r="I277" s="4"/>
      <c r="J277" s="5"/>
      <c r="K277" s="5"/>
      <c r="L277" s="5"/>
      <c r="M277" s="5"/>
      <c r="N277" s="5"/>
      <c r="O277" s="5"/>
      <c r="P277" s="5"/>
      <c r="Q277" s="5"/>
      <c r="R277" s="5"/>
      <c r="S277" s="5"/>
      <c r="T277" s="5"/>
      <c r="U277" s="5"/>
      <c r="V277" s="5"/>
      <c r="W277" s="5"/>
      <c r="X277" s="5"/>
      <c r="Y277" s="5"/>
    </row>
    <row r="278">
      <c r="A278" s="114">
        <v>45824.0</v>
      </c>
      <c r="B278" s="127"/>
      <c r="C278" s="130">
        <f t="shared" si="24"/>
        <v>3190615</v>
      </c>
      <c r="D278" s="131">
        <f t="shared" si="47"/>
        <v>238.7297111</v>
      </c>
      <c r="E278" s="56">
        <v>3983557.0019679964</v>
      </c>
      <c r="F278" s="130">
        <f t="shared" si="21"/>
        <v>-25843.64756</v>
      </c>
      <c r="G278" s="119">
        <f t="shared" si="22"/>
        <v>1047988.002</v>
      </c>
      <c r="H278" s="120">
        <f t="shared" si="23"/>
        <v>0.1990537606</v>
      </c>
      <c r="I278" s="4"/>
      <c r="J278" s="5"/>
      <c r="K278" s="5"/>
      <c r="L278" s="5"/>
      <c r="M278" s="5"/>
      <c r="N278" s="5"/>
      <c r="O278" s="5"/>
      <c r="P278" s="5"/>
      <c r="Q278" s="5"/>
      <c r="R278" s="5"/>
      <c r="S278" s="5"/>
      <c r="T278" s="5"/>
      <c r="U278" s="5"/>
      <c r="V278" s="5"/>
      <c r="W278" s="5"/>
      <c r="X278" s="5"/>
      <c r="Y278" s="5"/>
    </row>
    <row r="279">
      <c r="A279" s="114">
        <v>45823.0</v>
      </c>
      <c r="B279" s="127"/>
      <c r="C279" s="130">
        <f t="shared" si="24"/>
        <v>3190615</v>
      </c>
      <c r="D279" s="131">
        <f t="shared" si="47"/>
        <v>238.7297111</v>
      </c>
      <c r="E279" s="56">
        <v>4009400.649526998</v>
      </c>
      <c r="F279" s="130">
        <f t="shared" si="21"/>
        <v>-183.647559</v>
      </c>
      <c r="G279" s="119">
        <f t="shared" si="22"/>
        <v>1073831.65</v>
      </c>
      <c r="H279" s="120">
        <f t="shared" si="23"/>
        <v>0.2042164705</v>
      </c>
      <c r="I279" s="4"/>
      <c r="J279" s="5"/>
      <c r="K279" s="5"/>
      <c r="L279" s="5"/>
      <c r="M279" s="5"/>
      <c r="N279" s="5"/>
      <c r="O279" s="5"/>
      <c r="P279" s="5"/>
      <c r="Q279" s="5"/>
      <c r="R279" s="5"/>
      <c r="S279" s="5"/>
      <c r="T279" s="5"/>
      <c r="U279" s="5"/>
      <c r="V279" s="5"/>
      <c r="W279" s="5"/>
      <c r="X279" s="5"/>
      <c r="Y279" s="5"/>
    </row>
    <row r="280">
      <c r="A280" s="114">
        <v>45822.0</v>
      </c>
      <c r="B280" s="127"/>
      <c r="C280" s="130">
        <f t="shared" si="24"/>
        <v>3190615</v>
      </c>
      <c r="D280" s="131">
        <f t="shared" si="47"/>
        <v>238.7297111</v>
      </c>
      <c r="E280" s="56">
        <v>4009584.2970859963</v>
      </c>
      <c r="F280" s="130">
        <f t="shared" si="21"/>
        <v>-183.647559</v>
      </c>
      <c r="G280" s="119">
        <f t="shared" si="22"/>
        <v>1074015.297</v>
      </c>
      <c r="H280" s="120">
        <f t="shared" si="23"/>
        <v>0.2042529191</v>
      </c>
      <c r="I280" s="4"/>
      <c r="J280" s="5"/>
      <c r="K280" s="5"/>
      <c r="L280" s="5"/>
      <c r="M280" s="5"/>
      <c r="N280" s="5"/>
      <c r="O280" s="5"/>
      <c r="P280" s="5"/>
      <c r="Q280" s="5"/>
      <c r="R280" s="5"/>
      <c r="S280" s="5"/>
      <c r="T280" s="5"/>
      <c r="U280" s="5"/>
      <c r="V280" s="5"/>
      <c r="W280" s="5"/>
      <c r="X280" s="5"/>
      <c r="Y280" s="5"/>
    </row>
    <row r="281">
      <c r="A281" s="114">
        <v>45821.0</v>
      </c>
      <c r="B281" s="127"/>
      <c r="C281" s="130">
        <f t="shared" si="24"/>
        <v>3190615</v>
      </c>
      <c r="D281" s="131">
        <f t="shared" si="47"/>
        <v>238.7297111</v>
      </c>
      <c r="E281" s="56">
        <v>4009767.944644998</v>
      </c>
      <c r="F281" s="130">
        <f t="shared" si="21"/>
        <v>5216.352441</v>
      </c>
      <c r="G281" s="119">
        <f t="shared" si="22"/>
        <v>1074198.945</v>
      </c>
      <c r="H281" s="120">
        <f t="shared" si="23"/>
        <v>0.2042893644</v>
      </c>
      <c r="I281" s="4"/>
      <c r="J281" s="5"/>
      <c r="K281" s="5"/>
      <c r="L281" s="5"/>
      <c r="M281" s="5"/>
      <c r="N281" s="5"/>
      <c r="O281" s="5"/>
      <c r="P281" s="5"/>
      <c r="Q281" s="5"/>
      <c r="R281" s="5"/>
      <c r="S281" s="5"/>
      <c r="T281" s="5"/>
      <c r="U281" s="5"/>
      <c r="V281" s="5"/>
      <c r="W281" s="5"/>
      <c r="X281" s="5"/>
      <c r="Y281" s="5"/>
    </row>
    <row r="282">
      <c r="A282" s="114">
        <v>45820.0</v>
      </c>
      <c r="B282" s="127"/>
      <c r="C282" s="130">
        <f t="shared" si="24"/>
        <v>3190615</v>
      </c>
      <c r="D282" s="131">
        <f t="shared" si="47"/>
        <v>238.7297111</v>
      </c>
      <c r="E282" s="56">
        <v>4004551.592203996</v>
      </c>
      <c r="F282" s="130">
        <f t="shared" si="21"/>
        <v>-87268.64756</v>
      </c>
      <c r="G282" s="119">
        <f t="shared" si="22"/>
        <v>1068982.592</v>
      </c>
      <c r="H282" s="120">
        <f t="shared" si="23"/>
        <v>0.203252867</v>
      </c>
      <c r="I282" s="4"/>
      <c r="J282" s="5"/>
      <c r="K282" s="5"/>
      <c r="L282" s="5"/>
      <c r="M282" s="5"/>
      <c r="N282" s="5"/>
      <c r="O282" s="5"/>
      <c r="P282" s="5"/>
      <c r="Q282" s="5"/>
      <c r="R282" s="5"/>
      <c r="S282" s="5"/>
      <c r="T282" s="5"/>
      <c r="U282" s="5"/>
      <c r="V282" s="5"/>
      <c r="W282" s="5"/>
      <c r="X282" s="5"/>
      <c r="Y282" s="5"/>
    </row>
    <row r="283">
      <c r="A283" s="114">
        <v>45819.0</v>
      </c>
      <c r="B283" s="127"/>
      <c r="C283" s="130">
        <f t="shared" si="24"/>
        <v>3190615</v>
      </c>
      <c r="D283" s="131">
        <f t="shared" si="47"/>
        <v>238.7297111</v>
      </c>
      <c r="E283" s="56">
        <v>4091820.2397629977</v>
      </c>
      <c r="F283" s="130">
        <f t="shared" si="21"/>
        <v>66051.35244</v>
      </c>
      <c r="G283" s="119">
        <f t="shared" si="22"/>
        <v>1156251.24</v>
      </c>
      <c r="H283" s="120">
        <f t="shared" si="23"/>
        <v>0.2202455599</v>
      </c>
      <c r="I283" s="4"/>
      <c r="J283" s="5"/>
      <c r="K283" s="5"/>
      <c r="L283" s="5"/>
      <c r="M283" s="5"/>
      <c r="N283" s="5"/>
      <c r="O283" s="5"/>
      <c r="P283" s="5"/>
      <c r="Q283" s="5"/>
      <c r="R283" s="5"/>
      <c r="S283" s="5"/>
      <c r="T283" s="5"/>
      <c r="U283" s="5"/>
      <c r="V283" s="5"/>
      <c r="W283" s="5"/>
      <c r="X283" s="5"/>
      <c r="Y283" s="5"/>
    </row>
    <row r="284">
      <c r="A284" s="114">
        <v>45818.0</v>
      </c>
      <c r="B284" s="127"/>
      <c r="C284" s="130">
        <f t="shared" si="24"/>
        <v>3190615</v>
      </c>
      <c r="D284" s="131">
        <f t="shared" si="47"/>
        <v>238.7297111</v>
      </c>
      <c r="E284" s="56">
        <v>4025768.887321997</v>
      </c>
      <c r="F284" s="130">
        <f t="shared" si="21"/>
        <v>23781.35244</v>
      </c>
      <c r="G284" s="119">
        <f t="shared" si="22"/>
        <v>1090199.887</v>
      </c>
      <c r="H284" s="120">
        <f t="shared" si="23"/>
        <v>0.2074520199</v>
      </c>
      <c r="I284" s="4"/>
      <c r="J284" s="5"/>
      <c r="K284" s="5"/>
      <c r="L284" s="5"/>
      <c r="M284" s="5"/>
      <c r="N284" s="5"/>
      <c r="O284" s="5"/>
      <c r="P284" s="5"/>
      <c r="Q284" s="5"/>
      <c r="R284" s="5"/>
      <c r="S284" s="5"/>
      <c r="T284" s="5"/>
      <c r="U284" s="5"/>
      <c r="V284" s="5"/>
      <c r="W284" s="5"/>
      <c r="X284" s="5"/>
      <c r="Y284" s="5"/>
    </row>
    <row r="285">
      <c r="A285" s="114">
        <v>45817.0</v>
      </c>
      <c r="B285" s="127"/>
      <c r="C285" s="130">
        <f t="shared" si="24"/>
        <v>3190615</v>
      </c>
      <c r="D285" s="131">
        <f t="shared" si="47"/>
        <v>238.7297111</v>
      </c>
      <c r="E285" s="56">
        <v>4001987.5348809976</v>
      </c>
      <c r="F285" s="130">
        <f t="shared" si="21"/>
        <v>-12338.64756</v>
      </c>
      <c r="G285" s="119">
        <f t="shared" si="22"/>
        <v>1066418.535</v>
      </c>
      <c r="H285" s="120">
        <f t="shared" si="23"/>
        <v>0.2027423943</v>
      </c>
      <c r="I285" s="4"/>
      <c r="J285" s="5"/>
      <c r="K285" s="5"/>
      <c r="L285" s="5"/>
      <c r="M285" s="5"/>
      <c r="N285" s="5"/>
      <c r="O285" s="5"/>
      <c r="P285" s="5"/>
      <c r="Q285" s="5"/>
      <c r="R285" s="5"/>
      <c r="S285" s="5"/>
      <c r="T285" s="5"/>
      <c r="U285" s="5"/>
      <c r="V285" s="5"/>
      <c r="W285" s="5"/>
      <c r="X285" s="5"/>
      <c r="Y285" s="5"/>
    </row>
    <row r="286">
      <c r="A286" s="114">
        <v>45816.0</v>
      </c>
      <c r="B286" s="127"/>
      <c r="C286" s="130">
        <f t="shared" si="24"/>
        <v>3190615</v>
      </c>
      <c r="D286" s="131">
        <f t="shared" si="47"/>
        <v>238.7297111</v>
      </c>
      <c r="E286" s="56">
        <v>4014326.182439997</v>
      </c>
      <c r="F286" s="130">
        <f t="shared" si="21"/>
        <v>-183.647559</v>
      </c>
      <c r="G286" s="119">
        <f t="shared" si="22"/>
        <v>1078757.182</v>
      </c>
      <c r="H286" s="120">
        <f t="shared" si="23"/>
        <v>0.2051928879</v>
      </c>
      <c r="I286" s="4"/>
      <c r="J286" s="5"/>
      <c r="K286" s="5"/>
      <c r="L286" s="5"/>
      <c r="M286" s="5"/>
      <c r="N286" s="5"/>
      <c r="O286" s="5"/>
      <c r="P286" s="5"/>
      <c r="Q286" s="5"/>
      <c r="R286" s="5"/>
      <c r="S286" s="5"/>
      <c r="T286" s="5"/>
      <c r="U286" s="5"/>
      <c r="V286" s="5"/>
      <c r="W286" s="5"/>
      <c r="X286" s="5"/>
      <c r="Y286" s="5"/>
    </row>
    <row r="287">
      <c r="A287" s="114">
        <v>45815.0</v>
      </c>
      <c r="B287" s="127"/>
      <c r="C287" s="130">
        <f t="shared" si="24"/>
        <v>3190615</v>
      </c>
      <c r="D287" s="131">
        <f t="shared" si="47"/>
        <v>238.7297111</v>
      </c>
      <c r="E287" s="56">
        <v>4014509.8299989984</v>
      </c>
      <c r="F287" s="130">
        <f t="shared" si="21"/>
        <v>5464.352441</v>
      </c>
      <c r="G287" s="119">
        <f t="shared" si="22"/>
        <v>1078940.83</v>
      </c>
      <c r="H287" s="120">
        <f t="shared" si="23"/>
        <v>0.2052292471</v>
      </c>
      <c r="I287" s="4"/>
      <c r="J287" s="5"/>
      <c r="K287" s="5"/>
      <c r="L287" s="5"/>
      <c r="M287" s="5"/>
      <c r="N287" s="5"/>
      <c r="O287" s="5"/>
      <c r="P287" s="5"/>
      <c r="Q287" s="5"/>
      <c r="R287" s="5"/>
      <c r="S287" s="5"/>
      <c r="T287" s="5"/>
      <c r="U287" s="5"/>
      <c r="V287" s="5"/>
      <c r="W287" s="5"/>
      <c r="X287" s="5"/>
      <c r="Y287" s="5"/>
    </row>
    <row r="288">
      <c r="A288" s="114">
        <v>45814.0</v>
      </c>
      <c r="B288" s="127"/>
      <c r="C288" s="130">
        <f t="shared" si="24"/>
        <v>3190615</v>
      </c>
      <c r="D288" s="131">
        <f t="shared" si="47"/>
        <v>238.7297111</v>
      </c>
      <c r="E288" s="56">
        <v>4009045.4775579968</v>
      </c>
      <c r="F288" s="130">
        <f t="shared" si="21"/>
        <v>31279.35244</v>
      </c>
      <c r="G288" s="119">
        <f t="shared" si="22"/>
        <v>1073476.478</v>
      </c>
      <c r="H288" s="120">
        <f t="shared" si="23"/>
        <v>0.2041459699</v>
      </c>
      <c r="I288" s="4"/>
      <c r="J288" s="5"/>
      <c r="K288" s="5"/>
      <c r="L288" s="5"/>
      <c r="M288" s="5"/>
      <c r="N288" s="5"/>
      <c r="O288" s="5"/>
      <c r="P288" s="5"/>
      <c r="Q288" s="5"/>
      <c r="R288" s="5"/>
      <c r="S288" s="5"/>
      <c r="T288" s="5"/>
      <c r="U288" s="5"/>
      <c r="V288" s="5"/>
      <c r="W288" s="5"/>
      <c r="X288" s="5"/>
      <c r="Y288" s="5"/>
    </row>
    <row r="289">
      <c r="A289" s="114">
        <v>45813.0</v>
      </c>
      <c r="B289" s="127"/>
      <c r="C289" s="130">
        <f t="shared" si="24"/>
        <v>3190615</v>
      </c>
      <c r="D289" s="131">
        <f t="shared" si="47"/>
        <v>238.7297111</v>
      </c>
      <c r="E289" s="56">
        <v>3977766.1251169983</v>
      </c>
      <c r="F289" s="130">
        <f t="shared" si="21"/>
        <v>7409.352441</v>
      </c>
      <c r="G289" s="119">
        <f t="shared" si="22"/>
        <v>1042197.125</v>
      </c>
      <c r="H289" s="120">
        <f t="shared" si="23"/>
        <v>0.1978877341</v>
      </c>
      <c r="I289" s="4"/>
      <c r="J289" s="5"/>
      <c r="K289" s="5"/>
      <c r="L289" s="5"/>
      <c r="M289" s="5"/>
      <c r="N289" s="5"/>
      <c r="O289" s="5"/>
      <c r="P289" s="5"/>
      <c r="Q289" s="5"/>
      <c r="R289" s="5"/>
      <c r="S289" s="5"/>
      <c r="T289" s="5"/>
      <c r="U289" s="5"/>
      <c r="V289" s="5"/>
      <c r="W289" s="5"/>
      <c r="X289" s="5"/>
      <c r="Y289" s="5"/>
    </row>
    <row r="290">
      <c r="A290" s="114">
        <v>45812.0</v>
      </c>
      <c r="B290" s="127"/>
      <c r="C290" s="130">
        <f t="shared" si="24"/>
        <v>3190615</v>
      </c>
      <c r="D290" s="131">
        <f t="shared" si="47"/>
        <v>238.7297111</v>
      </c>
      <c r="E290" s="56">
        <v>3970356.7726759976</v>
      </c>
      <c r="F290" s="130">
        <f t="shared" si="21"/>
        <v>-21625.64756</v>
      </c>
      <c r="G290" s="119">
        <f t="shared" si="22"/>
        <v>1034787.773</v>
      </c>
      <c r="H290" s="120">
        <f t="shared" si="23"/>
        <v>0.1963908579</v>
      </c>
      <c r="I290" s="4"/>
      <c r="J290" s="5"/>
      <c r="K290" s="5"/>
      <c r="L290" s="5"/>
      <c r="M290" s="5"/>
      <c r="N290" s="5"/>
      <c r="O290" s="5"/>
      <c r="P290" s="5"/>
      <c r="Q290" s="5"/>
      <c r="R290" s="5"/>
      <c r="S290" s="5"/>
      <c r="T290" s="5"/>
      <c r="U290" s="5"/>
      <c r="V290" s="5"/>
      <c r="W290" s="5"/>
      <c r="X290" s="5"/>
      <c r="Y290" s="5"/>
    </row>
    <row r="291">
      <c r="A291" s="114">
        <v>45811.0</v>
      </c>
      <c r="B291" s="127"/>
      <c r="C291" s="130">
        <f t="shared" si="24"/>
        <v>3190615</v>
      </c>
      <c r="D291" s="131">
        <f t="shared" si="47"/>
        <v>238.7297111</v>
      </c>
      <c r="E291" s="56">
        <v>3991982.4202349964</v>
      </c>
      <c r="F291" s="130">
        <f t="shared" si="21"/>
        <v>39799.35244</v>
      </c>
      <c r="G291" s="119">
        <f t="shared" si="22"/>
        <v>1056413.42</v>
      </c>
      <c r="H291" s="120">
        <f t="shared" si="23"/>
        <v>0.2007442258</v>
      </c>
      <c r="I291" s="4"/>
      <c r="J291" s="5"/>
      <c r="K291" s="5"/>
      <c r="L291" s="5"/>
      <c r="M291" s="5"/>
      <c r="N291" s="5"/>
      <c r="O291" s="5"/>
      <c r="P291" s="5"/>
      <c r="Q291" s="5"/>
      <c r="R291" s="5"/>
      <c r="S291" s="5"/>
      <c r="T291" s="5"/>
      <c r="U291" s="5"/>
      <c r="V291" s="5"/>
      <c r="W291" s="5"/>
      <c r="X291" s="5"/>
      <c r="Y291" s="5"/>
    </row>
    <row r="292">
      <c r="A292" s="114">
        <v>45810.0</v>
      </c>
      <c r="B292" s="127"/>
      <c r="C292" s="130">
        <f t="shared" si="24"/>
        <v>3190615</v>
      </c>
      <c r="D292" s="131">
        <f t="shared" si="47"/>
        <v>238.7297111</v>
      </c>
      <c r="E292" s="56">
        <v>3952183.0677939975</v>
      </c>
      <c r="F292" s="130">
        <f t="shared" si="21"/>
        <v>4405.072</v>
      </c>
      <c r="G292" s="119">
        <f t="shared" si="22"/>
        <v>1016614.068</v>
      </c>
      <c r="H292" s="120">
        <f t="shared" si="23"/>
        <v>0.1926955444</v>
      </c>
      <c r="I292" s="4"/>
      <c r="J292" s="5"/>
      <c r="K292" s="5"/>
      <c r="L292" s="5"/>
      <c r="M292" s="5"/>
      <c r="N292" s="5"/>
      <c r="O292" s="5"/>
      <c r="P292" s="5"/>
      <c r="Q292" s="5"/>
      <c r="R292" s="5"/>
      <c r="S292" s="5"/>
      <c r="T292" s="5"/>
      <c r="U292" s="5"/>
      <c r="V292" s="5"/>
      <c r="W292" s="5"/>
      <c r="X292" s="5"/>
      <c r="Y292" s="5"/>
    </row>
    <row r="293">
      <c r="A293" s="114">
        <v>45809.0</v>
      </c>
      <c r="B293" s="127"/>
      <c r="C293" s="130">
        <f t="shared" si="24"/>
        <v>3190615</v>
      </c>
      <c r="D293" s="131">
        <f t="shared" si="47"/>
        <v>238.7297111</v>
      </c>
      <c r="E293" s="56">
        <v>3947777.995793998</v>
      </c>
      <c r="F293" s="130">
        <f t="shared" si="21"/>
        <v>-525.647559</v>
      </c>
      <c r="G293" s="119">
        <f t="shared" si="22"/>
        <v>1012208.996</v>
      </c>
      <c r="H293" s="120">
        <f t="shared" si="23"/>
        <v>0.1917947252</v>
      </c>
      <c r="I293" s="4"/>
      <c r="J293" s="5"/>
      <c r="K293" s="5"/>
      <c r="L293" s="5"/>
      <c r="M293" s="5"/>
      <c r="N293" s="5"/>
      <c r="O293" s="5"/>
      <c r="P293" s="5"/>
      <c r="Q293" s="5"/>
      <c r="R293" s="5"/>
      <c r="S293" s="5"/>
      <c r="T293" s="5"/>
      <c r="U293" s="5"/>
      <c r="V293" s="5"/>
      <c r="W293" s="5"/>
      <c r="X293" s="5"/>
      <c r="Y293" s="5"/>
    </row>
    <row r="294">
      <c r="A294" s="114">
        <v>45808.0</v>
      </c>
      <c r="B294" s="127"/>
      <c r="C294" s="130">
        <f t="shared" si="24"/>
        <v>3190615</v>
      </c>
      <c r="D294" s="131">
        <f t="shared" si="47"/>
        <v>238.7297111</v>
      </c>
      <c r="E294" s="56">
        <v>3948303.6433529975</v>
      </c>
      <c r="F294" s="130">
        <f t="shared" si="21"/>
        <v>-525.647559</v>
      </c>
      <c r="G294" s="119">
        <f t="shared" si="22"/>
        <v>1012734.643</v>
      </c>
      <c r="H294" s="120">
        <f t="shared" si="23"/>
        <v>0.1919023236</v>
      </c>
      <c r="I294" s="4"/>
      <c r="J294" s="5"/>
      <c r="K294" s="5"/>
      <c r="L294" s="5"/>
      <c r="M294" s="5"/>
      <c r="N294" s="5"/>
      <c r="O294" s="5"/>
      <c r="P294" s="5"/>
      <c r="Q294" s="5"/>
      <c r="R294" s="5"/>
      <c r="S294" s="5"/>
      <c r="T294" s="5"/>
      <c r="U294" s="5"/>
      <c r="V294" s="5"/>
      <c r="W294" s="5"/>
      <c r="X294" s="5"/>
      <c r="Y294" s="5"/>
    </row>
    <row r="295">
      <c r="A295" s="114">
        <v>45807.0</v>
      </c>
      <c r="B295" s="127"/>
      <c r="C295" s="130">
        <f t="shared" si="24"/>
        <v>3190615</v>
      </c>
      <c r="D295" s="131">
        <f t="shared" si="47"/>
        <v>238.7297111</v>
      </c>
      <c r="E295" s="56">
        <v>3948829.2909119967</v>
      </c>
      <c r="F295" s="130">
        <f t="shared" si="21"/>
        <v>-5985.647559</v>
      </c>
      <c r="G295" s="119">
        <f t="shared" si="22"/>
        <v>1013260.291</v>
      </c>
      <c r="H295" s="120">
        <f t="shared" si="23"/>
        <v>0.1920098933</v>
      </c>
      <c r="I295" s="4"/>
      <c r="J295" s="5"/>
      <c r="K295" s="5"/>
      <c r="L295" s="5"/>
      <c r="M295" s="5"/>
      <c r="N295" s="5"/>
      <c r="O295" s="5"/>
      <c r="P295" s="5"/>
      <c r="Q295" s="5"/>
      <c r="R295" s="5"/>
      <c r="S295" s="5"/>
      <c r="T295" s="5"/>
      <c r="U295" s="5"/>
      <c r="V295" s="5"/>
      <c r="W295" s="5"/>
      <c r="X295" s="5"/>
      <c r="Y295" s="5"/>
    </row>
    <row r="296">
      <c r="A296" s="114">
        <v>45806.0</v>
      </c>
      <c r="B296" s="127"/>
      <c r="C296" s="130">
        <f t="shared" si="24"/>
        <v>3190615</v>
      </c>
      <c r="D296" s="131">
        <f t="shared" si="47"/>
        <v>238.7297111</v>
      </c>
      <c r="E296" s="56">
        <v>3954814.9384709974</v>
      </c>
      <c r="F296" s="130">
        <f t="shared" si="21"/>
        <v>-16005.64756</v>
      </c>
      <c r="G296" s="119">
        <f t="shared" si="22"/>
        <v>1019245.938</v>
      </c>
      <c r="H296" s="120">
        <f t="shared" si="23"/>
        <v>0.1932327935</v>
      </c>
      <c r="I296" s="4"/>
      <c r="J296" s="5"/>
      <c r="K296" s="5"/>
      <c r="L296" s="5"/>
      <c r="M296" s="5"/>
      <c r="N296" s="5"/>
      <c r="O296" s="5"/>
      <c r="P296" s="5"/>
      <c r="Q296" s="5"/>
      <c r="R296" s="5"/>
      <c r="S296" s="5"/>
      <c r="T296" s="5"/>
      <c r="U296" s="5"/>
      <c r="V296" s="5"/>
      <c r="W296" s="5"/>
      <c r="X296" s="5"/>
      <c r="Y296" s="5"/>
    </row>
    <row r="297">
      <c r="A297" s="114">
        <v>45805.0</v>
      </c>
      <c r="B297" s="127"/>
      <c r="C297" s="130">
        <f t="shared" si="24"/>
        <v>3190615</v>
      </c>
      <c r="D297" s="131">
        <f t="shared" si="47"/>
        <v>238.7297111</v>
      </c>
      <c r="E297" s="56">
        <v>3970820.5860299985</v>
      </c>
      <c r="F297" s="130">
        <f t="shared" si="21"/>
        <v>41514.35244</v>
      </c>
      <c r="G297" s="119">
        <f t="shared" si="22"/>
        <v>1035251.586</v>
      </c>
      <c r="H297" s="120">
        <f t="shared" si="23"/>
        <v>0.1964847238</v>
      </c>
      <c r="I297" s="4"/>
      <c r="J297" s="5"/>
      <c r="K297" s="5"/>
      <c r="L297" s="5"/>
      <c r="M297" s="5"/>
      <c r="N297" s="5"/>
      <c r="O297" s="5"/>
      <c r="P297" s="5"/>
      <c r="Q297" s="5"/>
      <c r="R297" s="5"/>
      <c r="S297" s="5"/>
      <c r="T297" s="5"/>
      <c r="U297" s="5"/>
      <c r="V297" s="5"/>
      <c r="W297" s="5"/>
      <c r="X297" s="5"/>
      <c r="Y297" s="5"/>
    </row>
    <row r="298">
      <c r="A298" s="114">
        <v>45804.0</v>
      </c>
      <c r="B298" s="127"/>
      <c r="C298" s="130">
        <f t="shared" si="24"/>
        <v>3190615</v>
      </c>
      <c r="D298" s="131">
        <f t="shared" si="47"/>
        <v>238.7297111</v>
      </c>
      <c r="E298" s="56">
        <v>3929306.2335889973</v>
      </c>
      <c r="F298" s="130">
        <f t="shared" si="21"/>
        <v>-6945.647559</v>
      </c>
      <c r="G298" s="119">
        <f t="shared" si="22"/>
        <v>993737.2336</v>
      </c>
      <c r="H298" s="120">
        <f t="shared" si="23"/>
        <v>0.1879953329</v>
      </c>
      <c r="I298" s="4"/>
      <c r="J298" s="5"/>
      <c r="K298" s="5"/>
      <c r="L298" s="5"/>
      <c r="M298" s="5"/>
      <c r="N298" s="5"/>
      <c r="O298" s="5"/>
      <c r="P298" s="5"/>
      <c r="Q298" s="5"/>
      <c r="R298" s="5"/>
      <c r="S298" s="5"/>
      <c r="T298" s="5"/>
      <c r="U298" s="5"/>
      <c r="V298" s="5"/>
      <c r="W298" s="5"/>
      <c r="X298" s="5"/>
      <c r="Y298" s="5"/>
    </row>
    <row r="299">
      <c r="A299" s="114">
        <v>45803.0</v>
      </c>
      <c r="B299" s="127"/>
      <c r="C299" s="130">
        <f t="shared" si="24"/>
        <v>3190615</v>
      </c>
      <c r="D299" s="131">
        <f t="shared" si="47"/>
        <v>238.7297111</v>
      </c>
      <c r="E299" s="56">
        <v>3936251.8811479965</v>
      </c>
      <c r="F299" s="130">
        <f t="shared" si="21"/>
        <v>-27005.64756</v>
      </c>
      <c r="G299" s="119">
        <f t="shared" si="22"/>
        <v>1000682.881</v>
      </c>
      <c r="H299" s="120">
        <f t="shared" si="23"/>
        <v>0.1894281422</v>
      </c>
      <c r="I299" s="4"/>
      <c r="J299" s="5"/>
      <c r="K299" s="5"/>
      <c r="L299" s="5"/>
      <c r="M299" s="5"/>
      <c r="N299" s="5"/>
      <c r="O299" s="5"/>
      <c r="P299" s="5"/>
      <c r="Q299" s="5"/>
      <c r="R299" s="5"/>
      <c r="S299" s="5"/>
      <c r="T299" s="5"/>
      <c r="U299" s="5"/>
      <c r="V299" s="5"/>
      <c r="W299" s="5"/>
      <c r="X299" s="5"/>
      <c r="Y299" s="5"/>
    </row>
    <row r="300">
      <c r="A300" s="114">
        <v>45802.0</v>
      </c>
      <c r="B300" s="127"/>
      <c r="C300" s="130">
        <f t="shared" si="24"/>
        <v>3190615</v>
      </c>
      <c r="D300" s="131">
        <f t="shared" si="47"/>
        <v>238.7297111</v>
      </c>
      <c r="E300" s="56">
        <v>3963257.528706998</v>
      </c>
      <c r="F300" s="130">
        <f t="shared" si="21"/>
        <v>-525.647559</v>
      </c>
      <c r="G300" s="119">
        <f t="shared" si="22"/>
        <v>1027688.529</v>
      </c>
      <c r="H300" s="120">
        <f t="shared" si="23"/>
        <v>0.1949513811</v>
      </c>
      <c r="I300" s="4"/>
      <c r="J300" s="5"/>
      <c r="K300" s="5"/>
      <c r="L300" s="5"/>
      <c r="M300" s="5"/>
      <c r="N300" s="5"/>
      <c r="O300" s="5"/>
      <c r="P300" s="5"/>
      <c r="Q300" s="5"/>
      <c r="R300" s="5"/>
      <c r="S300" s="5"/>
      <c r="T300" s="5"/>
      <c r="U300" s="5"/>
      <c r="V300" s="5"/>
      <c r="W300" s="5"/>
      <c r="X300" s="5"/>
      <c r="Y300" s="5"/>
    </row>
    <row r="301">
      <c r="A301" s="114">
        <v>45801.0</v>
      </c>
      <c r="B301" s="127"/>
      <c r="C301" s="130">
        <f t="shared" si="24"/>
        <v>3190615</v>
      </c>
      <c r="D301" s="131">
        <f t="shared" si="47"/>
        <v>238.7297111</v>
      </c>
      <c r="E301" s="56">
        <v>3963783.1762659983</v>
      </c>
      <c r="F301" s="130">
        <f t="shared" si="21"/>
        <v>-525.647559</v>
      </c>
      <c r="G301" s="119">
        <f t="shared" si="22"/>
        <v>1028214.176</v>
      </c>
      <c r="H301" s="120">
        <f t="shared" si="23"/>
        <v>0.1950581406</v>
      </c>
      <c r="I301" s="4"/>
      <c r="J301" s="5"/>
      <c r="K301" s="5"/>
      <c r="L301" s="5"/>
      <c r="M301" s="5"/>
      <c r="N301" s="5"/>
      <c r="O301" s="5"/>
      <c r="P301" s="5"/>
      <c r="Q301" s="5"/>
      <c r="R301" s="5"/>
      <c r="S301" s="5"/>
      <c r="T301" s="5"/>
      <c r="U301" s="5"/>
      <c r="V301" s="5"/>
      <c r="W301" s="5"/>
      <c r="X301" s="5"/>
      <c r="Y301" s="5"/>
    </row>
    <row r="302">
      <c r="A302" s="114">
        <v>45800.0</v>
      </c>
      <c r="B302" s="127"/>
      <c r="C302" s="130">
        <f t="shared" si="24"/>
        <v>3190615</v>
      </c>
      <c r="D302" s="131">
        <f t="shared" si="47"/>
        <v>238.7297111</v>
      </c>
      <c r="E302" s="56">
        <v>3964308.823824998</v>
      </c>
      <c r="F302" s="130">
        <f t="shared" si="21"/>
        <v>-53145.64756</v>
      </c>
      <c r="G302" s="119">
        <f t="shared" si="22"/>
        <v>1028739.824</v>
      </c>
      <c r="H302" s="120">
        <f t="shared" si="23"/>
        <v>0.1951648719</v>
      </c>
      <c r="I302" s="4"/>
      <c r="J302" s="5"/>
      <c r="K302" s="5"/>
      <c r="L302" s="5"/>
      <c r="M302" s="5"/>
      <c r="N302" s="5"/>
      <c r="O302" s="5"/>
      <c r="P302" s="5"/>
      <c r="Q302" s="5"/>
      <c r="R302" s="5"/>
      <c r="S302" s="5"/>
      <c r="T302" s="5"/>
      <c r="U302" s="5"/>
      <c r="V302" s="5"/>
      <c r="W302" s="5"/>
      <c r="X302" s="5"/>
      <c r="Y302" s="5"/>
    </row>
    <row r="303">
      <c r="A303" s="114">
        <v>45799.0</v>
      </c>
      <c r="B303" s="127"/>
      <c r="C303" s="130">
        <f t="shared" si="24"/>
        <v>3190615</v>
      </c>
      <c r="D303" s="131">
        <f t="shared" si="47"/>
        <v>238.7297111</v>
      </c>
      <c r="E303" s="56">
        <v>4017454.4713839972</v>
      </c>
      <c r="F303" s="130">
        <f t="shared" si="21"/>
        <v>37579.35244</v>
      </c>
      <c r="G303" s="119">
        <f t="shared" si="22"/>
        <v>1081885.471</v>
      </c>
      <c r="H303" s="120">
        <f t="shared" si="23"/>
        <v>0.2058117839</v>
      </c>
      <c r="I303" s="4"/>
      <c r="J303" s="5"/>
      <c r="K303" s="5"/>
      <c r="L303" s="5"/>
      <c r="M303" s="5"/>
      <c r="N303" s="5"/>
      <c r="O303" s="5"/>
      <c r="P303" s="5"/>
      <c r="Q303" s="5"/>
      <c r="R303" s="5"/>
      <c r="S303" s="5"/>
      <c r="T303" s="5"/>
      <c r="U303" s="5"/>
      <c r="V303" s="5"/>
      <c r="W303" s="5"/>
      <c r="X303" s="5"/>
      <c r="Y303" s="5"/>
    </row>
    <row r="304">
      <c r="A304" s="114">
        <v>45798.0</v>
      </c>
      <c r="B304" s="127"/>
      <c r="C304" s="130">
        <f t="shared" si="24"/>
        <v>3190615</v>
      </c>
      <c r="D304" s="131">
        <f t="shared" si="47"/>
        <v>238.7297111</v>
      </c>
      <c r="E304" s="56">
        <v>3979875.118942998</v>
      </c>
      <c r="F304" s="130">
        <f t="shared" si="21"/>
        <v>-48655.64756</v>
      </c>
      <c r="G304" s="119">
        <f t="shared" si="22"/>
        <v>1044306.119</v>
      </c>
      <c r="H304" s="120">
        <f t="shared" si="23"/>
        <v>0.198312785</v>
      </c>
      <c r="I304" s="4"/>
      <c r="J304" s="5"/>
      <c r="K304" s="5"/>
      <c r="L304" s="5"/>
      <c r="M304" s="5"/>
      <c r="N304" s="5"/>
      <c r="O304" s="5"/>
      <c r="P304" s="5"/>
      <c r="Q304" s="5"/>
      <c r="R304" s="5"/>
      <c r="S304" s="5"/>
      <c r="T304" s="5"/>
      <c r="U304" s="5"/>
      <c r="V304" s="5"/>
      <c r="W304" s="5"/>
      <c r="X304" s="5"/>
      <c r="Y304" s="5"/>
    </row>
    <row r="305">
      <c r="A305" s="114">
        <v>45797.0</v>
      </c>
      <c r="B305" s="127"/>
      <c r="C305" s="130">
        <f t="shared" si="24"/>
        <v>3190615</v>
      </c>
      <c r="D305" s="131">
        <f t="shared" si="47"/>
        <v>238.7297111</v>
      </c>
      <c r="E305" s="56">
        <v>4028530.766501999</v>
      </c>
      <c r="F305" s="130">
        <f t="shared" si="21"/>
        <v>-34685.64756</v>
      </c>
      <c r="G305" s="119">
        <f t="shared" si="22"/>
        <v>1092961.767</v>
      </c>
      <c r="H305" s="120">
        <f t="shared" si="23"/>
        <v>0.2079953748</v>
      </c>
      <c r="I305" s="4"/>
      <c r="J305" s="5"/>
      <c r="K305" s="5"/>
      <c r="L305" s="5"/>
      <c r="M305" s="5"/>
      <c r="N305" s="5"/>
      <c r="O305" s="5"/>
      <c r="P305" s="5"/>
      <c r="Q305" s="5"/>
      <c r="R305" s="5"/>
      <c r="S305" s="5"/>
      <c r="T305" s="5"/>
      <c r="U305" s="5"/>
      <c r="V305" s="5"/>
      <c r="W305" s="5"/>
      <c r="X305" s="5"/>
      <c r="Y305" s="5"/>
    </row>
    <row r="306">
      <c r="A306" s="114">
        <v>45796.0</v>
      </c>
      <c r="B306" s="127"/>
      <c r="C306" s="130">
        <f t="shared" si="24"/>
        <v>3190615</v>
      </c>
      <c r="D306" s="131">
        <f t="shared" si="47"/>
        <v>238.7297111</v>
      </c>
      <c r="E306" s="56">
        <v>4063216.4140609987</v>
      </c>
      <c r="F306" s="130">
        <f t="shared" si="21"/>
        <v>-31690.64756</v>
      </c>
      <c r="G306" s="119">
        <f t="shared" si="22"/>
        <v>1127647.414</v>
      </c>
      <c r="H306" s="120">
        <f t="shared" si="23"/>
        <v>0.2147563224</v>
      </c>
      <c r="I306" s="4"/>
      <c r="J306" s="5"/>
      <c r="K306" s="5"/>
      <c r="L306" s="5"/>
      <c r="M306" s="5"/>
      <c r="N306" s="5"/>
      <c r="O306" s="5"/>
      <c r="P306" s="5"/>
      <c r="Q306" s="5"/>
      <c r="R306" s="5"/>
      <c r="S306" s="5"/>
      <c r="T306" s="5"/>
      <c r="U306" s="5"/>
      <c r="V306" s="5"/>
      <c r="W306" s="5"/>
      <c r="X306" s="5"/>
      <c r="Y306" s="5"/>
    </row>
    <row r="307">
      <c r="A307" s="114">
        <v>45795.0</v>
      </c>
      <c r="B307" s="127"/>
      <c r="C307" s="130">
        <f t="shared" si="24"/>
        <v>3190615</v>
      </c>
      <c r="D307" s="131">
        <f t="shared" si="47"/>
        <v>238.7297111</v>
      </c>
      <c r="E307" s="56">
        <v>4094907.061619997</v>
      </c>
      <c r="F307" s="130">
        <f t="shared" si="21"/>
        <v>-525.647559</v>
      </c>
      <c r="G307" s="119">
        <f t="shared" si="22"/>
        <v>1159338.062</v>
      </c>
      <c r="H307" s="120">
        <f t="shared" si="23"/>
        <v>0.2208333542</v>
      </c>
      <c r="I307" s="4"/>
      <c r="J307" s="5"/>
      <c r="K307" s="5"/>
      <c r="L307" s="5"/>
      <c r="M307" s="5"/>
      <c r="N307" s="5"/>
      <c r="O307" s="5"/>
      <c r="P307" s="5"/>
      <c r="Q307" s="5"/>
      <c r="R307" s="5"/>
      <c r="S307" s="5"/>
      <c r="T307" s="5"/>
      <c r="U307" s="5"/>
      <c r="V307" s="5"/>
      <c r="W307" s="5"/>
      <c r="X307" s="5"/>
      <c r="Y307" s="5"/>
    </row>
    <row r="308">
      <c r="A308" s="114">
        <v>45794.0</v>
      </c>
      <c r="B308" s="127"/>
      <c r="C308" s="130">
        <f t="shared" si="24"/>
        <v>3190615</v>
      </c>
      <c r="D308" s="131">
        <f t="shared" si="47"/>
        <v>238.7297111</v>
      </c>
      <c r="E308" s="56">
        <v>4095432.7091789986</v>
      </c>
      <c r="F308" s="130">
        <f t="shared" si="21"/>
        <v>-525.647559</v>
      </c>
      <c r="G308" s="119">
        <f t="shared" si="22"/>
        <v>1159863.709</v>
      </c>
      <c r="H308" s="120">
        <f t="shared" si="23"/>
        <v>0.22093336</v>
      </c>
      <c r="I308" s="4"/>
      <c r="J308" s="5"/>
      <c r="K308" s="5"/>
      <c r="L308" s="5"/>
      <c r="M308" s="5"/>
      <c r="N308" s="5"/>
      <c r="O308" s="5"/>
      <c r="P308" s="5"/>
      <c r="Q308" s="5"/>
      <c r="R308" s="5"/>
      <c r="S308" s="5"/>
      <c r="T308" s="5"/>
      <c r="U308" s="5"/>
      <c r="V308" s="5"/>
      <c r="W308" s="5"/>
      <c r="X308" s="5"/>
      <c r="Y308" s="5"/>
    </row>
    <row r="309">
      <c r="A309" s="114">
        <v>45793.0</v>
      </c>
      <c r="B309" s="127"/>
      <c r="C309" s="130">
        <f t="shared" si="24"/>
        <v>3190615</v>
      </c>
      <c r="D309" s="131">
        <f t="shared" si="47"/>
        <v>238.7297111</v>
      </c>
      <c r="E309" s="56">
        <v>4095958.356737999</v>
      </c>
      <c r="F309" s="130">
        <f t="shared" si="21"/>
        <v>8744.352441</v>
      </c>
      <c r="G309" s="119">
        <f t="shared" si="22"/>
        <v>1160389.357</v>
      </c>
      <c r="H309" s="120">
        <f t="shared" si="23"/>
        <v>0.2210333402</v>
      </c>
      <c r="I309" s="4"/>
      <c r="J309" s="5"/>
      <c r="K309" s="5"/>
      <c r="L309" s="5"/>
      <c r="M309" s="5"/>
      <c r="N309" s="5"/>
      <c r="O309" s="5"/>
      <c r="P309" s="5"/>
      <c r="Q309" s="5"/>
      <c r="R309" s="5"/>
      <c r="S309" s="5"/>
      <c r="T309" s="5"/>
      <c r="U309" s="5"/>
      <c r="V309" s="5"/>
      <c r="W309" s="5"/>
      <c r="X309" s="5"/>
      <c r="Y309" s="5"/>
    </row>
    <row r="310">
      <c r="A310" s="114">
        <v>45792.0</v>
      </c>
      <c r="B310" s="127"/>
      <c r="C310" s="130">
        <f t="shared" si="24"/>
        <v>3190615</v>
      </c>
      <c r="D310" s="131">
        <f t="shared" si="47"/>
        <v>238.7297111</v>
      </c>
      <c r="E310" s="56">
        <v>4087214.0042969985</v>
      </c>
      <c r="F310" s="130">
        <f t="shared" si="21"/>
        <v>-36181.39226</v>
      </c>
      <c r="G310" s="119">
        <f t="shared" si="22"/>
        <v>1151645.004</v>
      </c>
      <c r="H310" s="120">
        <f t="shared" si="23"/>
        <v>0.2193667871</v>
      </c>
      <c r="I310" s="4"/>
      <c r="J310" s="5"/>
      <c r="K310" s="5"/>
      <c r="L310" s="5"/>
      <c r="M310" s="5"/>
      <c r="N310" s="5"/>
      <c r="O310" s="5"/>
      <c r="P310" s="5"/>
      <c r="Q310" s="5"/>
      <c r="R310" s="5"/>
      <c r="S310" s="5"/>
      <c r="T310" s="5"/>
      <c r="U310" s="5"/>
      <c r="V310" s="5"/>
      <c r="W310" s="5"/>
      <c r="X310" s="5"/>
      <c r="Y310" s="5"/>
    </row>
    <row r="311">
      <c r="A311" s="114">
        <v>45791.0</v>
      </c>
      <c r="B311" s="127"/>
      <c r="C311" s="130">
        <f t="shared" si="24"/>
        <v>3190615</v>
      </c>
      <c r="D311" s="131">
        <f t="shared" si="47"/>
        <v>238.7297111</v>
      </c>
      <c r="E311" s="56">
        <v>4123395.3965559974</v>
      </c>
      <c r="F311" s="130">
        <f t="shared" si="21"/>
        <v>38858.60774</v>
      </c>
      <c r="G311" s="119">
        <f t="shared" si="22"/>
        <v>1187826.397</v>
      </c>
      <c r="H311" s="120">
        <f t="shared" si="23"/>
        <v>0.226216578</v>
      </c>
      <c r="I311" s="4"/>
      <c r="J311" s="5"/>
      <c r="K311" s="5"/>
      <c r="L311" s="5"/>
      <c r="M311" s="5"/>
      <c r="N311" s="5"/>
      <c r="O311" s="5"/>
      <c r="P311" s="5"/>
      <c r="Q311" s="5"/>
      <c r="R311" s="5"/>
      <c r="S311" s="5"/>
      <c r="T311" s="5"/>
      <c r="U311" s="5"/>
      <c r="V311" s="5"/>
      <c r="W311" s="5"/>
      <c r="X311" s="5"/>
      <c r="Y311" s="5"/>
    </row>
    <row r="312">
      <c r="A312" s="114">
        <v>45790.0</v>
      </c>
      <c r="B312" s="127"/>
      <c r="C312" s="130">
        <f t="shared" si="24"/>
        <v>3190615</v>
      </c>
      <c r="D312" s="131">
        <f t="shared" si="47"/>
        <v>238.7297111</v>
      </c>
      <c r="E312" s="56">
        <v>4084536.7888149987</v>
      </c>
      <c r="F312" s="130">
        <f t="shared" si="21"/>
        <v>108108.6077</v>
      </c>
      <c r="G312" s="119">
        <f t="shared" si="22"/>
        <v>1148967.789</v>
      </c>
      <c r="H312" s="120">
        <f t="shared" si="23"/>
        <v>0.2188551199</v>
      </c>
      <c r="I312" s="4"/>
      <c r="J312" s="5"/>
      <c r="K312" s="5"/>
      <c r="L312" s="5"/>
      <c r="M312" s="5"/>
      <c r="N312" s="5"/>
      <c r="O312" s="5"/>
      <c r="P312" s="5"/>
      <c r="Q312" s="5"/>
      <c r="R312" s="5"/>
      <c r="S312" s="5"/>
      <c r="T312" s="5"/>
      <c r="U312" s="5"/>
      <c r="V312" s="5"/>
      <c r="W312" s="5"/>
      <c r="X312" s="5"/>
      <c r="Y312" s="5"/>
    </row>
    <row r="313">
      <c r="A313" s="114">
        <v>45789.0</v>
      </c>
      <c r="B313" s="127"/>
      <c r="C313" s="130">
        <f t="shared" si="24"/>
        <v>3190615</v>
      </c>
      <c r="D313" s="131">
        <f t="shared" si="47"/>
        <v>238.7297111</v>
      </c>
      <c r="E313" s="56">
        <v>3976428.1810739995</v>
      </c>
      <c r="F313" s="130">
        <f t="shared" si="21"/>
        <v>69448.60774</v>
      </c>
      <c r="G313" s="119">
        <f t="shared" si="22"/>
        <v>1040859.181</v>
      </c>
      <c r="H313" s="120">
        <f t="shared" si="23"/>
        <v>0.1976178483</v>
      </c>
      <c r="I313" s="4"/>
      <c r="J313" s="5"/>
      <c r="K313" s="5"/>
      <c r="L313" s="5"/>
      <c r="M313" s="5"/>
      <c r="N313" s="5"/>
      <c r="O313" s="5"/>
      <c r="P313" s="5"/>
      <c r="Q313" s="5"/>
      <c r="R313" s="5"/>
      <c r="S313" s="5"/>
      <c r="T313" s="5"/>
      <c r="U313" s="5"/>
      <c r="V313" s="5"/>
      <c r="W313" s="5"/>
      <c r="X313" s="5"/>
      <c r="Y313" s="5"/>
    </row>
    <row r="314">
      <c r="A314" s="114">
        <v>45788.0</v>
      </c>
      <c r="B314" s="127"/>
      <c r="C314" s="130">
        <f t="shared" si="24"/>
        <v>3190615</v>
      </c>
      <c r="D314" s="131">
        <f t="shared" si="47"/>
        <v>238.7297111</v>
      </c>
      <c r="E314" s="56">
        <v>3906979.573332999</v>
      </c>
      <c r="F314" s="130">
        <f t="shared" si="21"/>
        <v>-2121.392259</v>
      </c>
      <c r="G314" s="119">
        <f t="shared" si="22"/>
        <v>971410.5733</v>
      </c>
      <c r="H314" s="120">
        <f t="shared" si="23"/>
        <v>0.1833550854</v>
      </c>
      <c r="I314" s="4"/>
      <c r="J314" s="5"/>
      <c r="K314" s="5"/>
      <c r="L314" s="5"/>
      <c r="M314" s="5"/>
      <c r="N314" s="5"/>
      <c r="O314" s="5"/>
      <c r="P314" s="5"/>
      <c r="Q314" s="5"/>
      <c r="R314" s="5"/>
      <c r="S314" s="5"/>
      <c r="T314" s="5"/>
      <c r="U314" s="5"/>
      <c r="V314" s="5"/>
      <c r="W314" s="5"/>
      <c r="X314" s="5"/>
      <c r="Y314" s="5"/>
    </row>
    <row r="315">
      <c r="A315" s="114">
        <v>45787.0</v>
      </c>
      <c r="B315" s="127"/>
      <c r="C315" s="130">
        <f t="shared" si="24"/>
        <v>3190615</v>
      </c>
      <c r="D315" s="131">
        <f t="shared" si="47"/>
        <v>238.7297111</v>
      </c>
      <c r="E315" s="56">
        <v>3909100.965591998</v>
      </c>
      <c r="F315" s="130">
        <f t="shared" si="21"/>
        <v>-2121.392259</v>
      </c>
      <c r="G315" s="119">
        <f t="shared" si="22"/>
        <v>973531.9656</v>
      </c>
      <c r="H315" s="120">
        <f t="shared" si="23"/>
        <v>0.1837982625</v>
      </c>
      <c r="I315" s="4"/>
      <c r="J315" s="5"/>
      <c r="K315" s="5"/>
      <c r="L315" s="5"/>
      <c r="M315" s="5"/>
      <c r="N315" s="5"/>
      <c r="O315" s="5"/>
      <c r="P315" s="5"/>
      <c r="Q315" s="5"/>
      <c r="R315" s="5"/>
      <c r="S315" s="5"/>
      <c r="T315" s="5"/>
      <c r="U315" s="5"/>
      <c r="V315" s="5"/>
      <c r="W315" s="5"/>
      <c r="X315" s="5"/>
      <c r="Y315" s="5"/>
    </row>
    <row r="316">
      <c r="A316" s="114">
        <v>45786.0</v>
      </c>
      <c r="B316" s="127"/>
      <c r="C316" s="130">
        <f t="shared" si="24"/>
        <v>3190615</v>
      </c>
      <c r="D316" s="131">
        <f t="shared" si="47"/>
        <v>238.7297111</v>
      </c>
      <c r="E316" s="56">
        <v>3911222.357850999</v>
      </c>
      <c r="F316" s="130">
        <f t="shared" si="21"/>
        <v>20738.60774</v>
      </c>
      <c r="G316" s="119">
        <f t="shared" si="22"/>
        <v>975653.3579</v>
      </c>
      <c r="H316" s="120">
        <f t="shared" si="23"/>
        <v>0.1842409589</v>
      </c>
      <c r="I316" s="4"/>
      <c r="J316" s="5"/>
      <c r="K316" s="5"/>
      <c r="L316" s="5"/>
      <c r="M316" s="5"/>
      <c r="N316" s="5"/>
      <c r="O316" s="5"/>
      <c r="P316" s="5"/>
      <c r="Q316" s="5"/>
      <c r="R316" s="5"/>
      <c r="S316" s="5"/>
      <c r="T316" s="5"/>
      <c r="U316" s="5"/>
      <c r="V316" s="5"/>
      <c r="W316" s="5"/>
      <c r="X316" s="5"/>
      <c r="Y316" s="5"/>
    </row>
    <row r="317">
      <c r="A317" s="114">
        <v>45785.0</v>
      </c>
      <c r="B317" s="128">
        <v>85726.0</v>
      </c>
      <c r="C317" s="130">
        <f t="shared" si="24"/>
        <v>3190615</v>
      </c>
      <c r="D317" s="131">
        <f t="shared" si="47"/>
        <v>238.7297111</v>
      </c>
      <c r="E317" s="56">
        <f>3804757.75011+B317</f>
        <v>3890483.75</v>
      </c>
      <c r="F317" s="130">
        <f t="shared" si="21"/>
        <v>60048.60774</v>
      </c>
      <c r="G317" s="119">
        <f t="shared" si="22"/>
        <v>954914.7501</v>
      </c>
      <c r="H317" s="120">
        <f t="shared" si="23"/>
        <v>0.1798924748</v>
      </c>
      <c r="I317" s="4"/>
      <c r="J317" s="5"/>
      <c r="K317" s="5"/>
      <c r="L317" s="5"/>
      <c r="M317" s="5"/>
      <c r="N317" s="5"/>
      <c r="O317" s="5"/>
      <c r="P317" s="5"/>
      <c r="Q317" s="5"/>
      <c r="R317" s="5"/>
      <c r="S317" s="5"/>
      <c r="T317" s="5"/>
      <c r="U317" s="5"/>
      <c r="V317" s="5"/>
      <c r="W317" s="5"/>
      <c r="X317" s="5"/>
      <c r="Y317" s="5"/>
    </row>
    <row r="318">
      <c r="A318" s="114">
        <v>45784.0</v>
      </c>
      <c r="B318" s="127"/>
      <c r="C318" s="130">
        <f t="shared" si="24"/>
        <v>3104889</v>
      </c>
      <c r="D318" s="131">
        <f t="shared" ref="D318:D334" si="48">210.124911099241+8.48693+1.41387+35.69908-22.25544</f>
        <v>233.4693511</v>
      </c>
      <c r="E318" s="56">
        <v>3744709.1423689993</v>
      </c>
      <c r="F318" s="130">
        <f t="shared" si="21"/>
        <v>106318.6077</v>
      </c>
      <c r="G318" s="119">
        <f t="shared" si="22"/>
        <v>894866.1424</v>
      </c>
      <c r="H318" s="120">
        <f t="shared" si="23"/>
        <v>0.1708597699</v>
      </c>
      <c r="I318" s="4"/>
      <c r="J318" s="5"/>
      <c r="K318" s="5"/>
      <c r="L318" s="5"/>
      <c r="M318" s="5"/>
      <c r="N318" s="5"/>
      <c r="O318" s="5"/>
      <c r="P318" s="5"/>
      <c r="Q318" s="5"/>
      <c r="R318" s="5"/>
      <c r="S318" s="5"/>
      <c r="T318" s="5"/>
      <c r="U318" s="5"/>
      <c r="V318" s="5"/>
      <c r="W318" s="5"/>
      <c r="X318" s="5"/>
      <c r="Y318" s="5"/>
    </row>
    <row r="319">
      <c r="A319" s="114">
        <v>45783.0</v>
      </c>
      <c r="B319" s="127"/>
      <c r="C319" s="130">
        <f t="shared" si="24"/>
        <v>3104889</v>
      </c>
      <c r="D319" s="131">
        <f t="shared" si="48"/>
        <v>233.4693511</v>
      </c>
      <c r="E319" s="56">
        <v>3638390.5346279982</v>
      </c>
      <c r="F319" s="130">
        <f t="shared" si="21"/>
        <v>29873.60774</v>
      </c>
      <c r="G319" s="119">
        <f t="shared" si="22"/>
        <v>788547.5346</v>
      </c>
      <c r="H319" s="120">
        <f t="shared" si="23"/>
        <v>0.1466311902</v>
      </c>
      <c r="I319" s="4"/>
      <c r="J319" s="5"/>
      <c r="K319" s="5"/>
      <c r="L319" s="5"/>
      <c r="M319" s="5"/>
      <c r="N319" s="5"/>
      <c r="O319" s="5"/>
      <c r="P319" s="5"/>
      <c r="Q319" s="5"/>
      <c r="R319" s="5"/>
      <c r="S319" s="5"/>
      <c r="T319" s="5"/>
      <c r="U319" s="5"/>
      <c r="V319" s="5"/>
      <c r="W319" s="5"/>
      <c r="X319" s="5"/>
      <c r="Y319" s="5"/>
    </row>
    <row r="320">
      <c r="A320" s="114">
        <v>45782.0</v>
      </c>
      <c r="B320" s="127"/>
      <c r="C320" s="130">
        <f t="shared" si="24"/>
        <v>3104889</v>
      </c>
      <c r="D320" s="131">
        <f t="shared" si="48"/>
        <v>233.4693511</v>
      </c>
      <c r="E320" s="56">
        <v>3608516.9268869995</v>
      </c>
      <c r="F320" s="130">
        <f t="shared" si="21"/>
        <v>19718.60774</v>
      </c>
      <c r="G320" s="119">
        <f t="shared" si="22"/>
        <v>758673.9269</v>
      </c>
      <c r="H320" s="120">
        <f t="shared" si="23"/>
        <v>0.1395664582</v>
      </c>
      <c r="I320" s="4"/>
      <c r="J320" s="5"/>
      <c r="K320" s="5"/>
      <c r="L320" s="5"/>
      <c r="M320" s="5"/>
      <c r="N320" s="5"/>
      <c r="O320" s="5"/>
      <c r="P320" s="5"/>
      <c r="Q320" s="5"/>
      <c r="R320" s="5"/>
      <c r="S320" s="5"/>
      <c r="T320" s="5"/>
      <c r="U320" s="5"/>
      <c r="V320" s="5"/>
      <c r="W320" s="5"/>
      <c r="X320" s="5"/>
      <c r="Y320" s="5"/>
    </row>
    <row r="321">
      <c r="A321" s="114">
        <v>45781.0</v>
      </c>
      <c r="B321" s="127"/>
      <c r="C321" s="130">
        <f t="shared" si="24"/>
        <v>3104889</v>
      </c>
      <c r="D321" s="131">
        <f t="shared" si="48"/>
        <v>233.4693511</v>
      </c>
      <c r="E321" s="56">
        <v>3588798.3191460003</v>
      </c>
      <c r="F321" s="130">
        <f t="shared" si="21"/>
        <v>-1421.392259</v>
      </c>
      <c r="G321" s="119">
        <f t="shared" si="22"/>
        <v>738955.3191</v>
      </c>
      <c r="H321" s="120">
        <f t="shared" si="23"/>
        <v>0.1348388168</v>
      </c>
      <c r="I321" s="4"/>
      <c r="J321" s="5"/>
      <c r="K321" s="5"/>
      <c r="L321" s="5"/>
      <c r="M321" s="5"/>
      <c r="N321" s="5"/>
      <c r="O321" s="5"/>
      <c r="P321" s="5"/>
      <c r="Q321" s="5"/>
      <c r="R321" s="5"/>
      <c r="S321" s="5"/>
      <c r="T321" s="5"/>
      <c r="U321" s="5"/>
      <c r="V321" s="5"/>
      <c r="W321" s="5"/>
      <c r="X321" s="5"/>
      <c r="Y321" s="5"/>
    </row>
    <row r="322">
      <c r="A322" s="114">
        <v>45780.0</v>
      </c>
      <c r="B322" s="127"/>
      <c r="C322" s="130">
        <f t="shared" si="24"/>
        <v>3104889</v>
      </c>
      <c r="D322" s="131">
        <f t="shared" si="48"/>
        <v>233.4693511</v>
      </c>
      <c r="E322" s="56">
        <v>3590219.7114049997</v>
      </c>
      <c r="F322" s="130">
        <f t="shared" si="21"/>
        <v>-1421.392259</v>
      </c>
      <c r="G322" s="119">
        <f t="shared" si="22"/>
        <v>740376.7114</v>
      </c>
      <c r="H322" s="120">
        <f t="shared" si="23"/>
        <v>0.13518134</v>
      </c>
      <c r="I322" s="4"/>
      <c r="J322" s="5"/>
      <c r="K322" s="5"/>
      <c r="L322" s="5"/>
      <c r="M322" s="5"/>
      <c r="N322" s="5"/>
      <c r="O322" s="5"/>
      <c r="P322" s="5"/>
      <c r="Q322" s="5"/>
      <c r="R322" s="5"/>
      <c r="S322" s="5"/>
      <c r="T322" s="5"/>
      <c r="U322" s="5"/>
      <c r="V322" s="5"/>
      <c r="W322" s="5"/>
      <c r="X322" s="5"/>
      <c r="Y322" s="5"/>
    </row>
    <row r="323">
      <c r="A323" s="114">
        <v>45779.0</v>
      </c>
      <c r="B323" s="127"/>
      <c r="C323" s="130">
        <f t="shared" si="24"/>
        <v>3104889</v>
      </c>
      <c r="D323" s="131">
        <f t="shared" si="48"/>
        <v>233.4693511</v>
      </c>
      <c r="E323" s="56">
        <v>3591641.1036639987</v>
      </c>
      <c r="F323" s="130">
        <f t="shared" si="21"/>
        <v>23028.60774</v>
      </c>
      <c r="G323" s="119">
        <f t="shared" si="22"/>
        <v>741798.1037</v>
      </c>
      <c r="H323" s="120">
        <f t="shared" si="23"/>
        <v>0.135523592</v>
      </c>
      <c r="I323" s="4"/>
      <c r="J323" s="5"/>
      <c r="K323" s="5"/>
      <c r="L323" s="5"/>
      <c r="M323" s="5"/>
      <c r="N323" s="5"/>
      <c r="O323" s="5"/>
      <c r="P323" s="5"/>
      <c r="Q323" s="5"/>
      <c r="R323" s="5"/>
      <c r="S323" s="5"/>
      <c r="T323" s="5"/>
      <c r="U323" s="5"/>
      <c r="V323" s="5"/>
      <c r="W323" s="5"/>
      <c r="X323" s="5"/>
      <c r="Y323" s="5"/>
    </row>
    <row r="324">
      <c r="A324" s="114">
        <v>45778.0</v>
      </c>
      <c r="B324" s="127"/>
      <c r="C324" s="130">
        <f t="shared" si="24"/>
        <v>3104889</v>
      </c>
      <c r="D324" s="131">
        <f t="shared" si="48"/>
        <v>233.4693511</v>
      </c>
      <c r="E324" s="56">
        <v>3568612.495923</v>
      </c>
      <c r="F324" s="130">
        <f t="shared" si="21"/>
        <v>-1762.910259</v>
      </c>
      <c r="G324" s="119">
        <f t="shared" si="22"/>
        <v>718769.4959</v>
      </c>
      <c r="H324" s="120">
        <f t="shared" si="23"/>
        <v>0.1299450407</v>
      </c>
      <c r="I324" s="4"/>
      <c r="J324" s="5"/>
      <c r="K324" s="5"/>
      <c r="L324" s="5"/>
      <c r="M324" s="5"/>
      <c r="N324" s="5"/>
      <c r="O324" s="5"/>
      <c r="P324" s="5"/>
      <c r="Q324" s="5"/>
      <c r="R324" s="5"/>
      <c r="S324" s="5"/>
      <c r="T324" s="5"/>
      <c r="U324" s="5"/>
      <c r="V324" s="5"/>
      <c r="W324" s="5"/>
      <c r="X324" s="5"/>
      <c r="Y324" s="5"/>
    </row>
    <row r="325">
      <c r="A325" s="114">
        <v>45777.0</v>
      </c>
      <c r="B325" s="127"/>
      <c r="C325" s="130">
        <f t="shared" si="24"/>
        <v>3104889</v>
      </c>
      <c r="D325" s="131">
        <f t="shared" si="48"/>
        <v>233.4693511</v>
      </c>
      <c r="E325" s="56">
        <v>3570375.406182002</v>
      </c>
      <c r="F325" s="130">
        <f t="shared" si="21"/>
        <v>-54331.42626</v>
      </c>
      <c r="G325" s="119">
        <f t="shared" si="22"/>
        <v>720532.4062</v>
      </c>
      <c r="H325" s="120">
        <f t="shared" si="23"/>
        <v>0.1303746394</v>
      </c>
      <c r="I325" s="4"/>
      <c r="J325" s="5"/>
      <c r="K325" s="5"/>
      <c r="L325" s="5"/>
      <c r="M325" s="5"/>
      <c r="N325" s="5"/>
      <c r="O325" s="5"/>
      <c r="P325" s="5"/>
      <c r="Q325" s="5"/>
      <c r="R325" s="5"/>
      <c r="S325" s="5"/>
      <c r="T325" s="5"/>
      <c r="U325" s="5"/>
      <c r="V325" s="5"/>
      <c r="W325" s="5"/>
      <c r="X325" s="5"/>
      <c r="Y325" s="5"/>
    </row>
    <row r="326">
      <c r="A326" s="114">
        <v>45776.0</v>
      </c>
      <c r="B326" s="127"/>
      <c r="C326" s="130">
        <f t="shared" si="24"/>
        <v>3104889</v>
      </c>
      <c r="D326" s="131">
        <f t="shared" si="48"/>
        <v>233.4693511</v>
      </c>
      <c r="E326" s="56">
        <v>3624706.832441001</v>
      </c>
      <c r="F326" s="130">
        <f t="shared" si="21"/>
        <v>13564.24644</v>
      </c>
      <c r="G326" s="119">
        <f t="shared" si="22"/>
        <v>774863.8324</v>
      </c>
      <c r="H326" s="120">
        <f t="shared" si="23"/>
        <v>0.1434096208</v>
      </c>
      <c r="I326" s="4"/>
      <c r="J326" s="5"/>
      <c r="K326" s="5"/>
      <c r="L326" s="5"/>
      <c r="M326" s="5"/>
      <c r="N326" s="5"/>
      <c r="O326" s="5"/>
      <c r="P326" s="5"/>
      <c r="Q326" s="5"/>
      <c r="R326" s="5"/>
      <c r="S326" s="5"/>
      <c r="T326" s="5"/>
      <c r="U326" s="5"/>
      <c r="V326" s="5"/>
      <c r="W326" s="5"/>
      <c r="X326" s="5"/>
      <c r="Y326" s="5"/>
    </row>
    <row r="327">
      <c r="A327" s="114">
        <v>45775.0</v>
      </c>
      <c r="B327" s="127"/>
      <c r="C327" s="130">
        <f t="shared" si="24"/>
        <v>3104889</v>
      </c>
      <c r="D327" s="131">
        <f t="shared" si="48"/>
        <v>233.4693511</v>
      </c>
      <c r="E327" s="56">
        <v>3611142.5860000006</v>
      </c>
      <c r="F327" s="130">
        <f t="shared" si="21"/>
        <v>9457.966</v>
      </c>
      <c r="G327" s="119">
        <f t="shared" si="22"/>
        <v>761299.586</v>
      </c>
      <c r="H327" s="120">
        <f t="shared" si="23"/>
        <v>0.1401920788</v>
      </c>
      <c r="I327" s="4"/>
      <c r="J327" s="5"/>
      <c r="K327" s="5"/>
      <c r="L327" s="5"/>
      <c r="M327" s="5"/>
      <c r="N327" s="5"/>
      <c r="O327" s="5"/>
      <c r="P327" s="5"/>
      <c r="Q327" s="5"/>
      <c r="R327" s="5"/>
      <c r="S327" s="5"/>
      <c r="T327" s="5"/>
      <c r="U327" s="5"/>
      <c r="V327" s="5"/>
      <c r="W327" s="5"/>
      <c r="X327" s="5"/>
      <c r="Y327" s="5"/>
    </row>
    <row r="328">
      <c r="A328" s="114">
        <v>45774.0</v>
      </c>
      <c r="B328" s="127"/>
      <c r="C328" s="130">
        <f t="shared" si="24"/>
        <v>3104889</v>
      </c>
      <c r="D328" s="131">
        <f t="shared" si="48"/>
        <v>233.4693511</v>
      </c>
      <c r="E328" s="56">
        <v>3601684.6200000006</v>
      </c>
      <c r="F328" s="130">
        <f t="shared" si="21"/>
        <v>677.966</v>
      </c>
      <c r="G328" s="119">
        <f t="shared" si="22"/>
        <v>751841.62</v>
      </c>
      <c r="H328" s="120">
        <f t="shared" si="23"/>
        <v>0.137934237</v>
      </c>
      <c r="I328" s="4"/>
      <c r="J328" s="5"/>
      <c r="K328" s="5"/>
      <c r="L328" s="5"/>
      <c r="M328" s="5"/>
      <c r="N328" s="5"/>
      <c r="O328" s="5"/>
      <c r="P328" s="5"/>
      <c r="Q328" s="5"/>
      <c r="R328" s="5"/>
      <c r="S328" s="5"/>
      <c r="T328" s="5"/>
      <c r="U328" s="5"/>
      <c r="V328" s="5"/>
      <c r="W328" s="5"/>
      <c r="X328" s="5"/>
      <c r="Y328" s="5"/>
    </row>
    <row r="329">
      <c r="A329" s="114">
        <v>45773.0</v>
      </c>
      <c r="B329" s="127"/>
      <c r="C329" s="130">
        <f t="shared" si="24"/>
        <v>3104889</v>
      </c>
      <c r="D329" s="131">
        <f t="shared" si="48"/>
        <v>233.4693511</v>
      </c>
      <c r="E329" s="56">
        <v>3601006.6540000006</v>
      </c>
      <c r="F329" s="130">
        <f t="shared" si="21"/>
        <v>677.966</v>
      </c>
      <c r="G329" s="119">
        <f t="shared" si="22"/>
        <v>751163.654</v>
      </c>
      <c r="H329" s="120">
        <f t="shared" si="23"/>
        <v>0.1377719348</v>
      </c>
      <c r="I329" s="4"/>
      <c r="J329" s="5"/>
      <c r="K329" s="5"/>
      <c r="L329" s="5"/>
      <c r="M329" s="5"/>
      <c r="N329" s="5"/>
      <c r="O329" s="5"/>
      <c r="P329" s="5"/>
      <c r="Q329" s="5"/>
      <c r="R329" s="5"/>
      <c r="S329" s="5"/>
      <c r="T329" s="5"/>
      <c r="U329" s="5"/>
      <c r="V329" s="5"/>
      <c r="W329" s="5"/>
      <c r="X329" s="5"/>
      <c r="Y329" s="5"/>
    </row>
    <row r="330">
      <c r="A330" s="114">
        <v>45772.0</v>
      </c>
      <c r="B330" s="127"/>
      <c r="C330" s="130">
        <f t="shared" si="24"/>
        <v>3104889</v>
      </c>
      <c r="D330" s="131">
        <f t="shared" si="48"/>
        <v>233.4693511</v>
      </c>
      <c r="E330" s="56">
        <v>3600328.6880000005</v>
      </c>
      <c r="F330" s="130">
        <f t="shared" si="21"/>
        <v>14987.966</v>
      </c>
      <c r="G330" s="119">
        <f t="shared" si="22"/>
        <v>750485.688</v>
      </c>
      <c r="H330" s="120">
        <f t="shared" si="23"/>
        <v>0.1376095715</v>
      </c>
      <c r="I330" s="4"/>
      <c r="J330" s="5"/>
      <c r="K330" s="5"/>
      <c r="L330" s="5"/>
      <c r="M330" s="5"/>
      <c r="N330" s="5"/>
      <c r="O330" s="5"/>
      <c r="P330" s="5"/>
      <c r="Q330" s="5"/>
      <c r="R330" s="5"/>
      <c r="S330" s="5"/>
      <c r="T330" s="5"/>
      <c r="U330" s="5"/>
      <c r="V330" s="5"/>
      <c r="W330" s="5"/>
      <c r="X330" s="5"/>
      <c r="Y330" s="5"/>
    </row>
    <row r="331">
      <c r="A331" s="114">
        <v>45771.0</v>
      </c>
      <c r="B331" s="127"/>
      <c r="C331" s="130">
        <f t="shared" si="24"/>
        <v>3104889</v>
      </c>
      <c r="D331" s="131">
        <f t="shared" si="48"/>
        <v>233.4693511</v>
      </c>
      <c r="E331" s="56">
        <v>3585340.7220000005</v>
      </c>
      <c r="F331" s="130">
        <f t="shared" si="21"/>
        <v>40912.966</v>
      </c>
      <c r="G331" s="119">
        <f t="shared" si="22"/>
        <v>735497.722</v>
      </c>
      <c r="H331" s="120">
        <f t="shared" si="23"/>
        <v>0.1340044808</v>
      </c>
      <c r="I331" s="4"/>
      <c r="J331" s="5"/>
      <c r="K331" s="5"/>
      <c r="L331" s="5"/>
      <c r="M331" s="5"/>
      <c r="N331" s="5"/>
      <c r="O331" s="5"/>
      <c r="P331" s="5"/>
      <c r="Q331" s="5"/>
      <c r="R331" s="5"/>
      <c r="S331" s="5"/>
      <c r="T331" s="5"/>
      <c r="U331" s="5"/>
      <c r="V331" s="5"/>
      <c r="W331" s="5"/>
      <c r="X331" s="5"/>
      <c r="Y331" s="5"/>
    </row>
    <row r="332">
      <c r="A332" s="114">
        <v>45770.0</v>
      </c>
      <c r="B332" s="127"/>
      <c r="C332" s="130">
        <f t="shared" si="24"/>
        <v>3104889</v>
      </c>
      <c r="D332" s="131">
        <f t="shared" si="48"/>
        <v>233.4693511</v>
      </c>
      <c r="E332" s="56">
        <v>3544427.7560000005</v>
      </c>
      <c r="F332" s="130">
        <f t="shared" si="21"/>
        <v>117242.966</v>
      </c>
      <c r="G332" s="119">
        <f t="shared" si="22"/>
        <v>694584.756</v>
      </c>
      <c r="H332" s="120">
        <f t="shared" si="23"/>
        <v>0.1240083834</v>
      </c>
      <c r="I332" s="4"/>
      <c r="J332" s="5"/>
      <c r="K332" s="5"/>
      <c r="L332" s="5"/>
      <c r="M332" s="5"/>
      <c r="N332" s="5"/>
      <c r="O332" s="5"/>
      <c r="P332" s="5"/>
      <c r="Q332" s="5"/>
      <c r="R332" s="5"/>
      <c r="S332" s="5"/>
      <c r="T332" s="5"/>
      <c r="U332" s="5"/>
      <c r="V332" s="5"/>
      <c r="W332" s="5"/>
      <c r="X332" s="5"/>
      <c r="Y332" s="5"/>
    </row>
    <row r="333">
      <c r="A333" s="114">
        <v>45769.0</v>
      </c>
      <c r="B333" s="127"/>
      <c r="C333" s="130">
        <f t="shared" si="24"/>
        <v>3104889</v>
      </c>
      <c r="D333" s="131">
        <f t="shared" si="48"/>
        <v>233.4693511</v>
      </c>
      <c r="E333" s="56">
        <v>3427184.7900000005</v>
      </c>
      <c r="F333" s="130">
        <f t="shared" si="21"/>
        <v>104517.966</v>
      </c>
      <c r="G333" s="119">
        <f t="shared" si="22"/>
        <v>577341.79</v>
      </c>
      <c r="H333" s="120">
        <f t="shared" si="23"/>
        <v>0.09404097233</v>
      </c>
      <c r="I333" s="4"/>
      <c r="J333" s="5"/>
      <c r="K333" s="5"/>
      <c r="L333" s="5"/>
      <c r="M333" s="5"/>
      <c r="N333" s="5"/>
      <c r="O333" s="5"/>
      <c r="P333" s="5"/>
      <c r="Q333" s="5"/>
      <c r="R333" s="5"/>
      <c r="S333" s="5"/>
      <c r="T333" s="5"/>
      <c r="U333" s="5"/>
      <c r="V333" s="5"/>
      <c r="W333" s="5"/>
      <c r="X333" s="5"/>
      <c r="Y333" s="5"/>
    </row>
    <row r="334">
      <c r="A334" s="114">
        <v>45768.0</v>
      </c>
      <c r="B334" s="128">
        <v>-316733.0</v>
      </c>
      <c r="C334" s="130">
        <f t="shared" si="24"/>
        <v>3104889</v>
      </c>
      <c r="D334" s="131">
        <f t="shared" si="48"/>
        <v>233.4693511</v>
      </c>
      <c r="E334" s="56">
        <v>3322666.8240000005</v>
      </c>
      <c r="F334" s="130">
        <f t="shared" si="21"/>
        <v>-31102.034</v>
      </c>
      <c r="G334" s="119">
        <f t="shared" si="22"/>
        <v>472823.824</v>
      </c>
      <c r="H334" s="120">
        <f t="shared" si="23"/>
        <v>0.06554308197</v>
      </c>
      <c r="I334" s="4"/>
      <c r="J334" s="5"/>
      <c r="K334" s="5"/>
      <c r="L334" s="5"/>
      <c r="M334" s="5"/>
      <c r="N334" s="5"/>
      <c r="O334" s="5"/>
      <c r="P334" s="5"/>
      <c r="Q334" s="5"/>
      <c r="R334" s="5"/>
      <c r="S334" s="5"/>
      <c r="T334" s="5"/>
      <c r="U334" s="5"/>
      <c r="V334" s="5"/>
      <c r="W334" s="5"/>
      <c r="X334" s="5"/>
      <c r="Y334" s="5"/>
    </row>
    <row r="335">
      <c r="A335" s="133">
        <v>45767.0</v>
      </c>
      <c r="B335" s="127"/>
      <c r="C335" s="130">
        <f t="shared" si="24"/>
        <v>3421622</v>
      </c>
      <c r="D335" s="131">
        <f t="shared" ref="D335:D351" si="49">210.124911099241+8.48693+1.41387+35.69908</f>
        <v>255.7247911</v>
      </c>
      <c r="E335" s="56">
        <v>3670501.8580000005</v>
      </c>
      <c r="F335" s="130">
        <f t="shared" si="21"/>
        <v>677.966</v>
      </c>
      <c r="G335" s="119">
        <f t="shared" si="22"/>
        <v>503925.858</v>
      </c>
      <c r="H335" s="120">
        <f t="shared" si="23"/>
        <v>0.06780540308</v>
      </c>
      <c r="I335" s="4"/>
      <c r="J335" s="5"/>
      <c r="K335" s="5"/>
      <c r="L335" s="5"/>
      <c r="M335" s="5"/>
      <c r="N335" s="5"/>
      <c r="O335" s="5"/>
      <c r="P335" s="5"/>
      <c r="Q335" s="5"/>
      <c r="R335" s="5"/>
      <c r="S335" s="5"/>
      <c r="T335" s="5"/>
      <c r="U335" s="5"/>
      <c r="V335" s="5"/>
      <c r="W335" s="5"/>
      <c r="X335" s="5"/>
      <c r="Y335" s="5"/>
    </row>
    <row r="336">
      <c r="A336" s="133">
        <v>45766.0</v>
      </c>
      <c r="B336" s="127"/>
      <c r="C336" s="130">
        <f t="shared" si="24"/>
        <v>3421622</v>
      </c>
      <c r="D336" s="131">
        <f t="shared" si="49"/>
        <v>255.7247911</v>
      </c>
      <c r="E336" s="56">
        <v>3669823.8920000005</v>
      </c>
      <c r="F336" s="130">
        <f t="shared" si="21"/>
        <v>677.966</v>
      </c>
      <c r="G336" s="119">
        <f t="shared" si="22"/>
        <v>503247.892</v>
      </c>
      <c r="H336" s="120">
        <f t="shared" si="23"/>
        <v>0.06763318876</v>
      </c>
      <c r="I336" s="4"/>
      <c r="J336" s="5"/>
      <c r="K336" s="5"/>
      <c r="L336" s="5"/>
      <c r="M336" s="5"/>
      <c r="N336" s="5"/>
      <c r="O336" s="5"/>
      <c r="P336" s="5"/>
      <c r="Q336" s="5"/>
      <c r="R336" s="5"/>
      <c r="S336" s="5"/>
      <c r="T336" s="5"/>
      <c r="U336" s="5"/>
      <c r="V336" s="5"/>
      <c r="W336" s="5"/>
      <c r="X336" s="5"/>
      <c r="Y336" s="5"/>
    </row>
    <row r="337">
      <c r="A337" s="134">
        <v>45765.0</v>
      </c>
      <c r="B337" s="127"/>
      <c r="C337" s="130">
        <f t="shared" si="24"/>
        <v>3421622</v>
      </c>
      <c r="D337" s="131">
        <f t="shared" si="49"/>
        <v>255.7247911</v>
      </c>
      <c r="E337" s="56">
        <v>3669145.9260000004</v>
      </c>
      <c r="F337" s="130">
        <f t="shared" si="21"/>
        <v>677.966</v>
      </c>
      <c r="G337" s="119">
        <f t="shared" si="22"/>
        <v>502569.926</v>
      </c>
      <c r="H337" s="120">
        <f t="shared" si="23"/>
        <v>0.06746091079</v>
      </c>
      <c r="I337" s="4"/>
      <c r="J337" s="5"/>
      <c r="K337" s="5"/>
      <c r="L337" s="5"/>
      <c r="M337" s="5"/>
      <c r="N337" s="5"/>
      <c r="O337" s="5"/>
      <c r="P337" s="5"/>
      <c r="Q337" s="5"/>
      <c r="R337" s="5"/>
      <c r="S337" s="5"/>
      <c r="T337" s="5"/>
      <c r="U337" s="5"/>
      <c r="V337" s="5"/>
      <c r="W337" s="5"/>
      <c r="X337" s="5"/>
      <c r="Y337" s="5"/>
    </row>
    <row r="338">
      <c r="A338" s="134">
        <v>45764.0</v>
      </c>
      <c r="B338" s="127"/>
      <c r="C338" s="130">
        <f t="shared" si="24"/>
        <v>3421622</v>
      </c>
      <c r="D338" s="131">
        <f t="shared" si="49"/>
        <v>255.7247911</v>
      </c>
      <c r="E338" s="56">
        <v>3668467.9600000004</v>
      </c>
      <c r="F338" s="130">
        <f t="shared" si="21"/>
        <v>677.966</v>
      </c>
      <c r="G338" s="119">
        <f t="shared" si="22"/>
        <v>501891.96</v>
      </c>
      <c r="H338" s="120">
        <f t="shared" si="23"/>
        <v>0.06728856915</v>
      </c>
      <c r="I338" s="4"/>
      <c r="J338" s="5"/>
      <c r="K338" s="5"/>
      <c r="L338" s="5"/>
      <c r="M338" s="5"/>
      <c r="N338" s="5"/>
      <c r="O338" s="5"/>
      <c r="P338" s="5"/>
      <c r="Q338" s="5"/>
      <c r="R338" s="5"/>
      <c r="S338" s="5"/>
      <c r="T338" s="5"/>
      <c r="U338" s="5"/>
      <c r="V338" s="5"/>
      <c r="W338" s="5"/>
      <c r="X338" s="5"/>
      <c r="Y338" s="5"/>
    </row>
    <row r="339">
      <c r="A339" s="114">
        <v>45763.0</v>
      </c>
      <c r="B339" s="127"/>
      <c r="C339" s="130">
        <f t="shared" si="24"/>
        <v>3421622</v>
      </c>
      <c r="D339" s="131">
        <f t="shared" si="49"/>
        <v>255.7247911</v>
      </c>
      <c r="E339" s="56">
        <v>3667789.9940000004</v>
      </c>
      <c r="F339" s="130">
        <f t="shared" si="21"/>
        <v>-27422.034</v>
      </c>
      <c r="G339" s="119">
        <f t="shared" si="22"/>
        <v>501213.994</v>
      </c>
      <c r="H339" s="120">
        <f t="shared" si="23"/>
        <v>0.06711616379</v>
      </c>
      <c r="I339" s="4"/>
      <c r="J339" s="5"/>
      <c r="K339" s="5"/>
      <c r="L339" s="5"/>
      <c r="M339" s="5"/>
      <c r="N339" s="5"/>
      <c r="O339" s="5"/>
      <c r="P339" s="5"/>
      <c r="Q339" s="5"/>
      <c r="R339" s="5"/>
      <c r="S339" s="5"/>
      <c r="T339" s="5"/>
      <c r="U339" s="5"/>
      <c r="V339" s="5"/>
      <c r="W339" s="5"/>
      <c r="X339" s="5"/>
      <c r="Y339" s="5"/>
    </row>
    <row r="340">
      <c r="A340" s="114">
        <v>45762.0</v>
      </c>
      <c r="B340" s="127"/>
      <c r="C340" s="130">
        <f t="shared" si="24"/>
        <v>3421622</v>
      </c>
      <c r="D340" s="131">
        <f t="shared" si="49"/>
        <v>255.7247911</v>
      </c>
      <c r="E340" s="56">
        <v>3695212.0280000004</v>
      </c>
      <c r="F340" s="130">
        <f t="shared" si="21"/>
        <v>60097.966</v>
      </c>
      <c r="G340" s="119">
        <f t="shared" si="22"/>
        <v>528636.028</v>
      </c>
      <c r="H340" s="120">
        <f t="shared" si="23"/>
        <v>0.0740390608</v>
      </c>
      <c r="I340" s="4"/>
      <c r="J340" s="5"/>
      <c r="K340" s="5"/>
      <c r="L340" s="5"/>
      <c r="M340" s="5"/>
      <c r="N340" s="5"/>
      <c r="O340" s="5"/>
      <c r="P340" s="5"/>
      <c r="Q340" s="5"/>
      <c r="R340" s="5"/>
      <c r="S340" s="5"/>
      <c r="T340" s="5"/>
      <c r="U340" s="5"/>
      <c r="V340" s="5"/>
      <c r="W340" s="5"/>
      <c r="X340" s="5"/>
      <c r="Y340" s="5"/>
    </row>
    <row r="341">
      <c r="A341" s="114">
        <v>45761.0</v>
      </c>
      <c r="B341" s="127"/>
      <c r="C341" s="130">
        <f t="shared" si="24"/>
        <v>3421622</v>
      </c>
      <c r="D341" s="131">
        <f t="shared" si="49"/>
        <v>255.7247911</v>
      </c>
      <c r="E341" s="56">
        <v>3635114.0620000004</v>
      </c>
      <c r="F341" s="130">
        <f t="shared" si="21"/>
        <v>39402.966</v>
      </c>
      <c r="G341" s="119">
        <f t="shared" si="22"/>
        <v>468538.062</v>
      </c>
      <c r="H341" s="120">
        <f t="shared" si="23"/>
        <v>0.05873049878</v>
      </c>
      <c r="I341" s="4"/>
      <c r="J341" s="5"/>
      <c r="K341" s="5"/>
      <c r="L341" s="5"/>
      <c r="M341" s="5"/>
      <c r="N341" s="5"/>
      <c r="O341" s="5"/>
      <c r="P341" s="5"/>
      <c r="Q341" s="5"/>
      <c r="R341" s="5"/>
      <c r="S341" s="5"/>
      <c r="T341" s="5"/>
      <c r="U341" s="5"/>
      <c r="V341" s="5"/>
      <c r="W341" s="5"/>
      <c r="X341" s="5"/>
      <c r="Y341" s="5"/>
    </row>
    <row r="342">
      <c r="A342" s="133">
        <v>45760.0</v>
      </c>
      <c r="B342" s="127"/>
      <c r="C342" s="130">
        <f t="shared" si="24"/>
        <v>3421622</v>
      </c>
      <c r="D342" s="131">
        <f t="shared" si="49"/>
        <v>255.7247911</v>
      </c>
      <c r="E342" s="56">
        <v>3595711.0960000004</v>
      </c>
      <c r="F342" s="130">
        <f t="shared" si="21"/>
        <v>677.966</v>
      </c>
      <c r="G342" s="119">
        <f t="shared" si="22"/>
        <v>429135.096</v>
      </c>
      <c r="H342" s="120">
        <f t="shared" si="23"/>
        <v>0.04841576293</v>
      </c>
      <c r="I342" s="4"/>
      <c r="J342" s="5"/>
      <c r="K342" s="5"/>
      <c r="L342" s="5"/>
      <c r="M342" s="5"/>
      <c r="N342" s="5"/>
      <c r="O342" s="5"/>
      <c r="P342" s="5"/>
      <c r="Q342" s="5"/>
      <c r="R342" s="5"/>
      <c r="S342" s="5"/>
      <c r="T342" s="5"/>
      <c r="U342" s="5"/>
      <c r="V342" s="5"/>
      <c r="W342" s="5"/>
      <c r="X342" s="5"/>
      <c r="Y342" s="5"/>
    </row>
    <row r="343">
      <c r="A343" s="133">
        <v>45759.0</v>
      </c>
      <c r="B343" s="127"/>
      <c r="C343" s="130">
        <f t="shared" si="24"/>
        <v>3421622</v>
      </c>
      <c r="D343" s="131">
        <f t="shared" si="49"/>
        <v>255.7247911</v>
      </c>
      <c r="E343" s="56">
        <v>3595033.1300000004</v>
      </c>
      <c r="F343" s="130">
        <f t="shared" si="21"/>
        <v>677.966</v>
      </c>
      <c r="G343" s="119">
        <f t="shared" si="22"/>
        <v>428457.13</v>
      </c>
      <c r="H343" s="120">
        <f t="shared" si="23"/>
        <v>0.0482363093</v>
      </c>
      <c r="I343" s="4"/>
      <c r="J343" s="5"/>
      <c r="K343" s="5"/>
      <c r="L343" s="5"/>
      <c r="M343" s="5"/>
      <c r="N343" s="5"/>
      <c r="O343" s="5"/>
      <c r="P343" s="5"/>
      <c r="Q343" s="5"/>
      <c r="R343" s="5"/>
      <c r="S343" s="5"/>
      <c r="T343" s="5"/>
      <c r="U343" s="5"/>
      <c r="V343" s="5"/>
      <c r="W343" s="5"/>
      <c r="X343" s="5"/>
      <c r="Y343" s="5"/>
    </row>
    <row r="344">
      <c r="A344" s="114">
        <v>45758.0</v>
      </c>
      <c r="B344" s="127"/>
      <c r="C344" s="130">
        <f t="shared" si="24"/>
        <v>3421622</v>
      </c>
      <c r="D344" s="131">
        <f t="shared" si="49"/>
        <v>255.7247911</v>
      </c>
      <c r="E344" s="56">
        <v>3594355.1640000003</v>
      </c>
      <c r="F344" s="130">
        <f t="shared" si="21"/>
        <v>-147027.034</v>
      </c>
      <c r="G344" s="119">
        <f t="shared" si="22"/>
        <v>427779.164</v>
      </c>
      <c r="H344" s="120">
        <f t="shared" si="23"/>
        <v>0.04805678797</v>
      </c>
      <c r="I344" s="4"/>
      <c r="J344" s="5"/>
      <c r="K344" s="5"/>
      <c r="L344" s="5"/>
      <c r="M344" s="5"/>
      <c r="N344" s="5"/>
      <c r="O344" s="5"/>
      <c r="P344" s="5"/>
      <c r="Q344" s="5"/>
      <c r="R344" s="5"/>
      <c r="S344" s="5"/>
      <c r="T344" s="5"/>
      <c r="U344" s="5"/>
      <c r="V344" s="5"/>
      <c r="W344" s="5"/>
      <c r="X344" s="5"/>
      <c r="Y344" s="5"/>
    </row>
    <row r="345">
      <c r="A345" s="114">
        <v>45757.0</v>
      </c>
      <c r="B345" s="127"/>
      <c r="C345" s="130">
        <f t="shared" si="24"/>
        <v>3421622</v>
      </c>
      <c r="D345" s="131">
        <f t="shared" si="49"/>
        <v>255.7247911</v>
      </c>
      <c r="E345" s="56">
        <v>3741382.1980000003</v>
      </c>
      <c r="F345" s="130">
        <f t="shared" si="21"/>
        <v>112102.966</v>
      </c>
      <c r="G345" s="119">
        <f t="shared" si="22"/>
        <v>574806.198</v>
      </c>
      <c r="H345" s="120">
        <f t="shared" si="23"/>
        <v>0.08546579341</v>
      </c>
      <c r="I345" s="4"/>
      <c r="J345" s="5"/>
      <c r="K345" s="5"/>
      <c r="L345" s="5"/>
      <c r="M345" s="5"/>
      <c r="N345" s="5"/>
      <c r="O345" s="5"/>
      <c r="P345" s="5"/>
      <c r="Q345" s="5"/>
      <c r="R345" s="5"/>
      <c r="S345" s="5"/>
      <c r="T345" s="5"/>
      <c r="U345" s="5"/>
      <c r="V345" s="5"/>
      <c r="W345" s="5"/>
      <c r="X345" s="5"/>
      <c r="Y345" s="5"/>
    </row>
    <row r="346">
      <c r="A346" s="114">
        <v>45756.0</v>
      </c>
      <c r="B346" s="127"/>
      <c r="C346" s="130">
        <f t="shared" si="24"/>
        <v>3421622</v>
      </c>
      <c r="D346" s="131">
        <f t="shared" si="49"/>
        <v>255.7247911</v>
      </c>
      <c r="E346" s="56">
        <v>3629279.2320000003</v>
      </c>
      <c r="F346" s="130">
        <f t="shared" si="21"/>
        <v>19677.966</v>
      </c>
      <c r="G346" s="119">
        <f t="shared" si="22"/>
        <v>462703.232</v>
      </c>
      <c r="H346" s="120">
        <f t="shared" si="23"/>
        <v>0.05721721001</v>
      </c>
      <c r="I346" s="4"/>
      <c r="J346" s="5"/>
      <c r="K346" s="5"/>
      <c r="L346" s="5"/>
      <c r="M346" s="5"/>
      <c r="N346" s="5"/>
      <c r="O346" s="5"/>
      <c r="P346" s="5"/>
      <c r="Q346" s="5"/>
      <c r="R346" s="5"/>
      <c r="S346" s="5"/>
      <c r="T346" s="5"/>
      <c r="U346" s="5"/>
      <c r="V346" s="5"/>
      <c r="W346" s="5"/>
      <c r="X346" s="5"/>
      <c r="Y346" s="5"/>
    </row>
    <row r="347">
      <c r="A347" s="114">
        <v>45755.0</v>
      </c>
      <c r="B347" s="127"/>
      <c r="C347" s="130">
        <f t="shared" si="24"/>
        <v>3421622</v>
      </c>
      <c r="D347" s="131">
        <f t="shared" si="49"/>
        <v>255.7247911</v>
      </c>
      <c r="E347" s="56">
        <v>3609601.2660000003</v>
      </c>
      <c r="F347" s="130">
        <f t="shared" si="21"/>
        <v>31607.966</v>
      </c>
      <c r="G347" s="119">
        <f t="shared" si="22"/>
        <v>443025.266</v>
      </c>
      <c r="H347" s="120">
        <f t="shared" si="23"/>
        <v>0.05207757094</v>
      </c>
      <c r="I347" s="4"/>
      <c r="J347" s="5"/>
      <c r="K347" s="5"/>
      <c r="L347" s="5"/>
      <c r="M347" s="5"/>
      <c r="N347" s="5"/>
      <c r="O347" s="5"/>
      <c r="P347" s="5"/>
      <c r="Q347" s="5"/>
      <c r="R347" s="5"/>
      <c r="S347" s="5"/>
      <c r="T347" s="5"/>
      <c r="U347" s="5"/>
      <c r="V347" s="5"/>
      <c r="W347" s="5"/>
      <c r="X347" s="5"/>
      <c r="Y347" s="5"/>
    </row>
    <row r="348">
      <c r="A348" s="114">
        <v>45754.0</v>
      </c>
      <c r="B348" s="127"/>
      <c r="C348" s="130">
        <f t="shared" si="24"/>
        <v>3421622</v>
      </c>
      <c r="D348" s="131">
        <f t="shared" si="49"/>
        <v>255.7247911</v>
      </c>
      <c r="E348" s="56">
        <v>3577993.3000000003</v>
      </c>
      <c r="F348" s="130">
        <f t="shared" si="21"/>
        <v>173027.966</v>
      </c>
      <c r="G348" s="119">
        <f t="shared" si="22"/>
        <v>411417.3</v>
      </c>
      <c r="H348" s="120">
        <f t="shared" si="23"/>
        <v>0.04370363131</v>
      </c>
      <c r="I348" s="4"/>
      <c r="J348" s="5"/>
      <c r="K348" s="5"/>
      <c r="L348" s="5"/>
      <c r="M348" s="5"/>
      <c r="N348" s="5"/>
      <c r="O348" s="5"/>
      <c r="P348" s="5"/>
      <c r="Q348" s="5"/>
      <c r="R348" s="5"/>
      <c r="S348" s="5"/>
      <c r="T348" s="5"/>
      <c r="U348" s="5"/>
      <c r="V348" s="5"/>
      <c r="W348" s="5"/>
      <c r="X348" s="5"/>
      <c r="Y348" s="5"/>
    </row>
    <row r="349">
      <c r="A349" s="133">
        <v>45753.0</v>
      </c>
      <c r="B349" s="127"/>
      <c r="C349" s="130">
        <f t="shared" si="24"/>
        <v>3421622</v>
      </c>
      <c r="D349" s="131">
        <f t="shared" si="49"/>
        <v>255.7247911</v>
      </c>
      <c r="E349" s="56">
        <v>3404965.3340000003</v>
      </c>
      <c r="F349" s="130">
        <f t="shared" si="21"/>
        <v>677.966</v>
      </c>
      <c r="G349" s="119">
        <f t="shared" si="22"/>
        <v>238389.334</v>
      </c>
      <c r="H349" s="120">
        <f t="shared" si="23"/>
        <v>-0.004891875354</v>
      </c>
      <c r="I349" s="4"/>
      <c r="J349" s="5"/>
      <c r="K349" s="5"/>
      <c r="L349" s="5"/>
      <c r="M349" s="5"/>
      <c r="N349" s="5"/>
      <c r="O349" s="5"/>
      <c r="P349" s="5"/>
      <c r="Q349" s="5"/>
      <c r="R349" s="5"/>
      <c r="S349" s="5"/>
      <c r="T349" s="5"/>
      <c r="U349" s="5"/>
      <c r="V349" s="5"/>
      <c r="W349" s="5"/>
      <c r="X349" s="5"/>
      <c r="Y349" s="5"/>
    </row>
    <row r="350">
      <c r="A350" s="133">
        <v>45752.0</v>
      </c>
      <c r="B350" s="127"/>
      <c r="C350" s="130">
        <f t="shared" si="24"/>
        <v>3421622</v>
      </c>
      <c r="D350" s="131">
        <f t="shared" si="49"/>
        <v>255.7247911</v>
      </c>
      <c r="E350" s="56">
        <v>3404287.3680000002</v>
      </c>
      <c r="F350" s="130">
        <f t="shared" si="21"/>
        <v>677.966</v>
      </c>
      <c r="G350" s="119">
        <f t="shared" si="22"/>
        <v>237711.368</v>
      </c>
      <c r="H350" s="120">
        <f t="shared" si="23"/>
        <v>-0.005092000212</v>
      </c>
      <c r="I350" s="4"/>
      <c r="J350" s="5"/>
      <c r="K350" s="5"/>
      <c r="L350" s="5"/>
      <c r="M350" s="5"/>
      <c r="N350" s="5"/>
      <c r="O350" s="5"/>
      <c r="P350" s="5"/>
      <c r="Q350" s="5"/>
      <c r="R350" s="5"/>
      <c r="S350" s="5"/>
      <c r="T350" s="5"/>
      <c r="U350" s="5"/>
      <c r="V350" s="5"/>
      <c r="W350" s="5"/>
      <c r="X350" s="5"/>
      <c r="Y350" s="5"/>
    </row>
    <row r="351">
      <c r="A351" s="114">
        <v>45751.0</v>
      </c>
      <c r="B351" s="128">
        <v>477375.0</v>
      </c>
      <c r="C351" s="130">
        <f t="shared" si="24"/>
        <v>3421622</v>
      </c>
      <c r="D351" s="131">
        <f t="shared" si="49"/>
        <v>255.7247911</v>
      </c>
      <c r="E351" s="56">
        <v>3403609.4020000002</v>
      </c>
      <c r="F351" s="130">
        <f t="shared" si="21"/>
        <v>-193012.034</v>
      </c>
      <c r="G351" s="119">
        <f t="shared" si="22"/>
        <v>237033.402</v>
      </c>
      <c r="H351" s="120">
        <f t="shared" si="23"/>
        <v>-0.005292204796</v>
      </c>
      <c r="I351" s="4"/>
      <c r="J351" s="5"/>
      <c r="K351" s="5"/>
      <c r="L351" s="5"/>
      <c r="M351" s="5"/>
      <c r="N351" s="5"/>
      <c r="O351" s="5"/>
      <c r="P351" s="5"/>
      <c r="Q351" s="5"/>
      <c r="R351" s="5"/>
      <c r="S351" s="5"/>
      <c r="T351" s="5"/>
      <c r="U351" s="5"/>
      <c r="V351" s="5"/>
      <c r="W351" s="5"/>
      <c r="X351" s="5"/>
      <c r="Y351" s="5"/>
    </row>
    <row r="352">
      <c r="A352" s="114">
        <v>45750.0</v>
      </c>
      <c r="B352" s="127"/>
      <c r="C352" s="130">
        <f t="shared" si="24"/>
        <v>2944247</v>
      </c>
      <c r="D352" s="131">
        <f t="shared" ref="D352:D356" si="50">210.124911099241+8.48693+1.41387</f>
        <v>220.0257111</v>
      </c>
      <c r="E352" s="56">
        <v>3119246.436</v>
      </c>
      <c r="F352" s="130">
        <f t="shared" si="21"/>
        <v>-40842.034</v>
      </c>
      <c r="G352" s="119">
        <f t="shared" si="22"/>
        <v>430045.436</v>
      </c>
      <c r="H352" s="120">
        <f t="shared" si="23"/>
        <v>0.05610311323</v>
      </c>
      <c r="I352" s="4"/>
      <c r="J352" s="5"/>
      <c r="K352" s="5"/>
      <c r="L352" s="5"/>
      <c r="M352" s="5"/>
      <c r="N352" s="5"/>
      <c r="O352" s="5"/>
      <c r="P352" s="5"/>
      <c r="Q352" s="5"/>
      <c r="R352" s="5"/>
      <c r="S352" s="5"/>
      <c r="T352" s="5"/>
      <c r="U352" s="5"/>
      <c r="V352" s="5"/>
      <c r="W352" s="5"/>
      <c r="X352" s="5"/>
      <c r="Y352" s="5"/>
    </row>
    <row r="353">
      <c r="A353" s="114">
        <v>45749.0</v>
      </c>
      <c r="B353" s="127"/>
      <c r="C353" s="130">
        <f t="shared" si="24"/>
        <v>2944247</v>
      </c>
      <c r="D353" s="131">
        <f t="shared" si="50"/>
        <v>220.0257111</v>
      </c>
      <c r="E353" s="56">
        <v>3160088.47</v>
      </c>
      <c r="F353" s="130">
        <f t="shared" si="21"/>
        <v>7872.966</v>
      </c>
      <c r="G353" s="119">
        <f t="shared" si="22"/>
        <v>470887.47</v>
      </c>
      <c r="H353" s="120">
        <f t="shared" si="23"/>
        <v>0.06830235041</v>
      </c>
      <c r="I353" s="4"/>
      <c r="J353" s="5"/>
      <c r="K353" s="5"/>
      <c r="L353" s="5"/>
      <c r="M353" s="5"/>
      <c r="N353" s="5"/>
      <c r="O353" s="5"/>
      <c r="P353" s="5"/>
      <c r="Q353" s="5"/>
      <c r="R353" s="5"/>
      <c r="S353" s="5"/>
      <c r="T353" s="5"/>
      <c r="U353" s="5"/>
      <c r="V353" s="5"/>
      <c r="W353" s="5"/>
      <c r="X353" s="5"/>
      <c r="Y353" s="5"/>
    </row>
    <row r="354">
      <c r="A354" s="114">
        <v>45748.0</v>
      </c>
      <c r="B354" s="127"/>
      <c r="C354" s="130">
        <f t="shared" si="24"/>
        <v>2944247</v>
      </c>
      <c r="D354" s="131">
        <f t="shared" si="50"/>
        <v>220.0257111</v>
      </c>
      <c r="E354" s="56">
        <v>3152215.504</v>
      </c>
      <c r="F354" s="130">
        <f t="shared" si="21"/>
        <v>56187.966</v>
      </c>
      <c r="G354" s="119">
        <f t="shared" si="22"/>
        <v>463014.504</v>
      </c>
      <c r="H354" s="120">
        <f t="shared" si="23"/>
        <v>0.06597534456</v>
      </c>
      <c r="I354" s="4"/>
      <c r="J354" s="5"/>
      <c r="K354" s="5"/>
      <c r="L354" s="5"/>
      <c r="M354" s="5"/>
      <c r="N354" s="5"/>
      <c r="O354" s="5"/>
      <c r="P354" s="5"/>
      <c r="Q354" s="5"/>
      <c r="R354" s="5"/>
      <c r="S354" s="5"/>
      <c r="T354" s="5"/>
      <c r="U354" s="5"/>
      <c r="V354" s="5"/>
      <c r="W354" s="5"/>
      <c r="X354" s="5"/>
      <c r="Y354" s="5"/>
    </row>
    <row r="355">
      <c r="A355" s="114">
        <v>45747.0</v>
      </c>
      <c r="B355" s="127"/>
      <c r="C355" s="130">
        <f t="shared" si="24"/>
        <v>2944247</v>
      </c>
      <c r="D355" s="131">
        <f t="shared" si="50"/>
        <v>220.0257111</v>
      </c>
      <c r="E355" s="56">
        <v>3096027.538</v>
      </c>
      <c r="F355" s="130">
        <f t="shared" si="21"/>
        <v>-16367.034</v>
      </c>
      <c r="G355" s="119">
        <f t="shared" si="22"/>
        <v>406826.538</v>
      </c>
      <c r="H355" s="120">
        <f t="shared" si="23"/>
        <v>0.04902428552</v>
      </c>
      <c r="I355" s="4"/>
      <c r="J355" s="5"/>
      <c r="K355" s="5"/>
      <c r="L355" s="5"/>
      <c r="M355" s="5"/>
      <c r="N355" s="5"/>
      <c r="O355" s="5"/>
      <c r="P355" s="5"/>
      <c r="Q355" s="5"/>
      <c r="R355" s="5"/>
      <c r="S355" s="5"/>
      <c r="T355" s="5"/>
      <c r="U355" s="5"/>
      <c r="V355" s="5"/>
      <c r="W355" s="5"/>
      <c r="X355" s="5"/>
      <c r="Y355" s="5"/>
    </row>
    <row r="356">
      <c r="A356" s="133">
        <v>45746.0</v>
      </c>
      <c r="B356" s="128">
        <v>20000.0</v>
      </c>
      <c r="C356" s="130">
        <f t="shared" si="24"/>
        <v>2944247</v>
      </c>
      <c r="D356" s="131">
        <f t="shared" si="50"/>
        <v>220.0257111</v>
      </c>
      <c r="E356" s="56">
        <f>3092394.572+B356</f>
        <v>3112394.572</v>
      </c>
      <c r="F356" s="130">
        <f t="shared" si="21"/>
        <v>677.966</v>
      </c>
      <c r="G356" s="119">
        <f t="shared" si="22"/>
        <v>423193.572</v>
      </c>
      <c r="H356" s="120">
        <f t="shared" si="23"/>
        <v>0.05402514627</v>
      </c>
      <c r="I356" s="4"/>
      <c r="J356" s="5"/>
      <c r="K356" s="5"/>
      <c r="L356" s="5"/>
      <c r="M356" s="5"/>
      <c r="N356" s="5"/>
      <c r="O356" s="5"/>
      <c r="P356" s="5"/>
      <c r="Q356" s="5"/>
      <c r="R356" s="5"/>
      <c r="S356" s="5"/>
      <c r="T356" s="5"/>
      <c r="U356" s="5"/>
      <c r="V356" s="5"/>
      <c r="W356" s="5"/>
      <c r="X356" s="5"/>
      <c r="Y356" s="5"/>
    </row>
    <row r="357">
      <c r="A357" s="133">
        <v>45745.0</v>
      </c>
      <c r="B357" s="127"/>
      <c r="C357" s="130">
        <f t="shared" si="24"/>
        <v>2924247</v>
      </c>
      <c r="D357" s="131">
        <f t="shared" ref="D357:D358" si="51">210.124911099241+8.48693</f>
        <v>218.6118411</v>
      </c>
      <c r="E357" s="56">
        <v>3091716.606</v>
      </c>
      <c r="F357" s="130">
        <f t="shared" si="21"/>
        <v>677.966</v>
      </c>
      <c r="G357" s="119">
        <f t="shared" si="22"/>
        <v>422515.606</v>
      </c>
      <c r="H357" s="120">
        <f t="shared" si="23"/>
        <v>0.05416719167</v>
      </c>
      <c r="I357" s="4"/>
      <c r="J357" s="5"/>
      <c r="K357" s="5"/>
      <c r="L357" s="5"/>
      <c r="M357" s="5"/>
      <c r="N357" s="5"/>
      <c r="O357" s="5"/>
      <c r="P357" s="5"/>
      <c r="Q357" s="5"/>
      <c r="R357" s="5"/>
      <c r="S357" s="5"/>
      <c r="T357" s="5"/>
      <c r="U357" s="5"/>
      <c r="V357" s="5"/>
      <c r="W357" s="5"/>
      <c r="X357" s="5"/>
      <c r="Y357" s="5"/>
    </row>
    <row r="358">
      <c r="A358" s="114">
        <v>45744.0</v>
      </c>
      <c r="B358" s="128">
        <v>120000.0</v>
      </c>
      <c r="C358" s="130">
        <f t="shared" si="24"/>
        <v>2924247</v>
      </c>
      <c r="D358" s="131">
        <f t="shared" si="51"/>
        <v>218.6118411</v>
      </c>
      <c r="E358" s="56">
        <v>3091038.64</v>
      </c>
      <c r="F358" s="130">
        <f t="shared" si="21"/>
        <v>-78542.034</v>
      </c>
      <c r="G358" s="119">
        <f t="shared" si="22"/>
        <v>421837.64</v>
      </c>
      <c r="H358" s="120">
        <f t="shared" si="23"/>
        <v>0.05395973957</v>
      </c>
      <c r="I358" s="4"/>
      <c r="J358" s="5"/>
      <c r="K358" s="5"/>
      <c r="L358" s="5"/>
      <c r="M358" s="5"/>
      <c r="N358" s="5"/>
      <c r="O358" s="5"/>
      <c r="P358" s="5"/>
      <c r="Q358" s="5"/>
      <c r="R358" s="5"/>
      <c r="S358" s="5"/>
      <c r="T358" s="5"/>
      <c r="U358" s="5"/>
      <c r="V358" s="5"/>
      <c r="W358" s="5"/>
      <c r="X358" s="5"/>
      <c r="Y358" s="5"/>
    </row>
    <row r="359">
      <c r="A359" s="114">
        <v>45743.0</v>
      </c>
      <c r="B359" s="127"/>
      <c r="C359" s="130">
        <f t="shared" si="24"/>
        <v>2804247</v>
      </c>
      <c r="D359" s="131">
        <v>210.1249110992408</v>
      </c>
      <c r="E359" s="56">
        <v>3049580.674</v>
      </c>
      <c r="F359" s="130">
        <f t="shared" ref="F359:F376" si="52">IF(E359&lt;&gt;0,E359-E360,)</f>
        <v>15217.966</v>
      </c>
      <c r="G359" s="119">
        <f t="shared" si="22"/>
        <v>500379.674</v>
      </c>
      <c r="H359" s="120">
        <f t="shared" si="23"/>
        <v>0.08044833052</v>
      </c>
      <c r="I359" s="4"/>
      <c r="J359" s="5"/>
      <c r="K359" s="5"/>
      <c r="L359" s="5"/>
      <c r="M359" s="5"/>
      <c r="N359" s="5"/>
      <c r="O359" s="5"/>
      <c r="P359" s="5"/>
      <c r="Q359" s="5"/>
      <c r="R359" s="5"/>
      <c r="S359" s="5"/>
      <c r="T359" s="5"/>
      <c r="U359" s="5"/>
      <c r="V359" s="5"/>
      <c r="W359" s="5"/>
      <c r="X359" s="5"/>
      <c r="Y359" s="5"/>
    </row>
    <row r="360">
      <c r="A360" s="114">
        <v>45742.0</v>
      </c>
      <c r="B360" s="127"/>
      <c r="C360" s="130">
        <f t="shared" si="24"/>
        <v>2804247</v>
      </c>
      <c r="D360" s="131">
        <v>210.1249110992408</v>
      </c>
      <c r="E360" s="56">
        <v>3034362.708</v>
      </c>
      <c r="F360" s="130">
        <f t="shared" si="52"/>
        <v>-27002.034</v>
      </c>
      <c r="G360" s="119">
        <f t="shared" si="22"/>
        <v>485161.708</v>
      </c>
      <c r="H360" s="120">
        <f t="shared" si="23"/>
        <v>0.07583658585</v>
      </c>
      <c r="I360" s="4"/>
      <c r="J360" s="5"/>
      <c r="K360" s="5"/>
      <c r="L360" s="5"/>
      <c r="M360" s="5"/>
      <c r="N360" s="5"/>
      <c r="O360" s="5"/>
      <c r="P360" s="5"/>
      <c r="Q360" s="5"/>
      <c r="R360" s="5"/>
      <c r="S360" s="5"/>
      <c r="T360" s="5"/>
      <c r="U360" s="5"/>
      <c r="V360" s="5"/>
      <c r="W360" s="5"/>
      <c r="X360" s="5"/>
      <c r="Y360" s="5"/>
    </row>
    <row r="361">
      <c r="A361" s="114">
        <v>45741.0</v>
      </c>
      <c r="B361" s="127"/>
      <c r="C361" s="130">
        <f t="shared" si="24"/>
        <v>2804247</v>
      </c>
      <c r="D361" s="131">
        <v>210.1249110992408</v>
      </c>
      <c r="E361" s="56">
        <v>3061364.742</v>
      </c>
      <c r="F361" s="130">
        <f t="shared" si="52"/>
        <v>-20092.034</v>
      </c>
      <c r="G361" s="119">
        <f t="shared" si="22"/>
        <v>512163.742</v>
      </c>
      <c r="H361" s="120">
        <f t="shared" si="23"/>
        <v>0.08398794775</v>
      </c>
      <c r="I361" s="4"/>
      <c r="J361" s="5"/>
      <c r="K361" s="5"/>
      <c r="L361" s="5"/>
      <c r="M361" s="5"/>
      <c r="N361" s="5"/>
      <c r="O361" s="5"/>
      <c r="P361" s="5"/>
      <c r="Q361" s="5"/>
      <c r="R361" s="5"/>
      <c r="S361" s="5"/>
      <c r="T361" s="5"/>
      <c r="U361" s="5"/>
      <c r="V361" s="5"/>
      <c r="W361" s="5"/>
      <c r="X361" s="5"/>
      <c r="Y361" s="5"/>
    </row>
    <row r="362">
      <c r="A362" s="114">
        <v>45740.0</v>
      </c>
      <c r="B362" s="128"/>
      <c r="C362" s="130">
        <f t="shared" si="24"/>
        <v>2804247</v>
      </c>
      <c r="D362" s="131">
        <v>210.1249110992408</v>
      </c>
      <c r="E362" s="56">
        <v>3081456.776</v>
      </c>
      <c r="F362" s="130">
        <f t="shared" si="52"/>
        <v>677.966</v>
      </c>
      <c r="G362" s="119">
        <f t="shared" si="22"/>
        <v>532255.776</v>
      </c>
      <c r="H362" s="120">
        <f t="shared" si="23"/>
        <v>0.08996062452</v>
      </c>
      <c r="I362" s="4"/>
      <c r="J362" s="5"/>
      <c r="K362" s="5"/>
      <c r="L362" s="5"/>
      <c r="M362" s="5"/>
      <c r="N362" s="5"/>
      <c r="O362" s="5"/>
      <c r="P362" s="5"/>
      <c r="Q362" s="5"/>
      <c r="R362" s="5"/>
      <c r="S362" s="5"/>
      <c r="T362" s="5"/>
      <c r="U362" s="5"/>
      <c r="V362" s="5"/>
      <c r="W362" s="5"/>
      <c r="X362" s="5"/>
      <c r="Y362" s="5"/>
    </row>
    <row r="363">
      <c r="A363" s="133">
        <v>45739.0</v>
      </c>
      <c r="B363" s="127"/>
      <c r="C363" s="130">
        <f t="shared" si="24"/>
        <v>2804247</v>
      </c>
      <c r="D363" s="131">
        <v>210.1249110992408</v>
      </c>
      <c r="E363" s="56">
        <v>3080778.81</v>
      </c>
      <c r="F363" s="130">
        <f t="shared" si="52"/>
        <v>677.966</v>
      </c>
      <c r="G363" s="119">
        <f t="shared" si="22"/>
        <v>531577.81</v>
      </c>
      <c r="H363" s="120">
        <f t="shared" si="23"/>
        <v>0.08976035836</v>
      </c>
      <c r="I363" s="4"/>
      <c r="J363" s="5"/>
      <c r="K363" s="5"/>
      <c r="L363" s="5"/>
      <c r="M363" s="5"/>
      <c r="N363" s="5"/>
      <c r="O363" s="5"/>
      <c r="P363" s="5"/>
      <c r="Q363" s="5"/>
      <c r="R363" s="5"/>
      <c r="S363" s="5"/>
      <c r="T363" s="5"/>
      <c r="U363" s="5"/>
      <c r="V363" s="5"/>
      <c r="W363" s="5"/>
      <c r="X363" s="5"/>
      <c r="Y363" s="5"/>
    </row>
    <row r="364">
      <c r="A364" s="133">
        <v>45738.0</v>
      </c>
      <c r="B364" s="127"/>
      <c r="C364" s="130">
        <f t="shared" si="24"/>
        <v>2804247</v>
      </c>
      <c r="D364" s="131">
        <v>210.1249110992408</v>
      </c>
      <c r="E364" s="56">
        <v>3080100.844</v>
      </c>
      <c r="F364" s="130">
        <f t="shared" si="52"/>
        <v>677.966</v>
      </c>
      <c r="G364" s="119">
        <f t="shared" si="22"/>
        <v>530899.844</v>
      </c>
      <c r="H364" s="120">
        <f t="shared" si="23"/>
        <v>0.08956000403</v>
      </c>
      <c r="I364" s="4"/>
      <c r="J364" s="5"/>
      <c r="K364" s="5"/>
      <c r="L364" s="5"/>
      <c r="M364" s="5"/>
      <c r="N364" s="5"/>
      <c r="O364" s="5"/>
      <c r="P364" s="5"/>
      <c r="Q364" s="5"/>
      <c r="R364" s="5"/>
      <c r="S364" s="5"/>
      <c r="T364" s="5"/>
      <c r="U364" s="5"/>
      <c r="V364" s="5"/>
      <c r="W364" s="5"/>
      <c r="X364" s="5"/>
      <c r="Y364" s="5"/>
    </row>
    <row r="365">
      <c r="A365" s="114">
        <v>45737.0</v>
      </c>
      <c r="B365" s="127"/>
      <c r="C365" s="130">
        <f t="shared" si="24"/>
        <v>2804247</v>
      </c>
      <c r="D365" s="131">
        <v>210.1249110992408</v>
      </c>
      <c r="E365" s="56">
        <v>3079422.878</v>
      </c>
      <c r="F365" s="130">
        <f t="shared" si="52"/>
        <v>237.966</v>
      </c>
      <c r="G365" s="119">
        <f t="shared" si="22"/>
        <v>530221.878</v>
      </c>
      <c r="H365" s="120">
        <f t="shared" si="23"/>
        <v>0.08935956148</v>
      </c>
      <c r="I365" s="4"/>
      <c r="J365" s="5"/>
      <c r="K365" s="5"/>
      <c r="L365" s="5"/>
      <c r="M365" s="5"/>
      <c r="N365" s="5"/>
      <c r="O365" s="5"/>
      <c r="P365" s="5"/>
      <c r="Q365" s="5"/>
      <c r="R365" s="5"/>
      <c r="S365" s="5"/>
      <c r="T365" s="5"/>
      <c r="U365" s="5"/>
      <c r="V365" s="5"/>
      <c r="W365" s="5"/>
      <c r="X365" s="5"/>
      <c r="Y365" s="5"/>
    </row>
    <row r="366">
      <c r="A366" s="114">
        <v>45736.0</v>
      </c>
      <c r="B366" s="127"/>
      <c r="C366" s="130">
        <f t="shared" si="24"/>
        <v>2804247</v>
      </c>
      <c r="D366" s="131">
        <v>210.1249110992408</v>
      </c>
      <c r="E366" s="56">
        <v>3079184.912</v>
      </c>
      <c r="F366" s="130">
        <f t="shared" si="52"/>
        <v>-68882.034</v>
      </c>
      <c r="G366" s="119">
        <f t="shared" si="22"/>
        <v>529983.912</v>
      </c>
      <c r="H366" s="120">
        <f t="shared" si="23"/>
        <v>0.08928918524</v>
      </c>
      <c r="I366" s="4"/>
      <c r="J366" s="5"/>
      <c r="K366" s="5"/>
      <c r="L366" s="5"/>
      <c r="M366" s="5"/>
      <c r="N366" s="5"/>
      <c r="O366" s="5"/>
      <c r="P366" s="5"/>
      <c r="Q366" s="5"/>
      <c r="R366" s="5"/>
      <c r="S366" s="5"/>
      <c r="T366" s="5"/>
      <c r="U366" s="5"/>
      <c r="V366" s="5"/>
      <c r="W366" s="5"/>
      <c r="X366" s="5"/>
      <c r="Y366" s="5"/>
    </row>
    <row r="367">
      <c r="A367" s="114">
        <v>45735.0</v>
      </c>
      <c r="B367" s="127"/>
      <c r="C367" s="130">
        <f t="shared" si="24"/>
        <v>2804247</v>
      </c>
      <c r="D367" s="131">
        <v>210.1249110992408</v>
      </c>
      <c r="E367" s="56">
        <v>3148066.946</v>
      </c>
      <c r="F367" s="130">
        <f t="shared" si="52"/>
        <v>49737.966</v>
      </c>
      <c r="G367" s="119">
        <f t="shared" si="22"/>
        <v>598865.946</v>
      </c>
      <c r="H367" s="120">
        <f t="shared" si="23"/>
        <v>0.1092162117</v>
      </c>
      <c r="I367" s="4"/>
      <c r="J367" s="5"/>
      <c r="K367" s="5"/>
      <c r="L367" s="5"/>
      <c r="M367" s="5"/>
      <c r="N367" s="5"/>
      <c r="O367" s="5"/>
      <c r="P367" s="5"/>
      <c r="Q367" s="5"/>
      <c r="R367" s="5"/>
      <c r="S367" s="5"/>
      <c r="T367" s="5"/>
      <c r="U367" s="5"/>
      <c r="V367" s="5"/>
      <c r="W367" s="5"/>
      <c r="X367" s="5"/>
      <c r="Y367" s="5"/>
    </row>
    <row r="368">
      <c r="A368" s="114">
        <v>45734.0</v>
      </c>
      <c r="B368" s="127"/>
      <c r="C368" s="130">
        <f t="shared" si="24"/>
        <v>2804247</v>
      </c>
      <c r="D368" s="131">
        <v>210.1249110992408</v>
      </c>
      <c r="E368" s="56">
        <v>3098328.98</v>
      </c>
      <c r="F368" s="130">
        <f t="shared" si="52"/>
        <v>-21617.034</v>
      </c>
      <c r="G368" s="119">
        <f t="shared" si="22"/>
        <v>549127.98</v>
      </c>
      <c r="H368" s="120">
        <f t="shared" si="23"/>
        <v>0.09491631841</v>
      </c>
      <c r="I368" s="4"/>
      <c r="J368" s="5"/>
      <c r="K368" s="5"/>
      <c r="L368" s="5"/>
      <c r="M368" s="5"/>
      <c r="N368" s="5"/>
      <c r="O368" s="5"/>
      <c r="P368" s="5"/>
      <c r="Q368" s="5"/>
      <c r="R368" s="5"/>
      <c r="S368" s="5"/>
      <c r="T368" s="5"/>
      <c r="U368" s="5"/>
      <c r="V368" s="5"/>
      <c r="W368" s="5"/>
      <c r="X368" s="5"/>
      <c r="Y368" s="5"/>
    </row>
    <row r="369">
      <c r="A369" s="114">
        <v>45733.0</v>
      </c>
      <c r="B369" s="127"/>
      <c r="C369" s="130">
        <f t="shared" si="24"/>
        <v>2804247</v>
      </c>
      <c r="D369" s="131">
        <v>210.1249110992408</v>
      </c>
      <c r="E369" s="56">
        <v>3119946.014</v>
      </c>
      <c r="F369" s="130">
        <f t="shared" si="52"/>
        <v>112182.966</v>
      </c>
      <c r="G369" s="119">
        <f t="shared" si="22"/>
        <v>570745.014</v>
      </c>
      <c r="H369" s="120">
        <f t="shared" si="23"/>
        <v>0.1011873323</v>
      </c>
      <c r="I369" s="4"/>
      <c r="J369" s="5"/>
      <c r="K369" s="5"/>
      <c r="L369" s="5"/>
      <c r="M369" s="5"/>
      <c r="N369" s="5"/>
      <c r="O369" s="5"/>
      <c r="P369" s="5"/>
      <c r="Q369" s="5"/>
      <c r="R369" s="5"/>
      <c r="S369" s="5"/>
      <c r="T369" s="5"/>
      <c r="U369" s="5"/>
      <c r="V369" s="5"/>
      <c r="W369" s="5"/>
      <c r="X369" s="5"/>
      <c r="Y369" s="5"/>
    </row>
    <row r="370">
      <c r="A370" s="133">
        <v>45732.0</v>
      </c>
      <c r="B370" s="127"/>
      <c r="C370" s="130">
        <f t="shared" si="24"/>
        <v>2804247</v>
      </c>
      <c r="D370" s="131">
        <v>210.1249110992408</v>
      </c>
      <c r="E370" s="56">
        <v>3007763.048</v>
      </c>
      <c r="F370" s="130">
        <f t="shared" si="52"/>
        <v>1877.966</v>
      </c>
      <c r="G370" s="119">
        <f t="shared" si="22"/>
        <v>458562.048</v>
      </c>
      <c r="H370" s="120">
        <f t="shared" si="23"/>
        <v>0.06766359077</v>
      </c>
      <c r="I370" s="4"/>
      <c r="J370" s="5"/>
      <c r="K370" s="5"/>
      <c r="L370" s="5"/>
      <c r="M370" s="5"/>
      <c r="N370" s="5"/>
      <c r="O370" s="5"/>
      <c r="P370" s="5"/>
      <c r="Q370" s="5"/>
      <c r="R370" s="5"/>
      <c r="S370" s="5"/>
      <c r="T370" s="5"/>
      <c r="U370" s="5"/>
      <c r="V370" s="5"/>
      <c r="W370" s="5"/>
      <c r="X370" s="5"/>
      <c r="Y370" s="5"/>
    </row>
    <row r="371">
      <c r="A371" s="133">
        <v>45731.0</v>
      </c>
      <c r="B371" s="127"/>
      <c r="C371" s="130">
        <f t="shared" si="24"/>
        <v>2804247</v>
      </c>
      <c r="D371" s="131">
        <v>210.1249110992408</v>
      </c>
      <c r="E371" s="56">
        <v>3005885.082</v>
      </c>
      <c r="F371" s="130">
        <f t="shared" si="52"/>
        <v>2597.966</v>
      </c>
      <c r="G371" s="119">
        <f t="shared" si="22"/>
        <v>456684.082</v>
      </c>
      <c r="H371" s="120">
        <f t="shared" si="23"/>
        <v>0.06708110141</v>
      </c>
      <c r="I371" s="4"/>
      <c r="J371" s="5"/>
      <c r="K371" s="5"/>
      <c r="L371" s="5"/>
      <c r="M371" s="5"/>
      <c r="N371" s="5"/>
      <c r="O371" s="5"/>
      <c r="P371" s="5"/>
      <c r="Q371" s="5"/>
      <c r="R371" s="5"/>
      <c r="S371" s="5"/>
      <c r="T371" s="5"/>
      <c r="U371" s="5"/>
      <c r="V371" s="5"/>
      <c r="W371" s="5"/>
      <c r="X371" s="5"/>
      <c r="Y371" s="5"/>
    </row>
    <row r="372">
      <c r="A372" s="114">
        <v>45730.0</v>
      </c>
      <c r="B372" s="127"/>
      <c r="C372" s="130">
        <f t="shared" si="24"/>
        <v>2804247</v>
      </c>
      <c r="D372" s="131">
        <v>210.1249110992408</v>
      </c>
      <c r="E372" s="56">
        <v>3003287.116</v>
      </c>
      <c r="F372" s="130">
        <f t="shared" si="52"/>
        <v>35567.966</v>
      </c>
      <c r="G372" s="119">
        <f t="shared" si="22"/>
        <v>454086.116</v>
      </c>
      <c r="H372" s="120">
        <f t="shared" si="23"/>
        <v>0.06627408846</v>
      </c>
      <c r="I372" s="4"/>
      <c r="J372" s="5"/>
      <c r="K372" s="5"/>
      <c r="L372" s="5"/>
      <c r="M372" s="5"/>
      <c r="N372" s="5"/>
      <c r="O372" s="5"/>
      <c r="P372" s="5"/>
      <c r="Q372" s="5"/>
      <c r="R372" s="5"/>
      <c r="S372" s="5"/>
      <c r="T372" s="5"/>
      <c r="U372" s="5"/>
      <c r="V372" s="5"/>
      <c r="W372" s="5"/>
      <c r="X372" s="5"/>
      <c r="Y372" s="5"/>
    </row>
    <row r="373">
      <c r="A373" s="114">
        <v>45729.0</v>
      </c>
      <c r="B373" s="127"/>
      <c r="C373" s="130">
        <f t="shared" si="24"/>
        <v>2804247</v>
      </c>
      <c r="D373" s="131">
        <v>210.1249110992408</v>
      </c>
      <c r="E373" s="56">
        <v>2967719.15</v>
      </c>
      <c r="F373" s="130">
        <f t="shared" si="52"/>
        <v>-7952.034</v>
      </c>
      <c r="G373" s="119">
        <f t="shared" si="22"/>
        <v>418518.15</v>
      </c>
      <c r="H373" s="120">
        <f t="shared" si="23"/>
        <v>0.05508342998</v>
      </c>
      <c r="I373" s="4"/>
      <c r="J373" s="5"/>
      <c r="K373" s="5"/>
      <c r="L373" s="5"/>
      <c r="M373" s="5"/>
      <c r="N373" s="5"/>
      <c r="O373" s="5"/>
      <c r="P373" s="5"/>
      <c r="Q373" s="5"/>
      <c r="R373" s="5"/>
      <c r="S373" s="5"/>
      <c r="T373" s="5"/>
      <c r="U373" s="5"/>
      <c r="V373" s="5"/>
      <c r="W373" s="5"/>
      <c r="X373" s="5"/>
      <c r="Y373" s="5"/>
    </row>
    <row r="374">
      <c r="A374" s="114">
        <v>45728.0</v>
      </c>
      <c r="B374" s="127"/>
      <c r="C374" s="130">
        <f t="shared" si="24"/>
        <v>2804247</v>
      </c>
      <c r="D374" s="131">
        <v>210.1249110992408</v>
      </c>
      <c r="E374" s="56">
        <v>2975671.184</v>
      </c>
      <c r="F374" s="130">
        <f t="shared" si="52"/>
        <v>56457.966</v>
      </c>
      <c r="G374" s="119">
        <f t="shared" si="22"/>
        <v>426470.184</v>
      </c>
      <c r="H374" s="120">
        <f t="shared" si="23"/>
        <v>0.05760857749</v>
      </c>
      <c r="I374" s="4"/>
      <c r="J374" s="5"/>
      <c r="K374" s="5"/>
      <c r="L374" s="5"/>
      <c r="M374" s="5"/>
      <c r="N374" s="5"/>
      <c r="O374" s="5"/>
      <c r="P374" s="5"/>
      <c r="Q374" s="5"/>
      <c r="R374" s="5"/>
      <c r="S374" s="5"/>
      <c r="T374" s="5"/>
      <c r="U374" s="5"/>
      <c r="V374" s="5"/>
      <c r="W374" s="5"/>
      <c r="X374" s="5"/>
      <c r="Y374" s="5"/>
    </row>
    <row r="375">
      <c r="A375" s="114">
        <v>45727.0</v>
      </c>
      <c r="B375" s="127"/>
      <c r="C375" s="130">
        <f t="shared" si="24"/>
        <v>2804247</v>
      </c>
      <c r="D375" s="131">
        <v>210.1249110992408</v>
      </c>
      <c r="E375" s="56">
        <v>2919213.218</v>
      </c>
      <c r="F375" s="130">
        <f t="shared" si="52"/>
        <v>-15712.034</v>
      </c>
      <c r="G375" s="119">
        <f t="shared" si="22"/>
        <v>370012.218</v>
      </c>
      <c r="H375" s="120">
        <f t="shared" si="23"/>
        <v>0.03938260395</v>
      </c>
      <c r="I375" s="4"/>
      <c r="J375" s="5"/>
      <c r="K375" s="5"/>
      <c r="L375" s="5"/>
      <c r="M375" s="5"/>
      <c r="N375" s="5"/>
      <c r="O375" s="5"/>
      <c r="P375" s="5"/>
      <c r="Q375" s="5"/>
      <c r="R375" s="5"/>
      <c r="S375" s="5"/>
      <c r="T375" s="5"/>
      <c r="U375" s="5"/>
      <c r="V375" s="5"/>
      <c r="W375" s="5"/>
      <c r="X375" s="5"/>
      <c r="Y375" s="5"/>
    </row>
    <row r="376">
      <c r="A376" s="114">
        <v>45726.0</v>
      </c>
      <c r="B376" s="127"/>
      <c r="C376" s="130">
        <f t="shared" si="24"/>
        <v>2804247</v>
      </c>
      <c r="D376" s="131">
        <v>210.1249110992408</v>
      </c>
      <c r="E376" s="56">
        <v>2934925.252</v>
      </c>
      <c r="F376" s="130">
        <f t="shared" si="52"/>
        <v>677.966</v>
      </c>
      <c r="G376" s="119">
        <f t="shared" si="22"/>
        <v>385724.252</v>
      </c>
      <c r="H376" s="120">
        <f t="shared" si="23"/>
        <v>0.04452524026</v>
      </c>
      <c r="I376" s="4"/>
      <c r="J376" s="5"/>
      <c r="K376" s="5"/>
      <c r="L376" s="5"/>
      <c r="M376" s="5"/>
      <c r="N376" s="5"/>
      <c r="O376" s="5"/>
      <c r="P376" s="5"/>
      <c r="Q376" s="5"/>
      <c r="R376" s="5"/>
      <c r="S376" s="5"/>
      <c r="T376" s="5"/>
      <c r="U376" s="5"/>
      <c r="V376" s="5"/>
      <c r="W376" s="5"/>
      <c r="X376" s="5"/>
      <c r="Y376" s="5"/>
    </row>
    <row r="377">
      <c r="A377" s="133">
        <v>45725.0</v>
      </c>
      <c r="B377" s="135"/>
      <c r="C377" s="130">
        <f t="shared" si="24"/>
        <v>2804247</v>
      </c>
      <c r="D377" s="131">
        <v>210.1249110992408</v>
      </c>
      <c r="E377" s="130">
        <v>2934247.286</v>
      </c>
      <c r="F377" s="130">
        <f t="shared" ref="F377:F379" si="53">IF(E378&lt;&gt;0,E377-E378,)</f>
        <v>677.966</v>
      </c>
      <c r="G377" s="119">
        <f t="shared" si="22"/>
        <v>385046.286</v>
      </c>
      <c r="H377" s="120">
        <f t="shared" si="23"/>
        <v>0.04430447516</v>
      </c>
      <c r="I377" s="4"/>
      <c r="J377" s="5"/>
      <c r="K377" s="5"/>
      <c r="L377" s="5"/>
      <c r="M377" s="5"/>
      <c r="N377" s="5"/>
      <c r="O377" s="5"/>
      <c r="P377" s="5"/>
      <c r="Q377" s="5"/>
      <c r="R377" s="5"/>
      <c r="S377" s="5"/>
      <c r="T377" s="5"/>
      <c r="U377" s="5"/>
      <c r="V377" s="5"/>
      <c r="W377" s="5"/>
      <c r="X377" s="5"/>
      <c r="Y377" s="5"/>
    </row>
    <row r="378">
      <c r="A378" s="133">
        <v>45724.0</v>
      </c>
      <c r="B378" s="135"/>
      <c r="C378" s="130">
        <f t="shared" si="24"/>
        <v>2804247</v>
      </c>
      <c r="D378" s="131">
        <v>210.1249110992408</v>
      </c>
      <c r="E378" s="130">
        <v>2933569.32</v>
      </c>
      <c r="F378" s="130">
        <f t="shared" si="53"/>
        <v>677.966</v>
      </c>
      <c r="G378" s="119">
        <f t="shared" si="22"/>
        <v>384368.32</v>
      </c>
      <c r="H378" s="120">
        <f t="shared" si="23"/>
        <v>0.04408360802</v>
      </c>
      <c r="I378" s="4"/>
      <c r="J378" s="5"/>
      <c r="K378" s="5"/>
      <c r="L378" s="5"/>
      <c r="M378" s="5"/>
      <c r="N378" s="5"/>
      <c r="O378" s="5"/>
      <c r="P378" s="5"/>
      <c r="Q378" s="5"/>
      <c r="R378" s="5"/>
      <c r="S378" s="5"/>
      <c r="T378" s="5"/>
      <c r="U378" s="5"/>
      <c r="V378" s="5"/>
      <c r="W378" s="5"/>
      <c r="X378" s="5"/>
      <c r="Y378" s="5"/>
    </row>
    <row r="379">
      <c r="A379" s="114">
        <v>45723.0</v>
      </c>
      <c r="B379" s="127"/>
      <c r="C379" s="56">
        <f t="shared" si="24"/>
        <v>2804247</v>
      </c>
      <c r="D379" s="136">
        <v>210.1249110992408</v>
      </c>
      <c r="E379" s="56">
        <v>2932891.354</v>
      </c>
      <c r="F379" s="56">
        <f t="shared" si="53"/>
        <v>-4152.034</v>
      </c>
      <c r="G379" s="137">
        <f t="shared" si="22"/>
        <v>383690.354</v>
      </c>
      <c r="H379" s="120">
        <f t="shared" si="23"/>
        <v>0.04386263877</v>
      </c>
      <c r="I379" s="4"/>
      <c r="J379" s="5"/>
      <c r="K379" s="5"/>
      <c r="L379" s="5"/>
      <c r="M379" s="5"/>
      <c r="N379" s="5"/>
      <c r="O379" s="5"/>
      <c r="P379" s="5"/>
      <c r="Q379" s="5"/>
      <c r="R379" s="5"/>
      <c r="S379" s="5"/>
      <c r="T379" s="5"/>
      <c r="U379" s="5"/>
      <c r="V379" s="5"/>
      <c r="W379" s="5"/>
      <c r="X379" s="5"/>
      <c r="Y379" s="5"/>
    </row>
    <row r="380">
      <c r="A380" s="114">
        <v>45722.0</v>
      </c>
      <c r="B380" s="128">
        <v>381800.0</v>
      </c>
      <c r="C380" s="56">
        <f t="shared" si="24"/>
        <v>2804247</v>
      </c>
      <c r="D380" s="136">
        <v>210.1249110992408</v>
      </c>
      <c r="E380" s="56">
        <v>2937043.388</v>
      </c>
      <c r="F380" s="56">
        <f>IF(E381&lt;&gt;0,E380-E381,)-B380</f>
        <v>-22312.034</v>
      </c>
      <c r="G380" s="137">
        <f t="shared" si="22"/>
        <v>387842.388</v>
      </c>
      <c r="H380" s="120">
        <f t="shared" si="23"/>
        <v>0.04521430924</v>
      </c>
      <c r="I380" s="4"/>
      <c r="J380" s="5"/>
      <c r="K380" s="5"/>
      <c r="L380" s="5"/>
      <c r="M380" s="5"/>
      <c r="N380" s="5"/>
      <c r="O380" s="5"/>
      <c r="P380" s="5"/>
      <c r="Q380" s="5"/>
      <c r="R380" s="5"/>
      <c r="S380" s="5"/>
      <c r="T380" s="5"/>
      <c r="U380" s="5"/>
      <c r="V380" s="5"/>
      <c r="W380" s="5"/>
      <c r="X380" s="5"/>
      <c r="Y380" s="5"/>
    </row>
    <row r="381">
      <c r="A381" s="114">
        <v>45721.0</v>
      </c>
      <c r="B381" s="127"/>
      <c r="C381" s="56">
        <f t="shared" si="24"/>
        <v>2422447</v>
      </c>
      <c r="D381" s="138">
        <f t="shared" ref="D381:D393" si="54">210.1-27.47</f>
        <v>182.63</v>
      </c>
      <c r="E381" s="56">
        <v>2577555.422</v>
      </c>
      <c r="F381" s="56">
        <f t="shared" ref="F381:F392" si="55">IF(E382&lt;&gt;0,E381-E382,)</f>
        <v>28183.422</v>
      </c>
      <c r="G381" s="137">
        <f t="shared" si="22"/>
        <v>410154.422</v>
      </c>
      <c r="H381" s="120">
        <f t="shared" si="23"/>
        <v>0.06017656136</v>
      </c>
      <c r="I381" s="4"/>
      <c r="J381" s="5"/>
      <c r="K381" s="5"/>
      <c r="L381" s="5"/>
      <c r="M381" s="5"/>
      <c r="N381" s="5"/>
      <c r="O381" s="5"/>
      <c r="P381" s="5"/>
      <c r="Q381" s="5"/>
      <c r="R381" s="5"/>
      <c r="S381" s="5"/>
      <c r="T381" s="5"/>
      <c r="U381" s="5"/>
      <c r="V381" s="5"/>
      <c r="W381" s="5"/>
      <c r="X381" s="5"/>
      <c r="Y381" s="5"/>
    </row>
    <row r="382">
      <c r="A382" s="114">
        <v>45720.0</v>
      </c>
      <c r="B382" s="127"/>
      <c r="C382" s="56">
        <f t="shared" si="24"/>
        <v>2422447</v>
      </c>
      <c r="D382" s="138">
        <f t="shared" si="54"/>
        <v>182.63</v>
      </c>
      <c r="E382" s="132">
        <v>2549372.0</v>
      </c>
      <c r="F382" s="56">
        <f t="shared" si="55"/>
        <v>5888</v>
      </c>
      <c r="G382" s="137">
        <f t="shared" si="22"/>
        <v>381971</v>
      </c>
      <c r="H382" s="120">
        <f t="shared" si="23"/>
        <v>0.04978677102</v>
      </c>
      <c r="I382" s="4"/>
      <c r="J382" s="5"/>
      <c r="K382" s="5"/>
      <c r="L382" s="5"/>
      <c r="M382" s="5"/>
      <c r="N382" s="5"/>
      <c r="O382" s="5"/>
      <c r="P382" s="5"/>
      <c r="Q382" s="5"/>
      <c r="R382" s="5"/>
      <c r="S382" s="5"/>
      <c r="T382" s="5"/>
      <c r="U382" s="5"/>
      <c r="V382" s="5"/>
      <c r="W382" s="5"/>
      <c r="X382" s="5"/>
      <c r="Y382" s="5"/>
    </row>
    <row r="383">
      <c r="A383" s="114">
        <v>45719.0</v>
      </c>
      <c r="B383" s="127"/>
      <c r="C383" s="56">
        <f t="shared" si="24"/>
        <v>2422447</v>
      </c>
      <c r="D383" s="138">
        <f t="shared" si="54"/>
        <v>182.63</v>
      </c>
      <c r="E383" s="132">
        <v>2543484.0</v>
      </c>
      <c r="F383" s="56">
        <f t="shared" si="55"/>
        <v>-37628</v>
      </c>
      <c r="G383" s="137">
        <f t="shared" si="22"/>
        <v>376083</v>
      </c>
      <c r="H383" s="120">
        <f t="shared" si="23"/>
        <v>0.04758708921</v>
      </c>
      <c r="I383" s="4"/>
      <c r="J383" s="5"/>
      <c r="K383" s="5"/>
      <c r="L383" s="5"/>
      <c r="M383" s="5"/>
      <c r="N383" s="5"/>
      <c r="O383" s="5"/>
      <c r="P383" s="5"/>
      <c r="Q383" s="5"/>
      <c r="R383" s="5"/>
      <c r="S383" s="5"/>
      <c r="T383" s="5"/>
      <c r="U383" s="5"/>
      <c r="V383" s="5"/>
      <c r="W383" s="5"/>
      <c r="X383" s="5"/>
      <c r="Y383" s="5"/>
    </row>
    <row r="384">
      <c r="A384" s="133">
        <v>45718.0</v>
      </c>
      <c r="B384" s="135"/>
      <c r="C384" s="130">
        <f t="shared" si="24"/>
        <v>2422447</v>
      </c>
      <c r="D384" s="138">
        <f t="shared" si="54"/>
        <v>182.63</v>
      </c>
      <c r="E384" s="139">
        <v>2581112.0</v>
      </c>
      <c r="F384" s="130">
        <f t="shared" si="55"/>
        <v>678</v>
      </c>
      <c r="G384" s="119">
        <f t="shared" si="22"/>
        <v>413711</v>
      </c>
      <c r="H384" s="120">
        <f t="shared" si="23"/>
        <v>0.06147156729</v>
      </c>
      <c r="I384" s="4"/>
      <c r="J384" s="5"/>
      <c r="K384" s="5"/>
      <c r="L384" s="5"/>
      <c r="M384" s="5"/>
      <c r="N384" s="5"/>
      <c r="O384" s="5"/>
      <c r="P384" s="5"/>
      <c r="Q384" s="5"/>
      <c r="R384" s="5"/>
      <c r="S384" s="5"/>
      <c r="T384" s="5"/>
      <c r="U384" s="5"/>
      <c r="V384" s="5"/>
      <c r="W384" s="5"/>
      <c r="X384" s="5"/>
      <c r="Y384" s="5"/>
    </row>
    <row r="385">
      <c r="A385" s="133">
        <v>45717.0</v>
      </c>
      <c r="B385" s="135"/>
      <c r="C385" s="130">
        <f t="shared" si="24"/>
        <v>2422447</v>
      </c>
      <c r="D385" s="138">
        <f t="shared" si="54"/>
        <v>182.63</v>
      </c>
      <c r="E385" s="139">
        <v>2580434.0</v>
      </c>
      <c r="F385" s="130">
        <f t="shared" si="55"/>
        <v>678</v>
      </c>
      <c r="G385" s="119">
        <f t="shared" si="22"/>
        <v>413033</v>
      </c>
      <c r="H385" s="120">
        <f t="shared" si="23"/>
        <v>0.06122497223</v>
      </c>
      <c r="I385" s="4"/>
      <c r="J385" s="5"/>
      <c r="K385" s="5"/>
      <c r="L385" s="5"/>
      <c r="M385" s="5"/>
      <c r="N385" s="5"/>
      <c r="O385" s="5"/>
      <c r="P385" s="5"/>
      <c r="Q385" s="5"/>
      <c r="R385" s="5"/>
      <c r="S385" s="5"/>
      <c r="T385" s="5"/>
      <c r="U385" s="5"/>
      <c r="V385" s="5"/>
      <c r="W385" s="5"/>
      <c r="X385" s="5"/>
      <c r="Y385" s="5"/>
    </row>
    <row r="386">
      <c r="A386" s="114">
        <v>45716.0</v>
      </c>
      <c r="B386" s="127"/>
      <c r="C386" s="56">
        <f t="shared" si="24"/>
        <v>2422447</v>
      </c>
      <c r="D386" s="138">
        <f t="shared" si="54"/>
        <v>182.63</v>
      </c>
      <c r="E386" s="132">
        <v>2579756.0</v>
      </c>
      <c r="F386" s="56">
        <f t="shared" si="55"/>
        <v>-64412</v>
      </c>
      <c r="G386" s="137">
        <f t="shared" si="22"/>
        <v>412355</v>
      </c>
      <c r="H386" s="120">
        <f t="shared" si="23"/>
        <v>0.06097824756</v>
      </c>
      <c r="I386" s="4"/>
      <c r="J386" s="5"/>
      <c r="K386" s="5"/>
      <c r="L386" s="5"/>
      <c r="M386" s="5"/>
      <c r="N386" s="5"/>
      <c r="O386" s="5"/>
      <c r="P386" s="5"/>
      <c r="Q386" s="5"/>
      <c r="R386" s="5"/>
      <c r="S386" s="5"/>
      <c r="T386" s="5"/>
      <c r="U386" s="5"/>
      <c r="V386" s="5"/>
      <c r="W386" s="5"/>
      <c r="X386" s="5"/>
      <c r="Y386" s="5"/>
    </row>
    <row r="387">
      <c r="A387" s="114">
        <v>45715.0</v>
      </c>
      <c r="B387" s="127"/>
      <c r="C387" s="56">
        <f t="shared" si="24"/>
        <v>2422447</v>
      </c>
      <c r="D387" s="138">
        <f t="shared" si="54"/>
        <v>182.63</v>
      </c>
      <c r="E387" s="132">
        <v>2644168.0</v>
      </c>
      <c r="F387" s="56">
        <f t="shared" si="55"/>
        <v>-2557</v>
      </c>
      <c r="G387" s="137">
        <f t="shared" si="22"/>
        <v>476767</v>
      </c>
      <c r="H387" s="120">
        <f t="shared" si="23"/>
        <v>0.08385284142</v>
      </c>
      <c r="I387" s="4"/>
      <c r="J387" s="5"/>
      <c r="K387" s="5"/>
      <c r="L387" s="5"/>
      <c r="M387" s="5"/>
      <c r="N387" s="5"/>
      <c r="O387" s="5"/>
      <c r="P387" s="5"/>
      <c r="Q387" s="5"/>
      <c r="R387" s="5"/>
      <c r="S387" s="5"/>
      <c r="T387" s="5"/>
      <c r="U387" s="5"/>
      <c r="V387" s="5"/>
      <c r="W387" s="5"/>
      <c r="X387" s="5"/>
      <c r="Y387" s="5"/>
    </row>
    <row r="388">
      <c r="A388" s="114">
        <v>45714.0</v>
      </c>
      <c r="B388" s="127"/>
      <c r="C388" s="56">
        <f t="shared" si="24"/>
        <v>2422447</v>
      </c>
      <c r="D388" s="138">
        <f t="shared" si="54"/>
        <v>182.63</v>
      </c>
      <c r="E388" s="132">
        <v>2646725.0</v>
      </c>
      <c r="F388" s="56">
        <f t="shared" si="55"/>
        <v>18133</v>
      </c>
      <c r="G388" s="137">
        <f t="shared" si="22"/>
        <v>479324</v>
      </c>
      <c r="H388" s="120">
        <f t="shared" si="23"/>
        <v>0.08473793084</v>
      </c>
      <c r="I388" s="4"/>
      <c r="J388" s="5"/>
      <c r="K388" s="5"/>
      <c r="L388" s="5"/>
      <c r="M388" s="5"/>
      <c r="N388" s="5"/>
      <c r="O388" s="5"/>
      <c r="P388" s="5"/>
      <c r="Q388" s="5"/>
      <c r="R388" s="5"/>
      <c r="S388" s="5"/>
      <c r="T388" s="5"/>
      <c r="U388" s="5"/>
      <c r="V388" s="5"/>
      <c r="W388" s="5"/>
      <c r="X388" s="5"/>
      <c r="Y388" s="5"/>
    </row>
    <row r="389">
      <c r="A389" s="114">
        <v>45713.0</v>
      </c>
      <c r="B389" s="127"/>
      <c r="C389" s="56">
        <f t="shared" si="24"/>
        <v>2422447</v>
      </c>
      <c r="D389" s="138">
        <f t="shared" si="54"/>
        <v>182.63</v>
      </c>
      <c r="E389" s="132">
        <v>2628592.0</v>
      </c>
      <c r="F389" s="56">
        <f t="shared" si="55"/>
        <v>19763</v>
      </c>
      <c r="G389" s="137">
        <f t="shared" si="22"/>
        <v>461191</v>
      </c>
      <c r="H389" s="120">
        <f t="shared" si="23"/>
        <v>0.07842411451</v>
      </c>
      <c r="I389" s="4"/>
      <c r="J389" s="5"/>
      <c r="K389" s="5"/>
      <c r="L389" s="5"/>
      <c r="M389" s="5"/>
      <c r="N389" s="5"/>
      <c r="O389" s="5"/>
      <c r="P389" s="5"/>
      <c r="Q389" s="5"/>
      <c r="R389" s="5"/>
      <c r="S389" s="5"/>
      <c r="T389" s="5"/>
      <c r="U389" s="5"/>
      <c r="V389" s="5"/>
      <c r="W389" s="5"/>
      <c r="X389" s="5"/>
      <c r="Y389" s="5"/>
    </row>
    <row r="390">
      <c r="A390" s="114">
        <v>45712.0</v>
      </c>
      <c r="B390" s="127"/>
      <c r="C390" s="56">
        <f t="shared" si="24"/>
        <v>2422447</v>
      </c>
      <c r="D390" s="138">
        <f t="shared" si="54"/>
        <v>182.63</v>
      </c>
      <c r="E390" s="132">
        <v>2608829.0</v>
      </c>
      <c r="F390" s="56">
        <f t="shared" si="55"/>
        <v>39336</v>
      </c>
      <c r="G390" s="137">
        <f t="shared" si="22"/>
        <v>441428</v>
      </c>
      <c r="H390" s="120">
        <f t="shared" si="23"/>
        <v>0.07144278142</v>
      </c>
      <c r="I390" s="4"/>
      <c r="J390" s="5"/>
      <c r="K390" s="5"/>
      <c r="L390" s="5"/>
      <c r="M390" s="5"/>
      <c r="N390" s="5"/>
      <c r="O390" s="5"/>
      <c r="P390" s="5"/>
      <c r="Q390" s="5"/>
      <c r="R390" s="5"/>
      <c r="S390" s="5"/>
      <c r="T390" s="5"/>
      <c r="U390" s="5"/>
      <c r="V390" s="5"/>
      <c r="W390" s="5"/>
      <c r="X390" s="5"/>
      <c r="Y390" s="5"/>
    </row>
    <row r="391">
      <c r="A391" s="140">
        <v>45711.0</v>
      </c>
      <c r="B391" s="135"/>
      <c r="C391" s="130">
        <f t="shared" si="24"/>
        <v>2422447</v>
      </c>
      <c r="D391" s="138">
        <f t="shared" si="54"/>
        <v>182.63</v>
      </c>
      <c r="E391" s="139">
        <f>2570171-678</f>
        <v>2569493</v>
      </c>
      <c r="F391" s="130">
        <f t="shared" si="55"/>
        <v>0</v>
      </c>
      <c r="G391" s="119">
        <f t="shared" si="22"/>
        <v>402092</v>
      </c>
      <c r="H391" s="120">
        <f t="shared" si="23"/>
        <v>0.05722763207</v>
      </c>
      <c r="I391" s="4"/>
      <c r="J391" s="5"/>
      <c r="K391" s="5"/>
      <c r="L391" s="5"/>
      <c r="M391" s="5"/>
      <c r="N391" s="5"/>
      <c r="O391" s="5"/>
      <c r="P391" s="5"/>
      <c r="Q391" s="5"/>
      <c r="R391" s="5"/>
      <c r="S391" s="5"/>
      <c r="T391" s="5"/>
      <c r="U391" s="5"/>
      <c r="V391" s="5"/>
      <c r="W391" s="5"/>
      <c r="X391" s="5"/>
      <c r="Y391" s="5"/>
    </row>
    <row r="392">
      <c r="A392" s="140">
        <v>45710.0</v>
      </c>
      <c r="B392" s="135"/>
      <c r="C392" s="130">
        <f t="shared" si="24"/>
        <v>2422447</v>
      </c>
      <c r="D392" s="138">
        <f t="shared" si="54"/>
        <v>182.63</v>
      </c>
      <c r="E392" s="139">
        <v>2569493.0</v>
      </c>
      <c r="F392" s="130">
        <f t="shared" si="55"/>
        <v>-12722</v>
      </c>
      <c r="G392" s="119">
        <f t="shared" si="22"/>
        <v>402092</v>
      </c>
      <c r="H392" s="120">
        <f t="shared" si="23"/>
        <v>0.05722763207</v>
      </c>
      <c r="I392" s="4"/>
      <c r="J392" s="5"/>
      <c r="K392" s="5"/>
      <c r="L392" s="5"/>
      <c r="M392" s="5"/>
      <c r="N392" s="5"/>
      <c r="O392" s="5"/>
      <c r="P392" s="5"/>
      <c r="Q392" s="5"/>
      <c r="R392" s="5"/>
      <c r="S392" s="5"/>
      <c r="T392" s="5"/>
      <c r="U392" s="5"/>
      <c r="V392" s="5"/>
      <c r="W392" s="5"/>
      <c r="X392" s="5"/>
      <c r="Y392" s="5"/>
    </row>
    <row r="393">
      <c r="A393" s="114">
        <v>45709.0</v>
      </c>
      <c r="B393" s="128">
        <v>166400.0</v>
      </c>
      <c r="C393" s="56">
        <f t="shared" si="24"/>
        <v>2422447</v>
      </c>
      <c r="D393" s="138">
        <f t="shared" si="54"/>
        <v>182.63</v>
      </c>
      <c r="E393" s="132">
        <v>2582215.0</v>
      </c>
      <c r="F393" s="56">
        <f>IF(E394&lt;&gt;0,E393-E394,)-166400</f>
        <v>-262152</v>
      </c>
      <c r="G393" s="137">
        <f t="shared" si="22"/>
        <v>414814</v>
      </c>
      <c r="H393" s="120">
        <f t="shared" si="23"/>
        <v>0.06187246221</v>
      </c>
      <c r="I393" s="4"/>
      <c r="J393" s="5"/>
      <c r="K393" s="5"/>
      <c r="L393" s="5"/>
      <c r="M393" s="5"/>
      <c r="N393" s="5"/>
      <c r="O393" s="5"/>
      <c r="P393" s="5"/>
      <c r="Q393" s="5"/>
      <c r="R393" s="5"/>
      <c r="S393" s="5"/>
      <c r="T393" s="5"/>
      <c r="U393" s="5"/>
      <c r="V393" s="5"/>
      <c r="W393" s="5"/>
      <c r="X393" s="5"/>
      <c r="Y393" s="5"/>
    </row>
    <row r="394">
      <c r="A394" s="114">
        <v>45708.0</v>
      </c>
      <c r="B394" s="127"/>
      <c r="C394" s="56">
        <f t="shared" si="24"/>
        <v>2256047</v>
      </c>
      <c r="D394" s="138">
        <f t="shared" ref="D394:D399" si="56">210.1-41.98</f>
        <v>168.12</v>
      </c>
      <c r="E394" s="132">
        <v>2677967.0</v>
      </c>
      <c r="F394" s="56">
        <f t="shared" ref="F394:F398" si="57">IF(E395&lt;&gt;0,E394-E395,)</f>
        <v>-6992</v>
      </c>
      <c r="G394" s="137">
        <f t="shared" si="22"/>
        <v>676966</v>
      </c>
      <c r="H394" s="120">
        <f t="shared" si="23"/>
        <v>0.1575523522</v>
      </c>
      <c r="I394" s="4"/>
      <c r="J394" s="5"/>
      <c r="K394" s="5"/>
      <c r="L394" s="5"/>
      <c r="M394" s="5"/>
      <c r="N394" s="5"/>
      <c r="O394" s="5"/>
      <c r="P394" s="5"/>
      <c r="Q394" s="5"/>
      <c r="R394" s="5"/>
      <c r="S394" s="5"/>
      <c r="T394" s="5"/>
      <c r="U394" s="5"/>
      <c r="V394" s="5"/>
      <c r="W394" s="5"/>
      <c r="X394" s="5"/>
      <c r="Y394" s="5"/>
    </row>
    <row r="395">
      <c r="A395" s="114">
        <v>45707.0</v>
      </c>
      <c r="B395" s="127"/>
      <c r="C395" s="56">
        <f t="shared" si="24"/>
        <v>2256047</v>
      </c>
      <c r="D395" s="138">
        <f t="shared" si="56"/>
        <v>168.12</v>
      </c>
      <c r="E395" s="132">
        <v>2684959.0</v>
      </c>
      <c r="F395" s="56">
        <f t="shared" si="57"/>
        <v>-8127</v>
      </c>
      <c r="G395" s="137">
        <f t="shared" si="22"/>
        <v>683958</v>
      </c>
      <c r="H395" s="120">
        <f t="shared" si="23"/>
        <v>0.159746201</v>
      </c>
      <c r="I395" s="4"/>
      <c r="J395" s="5"/>
      <c r="K395" s="5"/>
      <c r="L395" s="5"/>
      <c r="M395" s="5"/>
      <c r="N395" s="5"/>
      <c r="O395" s="5"/>
      <c r="P395" s="5"/>
      <c r="Q395" s="5"/>
      <c r="R395" s="5"/>
      <c r="S395" s="5"/>
      <c r="T395" s="5"/>
      <c r="U395" s="5"/>
      <c r="V395" s="5"/>
      <c r="W395" s="5"/>
      <c r="X395" s="5"/>
      <c r="Y395" s="5"/>
    </row>
    <row r="396">
      <c r="A396" s="114">
        <v>45706.0</v>
      </c>
      <c r="B396" s="127"/>
      <c r="C396" s="56">
        <f t="shared" si="24"/>
        <v>2256047</v>
      </c>
      <c r="D396" s="138">
        <f t="shared" si="56"/>
        <v>168.12</v>
      </c>
      <c r="E396" s="132">
        <v>2693086.0</v>
      </c>
      <c r="F396" s="56">
        <f t="shared" si="57"/>
        <v>-35202</v>
      </c>
      <c r="G396" s="137">
        <f t="shared" si="22"/>
        <v>692085</v>
      </c>
      <c r="H396" s="120">
        <f t="shared" si="23"/>
        <v>0.1622818581</v>
      </c>
      <c r="I396" s="4"/>
      <c r="J396" s="5"/>
      <c r="K396" s="5"/>
      <c r="L396" s="5"/>
      <c r="M396" s="5"/>
      <c r="N396" s="5"/>
      <c r="O396" s="5"/>
      <c r="P396" s="5"/>
      <c r="Q396" s="5"/>
      <c r="R396" s="5"/>
      <c r="S396" s="5"/>
      <c r="T396" s="5"/>
      <c r="U396" s="5"/>
      <c r="V396" s="5"/>
      <c r="W396" s="5"/>
      <c r="X396" s="5"/>
      <c r="Y396" s="5"/>
    </row>
    <row r="397">
      <c r="A397" s="114">
        <v>45705.0</v>
      </c>
      <c r="B397" s="127"/>
      <c r="C397" s="56">
        <f t="shared" si="24"/>
        <v>2256047</v>
      </c>
      <c r="D397" s="138">
        <f t="shared" si="56"/>
        <v>168.12</v>
      </c>
      <c r="E397" s="132">
        <v>2728288.0</v>
      </c>
      <c r="F397" s="56">
        <f t="shared" si="57"/>
        <v>4243</v>
      </c>
      <c r="G397" s="137">
        <f t="shared" si="22"/>
        <v>727287</v>
      </c>
      <c r="H397" s="120">
        <f t="shared" si="23"/>
        <v>0.1730905975</v>
      </c>
      <c r="I397" s="4"/>
      <c r="J397" s="5"/>
      <c r="K397" s="5"/>
      <c r="L397" s="5"/>
      <c r="M397" s="5"/>
      <c r="N397" s="5"/>
      <c r="O397" s="5"/>
      <c r="P397" s="5"/>
      <c r="Q397" s="5"/>
      <c r="R397" s="5"/>
      <c r="S397" s="5"/>
      <c r="T397" s="5"/>
      <c r="U397" s="5"/>
      <c r="V397" s="5"/>
      <c r="W397" s="5"/>
      <c r="X397" s="5"/>
      <c r="Y397" s="5"/>
    </row>
    <row r="398">
      <c r="A398" s="114">
        <v>45704.0</v>
      </c>
      <c r="B398" s="127"/>
      <c r="C398" s="56">
        <f t="shared" si="24"/>
        <v>2256047</v>
      </c>
      <c r="D398" s="138">
        <f t="shared" si="56"/>
        <v>168.12</v>
      </c>
      <c r="E398" s="132">
        <v>2724045.0</v>
      </c>
      <c r="F398" s="56">
        <f t="shared" si="57"/>
        <v>0</v>
      </c>
      <c r="G398" s="141">
        <v>723044.0</v>
      </c>
      <c r="H398" s="120">
        <f t="shared" si="23"/>
        <v>0.171802595</v>
      </c>
      <c r="I398" s="4"/>
      <c r="J398" s="5"/>
      <c r="K398" s="5"/>
      <c r="L398" s="5"/>
      <c r="M398" s="5"/>
      <c r="N398" s="5"/>
      <c r="O398" s="5"/>
      <c r="P398" s="5"/>
      <c r="Q398" s="5"/>
      <c r="R398" s="5"/>
      <c r="S398" s="5"/>
      <c r="T398" s="5"/>
      <c r="U398" s="5"/>
      <c r="V398" s="5"/>
      <c r="W398" s="5"/>
      <c r="X398" s="5"/>
      <c r="Y398" s="5"/>
    </row>
    <row r="399">
      <c r="A399" s="142">
        <v>45703.0</v>
      </c>
      <c r="B399" s="143"/>
      <c r="C399" s="144">
        <v>2256047.0</v>
      </c>
      <c r="D399" s="138">
        <f t="shared" si="56"/>
        <v>168.12</v>
      </c>
      <c r="E399" s="145">
        <v>2724045.0</v>
      </c>
      <c r="F399" s="145">
        <v>0.0</v>
      </c>
      <c r="G399" s="146"/>
      <c r="H399" s="120">
        <f t="shared" si="23"/>
        <v>0.171802595</v>
      </c>
      <c r="I399" s="4"/>
      <c r="J399" s="5"/>
      <c r="K399" s="5"/>
      <c r="L399" s="5"/>
      <c r="M399" s="5"/>
      <c r="N399" s="5"/>
      <c r="O399" s="5"/>
      <c r="P399" s="5"/>
      <c r="Q399" s="5"/>
      <c r="R399" s="5"/>
      <c r="S399" s="5"/>
      <c r="T399" s="5"/>
      <c r="U399" s="5"/>
      <c r="V399" s="5"/>
      <c r="W399" s="5"/>
      <c r="X399" s="5"/>
      <c r="Y399" s="5"/>
    </row>
    <row r="400">
      <c r="A400" s="60"/>
      <c r="B400" s="59"/>
      <c r="C400" s="59"/>
      <c r="D400" s="59"/>
      <c r="E400" s="59"/>
      <c r="F400" s="59"/>
      <c r="G400" s="147"/>
      <c r="H400" s="148"/>
      <c r="I400" s="4"/>
      <c r="J400" s="5"/>
      <c r="K400" s="5"/>
      <c r="L400" s="5"/>
      <c r="M400" s="5"/>
      <c r="N400" s="5"/>
      <c r="O400" s="5"/>
      <c r="P400" s="5"/>
      <c r="Q400" s="5"/>
      <c r="R400" s="5"/>
      <c r="S400" s="5"/>
      <c r="T400" s="5"/>
      <c r="U400" s="5"/>
      <c r="V400" s="5"/>
      <c r="W400" s="5"/>
      <c r="X400" s="5"/>
      <c r="Y400" s="5"/>
    </row>
    <row r="401">
      <c r="A401" s="5"/>
      <c r="B401" s="64"/>
      <c r="C401" s="64"/>
      <c r="D401" s="64"/>
      <c r="E401" s="64"/>
      <c r="F401" s="64"/>
      <c r="G401" s="149"/>
      <c r="H401" s="148"/>
      <c r="I401" s="4"/>
      <c r="J401" s="5"/>
      <c r="K401" s="5"/>
      <c r="L401" s="5"/>
      <c r="M401" s="5"/>
      <c r="N401" s="5"/>
      <c r="O401" s="5"/>
      <c r="P401" s="5"/>
      <c r="Q401" s="5"/>
      <c r="R401" s="5"/>
      <c r="S401" s="5"/>
      <c r="T401" s="5"/>
      <c r="U401" s="5"/>
      <c r="V401" s="5"/>
      <c r="W401" s="5"/>
      <c r="X401" s="5"/>
      <c r="Y401" s="5"/>
    </row>
    <row r="402">
      <c r="A402" s="5"/>
      <c r="B402" s="64"/>
      <c r="C402" s="64"/>
      <c r="D402" s="64"/>
      <c r="E402" s="64"/>
      <c r="F402" s="64"/>
      <c r="G402" s="149"/>
      <c r="H402" s="148"/>
      <c r="I402" s="4"/>
      <c r="J402" s="5"/>
      <c r="K402" s="5"/>
      <c r="L402" s="5"/>
      <c r="M402" s="5"/>
      <c r="N402" s="5"/>
      <c r="O402" s="5"/>
      <c r="P402" s="5"/>
      <c r="Q402" s="5"/>
      <c r="R402" s="5"/>
      <c r="S402" s="5"/>
      <c r="T402" s="5"/>
      <c r="U402" s="5"/>
      <c r="V402" s="5"/>
      <c r="W402" s="5"/>
      <c r="X402" s="5"/>
      <c r="Y402" s="5"/>
    </row>
    <row r="403">
      <c r="A403" s="5"/>
      <c r="B403" s="64"/>
      <c r="C403" s="64"/>
      <c r="D403" s="64"/>
      <c r="E403" s="64"/>
      <c r="F403" s="64"/>
      <c r="G403" s="149"/>
      <c r="H403" s="148"/>
      <c r="I403" s="4"/>
      <c r="J403" s="5"/>
      <c r="K403" s="5"/>
      <c r="L403" s="5"/>
      <c r="M403" s="5"/>
      <c r="N403" s="5"/>
      <c r="O403" s="5"/>
      <c r="P403" s="5"/>
      <c r="Q403" s="5"/>
      <c r="R403" s="5"/>
      <c r="S403" s="5"/>
      <c r="T403" s="5"/>
      <c r="U403" s="5"/>
      <c r="V403" s="5"/>
      <c r="W403" s="5"/>
      <c r="X403" s="5"/>
      <c r="Y403" s="5"/>
    </row>
    <row r="404">
      <c r="A404" s="5"/>
      <c r="B404" s="64"/>
      <c r="C404" s="64"/>
      <c r="D404" s="64"/>
      <c r="E404" s="64"/>
      <c r="F404" s="64"/>
      <c r="G404" s="149"/>
      <c r="H404" s="148"/>
      <c r="I404" s="4"/>
      <c r="J404" s="5"/>
      <c r="K404" s="5"/>
      <c r="L404" s="5"/>
      <c r="M404" s="5"/>
      <c r="N404" s="5"/>
      <c r="O404" s="5"/>
      <c r="P404" s="5"/>
      <c r="Q404" s="5"/>
      <c r="R404" s="5"/>
      <c r="S404" s="5"/>
      <c r="T404" s="5"/>
      <c r="U404" s="5"/>
      <c r="V404" s="5"/>
      <c r="W404" s="5"/>
      <c r="X404" s="5"/>
      <c r="Y404" s="5"/>
    </row>
    <row r="405">
      <c r="A405" s="5"/>
      <c r="B405" s="64"/>
      <c r="C405" s="64"/>
      <c r="D405" s="64"/>
      <c r="E405" s="64"/>
      <c r="F405" s="64"/>
      <c r="G405" s="149"/>
      <c r="H405" s="148"/>
      <c r="I405" s="4"/>
      <c r="J405" s="5"/>
      <c r="K405" s="5"/>
      <c r="L405" s="5"/>
      <c r="M405" s="5"/>
      <c r="N405" s="5"/>
      <c r="O405" s="5"/>
      <c r="P405" s="5"/>
      <c r="Q405" s="5"/>
      <c r="R405" s="5"/>
      <c r="S405" s="5"/>
      <c r="T405" s="5"/>
      <c r="U405" s="5"/>
      <c r="V405" s="5"/>
      <c r="W405" s="5"/>
      <c r="X405" s="5"/>
      <c r="Y405" s="5"/>
    </row>
    <row r="406">
      <c r="A406" s="5"/>
      <c r="B406" s="64"/>
      <c r="C406" s="64"/>
      <c r="D406" s="64"/>
      <c r="E406" s="64"/>
      <c r="F406" s="64"/>
      <c r="G406" s="149"/>
      <c r="H406" s="148"/>
      <c r="I406" s="4"/>
      <c r="J406" s="5"/>
      <c r="K406" s="5"/>
      <c r="L406" s="5"/>
      <c r="M406" s="5"/>
      <c r="N406" s="5"/>
      <c r="O406" s="5"/>
      <c r="P406" s="5"/>
      <c r="Q406" s="5"/>
      <c r="R406" s="5"/>
      <c r="S406" s="5"/>
      <c r="T406" s="5"/>
      <c r="U406" s="5"/>
      <c r="V406" s="5"/>
      <c r="W406" s="5"/>
      <c r="X406" s="5"/>
      <c r="Y406" s="5"/>
    </row>
    <row r="407">
      <c r="A407" s="5"/>
      <c r="B407" s="64"/>
      <c r="C407" s="64"/>
      <c r="D407" s="64"/>
      <c r="E407" s="64"/>
      <c r="F407" s="64"/>
      <c r="G407" s="149"/>
      <c r="H407" s="148"/>
      <c r="I407" s="4"/>
      <c r="J407" s="5"/>
      <c r="K407" s="5"/>
      <c r="L407" s="5"/>
      <c r="M407" s="5"/>
      <c r="N407" s="5"/>
      <c r="O407" s="5"/>
      <c r="P407" s="5"/>
      <c r="Q407" s="5"/>
      <c r="R407" s="5"/>
      <c r="S407" s="5"/>
      <c r="T407" s="5"/>
      <c r="U407" s="5"/>
      <c r="V407" s="5"/>
      <c r="W407" s="5"/>
      <c r="X407" s="5"/>
      <c r="Y407" s="5"/>
    </row>
    <row r="408">
      <c r="A408" s="5"/>
      <c r="B408" s="64"/>
      <c r="C408" s="64"/>
      <c r="D408" s="64"/>
      <c r="E408" s="64"/>
      <c r="F408" s="64"/>
      <c r="G408" s="149"/>
      <c r="H408" s="148"/>
      <c r="I408" s="4"/>
      <c r="J408" s="5"/>
      <c r="K408" s="5"/>
      <c r="L408" s="5"/>
      <c r="M408" s="5"/>
      <c r="N408" s="5"/>
      <c r="O408" s="5"/>
      <c r="P408" s="5"/>
      <c r="Q408" s="5"/>
      <c r="R408" s="5"/>
      <c r="S408" s="5"/>
      <c r="T408" s="5"/>
      <c r="U408" s="5"/>
      <c r="V408" s="5"/>
      <c r="W408" s="5"/>
      <c r="X408" s="5"/>
      <c r="Y408" s="5"/>
    </row>
    <row r="409">
      <c r="A409" s="5"/>
      <c r="B409" s="64"/>
      <c r="C409" s="64"/>
      <c r="D409" s="64"/>
      <c r="E409" s="64"/>
      <c r="F409" s="64"/>
      <c r="G409" s="149"/>
      <c r="H409" s="148"/>
      <c r="I409" s="4"/>
      <c r="J409" s="5"/>
      <c r="K409" s="5"/>
      <c r="L409" s="5"/>
      <c r="M409" s="5"/>
      <c r="N409" s="5"/>
      <c r="O409" s="5"/>
      <c r="P409" s="5"/>
      <c r="Q409" s="5"/>
      <c r="R409" s="5"/>
      <c r="S409" s="5"/>
      <c r="T409" s="5"/>
      <c r="U409" s="5"/>
      <c r="V409" s="5"/>
      <c r="W409" s="5"/>
      <c r="X409" s="5"/>
      <c r="Y409" s="5"/>
    </row>
    <row r="410">
      <c r="A410" s="5"/>
      <c r="B410" s="64"/>
      <c r="C410" s="64"/>
      <c r="D410" s="64"/>
      <c r="E410" s="64"/>
      <c r="F410" s="64"/>
      <c r="G410" s="149"/>
      <c r="H410" s="148"/>
      <c r="I410" s="4"/>
      <c r="J410" s="5"/>
      <c r="K410" s="5"/>
      <c r="L410" s="5"/>
      <c r="M410" s="5"/>
      <c r="N410" s="5"/>
      <c r="O410" s="5"/>
      <c r="P410" s="5"/>
      <c r="Q410" s="5"/>
      <c r="R410" s="5"/>
      <c r="S410" s="5"/>
      <c r="T410" s="5"/>
      <c r="U410" s="5"/>
      <c r="V410" s="5"/>
      <c r="W410" s="5"/>
      <c r="X410" s="5"/>
      <c r="Y410" s="5"/>
    </row>
    <row r="411">
      <c r="A411" s="5"/>
      <c r="B411" s="64"/>
      <c r="C411" s="64"/>
      <c r="D411" s="64"/>
      <c r="E411" s="64"/>
      <c r="F411" s="64"/>
      <c r="G411" s="149"/>
      <c r="H411" s="148"/>
      <c r="I411" s="4"/>
      <c r="J411" s="5"/>
      <c r="K411" s="5"/>
      <c r="L411" s="5"/>
      <c r="M411" s="5"/>
      <c r="N411" s="5"/>
      <c r="O411" s="5"/>
      <c r="P411" s="5"/>
      <c r="Q411" s="5"/>
      <c r="R411" s="5"/>
      <c r="S411" s="5"/>
      <c r="T411" s="5"/>
      <c r="U411" s="5"/>
      <c r="V411" s="5"/>
      <c r="W411" s="5"/>
      <c r="X411" s="5"/>
      <c r="Y411" s="5"/>
    </row>
    <row r="412">
      <c r="A412" s="5"/>
      <c r="B412" s="64"/>
      <c r="C412" s="64"/>
      <c r="D412" s="64"/>
      <c r="E412" s="64"/>
      <c r="F412" s="64"/>
      <c r="G412" s="149"/>
      <c r="H412" s="148"/>
      <c r="I412" s="4"/>
      <c r="J412" s="5"/>
      <c r="K412" s="5"/>
      <c r="L412" s="5"/>
      <c r="M412" s="5"/>
      <c r="N412" s="5"/>
      <c r="O412" s="5"/>
      <c r="P412" s="5"/>
      <c r="Q412" s="5"/>
      <c r="R412" s="5"/>
      <c r="S412" s="5"/>
      <c r="T412" s="5"/>
      <c r="U412" s="5"/>
      <c r="V412" s="5"/>
      <c r="W412" s="5"/>
      <c r="X412" s="5"/>
      <c r="Y412" s="5"/>
    </row>
    <row r="413">
      <c r="A413" s="5"/>
      <c r="B413" s="64"/>
      <c r="C413" s="64"/>
      <c r="D413" s="64"/>
      <c r="E413" s="64"/>
      <c r="F413" s="64"/>
      <c r="G413" s="149"/>
      <c r="H413" s="148"/>
      <c r="I413" s="4"/>
      <c r="J413" s="5"/>
      <c r="K413" s="5"/>
      <c r="L413" s="5"/>
      <c r="M413" s="5"/>
      <c r="N413" s="5"/>
      <c r="O413" s="5"/>
      <c r="P413" s="5"/>
      <c r="Q413" s="5"/>
      <c r="R413" s="5"/>
      <c r="S413" s="5"/>
      <c r="T413" s="5"/>
      <c r="U413" s="5"/>
      <c r="V413" s="5"/>
      <c r="W413" s="5"/>
      <c r="X413" s="5"/>
      <c r="Y413" s="5"/>
    </row>
    <row r="414">
      <c r="A414" s="5"/>
      <c r="B414" s="64"/>
      <c r="C414" s="64"/>
      <c r="D414" s="64"/>
      <c r="E414" s="64"/>
      <c r="F414" s="64"/>
      <c r="G414" s="149"/>
      <c r="H414" s="148"/>
      <c r="I414" s="4"/>
      <c r="J414" s="5"/>
      <c r="K414" s="5"/>
      <c r="L414" s="5"/>
      <c r="M414" s="5"/>
      <c r="N414" s="5"/>
      <c r="O414" s="5"/>
      <c r="P414" s="5"/>
      <c r="Q414" s="5"/>
      <c r="R414" s="5"/>
      <c r="S414" s="5"/>
      <c r="T414" s="5"/>
      <c r="U414" s="5"/>
      <c r="V414" s="5"/>
      <c r="W414" s="5"/>
      <c r="X414" s="5"/>
      <c r="Y414" s="5"/>
    </row>
    <row r="415">
      <c r="A415" s="5"/>
      <c r="B415" s="64"/>
      <c r="C415" s="64"/>
      <c r="D415" s="64"/>
      <c r="E415" s="64"/>
      <c r="F415" s="64"/>
      <c r="G415" s="149"/>
      <c r="H415" s="148"/>
      <c r="I415" s="4"/>
      <c r="J415" s="5"/>
      <c r="K415" s="5"/>
      <c r="L415" s="5"/>
      <c r="M415" s="5"/>
      <c r="N415" s="5"/>
      <c r="O415" s="5"/>
      <c r="P415" s="5"/>
      <c r="Q415" s="5"/>
      <c r="R415" s="5"/>
      <c r="S415" s="5"/>
      <c r="T415" s="5"/>
      <c r="U415" s="5"/>
      <c r="V415" s="5"/>
      <c r="W415" s="5"/>
      <c r="X415" s="5"/>
      <c r="Y415" s="5"/>
    </row>
    <row r="416">
      <c r="A416" s="5"/>
      <c r="B416" s="64"/>
      <c r="C416" s="64"/>
      <c r="D416" s="64"/>
      <c r="E416" s="64"/>
      <c r="F416" s="64"/>
      <c r="G416" s="149"/>
      <c r="H416" s="148"/>
      <c r="I416" s="4"/>
      <c r="J416" s="5"/>
      <c r="K416" s="5"/>
      <c r="L416" s="5"/>
      <c r="M416" s="5"/>
      <c r="N416" s="5"/>
      <c r="O416" s="5"/>
      <c r="P416" s="5"/>
      <c r="Q416" s="5"/>
      <c r="R416" s="5"/>
      <c r="S416" s="5"/>
      <c r="T416" s="5"/>
      <c r="U416" s="5"/>
      <c r="V416" s="5"/>
      <c r="W416" s="5"/>
      <c r="X416" s="5"/>
      <c r="Y416" s="5"/>
    </row>
    <row r="417">
      <c r="A417" s="5"/>
      <c r="B417" s="64"/>
      <c r="C417" s="64"/>
      <c r="D417" s="64"/>
      <c r="E417" s="64"/>
      <c r="F417" s="64"/>
      <c r="G417" s="149"/>
      <c r="H417" s="148"/>
      <c r="I417" s="4"/>
      <c r="J417" s="5"/>
      <c r="K417" s="5"/>
      <c r="L417" s="5"/>
      <c r="M417" s="5"/>
      <c r="N417" s="5"/>
      <c r="O417" s="5"/>
      <c r="P417" s="5"/>
      <c r="Q417" s="5"/>
      <c r="R417" s="5"/>
      <c r="S417" s="5"/>
      <c r="T417" s="5"/>
      <c r="U417" s="5"/>
      <c r="V417" s="5"/>
      <c r="W417" s="5"/>
      <c r="X417" s="5"/>
      <c r="Y417" s="5"/>
    </row>
    <row r="418">
      <c r="A418" s="5"/>
      <c r="B418" s="64"/>
      <c r="C418" s="64"/>
      <c r="D418" s="64"/>
      <c r="E418" s="64"/>
      <c r="F418" s="64"/>
      <c r="G418" s="149"/>
      <c r="H418" s="148"/>
      <c r="I418" s="4"/>
      <c r="J418" s="5"/>
      <c r="K418" s="5"/>
      <c r="L418" s="5"/>
      <c r="M418" s="5"/>
      <c r="N418" s="5"/>
      <c r="O418" s="5"/>
      <c r="P418" s="5"/>
      <c r="Q418" s="5"/>
      <c r="R418" s="5"/>
      <c r="S418" s="5"/>
      <c r="T418" s="5"/>
      <c r="U418" s="5"/>
      <c r="V418" s="5"/>
      <c r="W418" s="5"/>
      <c r="X418" s="5"/>
      <c r="Y418" s="5"/>
    </row>
    <row r="419">
      <c r="A419" s="5"/>
      <c r="B419" s="64"/>
      <c r="C419" s="64"/>
      <c r="D419" s="64"/>
      <c r="E419" s="64"/>
      <c r="F419" s="64"/>
      <c r="G419" s="149"/>
      <c r="H419" s="148"/>
      <c r="I419" s="4"/>
      <c r="J419" s="5"/>
      <c r="K419" s="5"/>
      <c r="L419" s="5"/>
      <c r="M419" s="5"/>
      <c r="N419" s="5"/>
      <c r="O419" s="5"/>
      <c r="P419" s="5"/>
      <c r="Q419" s="5"/>
      <c r="R419" s="5"/>
      <c r="S419" s="5"/>
      <c r="T419" s="5"/>
      <c r="U419" s="5"/>
      <c r="V419" s="5"/>
      <c r="W419" s="5"/>
      <c r="X419" s="5"/>
      <c r="Y419" s="5"/>
    </row>
    <row r="420">
      <c r="A420" s="5"/>
      <c r="B420" s="64"/>
      <c r="C420" s="64"/>
      <c r="D420" s="64"/>
      <c r="E420" s="64"/>
      <c r="F420" s="64"/>
      <c r="G420" s="149"/>
      <c r="H420" s="148"/>
      <c r="I420" s="4"/>
      <c r="J420" s="5"/>
      <c r="K420" s="5"/>
      <c r="L420" s="5"/>
      <c r="M420" s="5"/>
      <c r="N420" s="5"/>
      <c r="O420" s="5"/>
      <c r="P420" s="5"/>
      <c r="Q420" s="5"/>
      <c r="R420" s="5"/>
      <c r="S420" s="5"/>
      <c r="T420" s="5"/>
      <c r="U420" s="5"/>
      <c r="V420" s="5"/>
      <c r="W420" s="5"/>
      <c r="X420" s="5"/>
      <c r="Y420" s="5"/>
    </row>
    <row r="421">
      <c r="A421" s="5"/>
      <c r="B421" s="64"/>
      <c r="C421" s="64"/>
      <c r="D421" s="64"/>
      <c r="E421" s="64"/>
      <c r="F421" s="64"/>
      <c r="G421" s="149"/>
      <c r="H421" s="148"/>
      <c r="I421" s="4"/>
      <c r="J421" s="5"/>
      <c r="K421" s="5"/>
      <c r="L421" s="5"/>
      <c r="M421" s="5"/>
      <c r="N421" s="5"/>
      <c r="O421" s="5"/>
      <c r="P421" s="5"/>
      <c r="Q421" s="5"/>
      <c r="R421" s="5"/>
      <c r="S421" s="5"/>
      <c r="T421" s="5"/>
      <c r="U421" s="5"/>
      <c r="V421" s="5"/>
      <c r="W421" s="5"/>
      <c r="X421" s="5"/>
      <c r="Y421" s="5"/>
    </row>
    <row r="422">
      <c r="A422" s="5"/>
      <c r="B422" s="64"/>
      <c r="C422" s="64"/>
      <c r="D422" s="64"/>
      <c r="E422" s="64"/>
      <c r="F422" s="64"/>
      <c r="G422" s="149"/>
      <c r="H422" s="148"/>
      <c r="I422" s="4"/>
      <c r="J422" s="5"/>
      <c r="K422" s="5"/>
      <c r="L422" s="5"/>
      <c r="M422" s="5"/>
      <c r="N422" s="5"/>
      <c r="O422" s="5"/>
      <c r="P422" s="5"/>
      <c r="Q422" s="5"/>
      <c r="R422" s="5"/>
      <c r="S422" s="5"/>
      <c r="T422" s="5"/>
      <c r="U422" s="5"/>
      <c r="V422" s="5"/>
      <c r="W422" s="5"/>
      <c r="X422" s="5"/>
      <c r="Y422" s="5"/>
    </row>
    <row r="423">
      <c r="A423" s="5"/>
      <c r="B423" s="64"/>
      <c r="C423" s="64"/>
      <c r="D423" s="64"/>
      <c r="E423" s="64"/>
      <c r="F423" s="64"/>
      <c r="G423" s="149"/>
      <c r="H423" s="148"/>
      <c r="I423" s="4"/>
      <c r="J423" s="5"/>
      <c r="K423" s="5"/>
      <c r="L423" s="5"/>
      <c r="M423" s="5"/>
      <c r="N423" s="5"/>
      <c r="O423" s="5"/>
      <c r="P423" s="5"/>
      <c r="Q423" s="5"/>
      <c r="R423" s="5"/>
      <c r="S423" s="5"/>
      <c r="T423" s="5"/>
      <c r="U423" s="5"/>
      <c r="V423" s="5"/>
      <c r="W423" s="5"/>
      <c r="X423" s="5"/>
      <c r="Y423" s="5"/>
    </row>
    <row r="424">
      <c r="A424" s="5"/>
      <c r="B424" s="64"/>
      <c r="C424" s="64"/>
      <c r="D424" s="64"/>
      <c r="E424" s="64"/>
      <c r="F424" s="64"/>
      <c r="G424" s="149"/>
      <c r="H424" s="148"/>
      <c r="I424" s="4"/>
      <c r="J424" s="5"/>
      <c r="K424" s="5"/>
      <c r="L424" s="5"/>
      <c r="M424" s="5"/>
      <c r="N424" s="5"/>
      <c r="O424" s="5"/>
      <c r="P424" s="5"/>
      <c r="Q424" s="5"/>
      <c r="R424" s="5"/>
      <c r="S424" s="5"/>
      <c r="T424" s="5"/>
      <c r="U424" s="5"/>
      <c r="V424" s="5"/>
      <c r="W424" s="5"/>
      <c r="X424" s="5"/>
      <c r="Y424" s="5"/>
    </row>
    <row r="425">
      <c r="A425" s="5"/>
      <c r="B425" s="64"/>
      <c r="C425" s="64"/>
      <c r="D425" s="64"/>
      <c r="E425" s="64"/>
      <c r="F425" s="64"/>
      <c r="G425" s="149"/>
      <c r="H425" s="148"/>
      <c r="I425" s="4"/>
      <c r="J425" s="5"/>
      <c r="K425" s="5"/>
      <c r="L425" s="5"/>
      <c r="M425" s="5"/>
      <c r="N425" s="5"/>
      <c r="O425" s="5"/>
      <c r="P425" s="5"/>
      <c r="Q425" s="5"/>
      <c r="R425" s="5"/>
      <c r="S425" s="5"/>
      <c r="T425" s="5"/>
      <c r="U425" s="5"/>
      <c r="V425" s="5"/>
      <c r="W425" s="5"/>
      <c r="X425" s="5"/>
      <c r="Y425" s="5"/>
    </row>
    <row r="426">
      <c r="A426" s="5"/>
      <c r="B426" s="64"/>
      <c r="C426" s="64"/>
      <c r="D426" s="64"/>
      <c r="E426" s="64"/>
      <c r="F426" s="64"/>
      <c r="G426" s="149"/>
      <c r="H426" s="148"/>
      <c r="I426" s="4"/>
      <c r="J426" s="5"/>
      <c r="K426" s="5"/>
      <c r="L426" s="5"/>
      <c r="M426" s="5"/>
      <c r="N426" s="5"/>
      <c r="O426" s="5"/>
      <c r="P426" s="5"/>
      <c r="Q426" s="5"/>
      <c r="R426" s="5"/>
      <c r="S426" s="5"/>
      <c r="T426" s="5"/>
      <c r="U426" s="5"/>
      <c r="V426" s="5"/>
      <c r="W426" s="5"/>
      <c r="X426" s="5"/>
      <c r="Y426" s="5"/>
    </row>
    <row r="427">
      <c r="A427" s="5"/>
      <c r="B427" s="64"/>
      <c r="C427" s="64"/>
      <c r="D427" s="64"/>
      <c r="E427" s="64"/>
      <c r="F427" s="64"/>
      <c r="G427" s="149"/>
      <c r="H427" s="148"/>
      <c r="I427" s="4"/>
      <c r="J427" s="5"/>
      <c r="K427" s="5"/>
      <c r="L427" s="5"/>
      <c r="M427" s="5"/>
      <c r="N427" s="5"/>
      <c r="O427" s="5"/>
      <c r="P427" s="5"/>
      <c r="Q427" s="5"/>
      <c r="R427" s="5"/>
      <c r="S427" s="5"/>
      <c r="T427" s="5"/>
      <c r="U427" s="5"/>
      <c r="V427" s="5"/>
      <c r="W427" s="5"/>
      <c r="X427" s="5"/>
      <c r="Y427" s="5"/>
    </row>
    <row r="428">
      <c r="A428" s="5"/>
      <c r="B428" s="64"/>
      <c r="C428" s="64"/>
      <c r="D428" s="64"/>
      <c r="E428" s="64"/>
      <c r="F428" s="64"/>
      <c r="G428" s="149"/>
      <c r="H428" s="148"/>
      <c r="I428" s="4"/>
      <c r="J428" s="5"/>
      <c r="K428" s="5"/>
      <c r="L428" s="5"/>
      <c r="M428" s="5"/>
      <c r="N428" s="5"/>
      <c r="O428" s="5"/>
      <c r="P428" s="5"/>
      <c r="Q428" s="5"/>
      <c r="R428" s="5"/>
      <c r="S428" s="5"/>
      <c r="T428" s="5"/>
      <c r="U428" s="5"/>
      <c r="V428" s="5"/>
      <c r="W428" s="5"/>
      <c r="X428" s="5"/>
      <c r="Y428" s="5"/>
    </row>
    <row r="429">
      <c r="A429" s="5"/>
      <c r="B429" s="64"/>
      <c r="C429" s="64"/>
      <c r="D429" s="64"/>
      <c r="E429" s="64"/>
      <c r="F429" s="64"/>
      <c r="G429" s="149"/>
      <c r="H429" s="148"/>
      <c r="I429" s="4"/>
      <c r="J429" s="5"/>
      <c r="K429" s="5"/>
      <c r="L429" s="5"/>
      <c r="M429" s="5"/>
      <c r="N429" s="5"/>
      <c r="O429" s="5"/>
      <c r="P429" s="5"/>
      <c r="Q429" s="5"/>
      <c r="R429" s="5"/>
      <c r="S429" s="5"/>
      <c r="T429" s="5"/>
      <c r="U429" s="5"/>
      <c r="V429" s="5"/>
      <c r="W429" s="5"/>
      <c r="X429" s="5"/>
      <c r="Y429" s="5"/>
    </row>
    <row r="430">
      <c r="A430" s="5"/>
      <c r="B430" s="64"/>
      <c r="C430" s="64"/>
      <c r="D430" s="64"/>
      <c r="E430" s="64"/>
      <c r="F430" s="64"/>
      <c r="G430" s="149"/>
      <c r="H430" s="148"/>
      <c r="I430" s="4"/>
      <c r="J430" s="5"/>
      <c r="K430" s="5"/>
      <c r="L430" s="5"/>
      <c r="M430" s="5"/>
      <c r="N430" s="5"/>
      <c r="O430" s="5"/>
      <c r="P430" s="5"/>
      <c r="Q430" s="5"/>
      <c r="R430" s="5"/>
      <c r="S430" s="5"/>
      <c r="T430" s="5"/>
      <c r="U430" s="5"/>
      <c r="V430" s="5"/>
      <c r="W430" s="5"/>
      <c r="X430" s="5"/>
      <c r="Y430" s="5"/>
    </row>
    <row r="431">
      <c r="A431" s="5"/>
      <c r="B431" s="64"/>
      <c r="C431" s="64"/>
      <c r="D431" s="64"/>
      <c r="E431" s="64"/>
      <c r="F431" s="64"/>
      <c r="G431" s="149"/>
      <c r="H431" s="148"/>
      <c r="I431" s="4"/>
      <c r="J431" s="5"/>
      <c r="K431" s="5"/>
      <c r="L431" s="5"/>
      <c r="M431" s="5"/>
      <c r="N431" s="5"/>
      <c r="O431" s="5"/>
      <c r="P431" s="5"/>
      <c r="Q431" s="5"/>
      <c r="R431" s="5"/>
      <c r="S431" s="5"/>
      <c r="T431" s="5"/>
      <c r="U431" s="5"/>
      <c r="V431" s="5"/>
      <c r="W431" s="5"/>
      <c r="X431" s="5"/>
      <c r="Y431" s="5"/>
    </row>
    <row r="432">
      <c r="A432" s="5"/>
      <c r="B432" s="64"/>
      <c r="C432" s="64"/>
      <c r="D432" s="64"/>
      <c r="E432" s="64"/>
      <c r="F432" s="64"/>
      <c r="G432" s="149"/>
      <c r="H432" s="148"/>
      <c r="I432" s="4"/>
      <c r="J432" s="5"/>
      <c r="K432" s="5"/>
      <c r="L432" s="5"/>
      <c r="M432" s="5"/>
      <c r="N432" s="5"/>
      <c r="O432" s="5"/>
      <c r="P432" s="5"/>
      <c r="Q432" s="5"/>
      <c r="R432" s="5"/>
      <c r="S432" s="5"/>
      <c r="T432" s="5"/>
      <c r="U432" s="5"/>
      <c r="V432" s="5"/>
      <c r="W432" s="5"/>
      <c r="X432" s="5"/>
      <c r="Y432" s="5"/>
    </row>
    <row r="433">
      <c r="A433" s="5"/>
      <c r="B433" s="64"/>
      <c r="C433" s="64"/>
      <c r="D433" s="64"/>
      <c r="E433" s="64"/>
      <c r="F433" s="64"/>
      <c r="G433" s="149"/>
      <c r="H433" s="148"/>
      <c r="I433" s="4"/>
      <c r="J433" s="5"/>
      <c r="K433" s="5"/>
      <c r="L433" s="5"/>
      <c r="M433" s="5"/>
      <c r="N433" s="5"/>
      <c r="O433" s="5"/>
      <c r="P433" s="5"/>
      <c r="Q433" s="5"/>
      <c r="R433" s="5"/>
      <c r="S433" s="5"/>
      <c r="T433" s="5"/>
      <c r="U433" s="5"/>
      <c r="V433" s="5"/>
      <c r="W433" s="5"/>
      <c r="X433" s="5"/>
      <c r="Y433" s="5"/>
    </row>
    <row r="434">
      <c r="A434" s="5"/>
      <c r="B434" s="64"/>
      <c r="C434" s="64"/>
      <c r="D434" s="64"/>
      <c r="E434" s="64"/>
      <c r="F434" s="64"/>
      <c r="G434" s="149"/>
      <c r="H434" s="148"/>
      <c r="I434" s="4"/>
      <c r="J434" s="5"/>
      <c r="K434" s="5"/>
      <c r="L434" s="5"/>
      <c r="M434" s="5"/>
      <c r="N434" s="5"/>
      <c r="O434" s="5"/>
      <c r="P434" s="5"/>
      <c r="Q434" s="5"/>
      <c r="R434" s="5"/>
      <c r="S434" s="5"/>
      <c r="T434" s="5"/>
      <c r="U434" s="5"/>
      <c r="V434" s="5"/>
      <c r="W434" s="5"/>
      <c r="X434" s="5"/>
      <c r="Y434" s="5"/>
    </row>
    <row r="435">
      <c r="A435" s="5"/>
      <c r="B435" s="64"/>
      <c r="C435" s="64"/>
      <c r="D435" s="64"/>
      <c r="E435" s="64"/>
      <c r="F435" s="64"/>
      <c r="G435" s="149"/>
      <c r="H435" s="148"/>
      <c r="I435" s="4"/>
      <c r="J435" s="5"/>
      <c r="K435" s="5"/>
      <c r="L435" s="5"/>
      <c r="M435" s="5"/>
      <c r="N435" s="5"/>
      <c r="O435" s="5"/>
      <c r="P435" s="5"/>
      <c r="Q435" s="5"/>
      <c r="R435" s="5"/>
      <c r="S435" s="5"/>
      <c r="T435" s="5"/>
      <c r="U435" s="5"/>
      <c r="V435" s="5"/>
      <c r="W435" s="5"/>
      <c r="X435" s="5"/>
      <c r="Y435" s="5"/>
    </row>
    <row r="436">
      <c r="A436" s="5"/>
      <c r="B436" s="64"/>
      <c r="C436" s="64"/>
      <c r="D436" s="64"/>
      <c r="E436" s="64"/>
      <c r="F436" s="64"/>
      <c r="G436" s="149"/>
      <c r="H436" s="148"/>
      <c r="I436" s="4"/>
      <c r="J436" s="5"/>
      <c r="K436" s="5"/>
      <c r="L436" s="5"/>
      <c r="M436" s="5"/>
      <c r="N436" s="5"/>
      <c r="O436" s="5"/>
      <c r="P436" s="5"/>
      <c r="Q436" s="5"/>
      <c r="R436" s="5"/>
      <c r="S436" s="5"/>
      <c r="T436" s="5"/>
      <c r="U436" s="5"/>
      <c r="V436" s="5"/>
      <c r="W436" s="5"/>
      <c r="X436" s="5"/>
      <c r="Y436" s="5"/>
    </row>
    <row r="437">
      <c r="A437" s="5"/>
      <c r="B437" s="64"/>
      <c r="C437" s="64"/>
      <c r="D437" s="64"/>
      <c r="E437" s="64"/>
      <c r="F437" s="64"/>
      <c r="G437" s="149"/>
      <c r="H437" s="148"/>
      <c r="I437" s="4"/>
      <c r="J437" s="5"/>
      <c r="K437" s="5"/>
      <c r="L437" s="5"/>
      <c r="M437" s="5"/>
      <c r="N437" s="5"/>
      <c r="O437" s="5"/>
      <c r="P437" s="5"/>
      <c r="Q437" s="5"/>
      <c r="R437" s="5"/>
      <c r="S437" s="5"/>
      <c r="T437" s="5"/>
      <c r="U437" s="5"/>
      <c r="V437" s="5"/>
      <c r="W437" s="5"/>
      <c r="X437" s="5"/>
      <c r="Y437" s="5"/>
    </row>
    <row r="438">
      <c r="A438" s="5"/>
      <c r="B438" s="64"/>
      <c r="C438" s="64"/>
      <c r="D438" s="64"/>
      <c r="E438" s="64"/>
      <c r="F438" s="64"/>
      <c r="G438" s="149"/>
      <c r="H438" s="148"/>
      <c r="I438" s="4"/>
      <c r="J438" s="5"/>
      <c r="K438" s="5"/>
      <c r="L438" s="5"/>
      <c r="M438" s="5"/>
      <c r="N438" s="5"/>
      <c r="O438" s="5"/>
      <c r="P438" s="5"/>
      <c r="Q438" s="5"/>
      <c r="R438" s="5"/>
      <c r="S438" s="5"/>
      <c r="T438" s="5"/>
      <c r="U438" s="5"/>
      <c r="V438" s="5"/>
      <c r="W438" s="5"/>
      <c r="X438" s="5"/>
      <c r="Y438" s="5"/>
    </row>
    <row r="439">
      <c r="A439" s="5"/>
      <c r="B439" s="64"/>
      <c r="C439" s="64"/>
      <c r="D439" s="64"/>
      <c r="E439" s="64"/>
      <c r="F439" s="64"/>
      <c r="G439" s="149"/>
      <c r="H439" s="148"/>
      <c r="I439" s="4"/>
      <c r="J439" s="5"/>
      <c r="K439" s="5"/>
      <c r="L439" s="5"/>
      <c r="M439" s="5"/>
      <c r="N439" s="5"/>
      <c r="O439" s="5"/>
      <c r="P439" s="5"/>
      <c r="Q439" s="5"/>
      <c r="R439" s="5"/>
      <c r="S439" s="5"/>
      <c r="T439" s="5"/>
      <c r="U439" s="5"/>
      <c r="V439" s="5"/>
      <c r="W439" s="5"/>
      <c r="X439" s="5"/>
      <c r="Y439" s="5"/>
    </row>
    <row r="440">
      <c r="A440" s="5"/>
      <c r="B440" s="64"/>
      <c r="C440" s="64"/>
      <c r="D440" s="64"/>
      <c r="E440" s="64"/>
      <c r="F440" s="64"/>
      <c r="G440" s="149"/>
      <c r="H440" s="148"/>
      <c r="I440" s="4"/>
      <c r="J440" s="5"/>
      <c r="K440" s="5"/>
      <c r="L440" s="5"/>
      <c r="M440" s="5"/>
      <c r="N440" s="5"/>
      <c r="O440" s="5"/>
      <c r="P440" s="5"/>
      <c r="Q440" s="5"/>
      <c r="R440" s="5"/>
      <c r="S440" s="5"/>
      <c r="T440" s="5"/>
      <c r="U440" s="5"/>
      <c r="V440" s="5"/>
      <c r="W440" s="5"/>
      <c r="X440" s="5"/>
      <c r="Y440" s="5"/>
    </row>
    <row r="441">
      <c r="A441" s="5"/>
      <c r="B441" s="64"/>
      <c r="C441" s="64"/>
      <c r="D441" s="64"/>
      <c r="E441" s="64"/>
      <c r="F441" s="64"/>
      <c r="G441" s="149"/>
      <c r="H441" s="148"/>
      <c r="I441" s="4"/>
      <c r="J441" s="5"/>
      <c r="K441" s="5"/>
      <c r="L441" s="5"/>
      <c r="M441" s="5"/>
      <c r="N441" s="5"/>
      <c r="O441" s="5"/>
      <c r="P441" s="5"/>
      <c r="Q441" s="5"/>
      <c r="R441" s="5"/>
      <c r="S441" s="5"/>
      <c r="T441" s="5"/>
      <c r="U441" s="5"/>
      <c r="V441" s="5"/>
      <c r="W441" s="5"/>
      <c r="X441" s="5"/>
      <c r="Y441" s="5"/>
    </row>
    <row r="442">
      <c r="A442" s="5"/>
      <c r="B442" s="64"/>
      <c r="C442" s="64"/>
      <c r="D442" s="64"/>
      <c r="E442" s="64"/>
      <c r="F442" s="64"/>
      <c r="G442" s="149"/>
      <c r="H442" s="148"/>
      <c r="I442" s="4"/>
      <c r="J442" s="5"/>
      <c r="K442" s="5"/>
      <c r="L442" s="5"/>
      <c r="M442" s="5"/>
      <c r="N442" s="5"/>
      <c r="O442" s="5"/>
      <c r="P442" s="5"/>
      <c r="Q442" s="5"/>
      <c r="R442" s="5"/>
      <c r="S442" s="5"/>
      <c r="T442" s="5"/>
      <c r="U442" s="5"/>
      <c r="V442" s="5"/>
      <c r="W442" s="5"/>
      <c r="X442" s="5"/>
      <c r="Y442" s="5"/>
    </row>
    <row r="443">
      <c r="A443" s="5"/>
      <c r="B443" s="64"/>
      <c r="C443" s="64"/>
      <c r="D443" s="64"/>
      <c r="E443" s="64"/>
      <c r="F443" s="64"/>
      <c r="G443" s="149"/>
      <c r="H443" s="148"/>
      <c r="I443" s="4"/>
      <c r="J443" s="5"/>
      <c r="K443" s="5"/>
      <c r="L443" s="5"/>
      <c r="M443" s="5"/>
      <c r="N443" s="5"/>
      <c r="O443" s="5"/>
      <c r="P443" s="5"/>
      <c r="Q443" s="5"/>
      <c r="R443" s="5"/>
      <c r="S443" s="5"/>
      <c r="T443" s="5"/>
      <c r="U443" s="5"/>
      <c r="V443" s="5"/>
      <c r="W443" s="5"/>
      <c r="X443" s="5"/>
      <c r="Y443" s="5"/>
    </row>
    <row r="444">
      <c r="A444" s="5"/>
      <c r="B444" s="64"/>
      <c r="C444" s="64"/>
      <c r="D444" s="64"/>
      <c r="E444" s="64"/>
      <c r="F444" s="64"/>
      <c r="G444" s="149"/>
      <c r="H444" s="148"/>
      <c r="I444" s="4"/>
      <c r="J444" s="5"/>
      <c r="K444" s="5"/>
      <c r="L444" s="5"/>
      <c r="M444" s="5"/>
      <c r="N444" s="5"/>
      <c r="O444" s="5"/>
      <c r="P444" s="5"/>
      <c r="Q444" s="5"/>
      <c r="R444" s="5"/>
      <c r="S444" s="5"/>
      <c r="T444" s="5"/>
      <c r="U444" s="5"/>
      <c r="V444" s="5"/>
      <c r="W444" s="5"/>
      <c r="X444" s="5"/>
      <c r="Y444" s="5"/>
    </row>
    <row r="445">
      <c r="A445" s="5"/>
      <c r="B445" s="64"/>
      <c r="C445" s="64"/>
      <c r="D445" s="64"/>
      <c r="E445" s="64"/>
      <c r="F445" s="64"/>
      <c r="G445" s="149"/>
      <c r="H445" s="148"/>
      <c r="I445" s="4"/>
      <c r="J445" s="5"/>
      <c r="K445" s="5"/>
      <c r="L445" s="5"/>
      <c r="M445" s="5"/>
      <c r="N445" s="5"/>
      <c r="O445" s="5"/>
      <c r="P445" s="5"/>
      <c r="Q445" s="5"/>
      <c r="R445" s="5"/>
      <c r="S445" s="5"/>
      <c r="T445" s="5"/>
      <c r="U445" s="5"/>
      <c r="V445" s="5"/>
      <c r="W445" s="5"/>
      <c r="X445" s="5"/>
      <c r="Y445" s="5"/>
    </row>
    <row r="446">
      <c r="A446" s="5"/>
      <c r="B446" s="64"/>
      <c r="C446" s="64"/>
      <c r="D446" s="64"/>
      <c r="E446" s="64"/>
      <c r="F446" s="64"/>
      <c r="G446" s="149"/>
      <c r="H446" s="148"/>
      <c r="I446" s="4"/>
      <c r="J446" s="5"/>
      <c r="K446" s="5"/>
      <c r="L446" s="5"/>
      <c r="M446" s="5"/>
      <c r="N446" s="5"/>
      <c r="O446" s="5"/>
      <c r="P446" s="5"/>
      <c r="Q446" s="5"/>
      <c r="R446" s="5"/>
      <c r="S446" s="5"/>
      <c r="T446" s="5"/>
      <c r="U446" s="5"/>
      <c r="V446" s="5"/>
      <c r="W446" s="5"/>
      <c r="X446" s="5"/>
      <c r="Y446" s="5"/>
    </row>
    <row r="447">
      <c r="A447" s="5"/>
      <c r="B447" s="64"/>
      <c r="C447" s="64"/>
      <c r="D447" s="64"/>
      <c r="E447" s="64"/>
      <c r="F447" s="64"/>
      <c r="G447" s="149"/>
      <c r="H447" s="148"/>
      <c r="I447" s="4"/>
      <c r="J447" s="5"/>
      <c r="K447" s="5"/>
      <c r="L447" s="5"/>
      <c r="M447" s="5"/>
      <c r="N447" s="5"/>
      <c r="O447" s="5"/>
      <c r="P447" s="5"/>
      <c r="Q447" s="5"/>
      <c r="R447" s="5"/>
      <c r="S447" s="5"/>
      <c r="T447" s="5"/>
      <c r="U447" s="5"/>
      <c r="V447" s="5"/>
      <c r="W447" s="5"/>
      <c r="X447" s="5"/>
      <c r="Y447" s="5"/>
    </row>
    <row r="448">
      <c r="A448" s="5"/>
      <c r="B448" s="64"/>
      <c r="C448" s="64"/>
      <c r="D448" s="64"/>
      <c r="E448" s="64"/>
      <c r="F448" s="64"/>
      <c r="G448" s="149"/>
      <c r="H448" s="148"/>
      <c r="I448" s="4"/>
      <c r="J448" s="5"/>
      <c r="K448" s="5"/>
      <c r="L448" s="5"/>
      <c r="M448" s="5"/>
      <c r="N448" s="5"/>
      <c r="O448" s="5"/>
      <c r="P448" s="5"/>
      <c r="Q448" s="5"/>
      <c r="R448" s="5"/>
      <c r="S448" s="5"/>
      <c r="T448" s="5"/>
      <c r="U448" s="5"/>
      <c r="V448" s="5"/>
      <c r="W448" s="5"/>
      <c r="X448" s="5"/>
      <c r="Y448" s="5"/>
    </row>
    <row r="449">
      <c r="A449" s="5"/>
      <c r="B449" s="64"/>
      <c r="C449" s="64"/>
      <c r="D449" s="64"/>
      <c r="E449" s="64"/>
      <c r="F449" s="64"/>
      <c r="G449" s="149"/>
      <c r="H449" s="148"/>
      <c r="I449" s="4"/>
      <c r="J449" s="5"/>
      <c r="K449" s="5"/>
      <c r="L449" s="5"/>
      <c r="M449" s="5"/>
      <c r="N449" s="5"/>
      <c r="O449" s="5"/>
      <c r="P449" s="5"/>
      <c r="Q449" s="5"/>
      <c r="R449" s="5"/>
      <c r="S449" s="5"/>
      <c r="T449" s="5"/>
      <c r="U449" s="5"/>
      <c r="V449" s="5"/>
      <c r="W449" s="5"/>
      <c r="X449" s="5"/>
      <c r="Y449" s="5"/>
    </row>
    <row r="450">
      <c r="A450" s="5"/>
      <c r="B450" s="64"/>
      <c r="C450" s="64"/>
      <c r="D450" s="64"/>
      <c r="E450" s="64"/>
      <c r="F450" s="64"/>
      <c r="G450" s="149"/>
      <c r="H450" s="148"/>
      <c r="I450" s="4"/>
      <c r="J450" s="5"/>
      <c r="K450" s="5"/>
      <c r="L450" s="5"/>
      <c r="M450" s="5"/>
      <c r="N450" s="5"/>
      <c r="O450" s="5"/>
      <c r="P450" s="5"/>
      <c r="Q450" s="5"/>
      <c r="R450" s="5"/>
      <c r="S450" s="5"/>
      <c r="T450" s="5"/>
      <c r="U450" s="5"/>
      <c r="V450" s="5"/>
      <c r="W450" s="5"/>
      <c r="X450" s="5"/>
      <c r="Y450" s="5"/>
    </row>
    <row r="451">
      <c r="A451" s="5"/>
      <c r="B451" s="64"/>
      <c r="C451" s="64"/>
      <c r="D451" s="64"/>
      <c r="E451" s="64"/>
      <c r="F451" s="64"/>
      <c r="G451" s="149"/>
      <c r="H451" s="148"/>
      <c r="I451" s="4"/>
      <c r="J451" s="5"/>
      <c r="K451" s="5"/>
      <c r="L451" s="5"/>
      <c r="M451" s="5"/>
      <c r="N451" s="5"/>
      <c r="O451" s="5"/>
      <c r="P451" s="5"/>
      <c r="Q451" s="5"/>
      <c r="R451" s="5"/>
      <c r="S451" s="5"/>
      <c r="T451" s="5"/>
      <c r="U451" s="5"/>
      <c r="V451" s="5"/>
      <c r="W451" s="5"/>
      <c r="X451" s="5"/>
      <c r="Y451" s="5"/>
    </row>
    <row r="452">
      <c r="A452" s="5"/>
      <c r="B452" s="64"/>
      <c r="C452" s="64"/>
      <c r="D452" s="64"/>
      <c r="E452" s="64"/>
      <c r="F452" s="64"/>
      <c r="G452" s="149"/>
      <c r="H452" s="148"/>
      <c r="I452" s="4"/>
      <c r="J452" s="5"/>
      <c r="K452" s="5"/>
      <c r="L452" s="5"/>
      <c r="M452" s="5"/>
      <c r="N452" s="5"/>
      <c r="O452" s="5"/>
      <c r="P452" s="5"/>
      <c r="Q452" s="5"/>
      <c r="R452" s="5"/>
      <c r="S452" s="5"/>
      <c r="T452" s="5"/>
      <c r="U452" s="5"/>
      <c r="V452" s="5"/>
      <c r="W452" s="5"/>
      <c r="X452" s="5"/>
      <c r="Y452" s="5"/>
    </row>
    <row r="453">
      <c r="A453" s="5"/>
      <c r="B453" s="64"/>
      <c r="C453" s="64"/>
      <c r="D453" s="64"/>
      <c r="E453" s="64"/>
      <c r="F453" s="64"/>
      <c r="G453" s="149"/>
      <c r="H453" s="148"/>
      <c r="I453" s="4"/>
      <c r="J453" s="5"/>
      <c r="K453" s="5"/>
      <c r="L453" s="5"/>
      <c r="M453" s="5"/>
      <c r="N453" s="5"/>
      <c r="O453" s="5"/>
      <c r="P453" s="5"/>
      <c r="Q453" s="5"/>
      <c r="R453" s="5"/>
      <c r="S453" s="5"/>
      <c r="T453" s="5"/>
      <c r="U453" s="5"/>
      <c r="V453" s="5"/>
      <c r="W453" s="5"/>
      <c r="X453" s="5"/>
      <c r="Y453" s="5"/>
    </row>
    <row r="454">
      <c r="A454" s="5"/>
      <c r="B454" s="64"/>
      <c r="C454" s="64"/>
      <c r="D454" s="64"/>
      <c r="E454" s="64"/>
      <c r="F454" s="64"/>
      <c r="G454" s="149"/>
      <c r="H454" s="148"/>
      <c r="I454" s="4"/>
      <c r="J454" s="5"/>
      <c r="K454" s="5"/>
      <c r="L454" s="5"/>
      <c r="M454" s="5"/>
      <c r="N454" s="5"/>
      <c r="O454" s="5"/>
      <c r="P454" s="5"/>
      <c r="Q454" s="5"/>
      <c r="R454" s="5"/>
      <c r="S454" s="5"/>
      <c r="T454" s="5"/>
      <c r="U454" s="5"/>
      <c r="V454" s="5"/>
      <c r="W454" s="5"/>
      <c r="X454" s="5"/>
      <c r="Y454" s="5"/>
    </row>
    <row r="455">
      <c r="A455" s="5"/>
      <c r="B455" s="64"/>
      <c r="C455" s="64"/>
      <c r="D455" s="64"/>
      <c r="E455" s="64"/>
      <c r="F455" s="64"/>
      <c r="G455" s="149"/>
      <c r="H455" s="148"/>
      <c r="I455" s="4"/>
      <c r="J455" s="5"/>
      <c r="K455" s="5"/>
      <c r="L455" s="5"/>
      <c r="M455" s="5"/>
      <c r="N455" s="5"/>
      <c r="O455" s="5"/>
      <c r="P455" s="5"/>
      <c r="Q455" s="5"/>
      <c r="R455" s="5"/>
      <c r="S455" s="5"/>
      <c r="T455" s="5"/>
      <c r="U455" s="5"/>
      <c r="V455" s="5"/>
      <c r="W455" s="5"/>
      <c r="X455" s="5"/>
      <c r="Y455" s="5"/>
    </row>
    <row r="456">
      <c r="A456" s="5"/>
      <c r="B456" s="64"/>
      <c r="C456" s="64"/>
      <c r="D456" s="64"/>
      <c r="E456" s="64"/>
      <c r="F456" s="64"/>
      <c r="G456" s="149"/>
      <c r="H456" s="148"/>
      <c r="I456" s="4"/>
      <c r="J456" s="5"/>
      <c r="K456" s="5"/>
      <c r="L456" s="5"/>
      <c r="M456" s="5"/>
      <c r="N456" s="5"/>
      <c r="O456" s="5"/>
      <c r="P456" s="5"/>
      <c r="Q456" s="5"/>
      <c r="R456" s="5"/>
      <c r="S456" s="5"/>
      <c r="T456" s="5"/>
      <c r="U456" s="5"/>
      <c r="V456" s="5"/>
      <c r="W456" s="5"/>
      <c r="X456" s="5"/>
      <c r="Y456" s="5"/>
    </row>
    <row r="457">
      <c r="A457" s="5"/>
      <c r="B457" s="64"/>
      <c r="C457" s="64"/>
      <c r="D457" s="64"/>
      <c r="E457" s="64"/>
      <c r="F457" s="64"/>
      <c r="G457" s="149"/>
      <c r="H457" s="148"/>
      <c r="I457" s="4"/>
      <c r="J457" s="5"/>
      <c r="K457" s="5"/>
      <c r="L457" s="5"/>
      <c r="M457" s="5"/>
      <c r="N457" s="5"/>
      <c r="O457" s="5"/>
      <c r="P457" s="5"/>
      <c r="Q457" s="5"/>
      <c r="R457" s="5"/>
      <c r="S457" s="5"/>
      <c r="T457" s="5"/>
      <c r="U457" s="5"/>
      <c r="V457" s="5"/>
      <c r="W457" s="5"/>
      <c r="X457" s="5"/>
      <c r="Y457" s="5"/>
    </row>
    <row r="458">
      <c r="A458" s="5"/>
      <c r="B458" s="64"/>
      <c r="C458" s="64"/>
      <c r="D458" s="64"/>
      <c r="E458" s="64"/>
      <c r="F458" s="64"/>
      <c r="G458" s="149"/>
      <c r="H458" s="148"/>
      <c r="I458" s="4"/>
      <c r="J458" s="5"/>
      <c r="K458" s="5"/>
      <c r="L458" s="5"/>
      <c r="M458" s="5"/>
      <c r="N458" s="5"/>
      <c r="O458" s="5"/>
      <c r="P458" s="5"/>
      <c r="Q458" s="5"/>
      <c r="R458" s="5"/>
      <c r="S458" s="5"/>
      <c r="T458" s="5"/>
      <c r="U458" s="5"/>
      <c r="V458" s="5"/>
      <c r="W458" s="5"/>
      <c r="X458" s="5"/>
      <c r="Y458" s="5"/>
    </row>
    <row r="459">
      <c r="A459" s="5"/>
      <c r="B459" s="64"/>
      <c r="C459" s="64"/>
      <c r="D459" s="64"/>
      <c r="E459" s="64"/>
      <c r="F459" s="64"/>
      <c r="G459" s="149"/>
      <c r="H459" s="148"/>
      <c r="I459" s="4"/>
      <c r="J459" s="5"/>
      <c r="K459" s="5"/>
      <c r="L459" s="5"/>
      <c r="M459" s="5"/>
      <c r="N459" s="5"/>
      <c r="O459" s="5"/>
      <c r="P459" s="5"/>
      <c r="Q459" s="5"/>
      <c r="R459" s="5"/>
      <c r="S459" s="5"/>
      <c r="T459" s="5"/>
      <c r="U459" s="5"/>
      <c r="V459" s="5"/>
      <c r="W459" s="5"/>
      <c r="X459" s="5"/>
      <c r="Y459" s="5"/>
    </row>
    <row r="460">
      <c r="A460" s="5"/>
      <c r="B460" s="64"/>
      <c r="C460" s="64"/>
      <c r="D460" s="64"/>
      <c r="E460" s="64"/>
      <c r="F460" s="64"/>
      <c r="G460" s="149"/>
      <c r="H460" s="148"/>
      <c r="I460" s="4"/>
      <c r="J460" s="5"/>
      <c r="K460" s="5"/>
      <c r="L460" s="5"/>
      <c r="M460" s="5"/>
      <c r="N460" s="5"/>
      <c r="O460" s="5"/>
      <c r="P460" s="5"/>
      <c r="Q460" s="5"/>
      <c r="R460" s="5"/>
      <c r="S460" s="5"/>
      <c r="T460" s="5"/>
      <c r="U460" s="5"/>
      <c r="V460" s="5"/>
      <c r="W460" s="5"/>
      <c r="X460" s="5"/>
      <c r="Y460" s="5"/>
    </row>
    <row r="461">
      <c r="A461" s="5"/>
      <c r="B461" s="64"/>
      <c r="C461" s="64"/>
      <c r="D461" s="64"/>
      <c r="E461" s="64"/>
      <c r="F461" s="64"/>
      <c r="G461" s="149"/>
      <c r="H461" s="148"/>
      <c r="I461" s="4"/>
      <c r="J461" s="5"/>
      <c r="K461" s="5"/>
      <c r="L461" s="5"/>
      <c r="M461" s="5"/>
      <c r="N461" s="5"/>
      <c r="O461" s="5"/>
      <c r="P461" s="5"/>
      <c r="Q461" s="5"/>
      <c r="R461" s="5"/>
      <c r="S461" s="5"/>
      <c r="T461" s="5"/>
      <c r="U461" s="5"/>
      <c r="V461" s="5"/>
      <c r="W461" s="5"/>
      <c r="X461" s="5"/>
      <c r="Y461" s="5"/>
    </row>
    <row r="462">
      <c r="A462" s="5"/>
      <c r="B462" s="64"/>
      <c r="C462" s="64"/>
      <c r="D462" s="64"/>
      <c r="E462" s="64"/>
      <c r="F462" s="64"/>
      <c r="G462" s="149"/>
      <c r="H462" s="148"/>
      <c r="I462" s="4"/>
      <c r="J462" s="5"/>
      <c r="K462" s="5"/>
      <c r="L462" s="5"/>
      <c r="M462" s="5"/>
      <c r="N462" s="5"/>
      <c r="O462" s="5"/>
      <c r="P462" s="5"/>
      <c r="Q462" s="5"/>
      <c r="R462" s="5"/>
      <c r="S462" s="5"/>
      <c r="T462" s="5"/>
      <c r="U462" s="5"/>
      <c r="V462" s="5"/>
      <c r="W462" s="5"/>
      <c r="X462" s="5"/>
      <c r="Y462" s="5"/>
    </row>
    <row r="463">
      <c r="A463" s="5"/>
      <c r="B463" s="64"/>
      <c r="C463" s="64"/>
      <c r="D463" s="64"/>
      <c r="E463" s="64"/>
      <c r="F463" s="64"/>
      <c r="G463" s="149"/>
      <c r="H463" s="148"/>
      <c r="I463" s="4"/>
      <c r="J463" s="5"/>
      <c r="K463" s="5"/>
      <c r="L463" s="5"/>
      <c r="M463" s="5"/>
      <c r="N463" s="5"/>
      <c r="O463" s="5"/>
      <c r="P463" s="5"/>
      <c r="Q463" s="5"/>
      <c r="R463" s="5"/>
      <c r="S463" s="5"/>
      <c r="T463" s="5"/>
      <c r="U463" s="5"/>
      <c r="V463" s="5"/>
      <c r="W463" s="5"/>
      <c r="X463" s="5"/>
      <c r="Y463" s="5"/>
    </row>
    <row r="464">
      <c r="A464" s="5"/>
      <c r="B464" s="64"/>
      <c r="C464" s="64"/>
      <c r="D464" s="64"/>
      <c r="E464" s="64"/>
      <c r="F464" s="64"/>
      <c r="G464" s="149"/>
      <c r="H464" s="148"/>
      <c r="I464" s="4"/>
      <c r="J464" s="5"/>
      <c r="K464" s="5"/>
      <c r="L464" s="5"/>
      <c r="M464" s="5"/>
      <c r="N464" s="5"/>
      <c r="O464" s="5"/>
      <c r="P464" s="5"/>
      <c r="Q464" s="5"/>
      <c r="R464" s="5"/>
      <c r="S464" s="5"/>
      <c r="T464" s="5"/>
      <c r="U464" s="5"/>
      <c r="V464" s="5"/>
      <c r="W464" s="5"/>
      <c r="X464" s="5"/>
      <c r="Y464" s="5"/>
    </row>
    <row r="465">
      <c r="A465" s="5"/>
      <c r="B465" s="64"/>
      <c r="C465" s="64"/>
      <c r="D465" s="64"/>
      <c r="E465" s="64"/>
      <c r="F465" s="64"/>
      <c r="G465" s="149"/>
      <c r="H465" s="148"/>
      <c r="I465" s="4"/>
      <c r="J465" s="5"/>
      <c r="K465" s="5"/>
      <c r="L465" s="5"/>
      <c r="M465" s="5"/>
      <c r="N465" s="5"/>
      <c r="O465" s="5"/>
      <c r="P465" s="5"/>
      <c r="Q465" s="5"/>
      <c r="R465" s="5"/>
      <c r="S465" s="5"/>
      <c r="T465" s="5"/>
      <c r="U465" s="5"/>
      <c r="V465" s="5"/>
      <c r="W465" s="5"/>
      <c r="X465" s="5"/>
      <c r="Y465" s="5"/>
    </row>
    <row r="466">
      <c r="A466" s="5"/>
      <c r="B466" s="64"/>
      <c r="C466" s="64"/>
      <c r="D466" s="64"/>
      <c r="E466" s="64"/>
      <c r="F466" s="64"/>
      <c r="G466" s="149"/>
      <c r="H466" s="148"/>
      <c r="I466" s="4"/>
      <c r="J466" s="5"/>
      <c r="K466" s="5"/>
      <c r="L466" s="5"/>
      <c r="M466" s="5"/>
      <c r="N466" s="5"/>
      <c r="O466" s="5"/>
      <c r="P466" s="5"/>
      <c r="Q466" s="5"/>
      <c r="R466" s="5"/>
      <c r="S466" s="5"/>
      <c r="T466" s="5"/>
      <c r="U466" s="5"/>
      <c r="V466" s="5"/>
      <c r="W466" s="5"/>
      <c r="X466" s="5"/>
      <c r="Y466" s="5"/>
    </row>
    <row r="467">
      <c r="A467" s="5"/>
      <c r="B467" s="64"/>
      <c r="C467" s="64"/>
      <c r="D467" s="64"/>
      <c r="E467" s="64"/>
      <c r="F467" s="64"/>
      <c r="G467" s="149"/>
      <c r="H467" s="148"/>
      <c r="I467" s="4"/>
      <c r="J467" s="5"/>
      <c r="K467" s="5"/>
      <c r="L467" s="5"/>
      <c r="M467" s="5"/>
      <c r="N467" s="5"/>
      <c r="O467" s="5"/>
      <c r="P467" s="5"/>
      <c r="Q467" s="5"/>
      <c r="R467" s="5"/>
      <c r="S467" s="5"/>
      <c r="T467" s="5"/>
      <c r="U467" s="5"/>
      <c r="V467" s="5"/>
      <c r="W467" s="5"/>
      <c r="X467" s="5"/>
      <c r="Y467" s="5"/>
    </row>
    <row r="468">
      <c r="A468" s="5"/>
      <c r="B468" s="64"/>
      <c r="C468" s="64"/>
      <c r="D468" s="64"/>
      <c r="E468" s="64"/>
      <c r="F468" s="64"/>
      <c r="G468" s="149"/>
      <c r="H468" s="148"/>
      <c r="I468" s="4"/>
      <c r="J468" s="5"/>
      <c r="K468" s="5"/>
      <c r="L468" s="5"/>
      <c r="M468" s="5"/>
      <c r="N468" s="5"/>
      <c r="O468" s="5"/>
      <c r="P468" s="5"/>
      <c r="Q468" s="5"/>
      <c r="R468" s="5"/>
      <c r="S468" s="5"/>
      <c r="T468" s="5"/>
      <c r="U468" s="5"/>
      <c r="V468" s="5"/>
      <c r="W468" s="5"/>
      <c r="X468" s="5"/>
      <c r="Y468" s="5"/>
    </row>
    <row r="469">
      <c r="A469" s="5"/>
      <c r="B469" s="64"/>
      <c r="C469" s="64"/>
      <c r="D469" s="64"/>
      <c r="E469" s="64"/>
      <c r="F469" s="64"/>
      <c r="G469" s="149"/>
      <c r="H469" s="148"/>
      <c r="I469" s="4"/>
      <c r="J469" s="5"/>
      <c r="K469" s="5"/>
      <c r="L469" s="5"/>
      <c r="M469" s="5"/>
      <c r="N469" s="5"/>
      <c r="O469" s="5"/>
      <c r="P469" s="5"/>
      <c r="Q469" s="5"/>
      <c r="R469" s="5"/>
      <c r="S469" s="5"/>
      <c r="T469" s="5"/>
      <c r="U469" s="5"/>
      <c r="V469" s="5"/>
      <c r="W469" s="5"/>
      <c r="X469" s="5"/>
      <c r="Y469" s="5"/>
    </row>
    <row r="470">
      <c r="A470" s="5"/>
      <c r="B470" s="64"/>
      <c r="C470" s="64"/>
      <c r="D470" s="64"/>
      <c r="E470" s="64"/>
      <c r="F470" s="64"/>
      <c r="G470" s="149"/>
      <c r="H470" s="148"/>
      <c r="I470" s="4"/>
      <c r="J470" s="5"/>
      <c r="K470" s="5"/>
      <c r="L470" s="5"/>
      <c r="M470" s="5"/>
      <c r="N470" s="5"/>
      <c r="O470" s="5"/>
      <c r="P470" s="5"/>
      <c r="Q470" s="5"/>
      <c r="R470" s="5"/>
      <c r="S470" s="5"/>
      <c r="T470" s="5"/>
      <c r="U470" s="5"/>
      <c r="V470" s="5"/>
      <c r="W470" s="5"/>
      <c r="X470" s="5"/>
      <c r="Y470" s="5"/>
    </row>
    <row r="471">
      <c r="A471" s="5"/>
      <c r="B471" s="64"/>
      <c r="C471" s="64"/>
      <c r="D471" s="64"/>
      <c r="E471" s="64"/>
      <c r="F471" s="64"/>
      <c r="G471" s="149"/>
      <c r="H471" s="148"/>
      <c r="I471" s="4"/>
      <c r="J471" s="5"/>
      <c r="K471" s="5"/>
      <c r="L471" s="5"/>
      <c r="M471" s="5"/>
      <c r="N471" s="5"/>
      <c r="O471" s="5"/>
      <c r="P471" s="5"/>
      <c r="Q471" s="5"/>
      <c r="R471" s="5"/>
      <c r="S471" s="5"/>
      <c r="T471" s="5"/>
      <c r="U471" s="5"/>
      <c r="V471" s="5"/>
      <c r="W471" s="5"/>
      <c r="X471" s="5"/>
      <c r="Y471" s="5"/>
    </row>
    <row r="472">
      <c r="A472" s="5"/>
      <c r="B472" s="64"/>
      <c r="C472" s="64"/>
      <c r="D472" s="64"/>
      <c r="E472" s="64"/>
      <c r="F472" s="64"/>
      <c r="G472" s="149"/>
      <c r="H472" s="148"/>
      <c r="I472" s="4"/>
      <c r="J472" s="5"/>
      <c r="K472" s="5"/>
      <c r="L472" s="5"/>
      <c r="M472" s="5"/>
      <c r="N472" s="5"/>
      <c r="O472" s="5"/>
      <c r="P472" s="5"/>
      <c r="Q472" s="5"/>
      <c r="R472" s="5"/>
      <c r="S472" s="5"/>
      <c r="T472" s="5"/>
      <c r="U472" s="5"/>
      <c r="V472" s="5"/>
      <c r="W472" s="5"/>
      <c r="X472" s="5"/>
      <c r="Y472" s="5"/>
    </row>
    <row r="473">
      <c r="A473" s="5"/>
      <c r="B473" s="64"/>
      <c r="C473" s="64"/>
      <c r="D473" s="64"/>
      <c r="E473" s="64"/>
      <c r="F473" s="64"/>
      <c r="G473" s="149"/>
      <c r="H473" s="148"/>
      <c r="I473" s="4"/>
      <c r="J473" s="5"/>
      <c r="K473" s="5"/>
      <c r="L473" s="5"/>
      <c r="M473" s="5"/>
      <c r="N473" s="5"/>
      <c r="O473" s="5"/>
      <c r="P473" s="5"/>
      <c r="Q473" s="5"/>
      <c r="R473" s="5"/>
      <c r="S473" s="5"/>
      <c r="T473" s="5"/>
      <c r="U473" s="5"/>
      <c r="V473" s="5"/>
      <c r="W473" s="5"/>
      <c r="X473" s="5"/>
      <c r="Y473" s="5"/>
    </row>
    <row r="474">
      <c r="A474" s="5"/>
      <c r="B474" s="64"/>
      <c r="C474" s="64"/>
      <c r="D474" s="64"/>
      <c r="E474" s="64"/>
      <c r="F474" s="64"/>
      <c r="G474" s="149"/>
      <c r="H474" s="148"/>
      <c r="I474" s="4"/>
      <c r="J474" s="5"/>
      <c r="K474" s="5"/>
      <c r="L474" s="5"/>
      <c r="M474" s="5"/>
      <c r="N474" s="5"/>
      <c r="O474" s="5"/>
      <c r="P474" s="5"/>
      <c r="Q474" s="5"/>
      <c r="R474" s="5"/>
      <c r="S474" s="5"/>
      <c r="T474" s="5"/>
      <c r="U474" s="5"/>
      <c r="V474" s="5"/>
      <c r="W474" s="5"/>
      <c r="X474" s="5"/>
      <c r="Y474" s="5"/>
    </row>
    <row r="475">
      <c r="A475" s="5"/>
      <c r="B475" s="64"/>
      <c r="C475" s="64"/>
      <c r="D475" s="64"/>
      <c r="E475" s="64"/>
      <c r="F475" s="64"/>
      <c r="G475" s="149"/>
      <c r="H475" s="148"/>
      <c r="I475" s="4"/>
      <c r="J475" s="5"/>
      <c r="K475" s="5"/>
      <c r="L475" s="5"/>
      <c r="M475" s="5"/>
      <c r="N475" s="5"/>
      <c r="O475" s="5"/>
      <c r="P475" s="5"/>
      <c r="Q475" s="5"/>
      <c r="R475" s="5"/>
      <c r="S475" s="5"/>
      <c r="T475" s="5"/>
      <c r="U475" s="5"/>
      <c r="V475" s="5"/>
      <c r="W475" s="5"/>
      <c r="X475" s="5"/>
      <c r="Y475" s="5"/>
    </row>
    <row r="476">
      <c r="A476" s="5"/>
      <c r="B476" s="64"/>
      <c r="C476" s="64"/>
      <c r="D476" s="64"/>
      <c r="E476" s="64"/>
      <c r="F476" s="64"/>
      <c r="G476" s="149"/>
      <c r="H476" s="148"/>
      <c r="I476" s="4"/>
      <c r="J476" s="5"/>
      <c r="K476" s="5"/>
      <c r="L476" s="5"/>
      <c r="M476" s="5"/>
      <c r="N476" s="5"/>
      <c r="O476" s="5"/>
      <c r="P476" s="5"/>
      <c r="Q476" s="5"/>
      <c r="R476" s="5"/>
      <c r="S476" s="5"/>
      <c r="T476" s="5"/>
      <c r="U476" s="5"/>
      <c r="V476" s="5"/>
      <c r="W476" s="5"/>
      <c r="X476" s="5"/>
      <c r="Y476" s="5"/>
    </row>
    <row r="477">
      <c r="A477" s="5"/>
      <c r="B477" s="64"/>
      <c r="C477" s="64"/>
      <c r="D477" s="64"/>
      <c r="E477" s="64"/>
      <c r="F477" s="64"/>
      <c r="G477" s="149"/>
      <c r="H477" s="148"/>
      <c r="I477" s="4"/>
      <c r="J477" s="5"/>
      <c r="K477" s="5"/>
      <c r="L477" s="5"/>
      <c r="M477" s="5"/>
      <c r="N477" s="5"/>
      <c r="O477" s="5"/>
      <c r="P477" s="5"/>
      <c r="Q477" s="5"/>
      <c r="R477" s="5"/>
      <c r="S477" s="5"/>
      <c r="T477" s="5"/>
      <c r="U477" s="5"/>
      <c r="V477" s="5"/>
      <c r="W477" s="5"/>
      <c r="X477" s="5"/>
      <c r="Y477" s="5"/>
    </row>
    <row r="478">
      <c r="A478" s="5"/>
      <c r="B478" s="64"/>
      <c r="C478" s="64"/>
      <c r="D478" s="64"/>
      <c r="E478" s="64"/>
      <c r="F478" s="64"/>
      <c r="G478" s="149"/>
      <c r="H478" s="148"/>
      <c r="I478" s="4"/>
      <c r="J478" s="5"/>
      <c r="K478" s="5"/>
      <c r="L478" s="5"/>
      <c r="M478" s="5"/>
      <c r="N478" s="5"/>
      <c r="O478" s="5"/>
      <c r="P478" s="5"/>
      <c r="Q478" s="5"/>
      <c r="R478" s="5"/>
      <c r="S478" s="5"/>
      <c r="T478" s="5"/>
      <c r="U478" s="5"/>
      <c r="V478" s="5"/>
      <c r="W478" s="5"/>
      <c r="X478" s="5"/>
      <c r="Y478" s="5"/>
    </row>
    <row r="479">
      <c r="A479" s="5"/>
      <c r="B479" s="64"/>
      <c r="C479" s="64"/>
      <c r="D479" s="64"/>
      <c r="E479" s="64"/>
      <c r="F479" s="64"/>
      <c r="G479" s="149"/>
      <c r="H479" s="148"/>
      <c r="I479" s="4"/>
      <c r="J479" s="5"/>
      <c r="K479" s="5"/>
      <c r="L479" s="5"/>
      <c r="M479" s="5"/>
      <c r="N479" s="5"/>
      <c r="O479" s="5"/>
      <c r="P479" s="5"/>
      <c r="Q479" s="5"/>
      <c r="R479" s="5"/>
      <c r="S479" s="5"/>
      <c r="T479" s="5"/>
      <c r="U479" s="5"/>
      <c r="V479" s="5"/>
      <c r="W479" s="5"/>
      <c r="X479" s="5"/>
      <c r="Y479" s="5"/>
    </row>
    <row r="480">
      <c r="A480" s="5"/>
      <c r="B480" s="64"/>
      <c r="C480" s="64"/>
      <c r="D480" s="64"/>
      <c r="E480" s="64"/>
      <c r="F480" s="64"/>
      <c r="G480" s="149"/>
      <c r="H480" s="148"/>
      <c r="I480" s="4"/>
      <c r="J480" s="5"/>
      <c r="K480" s="5"/>
      <c r="L480" s="5"/>
      <c r="M480" s="5"/>
      <c r="N480" s="5"/>
      <c r="O480" s="5"/>
      <c r="P480" s="5"/>
      <c r="Q480" s="5"/>
      <c r="R480" s="5"/>
      <c r="S480" s="5"/>
      <c r="T480" s="5"/>
      <c r="U480" s="5"/>
      <c r="V480" s="5"/>
      <c r="W480" s="5"/>
      <c r="X480" s="5"/>
      <c r="Y480" s="5"/>
    </row>
    <row r="481">
      <c r="A481" s="5"/>
      <c r="B481" s="64"/>
      <c r="C481" s="64"/>
      <c r="D481" s="64"/>
      <c r="E481" s="64"/>
      <c r="F481" s="64"/>
      <c r="G481" s="149"/>
      <c r="H481" s="148"/>
      <c r="I481" s="4"/>
      <c r="J481" s="5"/>
      <c r="K481" s="5"/>
      <c r="L481" s="5"/>
      <c r="M481" s="5"/>
      <c r="N481" s="5"/>
      <c r="O481" s="5"/>
      <c r="P481" s="5"/>
      <c r="Q481" s="5"/>
      <c r="R481" s="5"/>
      <c r="S481" s="5"/>
      <c r="T481" s="5"/>
      <c r="U481" s="5"/>
      <c r="V481" s="5"/>
      <c r="W481" s="5"/>
      <c r="X481" s="5"/>
      <c r="Y481" s="5"/>
    </row>
    <row r="482">
      <c r="A482" s="5"/>
      <c r="B482" s="64"/>
      <c r="C482" s="64"/>
      <c r="D482" s="64"/>
      <c r="E482" s="64"/>
      <c r="F482" s="64"/>
      <c r="G482" s="149"/>
      <c r="H482" s="148"/>
      <c r="I482" s="4"/>
      <c r="J482" s="5"/>
      <c r="K482" s="5"/>
      <c r="L482" s="5"/>
      <c r="M482" s="5"/>
      <c r="N482" s="5"/>
      <c r="O482" s="5"/>
      <c r="P482" s="5"/>
      <c r="Q482" s="5"/>
      <c r="R482" s="5"/>
      <c r="S482" s="5"/>
      <c r="T482" s="5"/>
      <c r="U482" s="5"/>
      <c r="V482" s="5"/>
      <c r="W482" s="5"/>
      <c r="X482" s="5"/>
      <c r="Y482" s="5"/>
    </row>
    <row r="483">
      <c r="A483" s="5"/>
      <c r="B483" s="64"/>
      <c r="C483" s="64"/>
      <c r="D483" s="64"/>
      <c r="E483" s="64"/>
      <c r="F483" s="64"/>
      <c r="G483" s="149"/>
      <c r="H483" s="148"/>
      <c r="I483" s="4"/>
      <c r="J483" s="5"/>
      <c r="K483" s="5"/>
      <c r="L483" s="5"/>
      <c r="M483" s="5"/>
      <c r="N483" s="5"/>
      <c r="O483" s="5"/>
      <c r="P483" s="5"/>
      <c r="Q483" s="5"/>
      <c r="R483" s="5"/>
      <c r="S483" s="5"/>
      <c r="T483" s="5"/>
      <c r="U483" s="5"/>
      <c r="V483" s="5"/>
      <c r="W483" s="5"/>
      <c r="X483" s="5"/>
      <c r="Y483" s="5"/>
    </row>
    <row r="484">
      <c r="A484" s="5"/>
      <c r="B484" s="64"/>
      <c r="C484" s="64"/>
      <c r="D484" s="64"/>
      <c r="E484" s="64"/>
      <c r="F484" s="64"/>
      <c r="G484" s="149"/>
      <c r="H484" s="148"/>
      <c r="I484" s="4"/>
      <c r="J484" s="5"/>
      <c r="K484" s="5"/>
      <c r="L484" s="5"/>
      <c r="M484" s="5"/>
      <c r="N484" s="5"/>
      <c r="O484" s="5"/>
      <c r="P484" s="5"/>
      <c r="Q484" s="5"/>
      <c r="R484" s="5"/>
      <c r="S484" s="5"/>
      <c r="T484" s="5"/>
      <c r="U484" s="5"/>
      <c r="V484" s="5"/>
      <c r="W484" s="5"/>
      <c r="X484" s="5"/>
      <c r="Y484" s="5"/>
    </row>
    <row r="485">
      <c r="A485" s="5"/>
      <c r="B485" s="64"/>
      <c r="C485" s="64"/>
      <c r="D485" s="64"/>
      <c r="E485" s="64"/>
      <c r="F485" s="64"/>
      <c r="G485" s="149"/>
      <c r="H485" s="148"/>
      <c r="I485" s="4"/>
      <c r="J485" s="5"/>
      <c r="K485" s="5"/>
      <c r="L485" s="5"/>
      <c r="M485" s="5"/>
      <c r="N485" s="5"/>
      <c r="O485" s="5"/>
      <c r="P485" s="5"/>
      <c r="Q485" s="5"/>
      <c r="R485" s="5"/>
      <c r="S485" s="5"/>
      <c r="T485" s="5"/>
      <c r="U485" s="5"/>
      <c r="V485" s="5"/>
      <c r="W485" s="5"/>
      <c r="X485" s="5"/>
      <c r="Y485" s="5"/>
    </row>
    <row r="486">
      <c r="A486" s="5"/>
      <c r="B486" s="64"/>
      <c r="C486" s="64"/>
      <c r="D486" s="64"/>
      <c r="E486" s="64"/>
      <c r="F486" s="64"/>
      <c r="G486" s="149"/>
      <c r="H486" s="148"/>
      <c r="I486" s="4"/>
      <c r="J486" s="5"/>
      <c r="K486" s="5"/>
      <c r="L486" s="5"/>
      <c r="M486" s="5"/>
      <c r="N486" s="5"/>
      <c r="O486" s="5"/>
      <c r="P486" s="5"/>
      <c r="Q486" s="5"/>
      <c r="R486" s="5"/>
      <c r="S486" s="5"/>
      <c r="T486" s="5"/>
      <c r="U486" s="5"/>
      <c r="V486" s="5"/>
      <c r="W486" s="5"/>
      <c r="X486" s="5"/>
      <c r="Y486" s="5"/>
    </row>
    <row r="487">
      <c r="A487" s="5"/>
      <c r="B487" s="64"/>
      <c r="C487" s="64"/>
      <c r="D487" s="64"/>
      <c r="E487" s="64"/>
      <c r="F487" s="64"/>
      <c r="G487" s="149"/>
      <c r="H487" s="148"/>
      <c r="I487" s="4"/>
      <c r="J487" s="5"/>
      <c r="K487" s="5"/>
      <c r="L487" s="5"/>
      <c r="M487" s="5"/>
      <c r="N487" s="5"/>
      <c r="O487" s="5"/>
      <c r="P487" s="5"/>
      <c r="Q487" s="5"/>
      <c r="R487" s="5"/>
      <c r="S487" s="5"/>
      <c r="T487" s="5"/>
      <c r="U487" s="5"/>
      <c r="V487" s="5"/>
      <c r="W487" s="5"/>
      <c r="X487" s="5"/>
      <c r="Y487" s="5"/>
    </row>
    <row r="488">
      <c r="A488" s="5"/>
      <c r="B488" s="64"/>
      <c r="C488" s="64"/>
      <c r="D488" s="64"/>
      <c r="E488" s="64"/>
      <c r="F488" s="64"/>
      <c r="G488" s="149"/>
      <c r="H488" s="148"/>
      <c r="I488" s="4"/>
      <c r="J488" s="5"/>
      <c r="K488" s="5"/>
      <c r="L488" s="5"/>
      <c r="M488" s="5"/>
      <c r="N488" s="5"/>
      <c r="O488" s="5"/>
      <c r="P488" s="5"/>
      <c r="Q488" s="5"/>
      <c r="R488" s="5"/>
      <c r="S488" s="5"/>
      <c r="T488" s="5"/>
      <c r="U488" s="5"/>
      <c r="V488" s="5"/>
      <c r="W488" s="5"/>
      <c r="X488" s="5"/>
      <c r="Y488" s="5"/>
    </row>
    <row r="489">
      <c r="A489" s="5"/>
      <c r="B489" s="64"/>
      <c r="C489" s="64"/>
      <c r="D489" s="64"/>
      <c r="E489" s="64"/>
      <c r="F489" s="64"/>
      <c r="G489" s="149"/>
      <c r="H489" s="148"/>
      <c r="I489" s="4"/>
      <c r="J489" s="5"/>
      <c r="K489" s="5"/>
      <c r="L489" s="5"/>
      <c r="M489" s="5"/>
      <c r="N489" s="5"/>
      <c r="O489" s="5"/>
      <c r="P489" s="5"/>
      <c r="Q489" s="5"/>
      <c r="R489" s="5"/>
      <c r="S489" s="5"/>
      <c r="T489" s="5"/>
      <c r="U489" s="5"/>
      <c r="V489" s="5"/>
      <c r="W489" s="5"/>
      <c r="X489" s="5"/>
      <c r="Y489" s="5"/>
    </row>
    <row r="490">
      <c r="A490" s="5"/>
      <c r="B490" s="64"/>
      <c r="C490" s="64"/>
      <c r="D490" s="64"/>
      <c r="E490" s="64"/>
      <c r="F490" s="64"/>
      <c r="G490" s="149"/>
      <c r="H490" s="148"/>
      <c r="I490" s="4"/>
      <c r="J490" s="5"/>
      <c r="K490" s="5"/>
      <c r="L490" s="5"/>
      <c r="M490" s="5"/>
      <c r="N490" s="5"/>
      <c r="O490" s="5"/>
      <c r="P490" s="5"/>
      <c r="Q490" s="5"/>
      <c r="R490" s="5"/>
      <c r="S490" s="5"/>
      <c r="T490" s="5"/>
      <c r="U490" s="5"/>
      <c r="V490" s="5"/>
      <c r="W490" s="5"/>
      <c r="X490" s="5"/>
      <c r="Y490" s="5"/>
    </row>
    <row r="491">
      <c r="A491" s="5"/>
      <c r="B491" s="64"/>
      <c r="C491" s="64"/>
      <c r="D491" s="64"/>
      <c r="E491" s="64"/>
      <c r="F491" s="64"/>
      <c r="G491" s="149"/>
      <c r="H491" s="148"/>
      <c r="I491" s="4"/>
      <c r="J491" s="5"/>
      <c r="K491" s="5"/>
      <c r="L491" s="5"/>
      <c r="M491" s="5"/>
      <c r="N491" s="5"/>
      <c r="O491" s="5"/>
      <c r="P491" s="5"/>
      <c r="Q491" s="5"/>
      <c r="R491" s="5"/>
      <c r="S491" s="5"/>
      <c r="T491" s="5"/>
      <c r="U491" s="5"/>
      <c r="V491" s="5"/>
      <c r="W491" s="5"/>
      <c r="X491" s="5"/>
      <c r="Y491" s="5"/>
    </row>
    <row r="492">
      <c r="A492" s="5"/>
      <c r="B492" s="64"/>
      <c r="C492" s="64"/>
      <c r="D492" s="64"/>
      <c r="E492" s="64"/>
      <c r="F492" s="64"/>
      <c r="G492" s="149"/>
      <c r="H492" s="148"/>
      <c r="I492" s="4"/>
      <c r="J492" s="5"/>
      <c r="K492" s="5"/>
      <c r="L492" s="5"/>
      <c r="M492" s="5"/>
      <c r="N492" s="5"/>
      <c r="O492" s="5"/>
      <c r="P492" s="5"/>
      <c r="Q492" s="5"/>
      <c r="R492" s="5"/>
      <c r="S492" s="5"/>
      <c r="T492" s="5"/>
      <c r="U492" s="5"/>
      <c r="V492" s="5"/>
      <c r="W492" s="5"/>
      <c r="X492" s="5"/>
      <c r="Y492" s="5"/>
    </row>
    <row r="493">
      <c r="A493" s="5"/>
      <c r="B493" s="64"/>
      <c r="C493" s="64"/>
      <c r="D493" s="64"/>
      <c r="E493" s="64"/>
      <c r="F493" s="64"/>
      <c r="G493" s="149"/>
      <c r="H493" s="148"/>
      <c r="I493" s="4"/>
      <c r="J493" s="5"/>
      <c r="K493" s="5"/>
      <c r="L493" s="5"/>
      <c r="M493" s="5"/>
      <c r="N493" s="5"/>
      <c r="O493" s="5"/>
      <c r="P493" s="5"/>
      <c r="Q493" s="5"/>
      <c r="R493" s="5"/>
      <c r="S493" s="5"/>
      <c r="T493" s="5"/>
      <c r="U493" s="5"/>
      <c r="V493" s="5"/>
      <c r="W493" s="5"/>
      <c r="X493" s="5"/>
      <c r="Y493" s="5"/>
    </row>
    <row r="494">
      <c r="A494" s="5"/>
      <c r="B494" s="64"/>
      <c r="C494" s="64"/>
      <c r="D494" s="64"/>
      <c r="E494" s="64"/>
      <c r="F494" s="64"/>
      <c r="G494" s="149"/>
      <c r="H494" s="148"/>
      <c r="I494" s="4"/>
      <c r="J494" s="5"/>
      <c r="K494" s="5"/>
      <c r="L494" s="5"/>
      <c r="M494" s="5"/>
      <c r="N494" s="5"/>
      <c r="O494" s="5"/>
      <c r="P494" s="5"/>
      <c r="Q494" s="5"/>
      <c r="R494" s="5"/>
      <c r="S494" s="5"/>
      <c r="T494" s="5"/>
      <c r="U494" s="5"/>
      <c r="V494" s="5"/>
      <c r="W494" s="5"/>
      <c r="X494" s="5"/>
      <c r="Y494" s="5"/>
    </row>
    <row r="495">
      <c r="A495" s="5"/>
      <c r="B495" s="64"/>
      <c r="C495" s="64"/>
      <c r="D495" s="64"/>
      <c r="E495" s="64"/>
      <c r="F495" s="64"/>
      <c r="G495" s="149"/>
      <c r="H495" s="148"/>
      <c r="I495" s="4"/>
      <c r="J495" s="5"/>
      <c r="K495" s="5"/>
      <c r="L495" s="5"/>
      <c r="M495" s="5"/>
      <c r="N495" s="5"/>
      <c r="O495" s="5"/>
      <c r="P495" s="5"/>
      <c r="Q495" s="5"/>
      <c r="R495" s="5"/>
      <c r="S495" s="5"/>
      <c r="T495" s="5"/>
      <c r="U495" s="5"/>
      <c r="V495" s="5"/>
      <c r="W495" s="5"/>
      <c r="X495" s="5"/>
      <c r="Y495" s="5"/>
    </row>
    <row r="496">
      <c r="A496" s="5"/>
      <c r="B496" s="64"/>
      <c r="C496" s="64"/>
      <c r="D496" s="64"/>
      <c r="E496" s="64"/>
      <c r="F496" s="64"/>
      <c r="G496" s="149"/>
      <c r="H496" s="148"/>
      <c r="I496" s="4"/>
      <c r="J496" s="5"/>
      <c r="K496" s="5"/>
      <c r="L496" s="5"/>
      <c r="M496" s="5"/>
      <c r="N496" s="5"/>
      <c r="O496" s="5"/>
      <c r="P496" s="5"/>
      <c r="Q496" s="5"/>
      <c r="R496" s="5"/>
      <c r="S496" s="5"/>
      <c r="T496" s="5"/>
      <c r="U496" s="5"/>
      <c r="V496" s="5"/>
      <c r="W496" s="5"/>
      <c r="X496" s="5"/>
      <c r="Y496" s="5"/>
    </row>
    <row r="497">
      <c r="A497" s="5"/>
      <c r="B497" s="64"/>
      <c r="C497" s="64"/>
      <c r="D497" s="64"/>
      <c r="E497" s="64"/>
      <c r="F497" s="64"/>
      <c r="G497" s="149"/>
      <c r="H497" s="148"/>
      <c r="I497" s="4"/>
      <c r="J497" s="5"/>
      <c r="K497" s="5"/>
      <c r="L497" s="5"/>
      <c r="M497" s="5"/>
      <c r="N497" s="5"/>
      <c r="O497" s="5"/>
      <c r="P497" s="5"/>
      <c r="Q497" s="5"/>
      <c r="R497" s="5"/>
      <c r="S497" s="5"/>
      <c r="T497" s="5"/>
      <c r="U497" s="5"/>
      <c r="V497" s="5"/>
      <c r="W497" s="5"/>
      <c r="X497" s="5"/>
      <c r="Y497" s="5"/>
    </row>
    <row r="498">
      <c r="A498" s="5"/>
      <c r="B498" s="64"/>
      <c r="C498" s="64"/>
      <c r="D498" s="64"/>
      <c r="E498" s="64"/>
      <c r="F498" s="64"/>
      <c r="G498" s="149"/>
      <c r="H498" s="148"/>
      <c r="I498" s="4"/>
      <c r="J498" s="5"/>
      <c r="K498" s="5"/>
      <c r="L498" s="5"/>
      <c r="M498" s="5"/>
      <c r="N498" s="5"/>
      <c r="O498" s="5"/>
      <c r="P498" s="5"/>
      <c r="Q498" s="5"/>
      <c r="R498" s="5"/>
      <c r="S498" s="5"/>
      <c r="T498" s="5"/>
      <c r="U498" s="5"/>
      <c r="V498" s="5"/>
      <c r="W498" s="5"/>
      <c r="X498" s="5"/>
      <c r="Y498" s="5"/>
    </row>
    <row r="499">
      <c r="A499" s="5"/>
      <c r="B499" s="64"/>
      <c r="C499" s="64"/>
      <c r="D499" s="64"/>
      <c r="E499" s="64"/>
      <c r="F499" s="64"/>
      <c r="G499" s="149"/>
      <c r="H499" s="148"/>
      <c r="I499" s="4"/>
      <c r="J499" s="5"/>
      <c r="K499" s="5"/>
      <c r="L499" s="5"/>
      <c r="M499" s="5"/>
      <c r="N499" s="5"/>
      <c r="O499" s="5"/>
      <c r="P499" s="5"/>
      <c r="Q499" s="5"/>
      <c r="R499" s="5"/>
      <c r="S499" s="5"/>
      <c r="T499" s="5"/>
      <c r="U499" s="5"/>
      <c r="V499" s="5"/>
      <c r="W499" s="5"/>
      <c r="X499" s="5"/>
      <c r="Y499" s="5"/>
    </row>
    <row r="500">
      <c r="A500" s="5"/>
      <c r="B500" s="64"/>
      <c r="C500" s="64"/>
      <c r="D500" s="64"/>
      <c r="E500" s="64"/>
      <c r="F500" s="64"/>
      <c r="G500" s="149"/>
      <c r="H500" s="148"/>
      <c r="I500" s="4"/>
      <c r="J500" s="5"/>
      <c r="K500" s="5"/>
      <c r="L500" s="5"/>
      <c r="M500" s="5"/>
      <c r="N500" s="5"/>
      <c r="O500" s="5"/>
      <c r="P500" s="5"/>
      <c r="Q500" s="5"/>
      <c r="R500" s="5"/>
      <c r="S500" s="5"/>
      <c r="T500" s="5"/>
      <c r="U500" s="5"/>
      <c r="V500" s="5"/>
      <c r="W500" s="5"/>
      <c r="X500" s="5"/>
      <c r="Y500" s="5"/>
    </row>
    <row r="501">
      <c r="A501" s="5"/>
      <c r="B501" s="64"/>
      <c r="C501" s="64"/>
      <c r="D501" s="64"/>
      <c r="E501" s="64"/>
      <c r="F501" s="64"/>
      <c r="G501" s="149"/>
      <c r="H501" s="148"/>
      <c r="I501" s="4"/>
      <c r="J501" s="5"/>
      <c r="K501" s="5"/>
      <c r="L501" s="5"/>
      <c r="M501" s="5"/>
      <c r="N501" s="5"/>
      <c r="O501" s="5"/>
      <c r="P501" s="5"/>
      <c r="Q501" s="5"/>
      <c r="R501" s="5"/>
      <c r="S501" s="5"/>
      <c r="T501" s="5"/>
      <c r="U501" s="5"/>
      <c r="V501" s="5"/>
      <c r="W501" s="5"/>
      <c r="X501" s="5"/>
      <c r="Y501" s="5"/>
    </row>
    <row r="502">
      <c r="A502" s="5"/>
      <c r="B502" s="64"/>
      <c r="C502" s="64"/>
      <c r="D502" s="64"/>
      <c r="E502" s="64"/>
      <c r="F502" s="64"/>
      <c r="G502" s="149"/>
      <c r="H502" s="148"/>
      <c r="I502" s="4"/>
      <c r="J502" s="5"/>
      <c r="K502" s="5"/>
      <c r="L502" s="5"/>
      <c r="M502" s="5"/>
      <c r="N502" s="5"/>
      <c r="O502" s="5"/>
      <c r="P502" s="5"/>
      <c r="Q502" s="5"/>
      <c r="R502" s="5"/>
      <c r="S502" s="5"/>
      <c r="T502" s="5"/>
      <c r="U502" s="5"/>
      <c r="V502" s="5"/>
      <c r="W502" s="5"/>
      <c r="X502" s="5"/>
      <c r="Y502" s="5"/>
    </row>
    <row r="503">
      <c r="A503" s="5"/>
      <c r="B503" s="64"/>
      <c r="C503" s="64"/>
      <c r="D503" s="64"/>
      <c r="E503" s="64"/>
      <c r="F503" s="64"/>
      <c r="G503" s="149"/>
      <c r="H503" s="148"/>
      <c r="I503" s="4"/>
      <c r="J503" s="5"/>
      <c r="K503" s="5"/>
      <c r="L503" s="5"/>
      <c r="M503" s="5"/>
      <c r="N503" s="5"/>
      <c r="O503" s="5"/>
      <c r="P503" s="5"/>
      <c r="Q503" s="5"/>
      <c r="R503" s="5"/>
      <c r="S503" s="5"/>
      <c r="T503" s="5"/>
      <c r="U503" s="5"/>
      <c r="V503" s="5"/>
      <c r="W503" s="5"/>
      <c r="X503" s="5"/>
      <c r="Y503" s="5"/>
    </row>
    <row r="504">
      <c r="A504" s="5"/>
      <c r="B504" s="64"/>
      <c r="C504" s="64"/>
      <c r="D504" s="64"/>
      <c r="E504" s="64"/>
      <c r="F504" s="64"/>
      <c r="G504" s="149"/>
      <c r="H504" s="148"/>
      <c r="I504" s="4"/>
      <c r="J504" s="5"/>
      <c r="K504" s="5"/>
      <c r="L504" s="5"/>
      <c r="M504" s="5"/>
      <c r="N504" s="5"/>
      <c r="O504" s="5"/>
      <c r="P504" s="5"/>
      <c r="Q504" s="5"/>
      <c r="R504" s="5"/>
      <c r="S504" s="5"/>
      <c r="T504" s="5"/>
      <c r="U504" s="5"/>
      <c r="V504" s="5"/>
      <c r="W504" s="5"/>
      <c r="X504" s="5"/>
      <c r="Y504" s="5"/>
    </row>
    <row r="505">
      <c r="A505" s="5"/>
      <c r="B505" s="64"/>
      <c r="C505" s="64"/>
      <c r="D505" s="64"/>
      <c r="E505" s="64"/>
      <c r="F505" s="64"/>
      <c r="G505" s="149"/>
      <c r="H505" s="148"/>
      <c r="I505" s="4"/>
      <c r="J505" s="5"/>
      <c r="K505" s="5"/>
      <c r="L505" s="5"/>
      <c r="M505" s="5"/>
      <c r="N505" s="5"/>
      <c r="O505" s="5"/>
      <c r="P505" s="5"/>
      <c r="Q505" s="5"/>
      <c r="R505" s="5"/>
      <c r="S505" s="5"/>
      <c r="T505" s="5"/>
      <c r="U505" s="5"/>
      <c r="V505" s="5"/>
      <c r="W505" s="5"/>
      <c r="X505" s="5"/>
      <c r="Y505" s="5"/>
    </row>
    <row r="506">
      <c r="A506" s="5"/>
      <c r="B506" s="64"/>
      <c r="C506" s="64"/>
      <c r="D506" s="64"/>
      <c r="E506" s="64"/>
      <c r="F506" s="64"/>
      <c r="G506" s="149"/>
      <c r="H506" s="148"/>
      <c r="I506" s="4"/>
      <c r="J506" s="5"/>
      <c r="K506" s="5"/>
      <c r="L506" s="5"/>
      <c r="M506" s="5"/>
      <c r="N506" s="5"/>
      <c r="O506" s="5"/>
      <c r="P506" s="5"/>
      <c r="Q506" s="5"/>
      <c r="R506" s="5"/>
      <c r="S506" s="5"/>
      <c r="T506" s="5"/>
      <c r="U506" s="5"/>
      <c r="V506" s="5"/>
      <c r="W506" s="5"/>
      <c r="X506" s="5"/>
      <c r="Y506" s="5"/>
    </row>
    <row r="507">
      <c r="A507" s="5"/>
      <c r="B507" s="64"/>
      <c r="C507" s="64"/>
      <c r="D507" s="64"/>
      <c r="E507" s="64"/>
      <c r="F507" s="64"/>
      <c r="G507" s="149"/>
      <c r="H507" s="148"/>
      <c r="I507" s="4"/>
      <c r="J507" s="5"/>
      <c r="K507" s="5"/>
      <c r="L507" s="5"/>
      <c r="M507" s="5"/>
      <c r="N507" s="5"/>
      <c r="O507" s="5"/>
      <c r="P507" s="5"/>
      <c r="Q507" s="5"/>
      <c r="R507" s="5"/>
      <c r="S507" s="5"/>
      <c r="T507" s="5"/>
      <c r="U507" s="5"/>
      <c r="V507" s="5"/>
      <c r="W507" s="5"/>
      <c r="X507" s="5"/>
      <c r="Y507" s="5"/>
    </row>
    <row r="508">
      <c r="A508" s="5"/>
      <c r="B508" s="64"/>
      <c r="C508" s="64"/>
      <c r="D508" s="64"/>
      <c r="E508" s="64"/>
      <c r="F508" s="64"/>
      <c r="G508" s="149"/>
      <c r="H508" s="148"/>
      <c r="I508" s="4"/>
      <c r="J508" s="5"/>
      <c r="K508" s="5"/>
      <c r="L508" s="5"/>
      <c r="M508" s="5"/>
      <c r="N508" s="5"/>
      <c r="O508" s="5"/>
      <c r="P508" s="5"/>
      <c r="Q508" s="5"/>
      <c r="R508" s="5"/>
      <c r="S508" s="5"/>
      <c r="T508" s="5"/>
      <c r="U508" s="5"/>
      <c r="V508" s="5"/>
      <c r="W508" s="5"/>
      <c r="X508" s="5"/>
      <c r="Y508" s="5"/>
    </row>
    <row r="509">
      <c r="A509" s="5"/>
      <c r="B509" s="64"/>
      <c r="C509" s="64"/>
      <c r="D509" s="64"/>
      <c r="E509" s="64"/>
      <c r="F509" s="64"/>
      <c r="G509" s="149"/>
      <c r="H509" s="148"/>
      <c r="I509" s="4"/>
      <c r="J509" s="5"/>
      <c r="K509" s="5"/>
      <c r="L509" s="5"/>
      <c r="M509" s="5"/>
      <c r="N509" s="5"/>
      <c r="O509" s="5"/>
      <c r="P509" s="5"/>
      <c r="Q509" s="5"/>
      <c r="R509" s="5"/>
      <c r="S509" s="5"/>
      <c r="T509" s="5"/>
      <c r="U509" s="5"/>
      <c r="V509" s="5"/>
      <c r="W509" s="5"/>
      <c r="X509" s="5"/>
      <c r="Y509" s="5"/>
    </row>
    <row r="510">
      <c r="A510" s="5"/>
      <c r="B510" s="64"/>
      <c r="C510" s="64"/>
      <c r="D510" s="64"/>
      <c r="E510" s="64"/>
      <c r="F510" s="64"/>
      <c r="G510" s="149"/>
      <c r="H510" s="148"/>
      <c r="I510" s="4"/>
      <c r="J510" s="5"/>
      <c r="K510" s="5"/>
      <c r="L510" s="5"/>
      <c r="M510" s="5"/>
      <c r="N510" s="5"/>
      <c r="O510" s="5"/>
      <c r="P510" s="5"/>
      <c r="Q510" s="5"/>
      <c r="R510" s="5"/>
      <c r="S510" s="5"/>
      <c r="T510" s="5"/>
      <c r="U510" s="5"/>
      <c r="V510" s="5"/>
      <c r="W510" s="5"/>
      <c r="X510" s="5"/>
      <c r="Y510" s="5"/>
    </row>
    <row r="511">
      <c r="A511" s="5"/>
      <c r="B511" s="64"/>
      <c r="C511" s="64"/>
      <c r="D511" s="64"/>
      <c r="E511" s="64"/>
      <c r="F511" s="64"/>
      <c r="G511" s="149"/>
      <c r="H511" s="148"/>
      <c r="I511" s="4"/>
      <c r="J511" s="5"/>
      <c r="K511" s="5"/>
      <c r="L511" s="5"/>
      <c r="M511" s="5"/>
      <c r="N511" s="5"/>
      <c r="O511" s="5"/>
      <c r="P511" s="5"/>
      <c r="Q511" s="5"/>
      <c r="R511" s="5"/>
      <c r="S511" s="5"/>
      <c r="T511" s="5"/>
      <c r="U511" s="5"/>
      <c r="V511" s="5"/>
      <c r="W511" s="5"/>
      <c r="X511" s="5"/>
      <c r="Y511" s="5"/>
    </row>
    <row r="512">
      <c r="A512" s="5"/>
      <c r="B512" s="64"/>
      <c r="C512" s="64"/>
      <c r="D512" s="64"/>
      <c r="E512" s="64"/>
      <c r="F512" s="64"/>
      <c r="G512" s="149"/>
      <c r="H512" s="148"/>
      <c r="I512" s="4"/>
      <c r="J512" s="5"/>
      <c r="K512" s="5"/>
      <c r="L512" s="5"/>
      <c r="M512" s="5"/>
      <c r="N512" s="5"/>
      <c r="O512" s="5"/>
      <c r="P512" s="5"/>
      <c r="Q512" s="5"/>
      <c r="R512" s="5"/>
      <c r="S512" s="5"/>
      <c r="T512" s="5"/>
      <c r="U512" s="5"/>
      <c r="V512" s="5"/>
      <c r="W512" s="5"/>
      <c r="X512" s="5"/>
      <c r="Y512" s="5"/>
    </row>
    <row r="513">
      <c r="A513" s="5"/>
      <c r="B513" s="64"/>
      <c r="C513" s="64"/>
      <c r="D513" s="64"/>
      <c r="E513" s="64"/>
      <c r="F513" s="64"/>
      <c r="G513" s="149"/>
      <c r="H513" s="148"/>
      <c r="I513" s="4"/>
      <c r="J513" s="5"/>
      <c r="K513" s="5"/>
      <c r="L513" s="5"/>
      <c r="M513" s="5"/>
      <c r="N513" s="5"/>
      <c r="O513" s="5"/>
      <c r="P513" s="5"/>
      <c r="Q513" s="5"/>
      <c r="R513" s="5"/>
      <c r="S513" s="5"/>
      <c r="T513" s="5"/>
      <c r="U513" s="5"/>
      <c r="V513" s="5"/>
      <c r="W513" s="5"/>
      <c r="X513" s="5"/>
      <c r="Y513" s="5"/>
    </row>
    <row r="514">
      <c r="A514" s="5"/>
      <c r="B514" s="64"/>
      <c r="C514" s="64"/>
      <c r="D514" s="64"/>
      <c r="E514" s="64"/>
      <c r="F514" s="64"/>
      <c r="G514" s="149"/>
      <c r="H514" s="148"/>
      <c r="I514" s="4"/>
      <c r="J514" s="5"/>
      <c r="K514" s="5"/>
      <c r="L514" s="5"/>
      <c r="M514" s="5"/>
      <c r="N514" s="5"/>
      <c r="O514" s="5"/>
      <c r="P514" s="5"/>
      <c r="Q514" s="5"/>
      <c r="R514" s="5"/>
      <c r="S514" s="5"/>
      <c r="T514" s="5"/>
      <c r="U514" s="5"/>
      <c r="V514" s="5"/>
      <c r="W514" s="5"/>
      <c r="X514" s="5"/>
      <c r="Y514" s="5"/>
    </row>
    <row r="515">
      <c r="A515" s="5"/>
      <c r="B515" s="64"/>
      <c r="C515" s="64"/>
      <c r="D515" s="64"/>
      <c r="E515" s="64"/>
      <c r="F515" s="64"/>
      <c r="G515" s="149"/>
      <c r="H515" s="148"/>
      <c r="I515" s="4"/>
      <c r="J515" s="5"/>
      <c r="K515" s="5"/>
      <c r="L515" s="5"/>
      <c r="M515" s="5"/>
      <c r="N515" s="5"/>
      <c r="O515" s="5"/>
      <c r="P515" s="5"/>
      <c r="Q515" s="5"/>
      <c r="R515" s="5"/>
      <c r="S515" s="5"/>
      <c r="T515" s="5"/>
      <c r="U515" s="5"/>
      <c r="V515" s="5"/>
      <c r="W515" s="5"/>
      <c r="X515" s="5"/>
      <c r="Y515" s="5"/>
    </row>
    <row r="516">
      <c r="A516" s="5"/>
      <c r="B516" s="64"/>
      <c r="C516" s="64"/>
      <c r="D516" s="64"/>
      <c r="E516" s="64"/>
      <c r="F516" s="64"/>
      <c r="G516" s="149"/>
      <c r="H516" s="148"/>
      <c r="I516" s="4"/>
      <c r="J516" s="5"/>
      <c r="K516" s="5"/>
      <c r="L516" s="5"/>
      <c r="M516" s="5"/>
      <c r="N516" s="5"/>
      <c r="O516" s="5"/>
      <c r="P516" s="5"/>
      <c r="Q516" s="5"/>
      <c r="R516" s="5"/>
      <c r="S516" s="5"/>
      <c r="T516" s="5"/>
      <c r="U516" s="5"/>
      <c r="V516" s="5"/>
      <c r="W516" s="5"/>
      <c r="X516" s="5"/>
      <c r="Y516" s="5"/>
    </row>
    <row r="517">
      <c r="A517" s="5"/>
      <c r="B517" s="64"/>
      <c r="C517" s="64"/>
      <c r="D517" s="64"/>
      <c r="E517" s="64"/>
      <c r="F517" s="64"/>
      <c r="G517" s="149"/>
      <c r="H517" s="148"/>
      <c r="I517" s="4"/>
      <c r="J517" s="5"/>
      <c r="K517" s="5"/>
      <c r="L517" s="5"/>
      <c r="M517" s="5"/>
      <c r="N517" s="5"/>
      <c r="O517" s="5"/>
      <c r="P517" s="5"/>
      <c r="Q517" s="5"/>
      <c r="R517" s="5"/>
      <c r="S517" s="5"/>
      <c r="T517" s="5"/>
      <c r="U517" s="5"/>
      <c r="V517" s="5"/>
      <c r="W517" s="5"/>
      <c r="X517" s="5"/>
      <c r="Y517" s="5"/>
    </row>
    <row r="518">
      <c r="A518" s="5"/>
      <c r="B518" s="64"/>
      <c r="C518" s="64"/>
      <c r="D518" s="64"/>
      <c r="E518" s="64"/>
      <c r="F518" s="64"/>
      <c r="G518" s="149"/>
      <c r="H518" s="148"/>
      <c r="I518" s="4"/>
      <c r="J518" s="5"/>
      <c r="K518" s="5"/>
      <c r="L518" s="5"/>
      <c r="M518" s="5"/>
      <c r="N518" s="5"/>
      <c r="O518" s="5"/>
      <c r="P518" s="5"/>
      <c r="Q518" s="5"/>
      <c r="R518" s="5"/>
      <c r="S518" s="5"/>
      <c r="T518" s="5"/>
      <c r="U518" s="5"/>
      <c r="V518" s="5"/>
      <c r="W518" s="5"/>
      <c r="X518" s="5"/>
      <c r="Y518" s="5"/>
    </row>
    <row r="519">
      <c r="A519" s="5"/>
      <c r="B519" s="64"/>
      <c r="C519" s="64"/>
      <c r="D519" s="64"/>
      <c r="E519" s="64"/>
      <c r="F519" s="64"/>
      <c r="G519" s="149"/>
      <c r="H519" s="148"/>
      <c r="I519" s="4"/>
      <c r="J519" s="5"/>
      <c r="K519" s="5"/>
      <c r="L519" s="5"/>
      <c r="M519" s="5"/>
      <c r="N519" s="5"/>
      <c r="O519" s="5"/>
      <c r="P519" s="5"/>
      <c r="Q519" s="5"/>
      <c r="R519" s="5"/>
      <c r="S519" s="5"/>
      <c r="T519" s="5"/>
      <c r="U519" s="5"/>
      <c r="V519" s="5"/>
      <c r="W519" s="5"/>
      <c r="X519" s="5"/>
      <c r="Y519" s="5"/>
    </row>
    <row r="520">
      <c r="A520" s="5"/>
      <c r="B520" s="64"/>
      <c r="C520" s="64"/>
      <c r="D520" s="64"/>
      <c r="E520" s="64"/>
      <c r="F520" s="64"/>
      <c r="G520" s="149"/>
      <c r="H520" s="148"/>
      <c r="I520" s="4"/>
      <c r="J520" s="5"/>
      <c r="K520" s="5"/>
      <c r="L520" s="5"/>
      <c r="M520" s="5"/>
      <c r="N520" s="5"/>
      <c r="O520" s="5"/>
      <c r="P520" s="5"/>
      <c r="Q520" s="5"/>
      <c r="R520" s="5"/>
      <c r="S520" s="5"/>
      <c r="T520" s="5"/>
      <c r="U520" s="5"/>
      <c r="V520" s="5"/>
      <c r="W520" s="5"/>
      <c r="X520" s="5"/>
      <c r="Y520" s="5"/>
    </row>
    <row r="521">
      <c r="A521" s="5"/>
      <c r="B521" s="64"/>
      <c r="C521" s="64"/>
      <c r="D521" s="64"/>
      <c r="E521" s="64"/>
      <c r="F521" s="64"/>
      <c r="G521" s="149"/>
      <c r="H521" s="148"/>
      <c r="I521" s="4"/>
      <c r="J521" s="5"/>
      <c r="K521" s="5"/>
      <c r="L521" s="5"/>
      <c r="M521" s="5"/>
      <c r="N521" s="5"/>
      <c r="O521" s="5"/>
      <c r="P521" s="5"/>
      <c r="Q521" s="5"/>
      <c r="R521" s="5"/>
      <c r="S521" s="5"/>
      <c r="T521" s="5"/>
      <c r="U521" s="5"/>
      <c r="V521" s="5"/>
      <c r="W521" s="5"/>
      <c r="X521" s="5"/>
      <c r="Y521" s="5"/>
    </row>
    <row r="522">
      <c r="A522" s="5"/>
      <c r="B522" s="64"/>
      <c r="C522" s="64"/>
      <c r="D522" s="64"/>
      <c r="E522" s="64"/>
      <c r="F522" s="64"/>
      <c r="G522" s="149"/>
      <c r="H522" s="148"/>
      <c r="I522" s="4"/>
      <c r="J522" s="5"/>
      <c r="K522" s="5"/>
      <c r="L522" s="5"/>
      <c r="M522" s="5"/>
      <c r="N522" s="5"/>
      <c r="O522" s="5"/>
      <c r="P522" s="5"/>
      <c r="Q522" s="5"/>
      <c r="R522" s="5"/>
      <c r="S522" s="5"/>
      <c r="T522" s="5"/>
      <c r="U522" s="5"/>
      <c r="V522" s="5"/>
      <c r="W522" s="5"/>
      <c r="X522" s="5"/>
      <c r="Y522" s="5"/>
    </row>
    <row r="523">
      <c r="A523" s="5"/>
      <c r="B523" s="64"/>
      <c r="C523" s="64"/>
      <c r="D523" s="64"/>
      <c r="E523" s="64"/>
      <c r="F523" s="64"/>
      <c r="G523" s="149"/>
      <c r="H523" s="148"/>
      <c r="I523" s="4"/>
      <c r="J523" s="5"/>
      <c r="K523" s="5"/>
      <c r="L523" s="5"/>
      <c r="M523" s="5"/>
      <c r="N523" s="5"/>
      <c r="O523" s="5"/>
      <c r="P523" s="5"/>
      <c r="Q523" s="5"/>
      <c r="R523" s="5"/>
      <c r="S523" s="5"/>
      <c r="T523" s="5"/>
      <c r="U523" s="5"/>
      <c r="V523" s="5"/>
      <c r="W523" s="5"/>
      <c r="X523" s="5"/>
      <c r="Y523" s="5"/>
    </row>
    <row r="524">
      <c r="A524" s="5"/>
      <c r="B524" s="64"/>
      <c r="C524" s="64"/>
      <c r="D524" s="64"/>
      <c r="E524" s="64"/>
      <c r="F524" s="64"/>
      <c r="G524" s="149"/>
      <c r="H524" s="148"/>
      <c r="I524" s="4"/>
      <c r="J524" s="5"/>
      <c r="K524" s="5"/>
      <c r="L524" s="5"/>
      <c r="M524" s="5"/>
      <c r="N524" s="5"/>
      <c r="O524" s="5"/>
      <c r="P524" s="5"/>
      <c r="Q524" s="5"/>
      <c r="R524" s="5"/>
      <c r="S524" s="5"/>
      <c r="T524" s="5"/>
      <c r="U524" s="5"/>
      <c r="V524" s="5"/>
      <c r="W524" s="5"/>
      <c r="X524" s="5"/>
      <c r="Y524" s="5"/>
    </row>
    <row r="525">
      <c r="A525" s="5"/>
      <c r="B525" s="64"/>
      <c r="C525" s="64"/>
      <c r="D525" s="64"/>
      <c r="E525" s="64"/>
      <c r="F525" s="64"/>
      <c r="G525" s="149"/>
      <c r="H525" s="148"/>
      <c r="I525" s="4"/>
      <c r="J525" s="5"/>
      <c r="K525" s="5"/>
      <c r="L525" s="5"/>
      <c r="M525" s="5"/>
      <c r="N525" s="5"/>
      <c r="O525" s="5"/>
      <c r="P525" s="5"/>
      <c r="Q525" s="5"/>
      <c r="R525" s="5"/>
      <c r="S525" s="5"/>
      <c r="T525" s="5"/>
      <c r="U525" s="5"/>
      <c r="V525" s="5"/>
      <c r="W525" s="5"/>
      <c r="X525" s="5"/>
      <c r="Y525" s="5"/>
    </row>
    <row r="526">
      <c r="A526" s="5"/>
      <c r="B526" s="64"/>
      <c r="C526" s="64"/>
      <c r="D526" s="64"/>
      <c r="E526" s="64"/>
      <c r="F526" s="64"/>
      <c r="G526" s="149"/>
      <c r="H526" s="148"/>
      <c r="I526" s="4"/>
      <c r="J526" s="5"/>
      <c r="K526" s="5"/>
      <c r="L526" s="5"/>
      <c r="M526" s="5"/>
      <c r="N526" s="5"/>
      <c r="O526" s="5"/>
      <c r="P526" s="5"/>
      <c r="Q526" s="5"/>
      <c r="R526" s="5"/>
      <c r="S526" s="5"/>
      <c r="T526" s="5"/>
      <c r="U526" s="5"/>
      <c r="V526" s="5"/>
      <c r="W526" s="5"/>
      <c r="X526" s="5"/>
      <c r="Y526" s="5"/>
    </row>
    <row r="527">
      <c r="A527" s="5"/>
      <c r="B527" s="64"/>
      <c r="C527" s="64"/>
      <c r="D527" s="64"/>
      <c r="E527" s="64"/>
      <c r="F527" s="64"/>
      <c r="G527" s="149"/>
      <c r="H527" s="148"/>
      <c r="I527" s="4"/>
      <c r="J527" s="5"/>
      <c r="K527" s="5"/>
      <c r="L527" s="5"/>
      <c r="M527" s="5"/>
      <c r="N527" s="5"/>
      <c r="O527" s="5"/>
      <c r="P527" s="5"/>
      <c r="Q527" s="5"/>
      <c r="R527" s="5"/>
      <c r="S527" s="5"/>
      <c r="T527" s="5"/>
      <c r="U527" s="5"/>
      <c r="V527" s="5"/>
      <c r="W527" s="5"/>
      <c r="X527" s="5"/>
      <c r="Y527" s="5"/>
    </row>
    <row r="528">
      <c r="A528" s="5"/>
      <c r="B528" s="64"/>
      <c r="C528" s="64"/>
      <c r="D528" s="64"/>
      <c r="E528" s="64"/>
      <c r="F528" s="64"/>
      <c r="G528" s="149"/>
      <c r="H528" s="148"/>
      <c r="I528" s="4"/>
      <c r="J528" s="5"/>
      <c r="K528" s="5"/>
      <c r="L528" s="5"/>
      <c r="M528" s="5"/>
      <c r="N528" s="5"/>
      <c r="O528" s="5"/>
      <c r="P528" s="5"/>
      <c r="Q528" s="5"/>
      <c r="R528" s="5"/>
      <c r="S528" s="5"/>
      <c r="T528" s="5"/>
      <c r="U528" s="5"/>
      <c r="V528" s="5"/>
      <c r="W528" s="5"/>
      <c r="X528" s="5"/>
      <c r="Y528" s="5"/>
    </row>
    <row r="529">
      <c r="A529" s="5"/>
      <c r="B529" s="64"/>
      <c r="C529" s="64"/>
      <c r="D529" s="64"/>
      <c r="E529" s="64"/>
      <c r="F529" s="64"/>
      <c r="G529" s="149"/>
      <c r="H529" s="148"/>
      <c r="I529" s="4"/>
      <c r="J529" s="5"/>
      <c r="K529" s="5"/>
      <c r="L529" s="5"/>
      <c r="M529" s="5"/>
      <c r="N529" s="5"/>
      <c r="O529" s="5"/>
      <c r="P529" s="5"/>
      <c r="Q529" s="5"/>
      <c r="R529" s="5"/>
      <c r="S529" s="5"/>
      <c r="T529" s="5"/>
      <c r="U529" s="5"/>
      <c r="V529" s="5"/>
      <c r="W529" s="5"/>
      <c r="X529" s="5"/>
      <c r="Y529" s="5"/>
    </row>
    <row r="530">
      <c r="A530" s="5"/>
      <c r="B530" s="64"/>
      <c r="C530" s="64"/>
      <c r="D530" s="64"/>
      <c r="E530" s="64"/>
      <c r="F530" s="64"/>
      <c r="G530" s="149"/>
      <c r="H530" s="148"/>
      <c r="I530" s="4"/>
      <c r="J530" s="5"/>
      <c r="K530" s="5"/>
      <c r="L530" s="5"/>
      <c r="M530" s="5"/>
      <c r="N530" s="5"/>
      <c r="O530" s="5"/>
      <c r="P530" s="5"/>
      <c r="Q530" s="5"/>
      <c r="R530" s="5"/>
      <c r="S530" s="5"/>
      <c r="T530" s="5"/>
      <c r="U530" s="5"/>
      <c r="V530" s="5"/>
      <c r="W530" s="5"/>
      <c r="X530" s="5"/>
      <c r="Y530" s="5"/>
    </row>
    <row r="531">
      <c r="A531" s="5"/>
      <c r="B531" s="64"/>
      <c r="C531" s="64"/>
      <c r="D531" s="64"/>
      <c r="E531" s="64"/>
      <c r="F531" s="64"/>
      <c r="G531" s="149"/>
      <c r="H531" s="148"/>
      <c r="I531" s="4"/>
      <c r="J531" s="5"/>
      <c r="K531" s="5"/>
      <c r="L531" s="5"/>
      <c r="M531" s="5"/>
      <c r="N531" s="5"/>
      <c r="O531" s="5"/>
      <c r="P531" s="5"/>
      <c r="Q531" s="5"/>
      <c r="R531" s="5"/>
      <c r="S531" s="5"/>
      <c r="T531" s="5"/>
      <c r="U531" s="5"/>
      <c r="V531" s="5"/>
      <c r="W531" s="5"/>
      <c r="X531" s="5"/>
      <c r="Y531" s="5"/>
    </row>
    <row r="532">
      <c r="A532" s="5"/>
      <c r="B532" s="64"/>
      <c r="C532" s="64"/>
      <c r="D532" s="64"/>
      <c r="E532" s="64"/>
      <c r="F532" s="64"/>
      <c r="G532" s="149"/>
      <c r="H532" s="148"/>
      <c r="I532" s="4"/>
      <c r="J532" s="5"/>
      <c r="K532" s="5"/>
      <c r="L532" s="5"/>
      <c r="M532" s="5"/>
      <c r="N532" s="5"/>
      <c r="O532" s="5"/>
      <c r="P532" s="5"/>
      <c r="Q532" s="5"/>
      <c r="R532" s="5"/>
      <c r="S532" s="5"/>
      <c r="T532" s="5"/>
      <c r="U532" s="5"/>
      <c r="V532" s="5"/>
      <c r="W532" s="5"/>
      <c r="X532" s="5"/>
      <c r="Y532" s="5"/>
    </row>
    <row r="533">
      <c r="A533" s="5"/>
      <c r="B533" s="64"/>
      <c r="C533" s="64"/>
      <c r="D533" s="64"/>
      <c r="E533" s="64"/>
      <c r="F533" s="64"/>
      <c r="G533" s="149"/>
      <c r="H533" s="148"/>
      <c r="I533" s="4"/>
      <c r="J533" s="5"/>
      <c r="K533" s="5"/>
      <c r="L533" s="5"/>
      <c r="M533" s="5"/>
      <c r="N533" s="5"/>
      <c r="O533" s="5"/>
      <c r="P533" s="5"/>
      <c r="Q533" s="5"/>
      <c r="R533" s="5"/>
      <c r="S533" s="5"/>
      <c r="T533" s="5"/>
      <c r="U533" s="5"/>
      <c r="V533" s="5"/>
      <c r="W533" s="5"/>
      <c r="X533" s="5"/>
      <c r="Y533" s="5"/>
    </row>
    <row r="534">
      <c r="A534" s="5"/>
      <c r="B534" s="64"/>
      <c r="C534" s="64"/>
      <c r="D534" s="64"/>
      <c r="E534" s="64"/>
      <c r="F534" s="64"/>
      <c r="G534" s="149"/>
      <c r="H534" s="148"/>
      <c r="I534" s="4"/>
      <c r="J534" s="5"/>
      <c r="K534" s="5"/>
      <c r="L534" s="5"/>
      <c r="M534" s="5"/>
      <c r="N534" s="5"/>
      <c r="O534" s="5"/>
      <c r="P534" s="5"/>
      <c r="Q534" s="5"/>
      <c r="R534" s="5"/>
      <c r="S534" s="5"/>
      <c r="T534" s="5"/>
      <c r="U534" s="5"/>
      <c r="V534" s="5"/>
      <c r="W534" s="5"/>
      <c r="X534" s="5"/>
      <c r="Y534" s="5"/>
    </row>
    <row r="535">
      <c r="A535" s="5"/>
      <c r="B535" s="64"/>
      <c r="C535" s="64"/>
      <c r="D535" s="64"/>
      <c r="E535" s="64"/>
      <c r="F535" s="64"/>
      <c r="G535" s="149"/>
      <c r="H535" s="148"/>
      <c r="I535" s="4"/>
      <c r="J535" s="5"/>
      <c r="K535" s="5"/>
      <c r="L535" s="5"/>
      <c r="M535" s="5"/>
      <c r="N535" s="5"/>
      <c r="O535" s="5"/>
      <c r="P535" s="5"/>
      <c r="Q535" s="5"/>
      <c r="R535" s="5"/>
      <c r="S535" s="5"/>
      <c r="T535" s="5"/>
      <c r="U535" s="5"/>
      <c r="V535" s="5"/>
      <c r="W535" s="5"/>
      <c r="X535" s="5"/>
      <c r="Y535" s="5"/>
    </row>
    <row r="536">
      <c r="A536" s="5"/>
      <c r="B536" s="64"/>
      <c r="C536" s="64"/>
      <c r="D536" s="64"/>
      <c r="E536" s="64"/>
      <c r="F536" s="64"/>
      <c r="G536" s="149"/>
      <c r="H536" s="148"/>
      <c r="I536" s="4"/>
      <c r="J536" s="5"/>
      <c r="K536" s="5"/>
      <c r="L536" s="5"/>
      <c r="M536" s="5"/>
      <c r="N536" s="5"/>
      <c r="O536" s="5"/>
      <c r="P536" s="5"/>
      <c r="Q536" s="5"/>
      <c r="R536" s="5"/>
      <c r="S536" s="5"/>
      <c r="T536" s="5"/>
      <c r="U536" s="5"/>
      <c r="V536" s="5"/>
      <c r="W536" s="5"/>
      <c r="X536" s="5"/>
      <c r="Y536" s="5"/>
    </row>
    <row r="537">
      <c r="A537" s="5"/>
      <c r="B537" s="64"/>
      <c r="C537" s="64"/>
      <c r="D537" s="64"/>
      <c r="E537" s="64"/>
      <c r="F537" s="64"/>
      <c r="G537" s="149"/>
      <c r="H537" s="148"/>
      <c r="I537" s="4"/>
      <c r="J537" s="5"/>
      <c r="K537" s="5"/>
      <c r="L537" s="5"/>
      <c r="M537" s="5"/>
      <c r="N537" s="5"/>
      <c r="O537" s="5"/>
      <c r="P537" s="5"/>
      <c r="Q537" s="5"/>
      <c r="R537" s="5"/>
      <c r="S537" s="5"/>
      <c r="T537" s="5"/>
      <c r="U537" s="5"/>
      <c r="V537" s="5"/>
      <c r="W537" s="5"/>
      <c r="X537" s="5"/>
      <c r="Y537" s="5"/>
    </row>
    <row r="538">
      <c r="A538" s="5"/>
      <c r="B538" s="64"/>
      <c r="C538" s="64"/>
      <c r="D538" s="64"/>
      <c r="E538" s="64"/>
      <c r="F538" s="64"/>
      <c r="G538" s="149"/>
      <c r="H538" s="148"/>
      <c r="I538" s="4"/>
      <c r="J538" s="5"/>
      <c r="K538" s="5"/>
      <c r="L538" s="5"/>
      <c r="M538" s="5"/>
      <c r="N538" s="5"/>
      <c r="O538" s="5"/>
      <c r="P538" s="5"/>
      <c r="Q538" s="5"/>
      <c r="R538" s="5"/>
      <c r="S538" s="5"/>
      <c r="T538" s="5"/>
      <c r="U538" s="5"/>
      <c r="V538" s="5"/>
      <c r="W538" s="5"/>
      <c r="X538" s="5"/>
      <c r="Y538" s="5"/>
    </row>
    <row r="539">
      <c r="A539" s="5"/>
      <c r="B539" s="64"/>
      <c r="C539" s="64"/>
      <c r="D539" s="64"/>
      <c r="E539" s="64"/>
      <c r="F539" s="64"/>
      <c r="G539" s="149"/>
      <c r="H539" s="148"/>
      <c r="I539" s="4"/>
      <c r="J539" s="5"/>
      <c r="K539" s="5"/>
      <c r="L539" s="5"/>
      <c r="M539" s="5"/>
      <c r="N539" s="5"/>
      <c r="O539" s="5"/>
      <c r="P539" s="5"/>
      <c r="Q539" s="5"/>
      <c r="R539" s="5"/>
      <c r="S539" s="5"/>
      <c r="T539" s="5"/>
      <c r="U539" s="5"/>
      <c r="V539" s="5"/>
      <c r="W539" s="5"/>
      <c r="X539" s="5"/>
      <c r="Y539" s="5"/>
    </row>
    <row r="540">
      <c r="A540" s="5"/>
      <c r="B540" s="64"/>
      <c r="C540" s="64"/>
      <c r="D540" s="64"/>
      <c r="E540" s="64"/>
      <c r="F540" s="64"/>
      <c r="G540" s="149"/>
      <c r="H540" s="148"/>
      <c r="I540" s="4"/>
      <c r="J540" s="5"/>
      <c r="K540" s="5"/>
      <c r="L540" s="5"/>
      <c r="M540" s="5"/>
      <c r="N540" s="5"/>
      <c r="O540" s="5"/>
      <c r="P540" s="5"/>
      <c r="Q540" s="5"/>
      <c r="R540" s="5"/>
      <c r="S540" s="5"/>
      <c r="T540" s="5"/>
      <c r="U540" s="5"/>
      <c r="V540" s="5"/>
      <c r="W540" s="5"/>
      <c r="X540" s="5"/>
      <c r="Y540" s="5"/>
    </row>
    <row r="541">
      <c r="A541" s="5"/>
      <c r="B541" s="64"/>
      <c r="C541" s="64"/>
      <c r="D541" s="64"/>
      <c r="E541" s="64"/>
      <c r="F541" s="64"/>
      <c r="G541" s="149"/>
      <c r="H541" s="148"/>
      <c r="I541" s="4"/>
      <c r="J541" s="5"/>
      <c r="K541" s="5"/>
      <c r="L541" s="5"/>
      <c r="M541" s="5"/>
      <c r="N541" s="5"/>
      <c r="O541" s="5"/>
      <c r="P541" s="5"/>
      <c r="Q541" s="5"/>
      <c r="R541" s="5"/>
      <c r="S541" s="5"/>
      <c r="T541" s="5"/>
      <c r="U541" s="5"/>
      <c r="V541" s="5"/>
      <c r="W541" s="5"/>
      <c r="X541" s="5"/>
      <c r="Y541" s="5"/>
    </row>
    <row r="542">
      <c r="A542" s="5"/>
      <c r="B542" s="64"/>
      <c r="C542" s="64"/>
      <c r="D542" s="64"/>
      <c r="E542" s="64"/>
      <c r="F542" s="64"/>
      <c r="G542" s="149"/>
      <c r="H542" s="148"/>
      <c r="I542" s="4"/>
      <c r="J542" s="5"/>
      <c r="K542" s="5"/>
      <c r="L542" s="5"/>
      <c r="M542" s="5"/>
      <c r="N542" s="5"/>
      <c r="O542" s="5"/>
      <c r="P542" s="5"/>
      <c r="Q542" s="5"/>
      <c r="R542" s="5"/>
      <c r="S542" s="5"/>
      <c r="T542" s="5"/>
      <c r="U542" s="5"/>
      <c r="V542" s="5"/>
      <c r="W542" s="5"/>
      <c r="X542" s="5"/>
      <c r="Y542" s="5"/>
    </row>
    <row r="543">
      <c r="A543" s="5"/>
      <c r="B543" s="64"/>
      <c r="C543" s="64"/>
      <c r="D543" s="64"/>
      <c r="E543" s="64"/>
      <c r="F543" s="64"/>
      <c r="G543" s="149"/>
      <c r="H543" s="148"/>
      <c r="I543" s="4"/>
      <c r="J543" s="5"/>
      <c r="K543" s="5"/>
      <c r="L543" s="5"/>
      <c r="M543" s="5"/>
      <c r="N543" s="5"/>
      <c r="O543" s="5"/>
      <c r="P543" s="5"/>
      <c r="Q543" s="5"/>
      <c r="R543" s="5"/>
      <c r="S543" s="5"/>
      <c r="T543" s="5"/>
      <c r="U543" s="5"/>
      <c r="V543" s="5"/>
      <c r="W543" s="5"/>
      <c r="X543" s="5"/>
      <c r="Y543" s="5"/>
    </row>
    <row r="544">
      <c r="A544" s="5"/>
      <c r="B544" s="64"/>
      <c r="C544" s="64"/>
      <c r="D544" s="64"/>
      <c r="E544" s="64"/>
      <c r="F544" s="64"/>
      <c r="G544" s="149"/>
      <c r="H544" s="148"/>
      <c r="I544" s="4"/>
      <c r="J544" s="5"/>
      <c r="K544" s="5"/>
      <c r="L544" s="5"/>
      <c r="M544" s="5"/>
      <c r="N544" s="5"/>
      <c r="O544" s="5"/>
      <c r="P544" s="5"/>
      <c r="Q544" s="5"/>
      <c r="R544" s="5"/>
      <c r="S544" s="5"/>
      <c r="T544" s="5"/>
      <c r="U544" s="5"/>
      <c r="V544" s="5"/>
      <c r="W544" s="5"/>
      <c r="X544" s="5"/>
      <c r="Y544" s="5"/>
    </row>
    <row r="545">
      <c r="A545" s="5"/>
      <c r="B545" s="64"/>
      <c r="C545" s="64"/>
      <c r="D545" s="64"/>
      <c r="E545" s="64"/>
      <c r="F545" s="64"/>
      <c r="G545" s="149"/>
      <c r="H545" s="148"/>
      <c r="I545" s="4"/>
      <c r="J545" s="5"/>
      <c r="K545" s="5"/>
      <c r="L545" s="5"/>
      <c r="M545" s="5"/>
      <c r="N545" s="5"/>
      <c r="O545" s="5"/>
      <c r="P545" s="5"/>
      <c r="Q545" s="5"/>
      <c r="R545" s="5"/>
      <c r="S545" s="5"/>
      <c r="T545" s="5"/>
      <c r="U545" s="5"/>
      <c r="V545" s="5"/>
      <c r="W545" s="5"/>
      <c r="X545" s="5"/>
      <c r="Y545" s="5"/>
    </row>
    <row r="546">
      <c r="A546" s="5"/>
      <c r="B546" s="64"/>
      <c r="C546" s="64"/>
      <c r="D546" s="64"/>
      <c r="E546" s="64"/>
      <c r="F546" s="64"/>
      <c r="G546" s="149"/>
      <c r="H546" s="148"/>
      <c r="I546" s="4"/>
      <c r="J546" s="5"/>
      <c r="K546" s="5"/>
      <c r="L546" s="5"/>
      <c r="M546" s="5"/>
      <c r="N546" s="5"/>
      <c r="O546" s="5"/>
      <c r="P546" s="5"/>
      <c r="Q546" s="5"/>
      <c r="R546" s="5"/>
      <c r="S546" s="5"/>
      <c r="T546" s="5"/>
      <c r="U546" s="5"/>
      <c r="V546" s="5"/>
      <c r="W546" s="5"/>
      <c r="X546" s="5"/>
      <c r="Y546" s="5"/>
    </row>
    <row r="547">
      <c r="A547" s="5"/>
      <c r="B547" s="64"/>
      <c r="C547" s="64"/>
      <c r="D547" s="64"/>
      <c r="E547" s="64"/>
      <c r="F547" s="64"/>
      <c r="G547" s="149"/>
      <c r="H547" s="148"/>
      <c r="I547" s="4"/>
      <c r="J547" s="5"/>
      <c r="K547" s="5"/>
      <c r="L547" s="5"/>
      <c r="M547" s="5"/>
      <c r="N547" s="5"/>
      <c r="O547" s="5"/>
      <c r="P547" s="5"/>
      <c r="Q547" s="5"/>
      <c r="R547" s="5"/>
      <c r="S547" s="5"/>
      <c r="T547" s="5"/>
      <c r="U547" s="5"/>
      <c r="V547" s="5"/>
      <c r="W547" s="5"/>
      <c r="X547" s="5"/>
      <c r="Y547" s="5"/>
    </row>
    <row r="548">
      <c r="A548" s="5"/>
      <c r="B548" s="64"/>
      <c r="C548" s="64"/>
      <c r="D548" s="64"/>
      <c r="E548" s="64"/>
      <c r="F548" s="64"/>
      <c r="G548" s="149"/>
      <c r="H548" s="148"/>
      <c r="I548" s="4"/>
      <c r="J548" s="5"/>
      <c r="K548" s="5"/>
      <c r="L548" s="5"/>
      <c r="M548" s="5"/>
      <c r="N548" s="5"/>
      <c r="O548" s="5"/>
      <c r="P548" s="5"/>
      <c r="Q548" s="5"/>
      <c r="R548" s="5"/>
      <c r="S548" s="5"/>
      <c r="T548" s="5"/>
      <c r="U548" s="5"/>
      <c r="V548" s="5"/>
      <c r="W548" s="5"/>
      <c r="X548" s="5"/>
      <c r="Y548" s="5"/>
    </row>
    <row r="549">
      <c r="A549" s="5"/>
      <c r="B549" s="64"/>
      <c r="C549" s="64"/>
      <c r="D549" s="64"/>
      <c r="E549" s="64"/>
      <c r="F549" s="64"/>
      <c r="G549" s="149"/>
      <c r="H549" s="148"/>
      <c r="I549" s="4"/>
      <c r="J549" s="5"/>
      <c r="K549" s="5"/>
      <c r="L549" s="5"/>
      <c r="M549" s="5"/>
      <c r="N549" s="5"/>
      <c r="O549" s="5"/>
      <c r="P549" s="5"/>
      <c r="Q549" s="5"/>
      <c r="R549" s="5"/>
      <c r="S549" s="5"/>
      <c r="T549" s="5"/>
      <c r="U549" s="5"/>
      <c r="V549" s="5"/>
      <c r="W549" s="5"/>
      <c r="X549" s="5"/>
      <c r="Y549" s="5"/>
    </row>
    <row r="550">
      <c r="A550" s="5"/>
      <c r="B550" s="64"/>
      <c r="C550" s="64"/>
      <c r="D550" s="64"/>
      <c r="E550" s="64"/>
      <c r="F550" s="64"/>
      <c r="G550" s="149"/>
      <c r="H550" s="148"/>
      <c r="I550" s="4"/>
      <c r="J550" s="5"/>
      <c r="K550" s="5"/>
      <c r="L550" s="5"/>
      <c r="M550" s="5"/>
      <c r="N550" s="5"/>
      <c r="O550" s="5"/>
      <c r="P550" s="5"/>
      <c r="Q550" s="5"/>
      <c r="R550" s="5"/>
      <c r="S550" s="5"/>
      <c r="T550" s="5"/>
      <c r="U550" s="5"/>
      <c r="V550" s="5"/>
      <c r="W550" s="5"/>
      <c r="X550" s="5"/>
      <c r="Y550" s="5"/>
    </row>
    <row r="551">
      <c r="A551" s="5"/>
      <c r="B551" s="64"/>
      <c r="C551" s="64"/>
      <c r="D551" s="64"/>
      <c r="E551" s="64"/>
      <c r="F551" s="64"/>
      <c r="G551" s="149"/>
      <c r="H551" s="148"/>
      <c r="I551" s="4"/>
      <c r="J551" s="5"/>
      <c r="K551" s="5"/>
      <c r="L551" s="5"/>
      <c r="M551" s="5"/>
      <c r="N551" s="5"/>
      <c r="O551" s="5"/>
      <c r="P551" s="5"/>
      <c r="Q551" s="5"/>
      <c r="R551" s="5"/>
      <c r="S551" s="5"/>
      <c r="T551" s="5"/>
      <c r="U551" s="5"/>
      <c r="V551" s="5"/>
      <c r="W551" s="5"/>
      <c r="X551" s="5"/>
      <c r="Y551" s="5"/>
    </row>
    <row r="552">
      <c r="A552" s="5"/>
      <c r="B552" s="64"/>
      <c r="C552" s="64"/>
      <c r="D552" s="64"/>
      <c r="E552" s="64"/>
      <c r="F552" s="64"/>
      <c r="G552" s="149"/>
      <c r="H552" s="148"/>
      <c r="I552" s="4"/>
      <c r="J552" s="5"/>
      <c r="K552" s="5"/>
      <c r="L552" s="5"/>
      <c r="M552" s="5"/>
      <c r="N552" s="5"/>
      <c r="O552" s="5"/>
      <c r="P552" s="5"/>
      <c r="Q552" s="5"/>
      <c r="R552" s="5"/>
      <c r="S552" s="5"/>
      <c r="T552" s="5"/>
      <c r="U552" s="5"/>
      <c r="V552" s="5"/>
      <c r="W552" s="5"/>
      <c r="X552" s="5"/>
      <c r="Y552" s="5"/>
    </row>
    <row r="553">
      <c r="A553" s="5"/>
      <c r="B553" s="64"/>
      <c r="C553" s="64"/>
      <c r="D553" s="64"/>
      <c r="E553" s="64"/>
      <c r="F553" s="64"/>
      <c r="G553" s="149"/>
      <c r="H553" s="148"/>
      <c r="I553" s="4"/>
      <c r="J553" s="5"/>
      <c r="K553" s="5"/>
      <c r="L553" s="5"/>
      <c r="M553" s="5"/>
      <c r="N553" s="5"/>
      <c r="O553" s="5"/>
      <c r="P553" s="5"/>
      <c r="Q553" s="5"/>
      <c r="R553" s="5"/>
      <c r="S553" s="5"/>
      <c r="T553" s="5"/>
      <c r="U553" s="5"/>
      <c r="V553" s="5"/>
      <c r="W553" s="5"/>
      <c r="X553" s="5"/>
      <c r="Y553" s="5"/>
    </row>
    <row r="554">
      <c r="A554" s="5"/>
      <c r="B554" s="64"/>
      <c r="C554" s="64"/>
      <c r="D554" s="64"/>
      <c r="E554" s="64"/>
      <c r="F554" s="64"/>
      <c r="G554" s="149"/>
      <c r="H554" s="148"/>
      <c r="I554" s="4"/>
      <c r="J554" s="5"/>
      <c r="K554" s="5"/>
      <c r="L554" s="5"/>
      <c r="M554" s="5"/>
      <c r="N554" s="5"/>
      <c r="O554" s="5"/>
      <c r="P554" s="5"/>
      <c r="Q554" s="5"/>
      <c r="R554" s="5"/>
      <c r="S554" s="5"/>
      <c r="T554" s="5"/>
      <c r="U554" s="5"/>
      <c r="V554" s="5"/>
      <c r="W554" s="5"/>
      <c r="X554" s="5"/>
      <c r="Y554" s="5"/>
    </row>
    <row r="555">
      <c r="A555" s="5"/>
      <c r="B555" s="64"/>
      <c r="C555" s="64"/>
      <c r="D555" s="64"/>
      <c r="E555" s="64"/>
      <c r="F555" s="64"/>
      <c r="G555" s="149"/>
      <c r="H555" s="148"/>
      <c r="I555" s="4"/>
      <c r="J555" s="5"/>
      <c r="K555" s="5"/>
      <c r="L555" s="5"/>
      <c r="M555" s="5"/>
      <c r="N555" s="5"/>
      <c r="O555" s="5"/>
      <c r="P555" s="5"/>
      <c r="Q555" s="5"/>
      <c r="R555" s="5"/>
      <c r="S555" s="5"/>
      <c r="T555" s="5"/>
      <c r="U555" s="5"/>
      <c r="V555" s="5"/>
      <c r="W555" s="5"/>
      <c r="X555" s="5"/>
      <c r="Y555" s="5"/>
    </row>
    <row r="556">
      <c r="A556" s="5"/>
      <c r="B556" s="64"/>
      <c r="C556" s="64"/>
      <c r="D556" s="64"/>
      <c r="E556" s="64"/>
      <c r="F556" s="64"/>
      <c r="G556" s="149"/>
      <c r="H556" s="148"/>
      <c r="I556" s="4"/>
      <c r="J556" s="5"/>
      <c r="K556" s="5"/>
      <c r="L556" s="5"/>
      <c r="M556" s="5"/>
      <c r="N556" s="5"/>
      <c r="O556" s="5"/>
      <c r="P556" s="5"/>
      <c r="Q556" s="5"/>
      <c r="R556" s="5"/>
      <c r="S556" s="5"/>
      <c r="T556" s="5"/>
      <c r="U556" s="5"/>
      <c r="V556" s="5"/>
      <c r="W556" s="5"/>
      <c r="X556" s="5"/>
      <c r="Y556" s="5"/>
    </row>
    <row r="557">
      <c r="A557" s="5"/>
      <c r="B557" s="64"/>
      <c r="C557" s="64"/>
      <c r="D557" s="64"/>
      <c r="E557" s="64"/>
      <c r="F557" s="64"/>
      <c r="G557" s="149"/>
      <c r="H557" s="148"/>
      <c r="I557" s="4"/>
      <c r="J557" s="5"/>
      <c r="K557" s="5"/>
      <c r="L557" s="5"/>
      <c r="M557" s="5"/>
      <c r="N557" s="5"/>
      <c r="O557" s="5"/>
      <c r="P557" s="5"/>
      <c r="Q557" s="5"/>
      <c r="R557" s="5"/>
      <c r="S557" s="5"/>
      <c r="T557" s="5"/>
      <c r="U557" s="5"/>
      <c r="V557" s="5"/>
      <c r="W557" s="5"/>
      <c r="X557" s="5"/>
      <c r="Y557" s="5"/>
    </row>
    <row r="558">
      <c r="A558" s="5"/>
      <c r="B558" s="64"/>
      <c r="C558" s="64"/>
      <c r="D558" s="64"/>
      <c r="E558" s="64"/>
      <c r="F558" s="64"/>
      <c r="G558" s="149"/>
      <c r="H558" s="148"/>
      <c r="I558" s="4"/>
      <c r="J558" s="5"/>
      <c r="K558" s="5"/>
      <c r="L558" s="5"/>
      <c r="M558" s="5"/>
      <c r="N558" s="5"/>
      <c r="O558" s="5"/>
      <c r="P558" s="5"/>
      <c r="Q558" s="5"/>
      <c r="R558" s="5"/>
      <c r="S558" s="5"/>
      <c r="T558" s="5"/>
      <c r="U558" s="5"/>
      <c r="V558" s="5"/>
      <c r="W558" s="5"/>
      <c r="X558" s="5"/>
      <c r="Y558" s="5"/>
    </row>
    <row r="559">
      <c r="A559" s="5"/>
      <c r="B559" s="64"/>
      <c r="C559" s="64"/>
      <c r="D559" s="64"/>
      <c r="E559" s="64"/>
      <c r="F559" s="64"/>
      <c r="G559" s="149"/>
      <c r="H559" s="148"/>
      <c r="I559" s="4"/>
      <c r="J559" s="5"/>
      <c r="K559" s="5"/>
      <c r="L559" s="5"/>
      <c r="M559" s="5"/>
      <c r="N559" s="5"/>
      <c r="O559" s="5"/>
      <c r="P559" s="5"/>
      <c r="Q559" s="5"/>
      <c r="R559" s="5"/>
      <c r="S559" s="5"/>
      <c r="T559" s="5"/>
      <c r="U559" s="5"/>
      <c r="V559" s="5"/>
      <c r="W559" s="5"/>
      <c r="X559" s="5"/>
      <c r="Y559" s="5"/>
    </row>
    <row r="560">
      <c r="A560" s="5"/>
      <c r="B560" s="64"/>
      <c r="C560" s="64"/>
      <c r="D560" s="64"/>
      <c r="E560" s="64"/>
      <c r="F560" s="64"/>
      <c r="G560" s="149"/>
      <c r="H560" s="148"/>
      <c r="I560" s="4"/>
      <c r="J560" s="5"/>
      <c r="K560" s="5"/>
      <c r="L560" s="5"/>
      <c r="M560" s="5"/>
      <c r="N560" s="5"/>
      <c r="O560" s="5"/>
      <c r="P560" s="5"/>
      <c r="Q560" s="5"/>
      <c r="R560" s="5"/>
      <c r="S560" s="5"/>
      <c r="T560" s="5"/>
      <c r="U560" s="5"/>
      <c r="V560" s="5"/>
      <c r="W560" s="5"/>
      <c r="X560" s="5"/>
      <c r="Y560" s="5"/>
    </row>
    <row r="561">
      <c r="A561" s="5"/>
      <c r="B561" s="64"/>
      <c r="C561" s="64"/>
      <c r="D561" s="64"/>
      <c r="E561" s="64"/>
      <c r="F561" s="64"/>
      <c r="G561" s="149"/>
      <c r="H561" s="148"/>
      <c r="I561" s="4"/>
      <c r="J561" s="5"/>
      <c r="K561" s="5"/>
      <c r="L561" s="5"/>
      <c r="M561" s="5"/>
      <c r="N561" s="5"/>
      <c r="O561" s="5"/>
      <c r="P561" s="5"/>
      <c r="Q561" s="5"/>
      <c r="R561" s="5"/>
      <c r="S561" s="5"/>
      <c r="T561" s="5"/>
      <c r="U561" s="5"/>
      <c r="V561" s="5"/>
      <c r="W561" s="5"/>
      <c r="X561" s="5"/>
      <c r="Y561" s="5"/>
    </row>
    <row r="562">
      <c r="A562" s="5"/>
      <c r="B562" s="64"/>
      <c r="C562" s="64"/>
      <c r="D562" s="64"/>
      <c r="E562" s="64"/>
      <c r="F562" s="64"/>
      <c r="G562" s="149"/>
      <c r="H562" s="148"/>
      <c r="I562" s="4"/>
      <c r="J562" s="5"/>
      <c r="K562" s="5"/>
      <c r="L562" s="5"/>
      <c r="M562" s="5"/>
      <c r="N562" s="5"/>
      <c r="O562" s="5"/>
      <c r="P562" s="5"/>
      <c r="Q562" s="5"/>
      <c r="R562" s="5"/>
      <c r="S562" s="5"/>
      <c r="T562" s="5"/>
      <c r="U562" s="5"/>
      <c r="V562" s="5"/>
      <c r="W562" s="5"/>
      <c r="X562" s="5"/>
      <c r="Y562" s="5"/>
    </row>
    <row r="563">
      <c r="A563" s="5"/>
      <c r="B563" s="64"/>
      <c r="C563" s="64"/>
      <c r="D563" s="64"/>
      <c r="E563" s="64"/>
      <c r="F563" s="64"/>
      <c r="G563" s="149"/>
      <c r="H563" s="148"/>
      <c r="I563" s="4"/>
      <c r="J563" s="5"/>
      <c r="K563" s="5"/>
      <c r="L563" s="5"/>
      <c r="M563" s="5"/>
      <c r="N563" s="5"/>
      <c r="O563" s="5"/>
      <c r="P563" s="5"/>
      <c r="Q563" s="5"/>
      <c r="R563" s="5"/>
      <c r="S563" s="5"/>
      <c r="T563" s="5"/>
      <c r="U563" s="5"/>
      <c r="V563" s="5"/>
      <c r="W563" s="5"/>
      <c r="X563" s="5"/>
      <c r="Y563" s="5"/>
    </row>
    <row r="564">
      <c r="A564" s="5"/>
      <c r="B564" s="64"/>
      <c r="C564" s="64"/>
      <c r="D564" s="64"/>
      <c r="E564" s="64"/>
      <c r="F564" s="64"/>
      <c r="G564" s="149"/>
      <c r="H564" s="148"/>
      <c r="I564" s="4"/>
      <c r="J564" s="5"/>
      <c r="K564" s="5"/>
      <c r="L564" s="5"/>
      <c r="M564" s="5"/>
      <c r="N564" s="5"/>
      <c r="O564" s="5"/>
      <c r="P564" s="5"/>
      <c r="Q564" s="5"/>
      <c r="R564" s="5"/>
      <c r="S564" s="5"/>
      <c r="T564" s="5"/>
      <c r="U564" s="5"/>
      <c r="V564" s="5"/>
      <c r="W564" s="5"/>
      <c r="X564" s="5"/>
      <c r="Y564" s="5"/>
    </row>
    <row r="565">
      <c r="A565" s="5"/>
      <c r="B565" s="64"/>
      <c r="C565" s="64"/>
      <c r="D565" s="64"/>
      <c r="E565" s="64"/>
      <c r="F565" s="64"/>
      <c r="G565" s="149"/>
      <c r="H565" s="148"/>
      <c r="I565" s="4"/>
      <c r="J565" s="5"/>
      <c r="K565" s="5"/>
      <c r="L565" s="5"/>
      <c r="M565" s="5"/>
      <c r="N565" s="5"/>
      <c r="O565" s="5"/>
      <c r="P565" s="5"/>
      <c r="Q565" s="5"/>
      <c r="R565" s="5"/>
      <c r="S565" s="5"/>
      <c r="T565" s="5"/>
      <c r="U565" s="5"/>
      <c r="V565" s="5"/>
      <c r="W565" s="5"/>
      <c r="X565" s="5"/>
      <c r="Y565" s="5"/>
    </row>
    <row r="566">
      <c r="A566" s="5"/>
      <c r="B566" s="64"/>
      <c r="C566" s="64"/>
      <c r="D566" s="64"/>
      <c r="E566" s="64"/>
      <c r="F566" s="64"/>
      <c r="G566" s="149"/>
      <c r="H566" s="148"/>
      <c r="I566" s="4"/>
      <c r="J566" s="5"/>
      <c r="K566" s="5"/>
      <c r="L566" s="5"/>
      <c r="M566" s="5"/>
      <c r="N566" s="5"/>
      <c r="O566" s="5"/>
      <c r="P566" s="5"/>
      <c r="Q566" s="5"/>
      <c r="R566" s="5"/>
      <c r="S566" s="5"/>
      <c r="T566" s="5"/>
      <c r="U566" s="5"/>
      <c r="V566" s="5"/>
      <c r="W566" s="5"/>
      <c r="X566" s="5"/>
      <c r="Y566" s="5"/>
    </row>
    <row r="567">
      <c r="A567" s="5"/>
      <c r="B567" s="64"/>
      <c r="C567" s="64"/>
      <c r="D567" s="64"/>
      <c r="E567" s="64"/>
      <c r="F567" s="64"/>
      <c r="G567" s="149"/>
      <c r="H567" s="148"/>
      <c r="I567" s="4"/>
      <c r="J567" s="5"/>
      <c r="K567" s="5"/>
      <c r="L567" s="5"/>
      <c r="M567" s="5"/>
      <c r="N567" s="5"/>
      <c r="O567" s="5"/>
      <c r="P567" s="5"/>
      <c r="Q567" s="5"/>
      <c r="R567" s="5"/>
      <c r="S567" s="5"/>
      <c r="T567" s="5"/>
      <c r="U567" s="5"/>
      <c r="V567" s="5"/>
      <c r="W567" s="5"/>
      <c r="X567" s="5"/>
      <c r="Y567" s="5"/>
    </row>
    <row r="568">
      <c r="A568" s="5"/>
      <c r="B568" s="64"/>
      <c r="C568" s="64"/>
      <c r="D568" s="64"/>
      <c r="E568" s="64"/>
      <c r="F568" s="64"/>
      <c r="G568" s="149"/>
      <c r="H568" s="148"/>
      <c r="I568" s="4"/>
      <c r="J568" s="5"/>
      <c r="K568" s="5"/>
      <c r="L568" s="5"/>
      <c r="M568" s="5"/>
      <c r="N568" s="5"/>
      <c r="O568" s="5"/>
      <c r="P568" s="5"/>
      <c r="Q568" s="5"/>
      <c r="R568" s="5"/>
      <c r="S568" s="5"/>
      <c r="T568" s="5"/>
      <c r="U568" s="5"/>
      <c r="V568" s="5"/>
      <c r="W568" s="5"/>
      <c r="X568" s="5"/>
      <c r="Y568" s="5"/>
    </row>
    <row r="569">
      <c r="A569" s="5"/>
      <c r="B569" s="64"/>
      <c r="C569" s="64"/>
      <c r="D569" s="64"/>
      <c r="E569" s="64"/>
      <c r="F569" s="64"/>
      <c r="G569" s="149"/>
      <c r="H569" s="148"/>
      <c r="I569" s="4"/>
      <c r="J569" s="5"/>
      <c r="K569" s="5"/>
      <c r="L569" s="5"/>
      <c r="M569" s="5"/>
      <c r="N569" s="5"/>
      <c r="O569" s="5"/>
      <c r="P569" s="5"/>
      <c r="Q569" s="5"/>
      <c r="R569" s="5"/>
      <c r="S569" s="5"/>
      <c r="T569" s="5"/>
      <c r="U569" s="5"/>
      <c r="V569" s="5"/>
      <c r="W569" s="5"/>
      <c r="X569" s="5"/>
      <c r="Y569" s="5"/>
    </row>
    <row r="570">
      <c r="A570" s="5"/>
      <c r="B570" s="64"/>
      <c r="C570" s="64"/>
      <c r="D570" s="64"/>
      <c r="E570" s="64"/>
      <c r="F570" s="64"/>
      <c r="G570" s="149"/>
      <c r="H570" s="148"/>
      <c r="I570" s="4"/>
      <c r="J570" s="5"/>
      <c r="K570" s="5"/>
      <c r="L570" s="5"/>
      <c r="M570" s="5"/>
      <c r="N570" s="5"/>
      <c r="O570" s="5"/>
      <c r="P570" s="5"/>
      <c r="Q570" s="5"/>
      <c r="R570" s="5"/>
      <c r="S570" s="5"/>
      <c r="T570" s="5"/>
      <c r="U570" s="5"/>
      <c r="V570" s="5"/>
      <c r="W570" s="5"/>
      <c r="X570" s="5"/>
      <c r="Y570" s="5"/>
    </row>
    <row r="571">
      <c r="A571" s="5"/>
      <c r="B571" s="64"/>
      <c r="C571" s="64"/>
      <c r="D571" s="64"/>
      <c r="E571" s="64"/>
      <c r="F571" s="64"/>
      <c r="G571" s="149"/>
      <c r="H571" s="148"/>
      <c r="I571" s="4"/>
      <c r="J571" s="5"/>
      <c r="K571" s="5"/>
      <c r="L571" s="5"/>
      <c r="M571" s="5"/>
      <c r="N571" s="5"/>
      <c r="O571" s="5"/>
      <c r="P571" s="5"/>
      <c r="Q571" s="5"/>
      <c r="R571" s="5"/>
      <c r="S571" s="5"/>
      <c r="T571" s="5"/>
      <c r="U571" s="5"/>
      <c r="V571" s="5"/>
      <c r="W571" s="5"/>
      <c r="X571" s="5"/>
      <c r="Y571" s="5"/>
    </row>
    <row r="572">
      <c r="A572" s="5"/>
      <c r="B572" s="64"/>
      <c r="C572" s="64"/>
      <c r="D572" s="64"/>
      <c r="E572" s="64"/>
      <c r="F572" s="64"/>
      <c r="G572" s="149"/>
      <c r="H572" s="148"/>
      <c r="I572" s="4"/>
      <c r="J572" s="5"/>
      <c r="K572" s="5"/>
      <c r="L572" s="5"/>
      <c r="M572" s="5"/>
      <c r="N572" s="5"/>
      <c r="O572" s="5"/>
      <c r="P572" s="5"/>
      <c r="Q572" s="5"/>
      <c r="R572" s="5"/>
      <c r="S572" s="5"/>
      <c r="T572" s="5"/>
      <c r="U572" s="5"/>
      <c r="V572" s="5"/>
      <c r="W572" s="5"/>
      <c r="X572" s="5"/>
      <c r="Y572" s="5"/>
    </row>
    <row r="573">
      <c r="A573" s="5"/>
      <c r="B573" s="64"/>
      <c r="C573" s="64"/>
      <c r="D573" s="64"/>
      <c r="E573" s="64"/>
      <c r="F573" s="64"/>
      <c r="G573" s="149"/>
      <c r="H573" s="148"/>
      <c r="I573" s="4"/>
      <c r="J573" s="5"/>
      <c r="K573" s="5"/>
      <c r="L573" s="5"/>
      <c r="M573" s="5"/>
      <c r="N573" s="5"/>
      <c r="O573" s="5"/>
      <c r="P573" s="5"/>
      <c r="Q573" s="5"/>
      <c r="R573" s="5"/>
      <c r="S573" s="5"/>
      <c r="T573" s="5"/>
      <c r="U573" s="5"/>
      <c r="V573" s="5"/>
      <c r="W573" s="5"/>
      <c r="X573" s="5"/>
      <c r="Y573" s="5"/>
    </row>
    <row r="574">
      <c r="A574" s="5"/>
      <c r="B574" s="64"/>
      <c r="C574" s="64"/>
      <c r="D574" s="64"/>
      <c r="E574" s="64"/>
      <c r="F574" s="64"/>
      <c r="G574" s="149"/>
      <c r="H574" s="148"/>
      <c r="I574" s="4"/>
      <c r="J574" s="5"/>
      <c r="K574" s="5"/>
      <c r="L574" s="5"/>
      <c r="M574" s="5"/>
      <c r="N574" s="5"/>
      <c r="O574" s="5"/>
      <c r="P574" s="5"/>
      <c r="Q574" s="5"/>
      <c r="R574" s="5"/>
      <c r="S574" s="5"/>
      <c r="T574" s="5"/>
      <c r="U574" s="5"/>
      <c r="V574" s="5"/>
      <c r="W574" s="5"/>
      <c r="X574" s="5"/>
      <c r="Y574" s="5"/>
    </row>
    <row r="575">
      <c r="A575" s="5"/>
      <c r="B575" s="64"/>
      <c r="C575" s="64"/>
      <c r="D575" s="64"/>
      <c r="E575" s="64"/>
      <c r="F575" s="64"/>
      <c r="G575" s="149"/>
      <c r="H575" s="148"/>
      <c r="I575" s="4"/>
      <c r="J575" s="5"/>
      <c r="K575" s="5"/>
      <c r="L575" s="5"/>
      <c r="M575" s="5"/>
      <c r="N575" s="5"/>
      <c r="O575" s="5"/>
      <c r="P575" s="5"/>
      <c r="Q575" s="5"/>
      <c r="R575" s="5"/>
      <c r="S575" s="5"/>
      <c r="T575" s="5"/>
      <c r="U575" s="5"/>
      <c r="V575" s="5"/>
      <c r="W575" s="5"/>
      <c r="X575" s="5"/>
      <c r="Y575" s="5"/>
    </row>
    <row r="576">
      <c r="A576" s="5"/>
      <c r="B576" s="64"/>
      <c r="C576" s="64"/>
      <c r="D576" s="64"/>
      <c r="E576" s="64"/>
      <c r="F576" s="64"/>
      <c r="G576" s="149"/>
      <c r="H576" s="148"/>
      <c r="I576" s="4"/>
      <c r="J576" s="5"/>
      <c r="K576" s="5"/>
      <c r="L576" s="5"/>
      <c r="M576" s="5"/>
      <c r="N576" s="5"/>
      <c r="O576" s="5"/>
      <c r="P576" s="5"/>
      <c r="Q576" s="5"/>
      <c r="R576" s="5"/>
      <c r="S576" s="5"/>
      <c r="T576" s="5"/>
      <c r="U576" s="5"/>
      <c r="V576" s="5"/>
      <c r="W576" s="5"/>
      <c r="X576" s="5"/>
      <c r="Y576" s="5"/>
    </row>
    <row r="577">
      <c r="A577" s="5"/>
      <c r="B577" s="64"/>
      <c r="C577" s="64"/>
      <c r="D577" s="64"/>
      <c r="E577" s="64"/>
      <c r="F577" s="64"/>
      <c r="G577" s="149"/>
      <c r="H577" s="148"/>
      <c r="I577" s="4"/>
      <c r="J577" s="5"/>
      <c r="K577" s="5"/>
      <c r="L577" s="5"/>
      <c r="M577" s="5"/>
      <c r="N577" s="5"/>
      <c r="O577" s="5"/>
      <c r="P577" s="5"/>
      <c r="Q577" s="5"/>
      <c r="R577" s="5"/>
      <c r="S577" s="5"/>
      <c r="T577" s="5"/>
      <c r="U577" s="5"/>
      <c r="V577" s="5"/>
      <c r="W577" s="5"/>
      <c r="X577" s="5"/>
      <c r="Y577" s="5"/>
    </row>
    <row r="578">
      <c r="A578" s="5"/>
      <c r="B578" s="64"/>
      <c r="C578" s="64"/>
      <c r="D578" s="64"/>
      <c r="E578" s="64"/>
      <c r="F578" s="64"/>
      <c r="G578" s="149"/>
      <c r="H578" s="148"/>
      <c r="I578" s="4"/>
      <c r="J578" s="5"/>
      <c r="K578" s="5"/>
      <c r="L578" s="5"/>
      <c r="M578" s="5"/>
      <c r="N578" s="5"/>
      <c r="O578" s="5"/>
      <c r="P578" s="5"/>
      <c r="Q578" s="5"/>
      <c r="R578" s="5"/>
      <c r="S578" s="5"/>
      <c r="T578" s="5"/>
      <c r="U578" s="5"/>
      <c r="V578" s="5"/>
      <c r="W578" s="5"/>
      <c r="X578" s="5"/>
      <c r="Y578" s="5"/>
    </row>
    <row r="579">
      <c r="A579" s="5"/>
      <c r="B579" s="64"/>
      <c r="C579" s="64"/>
      <c r="D579" s="64"/>
      <c r="E579" s="64"/>
      <c r="F579" s="64"/>
      <c r="G579" s="149"/>
      <c r="H579" s="148"/>
      <c r="I579" s="4"/>
      <c r="J579" s="5"/>
      <c r="K579" s="5"/>
      <c r="L579" s="5"/>
      <c r="M579" s="5"/>
      <c r="N579" s="5"/>
      <c r="O579" s="5"/>
      <c r="P579" s="5"/>
      <c r="Q579" s="5"/>
      <c r="R579" s="5"/>
      <c r="S579" s="5"/>
      <c r="T579" s="5"/>
      <c r="U579" s="5"/>
      <c r="V579" s="5"/>
      <c r="W579" s="5"/>
      <c r="X579" s="5"/>
      <c r="Y579" s="5"/>
    </row>
    <row r="580">
      <c r="A580" s="5"/>
      <c r="B580" s="64"/>
      <c r="C580" s="64"/>
      <c r="D580" s="64"/>
      <c r="E580" s="64"/>
      <c r="F580" s="64"/>
      <c r="G580" s="149"/>
      <c r="H580" s="148"/>
      <c r="I580" s="4"/>
      <c r="J580" s="5"/>
      <c r="K580" s="5"/>
      <c r="L580" s="5"/>
      <c r="M580" s="5"/>
      <c r="N580" s="5"/>
      <c r="O580" s="5"/>
      <c r="P580" s="5"/>
      <c r="Q580" s="5"/>
      <c r="R580" s="5"/>
      <c r="S580" s="5"/>
      <c r="T580" s="5"/>
      <c r="U580" s="5"/>
      <c r="V580" s="5"/>
      <c r="W580" s="5"/>
      <c r="X580" s="5"/>
      <c r="Y580" s="5"/>
    </row>
    <row r="581">
      <c r="A581" s="5"/>
      <c r="B581" s="64"/>
      <c r="C581" s="64"/>
      <c r="D581" s="64"/>
      <c r="E581" s="64"/>
      <c r="F581" s="64"/>
      <c r="G581" s="149"/>
      <c r="H581" s="148"/>
      <c r="I581" s="4"/>
      <c r="J581" s="5"/>
      <c r="K581" s="5"/>
      <c r="L581" s="5"/>
      <c r="M581" s="5"/>
      <c r="N581" s="5"/>
      <c r="O581" s="5"/>
      <c r="P581" s="5"/>
      <c r="Q581" s="5"/>
      <c r="R581" s="5"/>
      <c r="S581" s="5"/>
      <c r="T581" s="5"/>
      <c r="U581" s="5"/>
      <c r="V581" s="5"/>
      <c r="W581" s="5"/>
      <c r="X581" s="5"/>
      <c r="Y581" s="5"/>
    </row>
    <row r="582">
      <c r="A582" s="5"/>
      <c r="B582" s="64"/>
      <c r="C582" s="64"/>
      <c r="D582" s="64"/>
      <c r="E582" s="64"/>
      <c r="F582" s="64"/>
      <c r="G582" s="149"/>
      <c r="H582" s="148"/>
      <c r="I582" s="4"/>
      <c r="J582" s="5"/>
      <c r="K582" s="5"/>
      <c r="L582" s="5"/>
      <c r="M582" s="5"/>
      <c r="N582" s="5"/>
      <c r="O582" s="5"/>
      <c r="P582" s="5"/>
      <c r="Q582" s="5"/>
      <c r="R582" s="5"/>
      <c r="S582" s="5"/>
      <c r="T582" s="5"/>
      <c r="U582" s="5"/>
      <c r="V582" s="5"/>
      <c r="W582" s="5"/>
      <c r="X582" s="5"/>
      <c r="Y582" s="5"/>
    </row>
    <row r="583">
      <c r="A583" s="5"/>
      <c r="B583" s="64"/>
      <c r="C583" s="64"/>
      <c r="D583" s="64"/>
      <c r="E583" s="64"/>
      <c r="F583" s="64"/>
      <c r="G583" s="149"/>
      <c r="H583" s="148"/>
      <c r="I583" s="4"/>
      <c r="J583" s="5"/>
      <c r="K583" s="5"/>
      <c r="L583" s="5"/>
      <c r="M583" s="5"/>
      <c r="N583" s="5"/>
      <c r="O583" s="5"/>
      <c r="P583" s="5"/>
      <c r="Q583" s="5"/>
      <c r="R583" s="5"/>
      <c r="S583" s="5"/>
      <c r="T583" s="5"/>
      <c r="U583" s="5"/>
      <c r="V583" s="5"/>
      <c r="W583" s="5"/>
      <c r="X583" s="5"/>
      <c r="Y583" s="5"/>
    </row>
    <row r="584">
      <c r="A584" s="5"/>
      <c r="B584" s="64"/>
      <c r="C584" s="64"/>
      <c r="D584" s="64"/>
      <c r="E584" s="64"/>
      <c r="F584" s="64"/>
      <c r="G584" s="149"/>
      <c r="H584" s="148"/>
      <c r="I584" s="4"/>
      <c r="J584" s="5"/>
      <c r="K584" s="5"/>
      <c r="L584" s="5"/>
      <c r="M584" s="5"/>
      <c r="N584" s="5"/>
      <c r="O584" s="5"/>
      <c r="P584" s="5"/>
      <c r="Q584" s="5"/>
      <c r="R584" s="5"/>
      <c r="S584" s="5"/>
      <c r="T584" s="5"/>
      <c r="U584" s="5"/>
      <c r="V584" s="5"/>
      <c r="W584" s="5"/>
      <c r="X584" s="5"/>
      <c r="Y584" s="5"/>
    </row>
    <row r="585">
      <c r="A585" s="5"/>
      <c r="B585" s="64"/>
      <c r="C585" s="64"/>
      <c r="D585" s="64"/>
      <c r="E585" s="64"/>
      <c r="F585" s="64"/>
      <c r="G585" s="149"/>
      <c r="H585" s="148"/>
      <c r="I585" s="4"/>
      <c r="J585" s="5"/>
      <c r="K585" s="5"/>
      <c r="L585" s="5"/>
      <c r="M585" s="5"/>
      <c r="N585" s="5"/>
      <c r="O585" s="5"/>
      <c r="P585" s="5"/>
      <c r="Q585" s="5"/>
      <c r="R585" s="5"/>
      <c r="S585" s="5"/>
      <c r="T585" s="5"/>
      <c r="U585" s="5"/>
      <c r="V585" s="5"/>
      <c r="W585" s="5"/>
      <c r="X585" s="5"/>
      <c r="Y585" s="5"/>
    </row>
    <row r="586">
      <c r="A586" s="5"/>
      <c r="B586" s="64"/>
      <c r="C586" s="64"/>
      <c r="D586" s="64"/>
      <c r="E586" s="64"/>
      <c r="F586" s="64"/>
      <c r="G586" s="149"/>
      <c r="H586" s="148"/>
      <c r="I586" s="4"/>
      <c r="J586" s="5"/>
      <c r="K586" s="5"/>
      <c r="L586" s="5"/>
      <c r="M586" s="5"/>
      <c r="N586" s="5"/>
      <c r="O586" s="5"/>
      <c r="P586" s="5"/>
      <c r="Q586" s="5"/>
      <c r="R586" s="5"/>
      <c r="S586" s="5"/>
      <c r="T586" s="5"/>
      <c r="U586" s="5"/>
      <c r="V586" s="5"/>
      <c r="W586" s="5"/>
      <c r="X586" s="5"/>
      <c r="Y586" s="5"/>
    </row>
    <row r="587">
      <c r="A587" s="5"/>
      <c r="B587" s="64"/>
      <c r="C587" s="64"/>
      <c r="D587" s="64"/>
      <c r="E587" s="64"/>
      <c r="F587" s="64"/>
      <c r="G587" s="149"/>
      <c r="H587" s="148"/>
      <c r="I587" s="4"/>
      <c r="J587" s="5"/>
      <c r="K587" s="5"/>
      <c r="L587" s="5"/>
      <c r="M587" s="5"/>
      <c r="N587" s="5"/>
      <c r="O587" s="5"/>
      <c r="P587" s="5"/>
      <c r="Q587" s="5"/>
      <c r="R587" s="5"/>
      <c r="S587" s="5"/>
      <c r="T587" s="5"/>
      <c r="U587" s="5"/>
      <c r="V587" s="5"/>
      <c r="W587" s="5"/>
      <c r="X587" s="5"/>
      <c r="Y587" s="5"/>
    </row>
    <row r="588">
      <c r="A588" s="5"/>
      <c r="B588" s="64"/>
      <c r="C588" s="64"/>
      <c r="D588" s="64"/>
      <c r="E588" s="64"/>
      <c r="F588" s="64"/>
      <c r="G588" s="149"/>
      <c r="H588" s="148"/>
      <c r="I588" s="4"/>
      <c r="J588" s="5"/>
      <c r="K588" s="5"/>
      <c r="L588" s="5"/>
      <c r="M588" s="5"/>
      <c r="N588" s="5"/>
      <c r="O588" s="5"/>
      <c r="P588" s="5"/>
      <c r="Q588" s="5"/>
      <c r="R588" s="5"/>
      <c r="S588" s="5"/>
      <c r="T588" s="5"/>
      <c r="U588" s="5"/>
      <c r="V588" s="5"/>
      <c r="W588" s="5"/>
      <c r="X588" s="5"/>
      <c r="Y588" s="5"/>
    </row>
    <row r="589">
      <c r="A589" s="5"/>
      <c r="B589" s="64"/>
      <c r="C589" s="64"/>
      <c r="D589" s="64"/>
      <c r="E589" s="64"/>
      <c r="F589" s="64"/>
      <c r="G589" s="149"/>
      <c r="H589" s="148"/>
      <c r="I589" s="4"/>
      <c r="J589" s="5"/>
      <c r="K589" s="5"/>
      <c r="L589" s="5"/>
      <c r="M589" s="5"/>
      <c r="N589" s="5"/>
      <c r="O589" s="5"/>
      <c r="P589" s="5"/>
      <c r="Q589" s="5"/>
      <c r="R589" s="5"/>
      <c r="S589" s="5"/>
      <c r="T589" s="5"/>
      <c r="U589" s="5"/>
      <c r="V589" s="5"/>
      <c r="W589" s="5"/>
      <c r="X589" s="5"/>
      <c r="Y589" s="5"/>
    </row>
    <row r="590">
      <c r="A590" s="5"/>
      <c r="B590" s="64"/>
      <c r="C590" s="64"/>
      <c r="D590" s="64"/>
      <c r="E590" s="64"/>
      <c r="F590" s="64"/>
      <c r="G590" s="149"/>
      <c r="H590" s="148"/>
      <c r="I590" s="4"/>
      <c r="J590" s="5"/>
      <c r="K590" s="5"/>
      <c r="L590" s="5"/>
      <c r="M590" s="5"/>
      <c r="N590" s="5"/>
      <c r="O590" s="5"/>
      <c r="P590" s="5"/>
      <c r="Q590" s="5"/>
      <c r="R590" s="5"/>
      <c r="S590" s="5"/>
      <c r="T590" s="5"/>
      <c r="U590" s="5"/>
      <c r="V590" s="5"/>
      <c r="W590" s="5"/>
      <c r="X590" s="5"/>
      <c r="Y590" s="5"/>
    </row>
    <row r="591">
      <c r="A591" s="5"/>
      <c r="B591" s="64"/>
      <c r="C591" s="64"/>
      <c r="D591" s="64"/>
      <c r="E591" s="64"/>
      <c r="F591" s="64"/>
      <c r="G591" s="149"/>
      <c r="H591" s="148"/>
      <c r="I591" s="4"/>
      <c r="J591" s="5"/>
      <c r="K591" s="5"/>
      <c r="L591" s="5"/>
      <c r="M591" s="5"/>
      <c r="N591" s="5"/>
      <c r="O591" s="5"/>
      <c r="P591" s="5"/>
      <c r="Q591" s="5"/>
      <c r="R591" s="5"/>
      <c r="S591" s="5"/>
      <c r="T591" s="5"/>
      <c r="U591" s="5"/>
      <c r="V591" s="5"/>
      <c r="W591" s="5"/>
      <c r="X591" s="5"/>
      <c r="Y591" s="5"/>
    </row>
    <row r="592">
      <c r="A592" s="5"/>
      <c r="B592" s="64"/>
      <c r="C592" s="64"/>
      <c r="D592" s="64"/>
      <c r="E592" s="64"/>
      <c r="F592" s="64"/>
      <c r="G592" s="149"/>
      <c r="H592" s="148"/>
      <c r="I592" s="4"/>
      <c r="J592" s="5"/>
      <c r="K592" s="5"/>
      <c r="L592" s="5"/>
      <c r="M592" s="5"/>
      <c r="N592" s="5"/>
      <c r="O592" s="5"/>
      <c r="P592" s="5"/>
      <c r="Q592" s="5"/>
      <c r="R592" s="5"/>
      <c r="S592" s="5"/>
      <c r="T592" s="5"/>
      <c r="U592" s="5"/>
      <c r="V592" s="5"/>
      <c r="W592" s="5"/>
      <c r="X592" s="5"/>
      <c r="Y592" s="5"/>
    </row>
    <row r="593">
      <c r="A593" s="5"/>
      <c r="B593" s="64"/>
      <c r="C593" s="64"/>
      <c r="D593" s="64"/>
      <c r="E593" s="64"/>
      <c r="F593" s="64"/>
      <c r="G593" s="149"/>
      <c r="H593" s="148"/>
      <c r="I593" s="4"/>
      <c r="J593" s="5"/>
      <c r="K593" s="5"/>
      <c r="L593" s="5"/>
      <c r="M593" s="5"/>
      <c r="N593" s="5"/>
      <c r="O593" s="5"/>
      <c r="P593" s="5"/>
      <c r="Q593" s="5"/>
      <c r="R593" s="5"/>
      <c r="S593" s="5"/>
      <c r="T593" s="5"/>
      <c r="U593" s="5"/>
      <c r="V593" s="5"/>
      <c r="W593" s="5"/>
      <c r="X593" s="5"/>
      <c r="Y593" s="5"/>
    </row>
    <row r="594">
      <c r="A594" s="5"/>
      <c r="B594" s="64"/>
      <c r="C594" s="64"/>
      <c r="D594" s="64"/>
      <c r="E594" s="64"/>
      <c r="F594" s="64"/>
      <c r="G594" s="149"/>
      <c r="H594" s="148"/>
      <c r="I594" s="4"/>
      <c r="J594" s="5"/>
      <c r="K594" s="5"/>
      <c r="L594" s="5"/>
      <c r="M594" s="5"/>
      <c r="N594" s="5"/>
      <c r="O594" s="5"/>
      <c r="P594" s="5"/>
      <c r="Q594" s="5"/>
      <c r="R594" s="5"/>
      <c r="S594" s="5"/>
      <c r="T594" s="5"/>
      <c r="U594" s="5"/>
      <c r="V594" s="5"/>
      <c r="W594" s="5"/>
      <c r="X594" s="5"/>
      <c r="Y594" s="5"/>
    </row>
    <row r="595">
      <c r="A595" s="5"/>
      <c r="B595" s="64"/>
      <c r="C595" s="64"/>
      <c r="D595" s="64"/>
      <c r="E595" s="64"/>
      <c r="F595" s="64"/>
      <c r="G595" s="149"/>
      <c r="H595" s="148"/>
      <c r="I595" s="4"/>
      <c r="J595" s="5"/>
      <c r="K595" s="5"/>
      <c r="L595" s="5"/>
      <c r="M595" s="5"/>
      <c r="N595" s="5"/>
      <c r="O595" s="5"/>
      <c r="P595" s="5"/>
      <c r="Q595" s="5"/>
      <c r="R595" s="5"/>
      <c r="S595" s="5"/>
      <c r="T595" s="5"/>
      <c r="U595" s="5"/>
      <c r="V595" s="5"/>
      <c r="W595" s="5"/>
      <c r="X595" s="5"/>
      <c r="Y595" s="5"/>
    </row>
    <row r="596">
      <c r="A596" s="5"/>
      <c r="B596" s="64"/>
      <c r="C596" s="64"/>
      <c r="D596" s="64"/>
      <c r="E596" s="64"/>
      <c r="F596" s="64"/>
      <c r="G596" s="149"/>
      <c r="H596" s="148"/>
      <c r="I596" s="4"/>
      <c r="J596" s="5"/>
      <c r="K596" s="5"/>
      <c r="L596" s="5"/>
      <c r="M596" s="5"/>
      <c r="N596" s="5"/>
      <c r="O596" s="5"/>
      <c r="P596" s="5"/>
      <c r="Q596" s="5"/>
      <c r="R596" s="5"/>
      <c r="S596" s="5"/>
      <c r="T596" s="5"/>
      <c r="U596" s="5"/>
      <c r="V596" s="5"/>
      <c r="W596" s="5"/>
      <c r="X596" s="5"/>
      <c r="Y596" s="5"/>
    </row>
    <row r="597">
      <c r="A597" s="5"/>
      <c r="B597" s="64"/>
      <c r="C597" s="64"/>
      <c r="D597" s="64"/>
      <c r="E597" s="64"/>
      <c r="F597" s="64"/>
      <c r="G597" s="149"/>
      <c r="H597" s="148"/>
      <c r="I597" s="4"/>
      <c r="J597" s="5"/>
      <c r="K597" s="5"/>
      <c r="L597" s="5"/>
      <c r="M597" s="5"/>
      <c r="N597" s="5"/>
      <c r="O597" s="5"/>
      <c r="P597" s="5"/>
      <c r="Q597" s="5"/>
      <c r="R597" s="5"/>
      <c r="S597" s="5"/>
      <c r="T597" s="5"/>
      <c r="U597" s="5"/>
      <c r="V597" s="5"/>
      <c r="W597" s="5"/>
      <c r="X597" s="5"/>
      <c r="Y597" s="5"/>
    </row>
    <row r="598">
      <c r="A598" s="5"/>
      <c r="B598" s="64"/>
      <c r="C598" s="64"/>
      <c r="D598" s="64"/>
      <c r="E598" s="64"/>
      <c r="F598" s="64"/>
      <c r="G598" s="149"/>
      <c r="H598" s="148"/>
      <c r="I598" s="4"/>
      <c r="J598" s="5"/>
      <c r="K598" s="5"/>
      <c r="L598" s="5"/>
      <c r="M598" s="5"/>
      <c r="N598" s="5"/>
      <c r="O598" s="5"/>
      <c r="P598" s="5"/>
      <c r="Q598" s="5"/>
      <c r="R598" s="5"/>
      <c r="S598" s="5"/>
      <c r="T598" s="5"/>
      <c r="U598" s="5"/>
      <c r="V598" s="5"/>
      <c r="W598" s="5"/>
      <c r="X598" s="5"/>
      <c r="Y598" s="5"/>
    </row>
    <row r="599">
      <c r="A599" s="5"/>
      <c r="B599" s="64"/>
      <c r="C599" s="64"/>
      <c r="D599" s="64"/>
      <c r="E599" s="64"/>
      <c r="F599" s="64"/>
      <c r="G599" s="149"/>
      <c r="H599" s="148"/>
      <c r="I599" s="4"/>
      <c r="J599" s="5"/>
      <c r="K599" s="5"/>
      <c r="L599" s="5"/>
      <c r="M599" s="5"/>
      <c r="N599" s="5"/>
      <c r="O599" s="5"/>
      <c r="P599" s="5"/>
      <c r="Q599" s="5"/>
      <c r="R599" s="5"/>
      <c r="S599" s="5"/>
      <c r="T599" s="5"/>
      <c r="U599" s="5"/>
      <c r="V599" s="5"/>
      <c r="W599" s="5"/>
      <c r="X599" s="5"/>
      <c r="Y599" s="5"/>
    </row>
    <row r="600">
      <c r="A600" s="5"/>
      <c r="B600" s="64"/>
      <c r="C600" s="64"/>
      <c r="D600" s="64"/>
      <c r="E600" s="64"/>
      <c r="F600" s="64"/>
      <c r="G600" s="149"/>
      <c r="H600" s="148"/>
      <c r="I600" s="4"/>
      <c r="J600" s="5"/>
      <c r="K600" s="5"/>
      <c r="L600" s="5"/>
      <c r="M600" s="5"/>
      <c r="N600" s="5"/>
      <c r="O600" s="5"/>
      <c r="P600" s="5"/>
      <c r="Q600" s="5"/>
      <c r="R600" s="5"/>
      <c r="S600" s="5"/>
      <c r="T600" s="5"/>
      <c r="U600" s="5"/>
      <c r="V600" s="5"/>
      <c r="W600" s="5"/>
      <c r="X600" s="5"/>
      <c r="Y600" s="5"/>
    </row>
    <row r="601">
      <c r="A601" s="5"/>
      <c r="B601" s="64"/>
      <c r="C601" s="64"/>
      <c r="D601" s="64"/>
      <c r="E601" s="64"/>
      <c r="F601" s="64"/>
      <c r="G601" s="149"/>
      <c r="H601" s="148"/>
      <c r="I601" s="4"/>
      <c r="J601" s="5"/>
      <c r="K601" s="5"/>
      <c r="L601" s="5"/>
      <c r="M601" s="5"/>
      <c r="N601" s="5"/>
      <c r="O601" s="5"/>
      <c r="P601" s="5"/>
      <c r="Q601" s="5"/>
      <c r="R601" s="5"/>
      <c r="S601" s="5"/>
      <c r="T601" s="5"/>
      <c r="U601" s="5"/>
      <c r="V601" s="5"/>
      <c r="W601" s="5"/>
      <c r="X601" s="5"/>
      <c r="Y601" s="5"/>
    </row>
    <row r="602">
      <c r="A602" s="5"/>
      <c r="B602" s="64"/>
      <c r="C602" s="64"/>
      <c r="D602" s="64"/>
      <c r="E602" s="64"/>
      <c r="F602" s="64"/>
      <c r="G602" s="149"/>
      <c r="H602" s="148"/>
      <c r="I602" s="4"/>
      <c r="J602" s="5"/>
      <c r="K602" s="5"/>
      <c r="L602" s="5"/>
      <c r="M602" s="5"/>
      <c r="N602" s="5"/>
      <c r="O602" s="5"/>
      <c r="P602" s="5"/>
      <c r="Q602" s="5"/>
      <c r="R602" s="5"/>
      <c r="S602" s="5"/>
      <c r="T602" s="5"/>
      <c r="U602" s="5"/>
      <c r="V602" s="5"/>
      <c r="W602" s="5"/>
      <c r="X602" s="5"/>
      <c r="Y602" s="5"/>
    </row>
    <row r="603">
      <c r="A603" s="5"/>
      <c r="B603" s="64"/>
      <c r="C603" s="64"/>
      <c r="D603" s="64"/>
      <c r="E603" s="64"/>
      <c r="F603" s="64"/>
      <c r="G603" s="149"/>
      <c r="H603" s="148"/>
      <c r="I603" s="4"/>
      <c r="J603" s="5"/>
      <c r="K603" s="5"/>
      <c r="L603" s="5"/>
      <c r="M603" s="5"/>
      <c r="N603" s="5"/>
      <c r="O603" s="5"/>
      <c r="P603" s="5"/>
      <c r="Q603" s="5"/>
      <c r="R603" s="5"/>
      <c r="S603" s="5"/>
      <c r="T603" s="5"/>
      <c r="U603" s="5"/>
      <c r="V603" s="5"/>
      <c r="W603" s="5"/>
      <c r="X603" s="5"/>
      <c r="Y603" s="5"/>
    </row>
    <row r="604">
      <c r="A604" s="5"/>
      <c r="B604" s="64"/>
      <c r="C604" s="64"/>
      <c r="D604" s="64"/>
      <c r="E604" s="64"/>
      <c r="F604" s="64"/>
      <c r="G604" s="149"/>
      <c r="H604" s="148"/>
      <c r="I604" s="4"/>
      <c r="J604" s="5"/>
      <c r="K604" s="5"/>
      <c r="L604" s="5"/>
      <c r="M604" s="5"/>
      <c r="N604" s="5"/>
      <c r="O604" s="5"/>
      <c r="P604" s="5"/>
      <c r="Q604" s="5"/>
      <c r="R604" s="5"/>
      <c r="S604" s="5"/>
      <c r="T604" s="5"/>
      <c r="U604" s="5"/>
      <c r="V604" s="5"/>
      <c r="W604" s="5"/>
      <c r="X604" s="5"/>
      <c r="Y604" s="5"/>
    </row>
    <row r="605">
      <c r="A605" s="5"/>
      <c r="B605" s="64"/>
      <c r="C605" s="64"/>
      <c r="D605" s="64"/>
      <c r="E605" s="64"/>
      <c r="F605" s="64"/>
      <c r="G605" s="149"/>
      <c r="H605" s="148"/>
      <c r="I605" s="4"/>
      <c r="J605" s="5"/>
      <c r="K605" s="5"/>
      <c r="L605" s="5"/>
      <c r="M605" s="5"/>
      <c r="N605" s="5"/>
      <c r="O605" s="5"/>
      <c r="P605" s="5"/>
      <c r="Q605" s="5"/>
      <c r="R605" s="5"/>
      <c r="S605" s="5"/>
      <c r="T605" s="5"/>
      <c r="U605" s="5"/>
      <c r="V605" s="5"/>
      <c r="W605" s="5"/>
      <c r="X605" s="5"/>
      <c r="Y605" s="5"/>
    </row>
    <row r="606">
      <c r="A606" s="5"/>
      <c r="B606" s="64"/>
      <c r="C606" s="64"/>
      <c r="D606" s="64"/>
      <c r="E606" s="64"/>
      <c r="F606" s="64"/>
      <c r="G606" s="149"/>
      <c r="H606" s="148"/>
      <c r="I606" s="4"/>
      <c r="J606" s="5"/>
      <c r="K606" s="5"/>
      <c r="L606" s="5"/>
      <c r="M606" s="5"/>
      <c r="N606" s="5"/>
      <c r="O606" s="5"/>
      <c r="P606" s="5"/>
      <c r="Q606" s="5"/>
      <c r="R606" s="5"/>
      <c r="S606" s="5"/>
      <c r="T606" s="5"/>
      <c r="U606" s="5"/>
      <c r="V606" s="5"/>
      <c r="W606" s="5"/>
      <c r="X606" s="5"/>
      <c r="Y606" s="5"/>
    </row>
    <row r="607">
      <c r="A607" s="5"/>
      <c r="B607" s="64"/>
      <c r="C607" s="64"/>
      <c r="D607" s="64"/>
      <c r="E607" s="64"/>
      <c r="F607" s="64"/>
      <c r="G607" s="149"/>
      <c r="H607" s="148"/>
      <c r="I607" s="4"/>
      <c r="J607" s="5"/>
      <c r="K607" s="5"/>
      <c r="L607" s="5"/>
      <c r="M607" s="5"/>
      <c r="N607" s="5"/>
      <c r="O607" s="5"/>
      <c r="P607" s="5"/>
      <c r="Q607" s="5"/>
      <c r="R607" s="5"/>
      <c r="S607" s="5"/>
      <c r="T607" s="5"/>
      <c r="U607" s="5"/>
      <c r="V607" s="5"/>
      <c r="W607" s="5"/>
      <c r="X607" s="5"/>
      <c r="Y607" s="5"/>
    </row>
    <row r="608">
      <c r="A608" s="5"/>
      <c r="B608" s="64"/>
      <c r="C608" s="64"/>
      <c r="D608" s="64"/>
      <c r="E608" s="64"/>
      <c r="F608" s="64"/>
      <c r="G608" s="149"/>
      <c r="H608" s="148"/>
      <c r="I608" s="4"/>
      <c r="J608" s="5"/>
      <c r="K608" s="5"/>
      <c r="L608" s="5"/>
      <c r="M608" s="5"/>
      <c r="N608" s="5"/>
      <c r="O608" s="5"/>
      <c r="P608" s="5"/>
      <c r="Q608" s="5"/>
      <c r="R608" s="5"/>
      <c r="S608" s="5"/>
      <c r="T608" s="5"/>
      <c r="U608" s="5"/>
      <c r="V608" s="5"/>
      <c r="W608" s="5"/>
      <c r="X608" s="5"/>
      <c r="Y608" s="5"/>
    </row>
    <row r="609">
      <c r="A609" s="5"/>
      <c r="B609" s="64"/>
      <c r="C609" s="64"/>
      <c r="D609" s="64"/>
      <c r="E609" s="64"/>
      <c r="F609" s="64"/>
      <c r="G609" s="149"/>
      <c r="H609" s="148"/>
      <c r="I609" s="4"/>
      <c r="J609" s="5"/>
      <c r="K609" s="5"/>
      <c r="L609" s="5"/>
      <c r="M609" s="5"/>
      <c r="N609" s="5"/>
      <c r="O609" s="5"/>
      <c r="P609" s="5"/>
      <c r="Q609" s="5"/>
      <c r="R609" s="5"/>
      <c r="S609" s="5"/>
      <c r="T609" s="5"/>
      <c r="U609" s="5"/>
      <c r="V609" s="5"/>
      <c r="W609" s="5"/>
      <c r="X609" s="5"/>
      <c r="Y609" s="5"/>
    </row>
    <row r="610">
      <c r="A610" s="5"/>
      <c r="B610" s="64"/>
      <c r="C610" s="64"/>
      <c r="D610" s="64"/>
      <c r="E610" s="64"/>
      <c r="F610" s="64"/>
      <c r="G610" s="149"/>
      <c r="H610" s="148"/>
      <c r="I610" s="4"/>
      <c r="J610" s="5"/>
      <c r="K610" s="5"/>
      <c r="L610" s="5"/>
      <c r="M610" s="5"/>
      <c r="N610" s="5"/>
      <c r="O610" s="5"/>
      <c r="P610" s="5"/>
      <c r="Q610" s="5"/>
      <c r="R610" s="5"/>
      <c r="S610" s="5"/>
      <c r="T610" s="5"/>
      <c r="U610" s="5"/>
      <c r="V610" s="5"/>
      <c r="W610" s="5"/>
      <c r="X610" s="5"/>
      <c r="Y610" s="5"/>
    </row>
    <row r="611">
      <c r="A611" s="5"/>
      <c r="B611" s="64"/>
      <c r="C611" s="64"/>
      <c r="D611" s="64"/>
      <c r="E611" s="64"/>
      <c r="F611" s="64"/>
      <c r="G611" s="149"/>
      <c r="H611" s="148"/>
      <c r="I611" s="4"/>
      <c r="J611" s="5"/>
      <c r="K611" s="5"/>
      <c r="L611" s="5"/>
      <c r="M611" s="5"/>
      <c r="N611" s="5"/>
      <c r="O611" s="5"/>
      <c r="P611" s="5"/>
      <c r="Q611" s="5"/>
      <c r="R611" s="5"/>
      <c r="S611" s="5"/>
      <c r="T611" s="5"/>
      <c r="U611" s="5"/>
      <c r="V611" s="5"/>
      <c r="W611" s="5"/>
      <c r="X611" s="5"/>
      <c r="Y611" s="5"/>
    </row>
    <row r="612">
      <c r="A612" s="5"/>
      <c r="B612" s="64"/>
      <c r="C612" s="64"/>
      <c r="D612" s="64"/>
      <c r="E612" s="64"/>
      <c r="F612" s="64"/>
      <c r="G612" s="149"/>
      <c r="H612" s="148"/>
      <c r="I612" s="4"/>
      <c r="J612" s="5"/>
      <c r="K612" s="5"/>
      <c r="L612" s="5"/>
      <c r="M612" s="5"/>
      <c r="N612" s="5"/>
      <c r="O612" s="5"/>
      <c r="P612" s="5"/>
      <c r="Q612" s="5"/>
      <c r="R612" s="5"/>
      <c r="S612" s="5"/>
      <c r="T612" s="5"/>
      <c r="U612" s="5"/>
      <c r="V612" s="5"/>
      <c r="W612" s="5"/>
      <c r="X612" s="5"/>
      <c r="Y612" s="5"/>
    </row>
    <row r="613">
      <c r="A613" s="5"/>
      <c r="B613" s="64"/>
      <c r="C613" s="64"/>
      <c r="D613" s="64"/>
      <c r="E613" s="64"/>
      <c r="F613" s="64"/>
      <c r="G613" s="149"/>
      <c r="H613" s="148"/>
      <c r="I613" s="4"/>
      <c r="J613" s="5"/>
      <c r="K613" s="5"/>
      <c r="L613" s="5"/>
      <c r="M613" s="5"/>
      <c r="N613" s="5"/>
      <c r="O613" s="5"/>
      <c r="P613" s="5"/>
      <c r="Q613" s="5"/>
      <c r="R613" s="5"/>
      <c r="S613" s="5"/>
      <c r="T613" s="5"/>
      <c r="U613" s="5"/>
      <c r="V613" s="5"/>
      <c r="W613" s="5"/>
      <c r="X613" s="5"/>
      <c r="Y613" s="5"/>
    </row>
    <row r="614">
      <c r="A614" s="5"/>
      <c r="B614" s="64"/>
      <c r="C614" s="64"/>
      <c r="D614" s="64"/>
      <c r="E614" s="64"/>
      <c r="F614" s="64"/>
      <c r="G614" s="149"/>
      <c r="H614" s="148"/>
      <c r="I614" s="4"/>
      <c r="J614" s="5"/>
      <c r="K614" s="5"/>
      <c r="L614" s="5"/>
      <c r="M614" s="5"/>
      <c r="N614" s="5"/>
      <c r="O614" s="5"/>
      <c r="P614" s="5"/>
      <c r="Q614" s="5"/>
      <c r="R614" s="5"/>
      <c r="S614" s="5"/>
      <c r="T614" s="5"/>
      <c r="U614" s="5"/>
      <c r="V614" s="5"/>
      <c r="W614" s="5"/>
      <c r="X614" s="5"/>
      <c r="Y614" s="5"/>
    </row>
    <row r="615">
      <c r="A615" s="5"/>
      <c r="B615" s="64"/>
      <c r="C615" s="64"/>
      <c r="D615" s="64"/>
      <c r="E615" s="64"/>
      <c r="F615" s="64"/>
      <c r="G615" s="149"/>
      <c r="H615" s="148"/>
      <c r="I615" s="4"/>
      <c r="J615" s="5"/>
      <c r="K615" s="5"/>
      <c r="L615" s="5"/>
      <c r="M615" s="5"/>
      <c r="N615" s="5"/>
      <c r="O615" s="5"/>
      <c r="P615" s="5"/>
      <c r="Q615" s="5"/>
      <c r="R615" s="5"/>
      <c r="S615" s="5"/>
      <c r="T615" s="5"/>
      <c r="U615" s="5"/>
      <c r="V615" s="5"/>
      <c r="W615" s="5"/>
      <c r="X615" s="5"/>
      <c r="Y615" s="5"/>
    </row>
    <row r="616">
      <c r="A616" s="5"/>
      <c r="B616" s="64"/>
      <c r="C616" s="64"/>
      <c r="D616" s="64"/>
      <c r="E616" s="64"/>
      <c r="F616" s="64"/>
      <c r="G616" s="149"/>
      <c r="H616" s="148"/>
      <c r="I616" s="4"/>
      <c r="J616" s="5"/>
      <c r="K616" s="5"/>
      <c r="L616" s="5"/>
      <c r="M616" s="5"/>
      <c r="N616" s="5"/>
      <c r="O616" s="5"/>
      <c r="P616" s="5"/>
      <c r="Q616" s="5"/>
      <c r="R616" s="5"/>
      <c r="S616" s="5"/>
      <c r="T616" s="5"/>
      <c r="U616" s="5"/>
      <c r="V616" s="5"/>
      <c r="W616" s="5"/>
      <c r="X616" s="5"/>
      <c r="Y616" s="5"/>
    </row>
    <row r="617">
      <c r="A617" s="5"/>
      <c r="B617" s="64"/>
      <c r="C617" s="64"/>
      <c r="D617" s="64"/>
      <c r="E617" s="64"/>
      <c r="F617" s="64"/>
      <c r="G617" s="149"/>
      <c r="H617" s="148"/>
      <c r="I617" s="4"/>
      <c r="J617" s="5"/>
      <c r="K617" s="5"/>
      <c r="L617" s="5"/>
      <c r="M617" s="5"/>
      <c r="N617" s="5"/>
      <c r="O617" s="5"/>
      <c r="P617" s="5"/>
      <c r="Q617" s="5"/>
      <c r="R617" s="5"/>
      <c r="S617" s="5"/>
      <c r="T617" s="5"/>
      <c r="U617" s="5"/>
      <c r="V617" s="5"/>
      <c r="W617" s="5"/>
      <c r="X617" s="5"/>
      <c r="Y617" s="5"/>
    </row>
    <row r="618">
      <c r="A618" s="5"/>
      <c r="B618" s="64"/>
      <c r="C618" s="64"/>
      <c r="D618" s="64"/>
      <c r="E618" s="64"/>
      <c r="F618" s="64"/>
      <c r="G618" s="149"/>
      <c r="H618" s="148"/>
      <c r="I618" s="4"/>
      <c r="J618" s="5"/>
      <c r="K618" s="5"/>
      <c r="L618" s="5"/>
      <c r="M618" s="5"/>
      <c r="N618" s="5"/>
      <c r="O618" s="5"/>
      <c r="P618" s="5"/>
      <c r="Q618" s="5"/>
      <c r="R618" s="5"/>
      <c r="S618" s="5"/>
      <c r="T618" s="5"/>
      <c r="U618" s="5"/>
      <c r="V618" s="5"/>
      <c r="W618" s="5"/>
      <c r="X618" s="5"/>
      <c r="Y618" s="5"/>
    </row>
    <row r="619">
      <c r="A619" s="5"/>
      <c r="B619" s="64"/>
      <c r="C619" s="64"/>
      <c r="D619" s="64"/>
      <c r="E619" s="64"/>
      <c r="F619" s="64"/>
      <c r="G619" s="149"/>
      <c r="H619" s="148"/>
      <c r="I619" s="4"/>
      <c r="J619" s="5"/>
      <c r="K619" s="5"/>
      <c r="L619" s="5"/>
      <c r="M619" s="5"/>
      <c r="N619" s="5"/>
      <c r="O619" s="5"/>
      <c r="P619" s="5"/>
      <c r="Q619" s="5"/>
      <c r="R619" s="5"/>
      <c r="S619" s="5"/>
      <c r="T619" s="5"/>
      <c r="U619" s="5"/>
      <c r="V619" s="5"/>
      <c r="W619" s="5"/>
      <c r="X619" s="5"/>
      <c r="Y619" s="5"/>
    </row>
    <row r="620">
      <c r="A620" s="5"/>
      <c r="B620" s="64"/>
      <c r="C620" s="64"/>
      <c r="D620" s="64"/>
      <c r="E620" s="64"/>
      <c r="F620" s="64"/>
      <c r="G620" s="149"/>
      <c r="H620" s="148"/>
      <c r="I620" s="4"/>
      <c r="J620" s="5"/>
      <c r="K620" s="5"/>
      <c r="L620" s="5"/>
      <c r="M620" s="5"/>
      <c r="N620" s="5"/>
      <c r="O620" s="5"/>
      <c r="P620" s="5"/>
      <c r="Q620" s="5"/>
      <c r="R620" s="5"/>
      <c r="S620" s="5"/>
      <c r="T620" s="5"/>
      <c r="U620" s="5"/>
      <c r="V620" s="5"/>
      <c r="W620" s="5"/>
      <c r="X620" s="5"/>
      <c r="Y620" s="5"/>
    </row>
    <row r="621">
      <c r="A621" s="5"/>
      <c r="B621" s="64"/>
      <c r="C621" s="64"/>
      <c r="D621" s="64"/>
      <c r="E621" s="64"/>
      <c r="F621" s="64"/>
      <c r="G621" s="149"/>
      <c r="H621" s="148"/>
      <c r="I621" s="4"/>
      <c r="J621" s="5"/>
      <c r="K621" s="5"/>
      <c r="L621" s="5"/>
      <c r="M621" s="5"/>
      <c r="N621" s="5"/>
      <c r="O621" s="5"/>
      <c r="P621" s="5"/>
      <c r="Q621" s="5"/>
      <c r="R621" s="5"/>
      <c r="S621" s="5"/>
      <c r="T621" s="5"/>
      <c r="U621" s="5"/>
      <c r="V621" s="5"/>
      <c r="W621" s="5"/>
      <c r="X621" s="5"/>
      <c r="Y621" s="5"/>
    </row>
    <row r="622">
      <c r="A622" s="5"/>
      <c r="B622" s="64"/>
      <c r="C622" s="64"/>
      <c r="D622" s="64"/>
      <c r="E622" s="64"/>
      <c r="F622" s="64"/>
      <c r="G622" s="149"/>
      <c r="H622" s="148"/>
      <c r="I622" s="4"/>
      <c r="J622" s="5"/>
      <c r="K622" s="5"/>
      <c r="L622" s="5"/>
      <c r="M622" s="5"/>
      <c r="N622" s="5"/>
      <c r="O622" s="5"/>
      <c r="P622" s="5"/>
      <c r="Q622" s="5"/>
      <c r="R622" s="5"/>
      <c r="S622" s="5"/>
      <c r="T622" s="5"/>
      <c r="U622" s="5"/>
      <c r="V622" s="5"/>
      <c r="W622" s="5"/>
      <c r="X622" s="5"/>
      <c r="Y622" s="5"/>
    </row>
    <row r="623">
      <c r="A623" s="5"/>
      <c r="B623" s="64"/>
      <c r="C623" s="64"/>
      <c r="D623" s="64"/>
      <c r="E623" s="64"/>
      <c r="F623" s="64"/>
      <c r="G623" s="149"/>
      <c r="H623" s="148"/>
      <c r="I623" s="4"/>
      <c r="J623" s="5"/>
      <c r="K623" s="5"/>
      <c r="L623" s="5"/>
      <c r="M623" s="5"/>
      <c r="N623" s="5"/>
      <c r="O623" s="5"/>
      <c r="P623" s="5"/>
      <c r="Q623" s="5"/>
      <c r="R623" s="5"/>
      <c r="S623" s="5"/>
      <c r="T623" s="5"/>
      <c r="U623" s="5"/>
      <c r="V623" s="5"/>
      <c r="W623" s="5"/>
      <c r="X623" s="5"/>
      <c r="Y623" s="5"/>
    </row>
    <row r="624">
      <c r="A624" s="5"/>
      <c r="B624" s="64"/>
      <c r="C624" s="64"/>
      <c r="D624" s="64"/>
      <c r="E624" s="64"/>
      <c r="F624" s="64"/>
      <c r="G624" s="149"/>
      <c r="H624" s="148"/>
      <c r="I624" s="4"/>
      <c r="J624" s="5"/>
      <c r="K624" s="5"/>
      <c r="L624" s="5"/>
      <c r="M624" s="5"/>
      <c r="N624" s="5"/>
      <c r="O624" s="5"/>
      <c r="P624" s="5"/>
      <c r="Q624" s="5"/>
      <c r="R624" s="5"/>
      <c r="S624" s="5"/>
      <c r="T624" s="5"/>
      <c r="U624" s="5"/>
      <c r="V624" s="5"/>
      <c r="W624" s="5"/>
      <c r="X624" s="5"/>
      <c r="Y624" s="5"/>
    </row>
    <row r="625">
      <c r="A625" s="5"/>
      <c r="B625" s="64"/>
      <c r="C625" s="64"/>
      <c r="D625" s="64"/>
      <c r="E625" s="64"/>
      <c r="F625" s="64"/>
      <c r="G625" s="149"/>
      <c r="H625" s="148"/>
      <c r="I625" s="4"/>
      <c r="J625" s="5"/>
      <c r="K625" s="5"/>
      <c r="L625" s="5"/>
      <c r="M625" s="5"/>
      <c r="N625" s="5"/>
      <c r="O625" s="5"/>
      <c r="P625" s="5"/>
      <c r="Q625" s="5"/>
      <c r="R625" s="5"/>
      <c r="S625" s="5"/>
      <c r="T625" s="5"/>
      <c r="U625" s="5"/>
      <c r="V625" s="5"/>
      <c r="W625" s="5"/>
      <c r="X625" s="5"/>
      <c r="Y625" s="5"/>
    </row>
    <row r="626">
      <c r="A626" s="5"/>
      <c r="B626" s="64"/>
      <c r="C626" s="64"/>
      <c r="D626" s="64"/>
      <c r="E626" s="64"/>
      <c r="F626" s="64"/>
      <c r="G626" s="149"/>
      <c r="H626" s="148"/>
      <c r="I626" s="4"/>
      <c r="J626" s="5"/>
      <c r="K626" s="5"/>
      <c r="L626" s="5"/>
      <c r="M626" s="5"/>
      <c r="N626" s="5"/>
      <c r="O626" s="5"/>
      <c r="P626" s="5"/>
      <c r="Q626" s="5"/>
      <c r="R626" s="5"/>
      <c r="S626" s="5"/>
      <c r="T626" s="5"/>
      <c r="U626" s="5"/>
      <c r="V626" s="5"/>
      <c r="W626" s="5"/>
      <c r="X626" s="5"/>
      <c r="Y626" s="5"/>
    </row>
    <row r="627">
      <c r="A627" s="5"/>
      <c r="B627" s="64"/>
      <c r="C627" s="64"/>
      <c r="D627" s="64"/>
      <c r="E627" s="64"/>
      <c r="F627" s="64"/>
      <c r="G627" s="149"/>
      <c r="H627" s="148"/>
      <c r="I627" s="4"/>
      <c r="J627" s="5"/>
      <c r="K627" s="5"/>
      <c r="L627" s="5"/>
      <c r="M627" s="5"/>
      <c r="N627" s="5"/>
      <c r="O627" s="5"/>
      <c r="P627" s="5"/>
      <c r="Q627" s="5"/>
      <c r="R627" s="5"/>
      <c r="S627" s="5"/>
      <c r="T627" s="5"/>
      <c r="U627" s="5"/>
      <c r="V627" s="5"/>
      <c r="W627" s="5"/>
      <c r="X627" s="5"/>
      <c r="Y627" s="5"/>
    </row>
    <row r="628">
      <c r="A628" s="5"/>
      <c r="B628" s="64"/>
      <c r="C628" s="64"/>
      <c r="D628" s="64"/>
      <c r="E628" s="64"/>
      <c r="F628" s="64"/>
      <c r="G628" s="149"/>
      <c r="H628" s="148"/>
      <c r="I628" s="4"/>
      <c r="J628" s="5"/>
      <c r="K628" s="5"/>
      <c r="L628" s="5"/>
      <c r="M628" s="5"/>
      <c r="N628" s="5"/>
      <c r="O628" s="5"/>
      <c r="P628" s="5"/>
      <c r="Q628" s="5"/>
      <c r="R628" s="5"/>
      <c r="S628" s="5"/>
      <c r="T628" s="5"/>
      <c r="U628" s="5"/>
      <c r="V628" s="5"/>
      <c r="W628" s="5"/>
      <c r="X628" s="5"/>
      <c r="Y628" s="5"/>
    </row>
    <row r="629">
      <c r="A629" s="5"/>
      <c r="B629" s="64"/>
      <c r="C629" s="64"/>
      <c r="D629" s="64"/>
      <c r="E629" s="64"/>
      <c r="F629" s="64"/>
      <c r="G629" s="149"/>
      <c r="H629" s="148"/>
      <c r="I629" s="4"/>
      <c r="J629" s="5"/>
      <c r="K629" s="5"/>
      <c r="L629" s="5"/>
      <c r="M629" s="5"/>
      <c r="N629" s="5"/>
      <c r="O629" s="5"/>
      <c r="P629" s="5"/>
      <c r="Q629" s="5"/>
      <c r="R629" s="5"/>
      <c r="S629" s="5"/>
      <c r="T629" s="5"/>
      <c r="U629" s="5"/>
      <c r="V629" s="5"/>
      <c r="W629" s="5"/>
      <c r="X629" s="5"/>
      <c r="Y629" s="5"/>
    </row>
    <row r="630">
      <c r="A630" s="5"/>
      <c r="B630" s="64"/>
      <c r="C630" s="64"/>
      <c r="D630" s="64"/>
      <c r="E630" s="64"/>
      <c r="F630" s="64"/>
      <c r="G630" s="149"/>
      <c r="H630" s="148"/>
      <c r="I630" s="4"/>
      <c r="J630" s="5"/>
      <c r="K630" s="5"/>
      <c r="L630" s="5"/>
      <c r="M630" s="5"/>
      <c r="N630" s="5"/>
      <c r="O630" s="5"/>
      <c r="P630" s="5"/>
      <c r="Q630" s="5"/>
      <c r="R630" s="5"/>
      <c r="S630" s="5"/>
      <c r="T630" s="5"/>
      <c r="U630" s="5"/>
      <c r="V630" s="5"/>
      <c r="W630" s="5"/>
      <c r="X630" s="5"/>
      <c r="Y630" s="5"/>
    </row>
    <row r="631">
      <c r="A631" s="5"/>
      <c r="B631" s="64"/>
      <c r="C631" s="64"/>
      <c r="D631" s="64"/>
      <c r="E631" s="64"/>
      <c r="F631" s="64"/>
      <c r="G631" s="149"/>
      <c r="H631" s="148"/>
      <c r="I631" s="4"/>
      <c r="J631" s="5"/>
      <c r="K631" s="5"/>
      <c r="L631" s="5"/>
      <c r="M631" s="5"/>
      <c r="N631" s="5"/>
      <c r="O631" s="5"/>
      <c r="P631" s="5"/>
      <c r="Q631" s="5"/>
      <c r="R631" s="5"/>
      <c r="S631" s="5"/>
      <c r="T631" s="5"/>
      <c r="U631" s="5"/>
      <c r="V631" s="5"/>
      <c r="W631" s="5"/>
      <c r="X631" s="5"/>
      <c r="Y631" s="5"/>
    </row>
    <row r="632">
      <c r="A632" s="5"/>
      <c r="B632" s="64"/>
      <c r="C632" s="64"/>
      <c r="D632" s="64"/>
      <c r="E632" s="64"/>
      <c r="F632" s="64"/>
      <c r="G632" s="149"/>
      <c r="H632" s="148"/>
      <c r="I632" s="4"/>
      <c r="J632" s="5"/>
      <c r="K632" s="5"/>
      <c r="L632" s="5"/>
      <c r="M632" s="5"/>
      <c r="N632" s="5"/>
      <c r="O632" s="5"/>
      <c r="P632" s="5"/>
      <c r="Q632" s="5"/>
      <c r="R632" s="5"/>
      <c r="S632" s="5"/>
      <c r="T632" s="5"/>
      <c r="U632" s="5"/>
      <c r="V632" s="5"/>
      <c r="W632" s="5"/>
      <c r="X632" s="5"/>
      <c r="Y632" s="5"/>
    </row>
    <row r="633">
      <c r="A633" s="5"/>
      <c r="B633" s="64"/>
      <c r="C633" s="64"/>
      <c r="D633" s="64"/>
      <c r="E633" s="64"/>
      <c r="F633" s="64"/>
      <c r="G633" s="149"/>
      <c r="H633" s="148"/>
      <c r="I633" s="4"/>
      <c r="J633" s="5"/>
      <c r="K633" s="5"/>
      <c r="L633" s="5"/>
      <c r="M633" s="5"/>
      <c r="N633" s="5"/>
      <c r="O633" s="5"/>
      <c r="P633" s="5"/>
      <c r="Q633" s="5"/>
      <c r="R633" s="5"/>
      <c r="S633" s="5"/>
      <c r="T633" s="5"/>
      <c r="U633" s="5"/>
      <c r="V633" s="5"/>
      <c r="W633" s="5"/>
      <c r="X633" s="5"/>
      <c r="Y633" s="5"/>
    </row>
    <row r="634">
      <c r="A634" s="5"/>
      <c r="B634" s="64"/>
      <c r="C634" s="64"/>
      <c r="D634" s="64"/>
      <c r="E634" s="64"/>
      <c r="F634" s="64"/>
      <c r="G634" s="149"/>
      <c r="H634" s="148"/>
      <c r="I634" s="4"/>
      <c r="J634" s="5"/>
      <c r="K634" s="5"/>
      <c r="L634" s="5"/>
      <c r="M634" s="5"/>
      <c r="N634" s="5"/>
      <c r="O634" s="5"/>
      <c r="P634" s="5"/>
      <c r="Q634" s="5"/>
      <c r="R634" s="5"/>
      <c r="S634" s="5"/>
      <c r="T634" s="5"/>
      <c r="U634" s="5"/>
      <c r="V634" s="5"/>
      <c r="W634" s="5"/>
      <c r="X634" s="5"/>
      <c r="Y634" s="5"/>
    </row>
    <row r="635">
      <c r="A635" s="5"/>
      <c r="B635" s="64"/>
      <c r="C635" s="64"/>
      <c r="D635" s="64"/>
      <c r="E635" s="64"/>
      <c r="F635" s="64"/>
      <c r="G635" s="149"/>
      <c r="H635" s="148"/>
      <c r="I635" s="4"/>
      <c r="J635" s="5"/>
      <c r="K635" s="5"/>
      <c r="L635" s="5"/>
      <c r="M635" s="5"/>
      <c r="N635" s="5"/>
      <c r="O635" s="5"/>
      <c r="P635" s="5"/>
      <c r="Q635" s="5"/>
      <c r="R635" s="5"/>
      <c r="S635" s="5"/>
      <c r="T635" s="5"/>
      <c r="U635" s="5"/>
      <c r="V635" s="5"/>
      <c r="W635" s="5"/>
      <c r="X635" s="5"/>
      <c r="Y635" s="5"/>
    </row>
    <row r="636">
      <c r="A636" s="5"/>
      <c r="B636" s="64"/>
      <c r="C636" s="64"/>
      <c r="D636" s="64"/>
      <c r="E636" s="64"/>
      <c r="F636" s="64"/>
      <c r="G636" s="149"/>
      <c r="H636" s="148"/>
      <c r="I636" s="4"/>
      <c r="J636" s="5"/>
      <c r="K636" s="5"/>
      <c r="L636" s="5"/>
      <c r="M636" s="5"/>
      <c r="N636" s="5"/>
      <c r="O636" s="5"/>
      <c r="P636" s="5"/>
      <c r="Q636" s="5"/>
      <c r="R636" s="5"/>
      <c r="S636" s="5"/>
      <c r="T636" s="5"/>
      <c r="U636" s="5"/>
      <c r="V636" s="5"/>
      <c r="W636" s="5"/>
      <c r="X636" s="5"/>
      <c r="Y636" s="5"/>
    </row>
    <row r="637">
      <c r="A637" s="5"/>
      <c r="B637" s="64"/>
      <c r="C637" s="64"/>
      <c r="D637" s="64"/>
      <c r="E637" s="64"/>
      <c r="F637" s="64"/>
      <c r="G637" s="149"/>
      <c r="H637" s="148"/>
      <c r="I637" s="4"/>
      <c r="J637" s="5"/>
      <c r="K637" s="5"/>
      <c r="L637" s="5"/>
      <c r="M637" s="5"/>
      <c r="N637" s="5"/>
      <c r="O637" s="5"/>
      <c r="P637" s="5"/>
      <c r="Q637" s="5"/>
      <c r="R637" s="5"/>
      <c r="S637" s="5"/>
      <c r="T637" s="5"/>
      <c r="U637" s="5"/>
      <c r="V637" s="5"/>
      <c r="W637" s="5"/>
      <c r="X637" s="5"/>
      <c r="Y637" s="5"/>
    </row>
    <row r="638">
      <c r="A638" s="5"/>
      <c r="B638" s="64"/>
      <c r="C638" s="64"/>
      <c r="D638" s="64"/>
      <c r="E638" s="64"/>
      <c r="F638" s="64"/>
      <c r="G638" s="149"/>
      <c r="H638" s="148"/>
      <c r="I638" s="4"/>
      <c r="J638" s="5"/>
      <c r="K638" s="5"/>
      <c r="L638" s="5"/>
      <c r="M638" s="5"/>
      <c r="N638" s="5"/>
      <c r="O638" s="5"/>
      <c r="P638" s="5"/>
      <c r="Q638" s="5"/>
      <c r="R638" s="5"/>
      <c r="S638" s="5"/>
      <c r="T638" s="5"/>
      <c r="U638" s="5"/>
      <c r="V638" s="5"/>
      <c r="W638" s="5"/>
      <c r="X638" s="5"/>
      <c r="Y638" s="5"/>
    </row>
    <row r="639">
      <c r="A639" s="5"/>
      <c r="B639" s="64"/>
      <c r="C639" s="64"/>
      <c r="D639" s="64"/>
      <c r="E639" s="64"/>
      <c r="F639" s="64"/>
      <c r="G639" s="149"/>
      <c r="H639" s="148"/>
      <c r="I639" s="4"/>
      <c r="J639" s="5"/>
      <c r="K639" s="5"/>
      <c r="L639" s="5"/>
      <c r="M639" s="5"/>
      <c r="N639" s="5"/>
      <c r="O639" s="5"/>
      <c r="P639" s="5"/>
      <c r="Q639" s="5"/>
      <c r="R639" s="5"/>
      <c r="S639" s="5"/>
      <c r="T639" s="5"/>
      <c r="U639" s="5"/>
      <c r="V639" s="5"/>
      <c r="W639" s="5"/>
      <c r="X639" s="5"/>
      <c r="Y639" s="5"/>
    </row>
    <row r="640">
      <c r="A640" s="5"/>
      <c r="B640" s="64"/>
      <c r="C640" s="64"/>
      <c r="D640" s="64"/>
      <c r="E640" s="64"/>
      <c r="F640" s="64"/>
      <c r="G640" s="149"/>
      <c r="H640" s="148"/>
      <c r="I640" s="4"/>
      <c r="J640" s="5"/>
      <c r="K640" s="5"/>
      <c r="L640" s="5"/>
      <c r="M640" s="5"/>
      <c r="N640" s="5"/>
      <c r="O640" s="5"/>
      <c r="P640" s="5"/>
      <c r="Q640" s="5"/>
      <c r="R640" s="5"/>
      <c r="S640" s="5"/>
      <c r="T640" s="5"/>
      <c r="U640" s="5"/>
      <c r="V640" s="5"/>
      <c r="W640" s="5"/>
      <c r="X640" s="5"/>
      <c r="Y640" s="5"/>
    </row>
    <row r="641">
      <c r="A641" s="5"/>
      <c r="B641" s="64"/>
      <c r="C641" s="64"/>
      <c r="D641" s="64"/>
      <c r="E641" s="64"/>
      <c r="F641" s="64"/>
      <c r="G641" s="149"/>
      <c r="H641" s="148"/>
      <c r="I641" s="4"/>
      <c r="J641" s="5"/>
      <c r="K641" s="5"/>
      <c r="L641" s="5"/>
      <c r="M641" s="5"/>
      <c r="N641" s="5"/>
      <c r="O641" s="5"/>
      <c r="P641" s="5"/>
      <c r="Q641" s="5"/>
      <c r="R641" s="5"/>
      <c r="S641" s="5"/>
      <c r="T641" s="5"/>
      <c r="U641" s="5"/>
      <c r="V641" s="5"/>
      <c r="W641" s="5"/>
      <c r="X641" s="5"/>
      <c r="Y641" s="5"/>
    </row>
    <row r="642">
      <c r="A642" s="5"/>
      <c r="B642" s="64"/>
      <c r="C642" s="64"/>
      <c r="D642" s="64"/>
      <c r="E642" s="64"/>
      <c r="F642" s="64"/>
      <c r="G642" s="149"/>
      <c r="H642" s="148"/>
      <c r="I642" s="4"/>
      <c r="J642" s="5"/>
      <c r="K642" s="5"/>
      <c r="L642" s="5"/>
      <c r="M642" s="5"/>
      <c r="N642" s="5"/>
      <c r="O642" s="5"/>
      <c r="P642" s="5"/>
      <c r="Q642" s="5"/>
      <c r="R642" s="5"/>
      <c r="S642" s="5"/>
      <c r="T642" s="5"/>
      <c r="U642" s="5"/>
      <c r="V642" s="5"/>
      <c r="W642" s="5"/>
      <c r="X642" s="5"/>
      <c r="Y642" s="5"/>
    </row>
    <row r="643">
      <c r="A643" s="5"/>
      <c r="B643" s="64"/>
      <c r="C643" s="64"/>
      <c r="D643" s="64"/>
      <c r="E643" s="64"/>
      <c r="F643" s="64"/>
      <c r="G643" s="149"/>
      <c r="H643" s="148"/>
      <c r="I643" s="4"/>
      <c r="J643" s="5"/>
      <c r="K643" s="5"/>
      <c r="L643" s="5"/>
      <c r="M643" s="5"/>
      <c r="N643" s="5"/>
      <c r="O643" s="5"/>
      <c r="P643" s="5"/>
      <c r="Q643" s="5"/>
      <c r="R643" s="5"/>
      <c r="S643" s="5"/>
      <c r="T643" s="5"/>
      <c r="U643" s="5"/>
      <c r="V643" s="5"/>
      <c r="W643" s="5"/>
      <c r="X643" s="5"/>
      <c r="Y643" s="5"/>
    </row>
    <row r="644">
      <c r="A644" s="5"/>
      <c r="B644" s="64"/>
      <c r="C644" s="64"/>
      <c r="D644" s="64"/>
      <c r="E644" s="64"/>
      <c r="F644" s="64"/>
      <c r="G644" s="149"/>
      <c r="H644" s="148"/>
      <c r="I644" s="4"/>
      <c r="J644" s="5"/>
      <c r="K644" s="5"/>
      <c r="L644" s="5"/>
      <c r="M644" s="5"/>
      <c r="N644" s="5"/>
      <c r="O644" s="5"/>
      <c r="P644" s="5"/>
      <c r="Q644" s="5"/>
      <c r="R644" s="5"/>
      <c r="S644" s="5"/>
      <c r="T644" s="5"/>
      <c r="U644" s="5"/>
      <c r="V644" s="5"/>
      <c r="W644" s="5"/>
      <c r="X644" s="5"/>
      <c r="Y644" s="5"/>
    </row>
    <row r="645">
      <c r="A645" s="5"/>
      <c r="B645" s="64"/>
      <c r="C645" s="64"/>
      <c r="D645" s="64"/>
      <c r="E645" s="64"/>
      <c r="F645" s="64"/>
      <c r="G645" s="149"/>
      <c r="H645" s="148"/>
      <c r="I645" s="4"/>
      <c r="J645" s="5"/>
      <c r="K645" s="5"/>
      <c r="L645" s="5"/>
      <c r="M645" s="5"/>
      <c r="N645" s="5"/>
      <c r="O645" s="5"/>
      <c r="P645" s="5"/>
      <c r="Q645" s="5"/>
      <c r="R645" s="5"/>
      <c r="S645" s="5"/>
      <c r="T645" s="5"/>
      <c r="U645" s="5"/>
      <c r="V645" s="5"/>
      <c r="W645" s="5"/>
      <c r="X645" s="5"/>
      <c r="Y645" s="5"/>
    </row>
    <row r="646">
      <c r="A646" s="5"/>
      <c r="B646" s="64"/>
      <c r="C646" s="64"/>
      <c r="D646" s="64"/>
      <c r="E646" s="64"/>
      <c r="F646" s="64"/>
      <c r="G646" s="149"/>
      <c r="H646" s="148"/>
      <c r="I646" s="4"/>
      <c r="J646" s="5"/>
      <c r="K646" s="5"/>
      <c r="L646" s="5"/>
      <c r="M646" s="5"/>
      <c r="N646" s="5"/>
      <c r="O646" s="5"/>
      <c r="P646" s="5"/>
      <c r="Q646" s="5"/>
      <c r="R646" s="5"/>
      <c r="S646" s="5"/>
      <c r="T646" s="5"/>
      <c r="U646" s="5"/>
      <c r="V646" s="5"/>
      <c r="W646" s="5"/>
      <c r="X646" s="5"/>
      <c r="Y646" s="5"/>
    </row>
    <row r="647">
      <c r="A647" s="5"/>
      <c r="B647" s="64"/>
      <c r="C647" s="64"/>
      <c r="D647" s="64"/>
      <c r="E647" s="64"/>
      <c r="F647" s="64"/>
      <c r="G647" s="149"/>
      <c r="H647" s="148"/>
      <c r="I647" s="4"/>
      <c r="J647" s="5"/>
      <c r="K647" s="5"/>
      <c r="L647" s="5"/>
      <c r="M647" s="5"/>
      <c r="N647" s="5"/>
      <c r="O647" s="5"/>
      <c r="P647" s="5"/>
      <c r="Q647" s="5"/>
      <c r="R647" s="5"/>
      <c r="S647" s="5"/>
      <c r="T647" s="5"/>
      <c r="U647" s="5"/>
      <c r="V647" s="5"/>
      <c r="W647" s="5"/>
      <c r="X647" s="5"/>
      <c r="Y647" s="5"/>
    </row>
    <row r="648">
      <c r="A648" s="5"/>
      <c r="B648" s="64"/>
      <c r="C648" s="64"/>
      <c r="D648" s="64"/>
      <c r="E648" s="64"/>
      <c r="F648" s="64"/>
      <c r="G648" s="149"/>
      <c r="H648" s="148"/>
      <c r="I648" s="4"/>
      <c r="J648" s="5"/>
      <c r="K648" s="5"/>
      <c r="L648" s="5"/>
      <c r="M648" s="5"/>
      <c r="N648" s="5"/>
      <c r="O648" s="5"/>
      <c r="P648" s="5"/>
      <c r="Q648" s="5"/>
      <c r="R648" s="5"/>
      <c r="S648" s="5"/>
      <c r="T648" s="5"/>
      <c r="U648" s="5"/>
      <c r="V648" s="5"/>
      <c r="W648" s="5"/>
      <c r="X648" s="5"/>
      <c r="Y648" s="5"/>
    </row>
    <row r="649">
      <c r="A649" s="5"/>
      <c r="B649" s="64"/>
      <c r="C649" s="64"/>
      <c r="D649" s="64"/>
      <c r="E649" s="64"/>
      <c r="F649" s="64"/>
      <c r="G649" s="149"/>
      <c r="H649" s="148"/>
      <c r="I649" s="4"/>
      <c r="J649" s="5"/>
      <c r="K649" s="5"/>
      <c r="L649" s="5"/>
      <c r="M649" s="5"/>
      <c r="N649" s="5"/>
      <c r="O649" s="5"/>
      <c r="P649" s="5"/>
      <c r="Q649" s="5"/>
      <c r="R649" s="5"/>
      <c r="S649" s="5"/>
      <c r="T649" s="5"/>
      <c r="U649" s="5"/>
      <c r="V649" s="5"/>
      <c r="W649" s="5"/>
      <c r="X649" s="5"/>
      <c r="Y649" s="5"/>
    </row>
    <row r="650">
      <c r="A650" s="5"/>
      <c r="B650" s="64"/>
      <c r="C650" s="64"/>
      <c r="D650" s="64"/>
      <c r="E650" s="64"/>
      <c r="F650" s="64"/>
      <c r="G650" s="149"/>
      <c r="H650" s="148"/>
      <c r="I650" s="4"/>
      <c r="J650" s="5"/>
      <c r="K650" s="5"/>
      <c r="L650" s="5"/>
      <c r="M650" s="5"/>
      <c r="N650" s="5"/>
      <c r="O650" s="5"/>
      <c r="P650" s="5"/>
      <c r="Q650" s="5"/>
      <c r="R650" s="5"/>
      <c r="S650" s="5"/>
      <c r="T650" s="5"/>
      <c r="U650" s="5"/>
      <c r="V650" s="5"/>
      <c r="W650" s="5"/>
      <c r="X650" s="5"/>
      <c r="Y650" s="5"/>
    </row>
    <row r="651">
      <c r="A651" s="5"/>
      <c r="B651" s="64"/>
      <c r="C651" s="64"/>
      <c r="D651" s="64"/>
      <c r="E651" s="64"/>
      <c r="F651" s="64"/>
      <c r="G651" s="149"/>
      <c r="H651" s="148"/>
      <c r="I651" s="4"/>
      <c r="J651" s="5"/>
      <c r="K651" s="5"/>
      <c r="L651" s="5"/>
      <c r="M651" s="5"/>
      <c r="N651" s="5"/>
      <c r="O651" s="5"/>
      <c r="P651" s="5"/>
      <c r="Q651" s="5"/>
      <c r="R651" s="5"/>
      <c r="S651" s="5"/>
      <c r="T651" s="5"/>
      <c r="U651" s="5"/>
      <c r="V651" s="5"/>
      <c r="W651" s="5"/>
      <c r="X651" s="5"/>
      <c r="Y651" s="5"/>
    </row>
    <row r="652">
      <c r="A652" s="5"/>
      <c r="B652" s="64"/>
      <c r="C652" s="64"/>
      <c r="D652" s="64"/>
      <c r="E652" s="64"/>
      <c r="F652" s="64"/>
      <c r="G652" s="149"/>
      <c r="H652" s="148"/>
      <c r="I652" s="4"/>
      <c r="J652" s="5"/>
      <c r="K652" s="5"/>
      <c r="L652" s="5"/>
      <c r="M652" s="5"/>
      <c r="N652" s="5"/>
      <c r="O652" s="5"/>
      <c r="P652" s="5"/>
      <c r="Q652" s="5"/>
      <c r="R652" s="5"/>
      <c r="S652" s="5"/>
      <c r="T652" s="5"/>
      <c r="U652" s="5"/>
      <c r="V652" s="5"/>
      <c r="W652" s="5"/>
      <c r="X652" s="5"/>
      <c r="Y652" s="5"/>
    </row>
    <row r="653">
      <c r="A653" s="5"/>
      <c r="B653" s="64"/>
      <c r="C653" s="64"/>
      <c r="D653" s="64"/>
      <c r="E653" s="64"/>
      <c r="F653" s="64"/>
      <c r="G653" s="149"/>
      <c r="H653" s="148"/>
      <c r="I653" s="4"/>
      <c r="J653" s="5"/>
      <c r="K653" s="5"/>
      <c r="L653" s="5"/>
      <c r="M653" s="5"/>
      <c r="N653" s="5"/>
      <c r="O653" s="5"/>
      <c r="P653" s="5"/>
      <c r="Q653" s="5"/>
      <c r="R653" s="5"/>
      <c r="S653" s="5"/>
      <c r="T653" s="5"/>
      <c r="U653" s="5"/>
      <c r="V653" s="5"/>
      <c r="W653" s="5"/>
      <c r="X653" s="5"/>
      <c r="Y653" s="5"/>
    </row>
    <row r="654">
      <c r="A654" s="5"/>
      <c r="B654" s="64"/>
      <c r="C654" s="64"/>
      <c r="D654" s="64"/>
      <c r="E654" s="64"/>
      <c r="F654" s="64"/>
      <c r="G654" s="149"/>
      <c r="H654" s="148"/>
      <c r="I654" s="4"/>
      <c r="J654" s="5"/>
      <c r="K654" s="5"/>
      <c r="L654" s="5"/>
      <c r="M654" s="5"/>
      <c r="N654" s="5"/>
      <c r="O654" s="5"/>
      <c r="P654" s="5"/>
      <c r="Q654" s="5"/>
      <c r="R654" s="5"/>
      <c r="S654" s="5"/>
      <c r="T654" s="5"/>
      <c r="U654" s="5"/>
      <c r="V654" s="5"/>
      <c r="W654" s="5"/>
      <c r="X654" s="5"/>
      <c r="Y654" s="5"/>
    </row>
    <row r="655">
      <c r="A655" s="5"/>
      <c r="B655" s="64"/>
      <c r="C655" s="64"/>
      <c r="D655" s="64"/>
      <c r="E655" s="64"/>
      <c r="F655" s="64"/>
      <c r="G655" s="149"/>
      <c r="H655" s="148"/>
      <c r="I655" s="4"/>
      <c r="J655" s="5"/>
      <c r="K655" s="5"/>
      <c r="L655" s="5"/>
      <c r="M655" s="5"/>
      <c r="N655" s="5"/>
      <c r="O655" s="5"/>
      <c r="P655" s="5"/>
      <c r="Q655" s="5"/>
      <c r="R655" s="5"/>
      <c r="S655" s="5"/>
      <c r="T655" s="5"/>
      <c r="U655" s="5"/>
      <c r="V655" s="5"/>
      <c r="W655" s="5"/>
      <c r="X655" s="5"/>
      <c r="Y655" s="5"/>
    </row>
    <row r="656">
      <c r="A656" s="5"/>
      <c r="B656" s="64"/>
      <c r="C656" s="64"/>
      <c r="D656" s="64"/>
      <c r="E656" s="64"/>
      <c r="F656" s="64"/>
      <c r="G656" s="149"/>
      <c r="H656" s="148"/>
      <c r="I656" s="4"/>
      <c r="J656" s="5"/>
      <c r="K656" s="5"/>
      <c r="L656" s="5"/>
      <c r="M656" s="5"/>
      <c r="N656" s="5"/>
      <c r="O656" s="5"/>
      <c r="P656" s="5"/>
      <c r="Q656" s="5"/>
      <c r="R656" s="5"/>
      <c r="S656" s="5"/>
      <c r="T656" s="5"/>
      <c r="U656" s="5"/>
      <c r="V656" s="5"/>
      <c r="W656" s="5"/>
      <c r="X656" s="5"/>
      <c r="Y656" s="5"/>
    </row>
    <row r="657">
      <c r="A657" s="5"/>
      <c r="B657" s="64"/>
      <c r="C657" s="64"/>
      <c r="D657" s="64"/>
      <c r="E657" s="64"/>
      <c r="F657" s="64"/>
      <c r="G657" s="149"/>
      <c r="H657" s="148"/>
      <c r="I657" s="4"/>
      <c r="J657" s="5"/>
      <c r="K657" s="5"/>
      <c r="L657" s="5"/>
      <c r="M657" s="5"/>
      <c r="N657" s="5"/>
      <c r="O657" s="5"/>
      <c r="P657" s="5"/>
      <c r="Q657" s="5"/>
      <c r="R657" s="5"/>
      <c r="S657" s="5"/>
      <c r="T657" s="5"/>
      <c r="U657" s="5"/>
      <c r="V657" s="5"/>
      <c r="W657" s="5"/>
      <c r="X657" s="5"/>
      <c r="Y657" s="5"/>
    </row>
    <row r="658">
      <c r="A658" s="5"/>
      <c r="B658" s="64"/>
      <c r="C658" s="64"/>
      <c r="D658" s="64"/>
      <c r="E658" s="64"/>
      <c r="F658" s="64"/>
      <c r="G658" s="149"/>
      <c r="H658" s="148"/>
      <c r="I658" s="4"/>
      <c r="J658" s="5"/>
      <c r="K658" s="5"/>
      <c r="L658" s="5"/>
      <c r="M658" s="5"/>
      <c r="N658" s="5"/>
      <c r="O658" s="5"/>
      <c r="P658" s="5"/>
      <c r="Q658" s="5"/>
      <c r="R658" s="5"/>
      <c r="S658" s="5"/>
      <c r="T658" s="5"/>
      <c r="U658" s="5"/>
      <c r="V658" s="5"/>
      <c r="W658" s="5"/>
      <c r="X658" s="5"/>
      <c r="Y658" s="5"/>
    </row>
    <row r="659">
      <c r="A659" s="5"/>
      <c r="B659" s="64"/>
      <c r="C659" s="64"/>
      <c r="D659" s="64"/>
      <c r="E659" s="64"/>
      <c r="F659" s="64"/>
      <c r="G659" s="149"/>
      <c r="H659" s="148"/>
      <c r="I659" s="4"/>
      <c r="J659" s="5"/>
      <c r="K659" s="5"/>
      <c r="L659" s="5"/>
      <c r="M659" s="5"/>
      <c r="N659" s="5"/>
      <c r="O659" s="5"/>
      <c r="P659" s="5"/>
      <c r="Q659" s="5"/>
      <c r="R659" s="5"/>
      <c r="S659" s="5"/>
      <c r="T659" s="5"/>
      <c r="U659" s="5"/>
      <c r="V659" s="5"/>
      <c r="W659" s="5"/>
      <c r="X659" s="5"/>
      <c r="Y659" s="5"/>
    </row>
    <row r="660">
      <c r="A660" s="5"/>
      <c r="B660" s="64"/>
      <c r="C660" s="64"/>
      <c r="D660" s="64"/>
      <c r="E660" s="64"/>
      <c r="F660" s="64"/>
      <c r="G660" s="149"/>
      <c r="H660" s="148"/>
      <c r="I660" s="4"/>
      <c r="J660" s="5"/>
      <c r="K660" s="5"/>
      <c r="L660" s="5"/>
      <c r="M660" s="5"/>
      <c r="N660" s="5"/>
      <c r="O660" s="5"/>
      <c r="P660" s="5"/>
      <c r="Q660" s="5"/>
      <c r="R660" s="5"/>
      <c r="S660" s="5"/>
      <c r="T660" s="5"/>
      <c r="U660" s="5"/>
      <c r="V660" s="5"/>
      <c r="W660" s="5"/>
      <c r="X660" s="5"/>
      <c r="Y660" s="5"/>
    </row>
    <row r="661">
      <c r="A661" s="5"/>
      <c r="B661" s="64"/>
      <c r="C661" s="64"/>
      <c r="D661" s="64"/>
      <c r="E661" s="64"/>
      <c r="F661" s="64"/>
      <c r="G661" s="149"/>
      <c r="H661" s="148"/>
      <c r="I661" s="4"/>
      <c r="J661" s="5"/>
      <c r="K661" s="5"/>
      <c r="L661" s="5"/>
      <c r="M661" s="5"/>
      <c r="N661" s="5"/>
      <c r="O661" s="5"/>
      <c r="P661" s="5"/>
      <c r="Q661" s="5"/>
      <c r="R661" s="5"/>
      <c r="S661" s="5"/>
      <c r="T661" s="5"/>
      <c r="U661" s="5"/>
      <c r="V661" s="5"/>
      <c r="W661" s="5"/>
      <c r="X661" s="5"/>
      <c r="Y661" s="5"/>
    </row>
    <row r="662">
      <c r="A662" s="5"/>
      <c r="B662" s="64"/>
      <c r="C662" s="64"/>
      <c r="D662" s="64"/>
      <c r="E662" s="64"/>
      <c r="F662" s="64"/>
      <c r="G662" s="149"/>
      <c r="H662" s="148"/>
      <c r="I662" s="4"/>
      <c r="J662" s="5"/>
      <c r="K662" s="5"/>
      <c r="L662" s="5"/>
      <c r="M662" s="5"/>
      <c r="N662" s="5"/>
      <c r="O662" s="5"/>
      <c r="P662" s="5"/>
      <c r="Q662" s="5"/>
      <c r="R662" s="5"/>
      <c r="S662" s="5"/>
      <c r="T662" s="5"/>
      <c r="U662" s="5"/>
      <c r="V662" s="5"/>
      <c r="W662" s="5"/>
      <c r="X662" s="5"/>
      <c r="Y662" s="5"/>
    </row>
    <row r="663">
      <c r="A663" s="5"/>
      <c r="B663" s="64"/>
      <c r="C663" s="64"/>
      <c r="D663" s="64"/>
      <c r="E663" s="64"/>
      <c r="F663" s="64"/>
      <c r="G663" s="149"/>
      <c r="H663" s="148"/>
      <c r="I663" s="4"/>
      <c r="J663" s="5"/>
      <c r="K663" s="5"/>
      <c r="L663" s="5"/>
      <c r="M663" s="5"/>
      <c r="N663" s="5"/>
      <c r="O663" s="5"/>
      <c r="P663" s="5"/>
      <c r="Q663" s="5"/>
      <c r="R663" s="5"/>
      <c r="S663" s="5"/>
      <c r="T663" s="5"/>
      <c r="U663" s="5"/>
      <c r="V663" s="5"/>
      <c r="W663" s="5"/>
      <c r="X663" s="5"/>
      <c r="Y663" s="5"/>
    </row>
    <row r="664">
      <c r="A664" s="5"/>
      <c r="B664" s="64"/>
      <c r="C664" s="64"/>
      <c r="D664" s="64"/>
      <c r="E664" s="64"/>
      <c r="F664" s="64"/>
      <c r="G664" s="149"/>
      <c r="H664" s="148"/>
      <c r="I664" s="4"/>
      <c r="J664" s="5"/>
      <c r="K664" s="5"/>
      <c r="L664" s="5"/>
      <c r="M664" s="5"/>
      <c r="N664" s="5"/>
      <c r="O664" s="5"/>
      <c r="P664" s="5"/>
      <c r="Q664" s="5"/>
      <c r="R664" s="5"/>
      <c r="S664" s="5"/>
      <c r="T664" s="5"/>
      <c r="U664" s="5"/>
      <c r="V664" s="5"/>
      <c r="W664" s="5"/>
      <c r="X664" s="5"/>
      <c r="Y664" s="5"/>
    </row>
    <row r="665">
      <c r="A665" s="5"/>
      <c r="B665" s="64"/>
      <c r="C665" s="64"/>
      <c r="D665" s="64"/>
      <c r="E665" s="64"/>
      <c r="F665" s="64"/>
      <c r="G665" s="149"/>
      <c r="H665" s="148"/>
      <c r="I665" s="4"/>
      <c r="J665" s="5"/>
      <c r="K665" s="5"/>
      <c r="L665" s="5"/>
      <c r="M665" s="5"/>
      <c r="N665" s="5"/>
      <c r="O665" s="5"/>
      <c r="P665" s="5"/>
      <c r="Q665" s="5"/>
      <c r="R665" s="5"/>
      <c r="S665" s="5"/>
      <c r="T665" s="5"/>
      <c r="U665" s="5"/>
      <c r="V665" s="5"/>
      <c r="W665" s="5"/>
      <c r="X665" s="5"/>
      <c r="Y665" s="5"/>
    </row>
    <row r="666">
      <c r="A666" s="5"/>
      <c r="B666" s="64"/>
      <c r="C666" s="64"/>
      <c r="D666" s="64"/>
      <c r="E666" s="64"/>
      <c r="F666" s="64"/>
      <c r="G666" s="149"/>
      <c r="H666" s="148"/>
      <c r="I666" s="4"/>
      <c r="J666" s="5"/>
      <c r="K666" s="5"/>
      <c r="L666" s="5"/>
      <c r="M666" s="5"/>
      <c r="N666" s="5"/>
      <c r="O666" s="5"/>
      <c r="P666" s="5"/>
      <c r="Q666" s="5"/>
      <c r="R666" s="5"/>
      <c r="S666" s="5"/>
      <c r="T666" s="5"/>
      <c r="U666" s="5"/>
      <c r="V666" s="5"/>
      <c r="W666" s="5"/>
      <c r="X666" s="5"/>
      <c r="Y666" s="5"/>
    </row>
    <row r="667">
      <c r="A667" s="5"/>
      <c r="B667" s="64"/>
      <c r="C667" s="64"/>
      <c r="D667" s="64"/>
      <c r="E667" s="64"/>
      <c r="F667" s="64"/>
      <c r="G667" s="149"/>
      <c r="H667" s="148"/>
      <c r="I667" s="4"/>
      <c r="J667" s="5"/>
      <c r="K667" s="5"/>
      <c r="L667" s="5"/>
      <c r="M667" s="5"/>
      <c r="N667" s="5"/>
      <c r="O667" s="5"/>
      <c r="P667" s="5"/>
      <c r="Q667" s="5"/>
      <c r="R667" s="5"/>
      <c r="S667" s="5"/>
      <c r="T667" s="5"/>
      <c r="U667" s="5"/>
      <c r="V667" s="5"/>
      <c r="W667" s="5"/>
      <c r="X667" s="5"/>
      <c r="Y667" s="5"/>
    </row>
    <row r="668">
      <c r="A668" s="5"/>
      <c r="B668" s="64"/>
      <c r="C668" s="64"/>
      <c r="D668" s="64"/>
      <c r="E668" s="64"/>
      <c r="F668" s="64"/>
      <c r="G668" s="149"/>
      <c r="H668" s="148"/>
      <c r="I668" s="4"/>
      <c r="J668" s="5"/>
      <c r="K668" s="5"/>
      <c r="L668" s="5"/>
      <c r="M668" s="5"/>
      <c r="N668" s="5"/>
      <c r="O668" s="5"/>
      <c r="P668" s="5"/>
      <c r="Q668" s="5"/>
      <c r="R668" s="5"/>
      <c r="S668" s="5"/>
      <c r="T668" s="5"/>
      <c r="U668" s="5"/>
      <c r="V668" s="5"/>
      <c r="W668" s="5"/>
      <c r="X668" s="5"/>
      <c r="Y668" s="5"/>
    </row>
    <row r="669">
      <c r="A669" s="5"/>
      <c r="B669" s="64"/>
      <c r="C669" s="64"/>
      <c r="D669" s="64"/>
      <c r="E669" s="64"/>
      <c r="F669" s="64"/>
      <c r="G669" s="149"/>
      <c r="H669" s="148"/>
      <c r="I669" s="4"/>
      <c r="J669" s="5"/>
      <c r="K669" s="5"/>
      <c r="L669" s="5"/>
      <c r="M669" s="5"/>
      <c r="N669" s="5"/>
      <c r="O669" s="5"/>
      <c r="P669" s="5"/>
      <c r="Q669" s="5"/>
      <c r="R669" s="5"/>
      <c r="S669" s="5"/>
      <c r="T669" s="5"/>
      <c r="U669" s="5"/>
      <c r="V669" s="5"/>
      <c r="W669" s="5"/>
      <c r="X669" s="5"/>
      <c r="Y669" s="5"/>
    </row>
    <row r="670">
      <c r="A670" s="5"/>
      <c r="B670" s="64"/>
      <c r="C670" s="64"/>
      <c r="D670" s="64"/>
      <c r="E670" s="64"/>
      <c r="F670" s="64"/>
      <c r="G670" s="149"/>
      <c r="H670" s="148"/>
      <c r="I670" s="4"/>
      <c r="J670" s="5"/>
      <c r="K670" s="5"/>
      <c r="L670" s="5"/>
      <c r="M670" s="5"/>
      <c r="N670" s="5"/>
      <c r="O670" s="5"/>
      <c r="P670" s="5"/>
      <c r="Q670" s="5"/>
      <c r="R670" s="5"/>
      <c r="S670" s="5"/>
      <c r="T670" s="5"/>
      <c r="U670" s="5"/>
      <c r="V670" s="5"/>
      <c r="W670" s="5"/>
      <c r="X670" s="5"/>
      <c r="Y670" s="5"/>
    </row>
    <row r="671">
      <c r="A671" s="5"/>
      <c r="B671" s="64"/>
      <c r="C671" s="64"/>
      <c r="D671" s="64"/>
      <c r="E671" s="64"/>
      <c r="F671" s="64"/>
      <c r="G671" s="149"/>
      <c r="H671" s="148"/>
      <c r="I671" s="4"/>
      <c r="J671" s="5"/>
      <c r="K671" s="5"/>
      <c r="L671" s="5"/>
      <c r="M671" s="5"/>
      <c r="N671" s="5"/>
      <c r="O671" s="5"/>
      <c r="P671" s="5"/>
      <c r="Q671" s="5"/>
      <c r="R671" s="5"/>
      <c r="S671" s="5"/>
      <c r="T671" s="5"/>
      <c r="U671" s="5"/>
      <c r="V671" s="5"/>
      <c r="W671" s="5"/>
      <c r="X671" s="5"/>
      <c r="Y671" s="5"/>
    </row>
    <row r="672">
      <c r="A672" s="5"/>
      <c r="B672" s="64"/>
      <c r="C672" s="64"/>
      <c r="D672" s="64"/>
      <c r="E672" s="64"/>
      <c r="F672" s="64"/>
      <c r="G672" s="149"/>
      <c r="H672" s="148"/>
      <c r="I672" s="4"/>
      <c r="J672" s="5"/>
      <c r="K672" s="5"/>
      <c r="L672" s="5"/>
      <c r="M672" s="5"/>
      <c r="N672" s="5"/>
      <c r="O672" s="5"/>
      <c r="P672" s="5"/>
      <c r="Q672" s="5"/>
      <c r="R672" s="5"/>
      <c r="S672" s="5"/>
      <c r="T672" s="5"/>
      <c r="U672" s="5"/>
      <c r="V672" s="5"/>
      <c r="W672" s="5"/>
      <c r="X672" s="5"/>
      <c r="Y672" s="5"/>
    </row>
    <row r="673">
      <c r="A673" s="5"/>
      <c r="B673" s="64"/>
      <c r="C673" s="64"/>
      <c r="D673" s="64"/>
      <c r="E673" s="64"/>
      <c r="F673" s="64"/>
      <c r="G673" s="149"/>
      <c r="H673" s="148"/>
      <c r="I673" s="4"/>
      <c r="J673" s="5"/>
      <c r="K673" s="5"/>
      <c r="L673" s="5"/>
      <c r="M673" s="5"/>
      <c r="N673" s="5"/>
      <c r="O673" s="5"/>
      <c r="P673" s="5"/>
      <c r="Q673" s="5"/>
      <c r="R673" s="5"/>
      <c r="S673" s="5"/>
      <c r="T673" s="5"/>
      <c r="U673" s="5"/>
      <c r="V673" s="5"/>
      <c r="W673" s="5"/>
      <c r="X673" s="5"/>
      <c r="Y673" s="5"/>
    </row>
    <row r="674">
      <c r="A674" s="5"/>
      <c r="B674" s="64"/>
      <c r="C674" s="64"/>
      <c r="D674" s="64"/>
      <c r="E674" s="64"/>
      <c r="F674" s="64"/>
      <c r="G674" s="149"/>
      <c r="H674" s="148"/>
      <c r="I674" s="4"/>
      <c r="J674" s="5"/>
      <c r="K674" s="5"/>
      <c r="L674" s="5"/>
      <c r="M674" s="5"/>
      <c r="N674" s="5"/>
      <c r="O674" s="5"/>
      <c r="P674" s="5"/>
      <c r="Q674" s="5"/>
      <c r="R674" s="5"/>
      <c r="S674" s="5"/>
      <c r="T674" s="5"/>
      <c r="U674" s="5"/>
      <c r="V674" s="5"/>
      <c r="W674" s="5"/>
      <c r="X674" s="5"/>
      <c r="Y674" s="5"/>
    </row>
    <row r="675">
      <c r="A675" s="5"/>
      <c r="B675" s="64"/>
      <c r="C675" s="64"/>
      <c r="D675" s="64"/>
      <c r="E675" s="64"/>
      <c r="F675" s="64"/>
      <c r="G675" s="149"/>
      <c r="H675" s="148"/>
      <c r="I675" s="4"/>
      <c r="J675" s="5"/>
      <c r="K675" s="5"/>
      <c r="L675" s="5"/>
      <c r="M675" s="5"/>
      <c r="N675" s="5"/>
      <c r="O675" s="5"/>
      <c r="P675" s="5"/>
      <c r="Q675" s="5"/>
      <c r="R675" s="5"/>
      <c r="S675" s="5"/>
      <c r="T675" s="5"/>
      <c r="U675" s="5"/>
      <c r="V675" s="5"/>
      <c r="W675" s="5"/>
      <c r="X675" s="5"/>
      <c r="Y675" s="5"/>
    </row>
    <row r="676">
      <c r="A676" s="5"/>
      <c r="B676" s="64"/>
      <c r="C676" s="64"/>
      <c r="D676" s="64"/>
      <c r="E676" s="64"/>
      <c r="F676" s="64"/>
      <c r="G676" s="149"/>
      <c r="H676" s="148"/>
      <c r="I676" s="4"/>
      <c r="J676" s="5"/>
      <c r="K676" s="5"/>
      <c r="L676" s="5"/>
      <c r="M676" s="5"/>
      <c r="N676" s="5"/>
      <c r="O676" s="5"/>
      <c r="P676" s="5"/>
      <c r="Q676" s="5"/>
      <c r="R676" s="5"/>
      <c r="S676" s="5"/>
      <c r="T676" s="5"/>
      <c r="U676" s="5"/>
      <c r="V676" s="5"/>
      <c r="W676" s="5"/>
      <c r="X676" s="5"/>
      <c r="Y676" s="5"/>
    </row>
    <row r="677">
      <c r="A677" s="5"/>
      <c r="B677" s="64"/>
      <c r="C677" s="64"/>
      <c r="D677" s="64"/>
      <c r="E677" s="64"/>
      <c r="F677" s="64"/>
      <c r="G677" s="149"/>
      <c r="H677" s="148"/>
      <c r="I677" s="4"/>
      <c r="J677" s="5"/>
      <c r="K677" s="5"/>
      <c r="L677" s="5"/>
      <c r="M677" s="5"/>
      <c r="N677" s="5"/>
      <c r="O677" s="5"/>
      <c r="P677" s="5"/>
      <c r="Q677" s="5"/>
      <c r="R677" s="5"/>
      <c r="S677" s="5"/>
      <c r="T677" s="5"/>
      <c r="U677" s="5"/>
      <c r="V677" s="5"/>
      <c r="W677" s="5"/>
      <c r="X677" s="5"/>
      <c r="Y677" s="5"/>
    </row>
    <row r="678">
      <c r="A678" s="5"/>
      <c r="B678" s="64"/>
      <c r="C678" s="64"/>
      <c r="D678" s="64"/>
      <c r="E678" s="64"/>
      <c r="F678" s="64"/>
      <c r="G678" s="149"/>
      <c r="H678" s="148"/>
      <c r="I678" s="4"/>
      <c r="J678" s="5"/>
      <c r="K678" s="5"/>
      <c r="L678" s="5"/>
      <c r="M678" s="5"/>
      <c r="N678" s="5"/>
      <c r="O678" s="5"/>
      <c r="P678" s="5"/>
      <c r="Q678" s="5"/>
      <c r="R678" s="5"/>
      <c r="S678" s="5"/>
      <c r="T678" s="5"/>
      <c r="U678" s="5"/>
      <c r="V678" s="5"/>
      <c r="W678" s="5"/>
      <c r="X678" s="5"/>
      <c r="Y678" s="5"/>
    </row>
    <row r="679">
      <c r="A679" s="5"/>
      <c r="B679" s="64"/>
      <c r="C679" s="64"/>
      <c r="D679" s="64"/>
      <c r="E679" s="64"/>
      <c r="F679" s="64"/>
      <c r="G679" s="149"/>
      <c r="H679" s="148"/>
      <c r="I679" s="4"/>
      <c r="J679" s="5"/>
      <c r="K679" s="5"/>
      <c r="L679" s="5"/>
      <c r="M679" s="5"/>
      <c r="N679" s="5"/>
      <c r="O679" s="5"/>
      <c r="P679" s="5"/>
      <c r="Q679" s="5"/>
      <c r="R679" s="5"/>
      <c r="S679" s="5"/>
      <c r="T679" s="5"/>
      <c r="U679" s="5"/>
      <c r="V679" s="5"/>
      <c r="W679" s="5"/>
      <c r="X679" s="5"/>
      <c r="Y679" s="5"/>
    </row>
    <row r="680">
      <c r="A680" s="5"/>
      <c r="B680" s="64"/>
      <c r="C680" s="64"/>
      <c r="D680" s="64"/>
      <c r="E680" s="64"/>
      <c r="F680" s="64"/>
      <c r="G680" s="149"/>
      <c r="H680" s="148"/>
      <c r="I680" s="4"/>
      <c r="J680" s="5"/>
      <c r="K680" s="5"/>
      <c r="L680" s="5"/>
      <c r="M680" s="5"/>
      <c r="N680" s="5"/>
      <c r="O680" s="5"/>
      <c r="P680" s="5"/>
      <c r="Q680" s="5"/>
      <c r="R680" s="5"/>
      <c r="S680" s="5"/>
      <c r="T680" s="5"/>
      <c r="U680" s="5"/>
      <c r="V680" s="5"/>
      <c r="W680" s="5"/>
      <c r="X680" s="5"/>
      <c r="Y680" s="5"/>
    </row>
    <row r="681">
      <c r="A681" s="5"/>
      <c r="B681" s="64"/>
      <c r="C681" s="64"/>
      <c r="D681" s="64"/>
      <c r="E681" s="64"/>
      <c r="F681" s="64"/>
      <c r="G681" s="149"/>
      <c r="H681" s="148"/>
      <c r="I681" s="4"/>
      <c r="J681" s="5"/>
      <c r="K681" s="5"/>
      <c r="L681" s="5"/>
      <c r="M681" s="5"/>
      <c r="N681" s="5"/>
      <c r="O681" s="5"/>
      <c r="P681" s="5"/>
      <c r="Q681" s="5"/>
      <c r="R681" s="5"/>
      <c r="S681" s="5"/>
      <c r="T681" s="5"/>
      <c r="U681" s="5"/>
      <c r="V681" s="5"/>
      <c r="W681" s="5"/>
      <c r="X681" s="5"/>
      <c r="Y681" s="5"/>
    </row>
    <row r="682">
      <c r="A682" s="5"/>
      <c r="B682" s="64"/>
      <c r="C682" s="64"/>
      <c r="D682" s="64"/>
      <c r="E682" s="64"/>
      <c r="F682" s="64"/>
      <c r="G682" s="149"/>
      <c r="H682" s="148"/>
      <c r="I682" s="4"/>
      <c r="J682" s="5"/>
      <c r="K682" s="5"/>
      <c r="L682" s="5"/>
      <c r="M682" s="5"/>
      <c r="N682" s="5"/>
      <c r="O682" s="5"/>
      <c r="P682" s="5"/>
      <c r="Q682" s="5"/>
      <c r="R682" s="5"/>
      <c r="S682" s="5"/>
      <c r="T682" s="5"/>
      <c r="U682" s="5"/>
      <c r="V682" s="5"/>
      <c r="W682" s="5"/>
      <c r="X682" s="5"/>
      <c r="Y682" s="5"/>
    </row>
    <row r="683">
      <c r="A683" s="5"/>
      <c r="B683" s="64"/>
      <c r="C683" s="64"/>
      <c r="D683" s="64"/>
      <c r="E683" s="64"/>
      <c r="F683" s="64"/>
      <c r="G683" s="149"/>
      <c r="H683" s="148"/>
      <c r="I683" s="4"/>
      <c r="J683" s="5"/>
      <c r="K683" s="5"/>
      <c r="L683" s="5"/>
      <c r="M683" s="5"/>
      <c r="N683" s="5"/>
      <c r="O683" s="5"/>
      <c r="P683" s="5"/>
      <c r="Q683" s="5"/>
      <c r="R683" s="5"/>
      <c r="S683" s="5"/>
      <c r="T683" s="5"/>
      <c r="U683" s="5"/>
      <c r="V683" s="5"/>
      <c r="W683" s="5"/>
      <c r="X683" s="5"/>
      <c r="Y683" s="5"/>
    </row>
    <row r="684">
      <c r="A684" s="5"/>
      <c r="B684" s="64"/>
      <c r="C684" s="64"/>
      <c r="D684" s="64"/>
      <c r="E684" s="64"/>
      <c r="F684" s="64"/>
      <c r="G684" s="149"/>
      <c r="H684" s="148"/>
      <c r="I684" s="4"/>
      <c r="J684" s="5"/>
      <c r="K684" s="5"/>
      <c r="L684" s="5"/>
      <c r="M684" s="5"/>
      <c r="N684" s="5"/>
      <c r="O684" s="5"/>
      <c r="P684" s="5"/>
      <c r="Q684" s="5"/>
      <c r="R684" s="5"/>
      <c r="S684" s="5"/>
      <c r="T684" s="5"/>
      <c r="U684" s="5"/>
      <c r="V684" s="5"/>
      <c r="W684" s="5"/>
      <c r="X684" s="5"/>
      <c r="Y684" s="5"/>
    </row>
    <row r="685">
      <c r="A685" s="5"/>
      <c r="B685" s="64"/>
      <c r="C685" s="64"/>
      <c r="D685" s="64"/>
      <c r="E685" s="64"/>
      <c r="F685" s="64"/>
      <c r="G685" s="149"/>
      <c r="H685" s="148"/>
      <c r="I685" s="4"/>
      <c r="J685" s="5"/>
      <c r="K685" s="5"/>
      <c r="L685" s="5"/>
      <c r="M685" s="5"/>
      <c r="N685" s="5"/>
      <c r="O685" s="5"/>
      <c r="P685" s="5"/>
      <c r="Q685" s="5"/>
      <c r="R685" s="5"/>
      <c r="S685" s="5"/>
      <c r="T685" s="5"/>
      <c r="U685" s="5"/>
      <c r="V685" s="5"/>
      <c r="W685" s="5"/>
      <c r="X685" s="5"/>
      <c r="Y685" s="5"/>
    </row>
    <row r="686">
      <c r="A686" s="5"/>
      <c r="B686" s="64"/>
      <c r="C686" s="64"/>
      <c r="D686" s="64"/>
      <c r="E686" s="64"/>
      <c r="F686" s="64"/>
      <c r="G686" s="149"/>
      <c r="H686" s="148"/>
      <c r="I686" s="4"/>
      <c r="J686" s="5"/>
      <c r="K686" s="5"/>
      <c r="L686" s="5"/>
      <c r="M686" s="5"/>
      <c r="N686" s="5"/>
      <c r="O686" s="5"/>
      <c r="P686" s="5"/>
      <c r="Q686" s="5"/>
      <c r="R686" s="5"/>
      <c r="S686" s="5"/>
      <c r="T686" s="5"/>
      <c r="U686" s="5"/>
      <c r="V686" s="5"/>
      <c r="W686" s="5"/>
      <c r="X686" s="5"/>
      <c r="Y686" s="5"/>
    </row>
    <row r="687">
      <c r="A687" s="5"/>
      <c r="B687" s="64"/>
      <c r="C687" s="64"/>
      <c r="D687" s="64"/>
      <c r="E687" s="64"/>
      <c r="F687" s="64"/>
      <c r="G687" s="149"/>
      <c r="H687" s="148"/>
      <c r="I687" s="4"/>
      <c r="J687" s="5"/>
      <c r="K687" s="5"/>
      <c r="L687" s="5"/>
      <c r="M687" s="5"/>
      <c r="N687" s="5"/>
      <c r="O687" s="5"/>
      <c r="P687" s="5"/>
      <c r="Q687" s="5"/>
      <c r="R687" s="5"/>
      <c r="S687" s="5"/>
      <c r="T687" s="5"/>
      <c r="U687" s="5"/>
      <c r="V687" s="5"/>
      <c r="W687" s="5"/>
      <c r="X687" s="5"/>
      <c r="Y687" s="5"/>
    </row>
    <row r="688">
      <c r="A688" s="5"/>
      <c r="B688" s="64"/>
      <c r="C688" s="64"/>
      <c r="D688" s="64"/>
      <c r="E688" s="64"/>
      <c r="F688" s="64"/>
      <c r="G688" s="149"/>
      <c r="H688" s="148"/>
      <c r="I688" s="4"/>
      <c r="J688" s="5"/>
      <c r="K688" s="5"/>
      <c r="L688" s="5"/>
      <c r="M688" s="5"/>
      <c r="N688" s="5"/>
      <c r="O688" s="5"/>
      <c r="P688" s="5"/>
      <c r="Q688" s="5"/>
      <c r="R688" s="5"/>
      <c r="S688" s="5"/>
      <c r="T688" s="5"/>
      <c r="U688" s="5"/>
      <c r="V688" s="5"/>
      <c r="W688" s="5"/>
      <c r="X688" s="5"/>
      <c r="Y688" s="5"/>
    </row>
    <row r="689">
      <c r="A689" s="5"/>
      <c r="B689" s="64"/>
      <c r="C689" s="64"/>
      <c r="D689" s="64"/>
      <c r="E689" s="64"/>
      <c r="F689" s="64"/>
      <c r="G689" s="149"/>
      <c r="H689" s="148"/>
      <c r="I689" s="4"/>
      <c r="J689" s="5"/>
      <c r="K689" s="5"/>
      <c r="L689" s="5"/>
      <c r="M689" s="5"/>
      <c r="N689" s="5"/>
      <c r="O689" s="5"/>
      <c r="P689" s="5"/>
      <c r="Q689" s="5"/>
      <c r="R689" s="5"/>
      <c r="S689" s="5"/>
      <c r="T689" s="5"/>
      <c r="U689" s="5"/>
      <c r="V689" s="5"/>
      <c r="W689" s="5"/>
      <c r="X689" s="5"/>
      <c r="Y689" s="5"/>
    </row>
    <row r="690">
      <c r="A690" s="5"/>
      <c r="B690" s="64"/>
      <c r="C690" s="64"/>
      <c r="D690" s="64"/>
      <c r="E690" s="64"/>
      <c r="F690" s="64"/>
      <c r="G690" s="149"/>
      <c r="H690" s="148"/>
      <c r="I690" s="4"/>
      <c r="J690" s="5"/>
      <c r="K690" s="5"/>
      <c r="L690" s="5"/>
      <c r="M690" s="5"/>
      <c r="N690" s="5"/>
      <c r="O690" s="5"/>
      <c r="P690" s="5"/>
      <c r="Q690" s="5"/>
      <c r="R690" s="5"/>
      <c r="S690" s="5"/>
      <c r="T690" s="5"/>
      <c r="U690" s="5"/>
      <c r="V690" s="5"/>
      <c r="W690" s="5"/>
      <c r="X690" s="5"/>
      <c r="Y690" s="5"/>
    </row>
    <row r="691">
      <c r="A691" s="5"/>
      <c r="B691" s="64"/>
      <c r="C691" s="64"/>
      <c r="D691" s="64"/>
      <c r="E691" s="64"/>
      <c r="F691" s="64"/>
      <c r="G691" s="149"/>
      <c r="H691" s="148"/>
      <c r="I691" s="4"/>
      <c r="J691" s="5"/>
      <c r="K691" s="5"/>
      <c r="L691" s="5"/>
      <c r="M691" s="5"/>
      <c r="N691" s="5"/>
      <c r="O691" s="5"/>
      <c r="P691" s="5"/>
      <c r="Q691" s="5"/>
      <c r="R691" s="5"/>
      <c r="S691" s="5"/>
      <c r="T691" s="5"/>
      <c r="U691" s="5"/>
      <c r="V691" s="5"/>
      <c r="W691" s="5"/>
      <c r="X691" s="5"/>
      <c r="Y691" s="5"/>
    </row>
    <row r="692">
      <c r="A692" s="5"/>
      <c r="B692" s="64"/>
      <c r="C692" s="64"/>
      <c r="D692" s="64"/>
      <c r="E692" s="64"/>
      <c r="F692" s="64"/>
      <c r="G692" s="149"/>
      <c r="H692" s="148"/>
      <c r="I692" s="4"/>
      <c r="J692" s="5"/>
      <c r="K692" s="5"/>
      <c r="L692" s="5"/>
      <c r="M692" s="5"/>
      <c r="N692" s="5"/>
      <c r="O692" s="5"/>
      <c r="P692" s="5"/>
      <c r="Q692" s="5"/>
      <c r="R692" s="5"/>
      <c r="S692" s="5"/>
      <c r="T692" s="5"/>
      <c r="U692" s="5"/>
      <c r="V692" s="5"/>
      <c r="W692" s="5"/>
      <c r="X692" s="5"/>
      <c r="Y692" s="5"/>
    </row>
    <row r="693">
      <c r="A693" s="5"/>
      <c r="B693" s="64"/>
      <c r="C693" s="64"/>
      <c r="D693" s="64"/>
      <c r="E693" s="64"/>
      <c r="F693" s="64"/>
      <c r="G693" s="149"/>
      <c r="H693" s="148"/>
      <c r="I693" s="4"/>
      <c r="J693" s="5"/>
      <c r="K693" s="5"/>
      <c r="L693" s="5"/>
      <c r="M693" s="5"/>
      <c r="N693" s="5"/>
      <c r="O693" s="5"/>
      <c r="P693" s="5"/>
      <c r="Q693" s="5"/>
      <c r="R693" s="5"/>
      <c r="S693" s="5"/>
      <c r="T693" s="5"/>
      <c r="U693" s="5"/>
      <c r="V693" s="5"/>
      <c r="W693" s="5"/>
      <c r="X693" s="5"/>
      <c r="Y693" s="5"/>
    </row>
    <row r="694">
      <c r="A694" s="5"/>
      <c r="B694" s="64"/>
      <c r="C694" s="64"/>
      <c r="D694" s="64"/>
      <c r="E694" s="64"/>
      <c r="F694" s="64"/>
      <c r="G694" s="149"/>
      <c r="H694" s="148"/>
      <c r="I694" s="4"/>
      <c r="J694" s="5"/>
      <c r="K694" s="5"/>
      <c r="L694" s="5"/>
      <c r="M694" s="5"/>
      <c r="N694" s="5"/>
      <c r="O694" s="5"/>
      <c r="P694" s="5"/>
      <c r="Q694" s="5"/>
      <c r="R694" s="5"/>
      <c r="S694" s="5"/>
      <c r="T694" s="5"/>
      <c r="U694" s="5"/>
      <c r="V694" s="5"/>
      <c r="W694" s="5"/>
      <c r="X694" s="5"/>
      <c r="Y694" s="5"/>
    </row>
    <row r="695">
      <c r="A695" s="5"/>
      <c r="B695" s="64"/>
      <c r="C695" s="64"/>
      <c r="D695" s="64"/>
      <c r="E695" s="64"/>
      <c r="F695" s="64"/>
      <c r="G695" s="149"/>
      <c r="H695" s="148"/>
      <c r="I695" s="4"/>
      <c r="J695" s="5"/>
      <c r="K695" s="5"/>
      <c r="L695" s="5"/>
      <c r="M695" s="5"/>
      <c r="N695" s="5"/>
      <c r="O695" s="5"/>
      <c r="P695" s="5"/>
      <c r="Q695" s="5"/>
      <c r="R695" s="5"/>
      <c r="S695" s="5"/>
      <c r="T695" s="5"/>
      <c r="U695" s="5"/>
      <c r="V695" s="5"/>
      <c r="W695" s="5"/>
      <c r="X695" s="5"/>
      <c r="Y695" s="5"/>
    </row>
    <row r="696">
      <c r="A696" s="5"/>
      <c r="B696" s="64"/>
      <c r="C696" s="64"/>
      <c r="D696" s="64"/>
      <c r="E696" s="64"/>
      <c r="F696" s="64"/>
      <c r="G696" s="149"/>
      <c r="H696" s="148"/>
      <c r="I696" s="4"/>
      <c r="J696" s="5"/>
      <c r="K696" s="5"/>
      <c r="L696" s="5"/>
      <c r="M696" s="5"/>
      <c r="N696" s="5"/>
      <c r="O696" s="5"/>
      <c r="P696" s="5"/>
      <c r="Q696" s="5"/>
      <c r="R696" s="5"/>
      <c r="S696" s="5"/>
      <c r="T696" s="5"/>
      <c r="U696" s="5"/>
      <c r="V696" s="5"/>
      <c r="W696" s="5"/>
      <c r="X696" s="5"/>
      <c r="Y696" s="5"/>
    </row>
    <row r="697">
      <c r="A697" s="5"/>
      <c r="B697" s="64"/>
      <c r="C697" s="64"/>
      <c r="D697" s="64"/>
      <c r="E697" s="64"/>
      <c r="F697" s="64"/>
      <c r="G697" s="149"/>
      <c r="H697" s="148"/>
      <c r="I697" s="4"/>
      <c r="J697" s="5"/>
      <c r="K697" s="5"/>
      <c r="L697" s="5"/>
      <c r="M697" s="5"/>
      <c r="N697" s="5"/>
      <c r="O697" s="5"/>
      <c r="P697" s="5"/>
      <c r="Q697" s="5"/>
      <c r="R697" s="5"/>
      <c r="S697" s="5"/>
      <c r="T697" s="5"/>
      <c r="U697" s="5"/>
      <c r="V697" s="5"/>
      <c r="W697" s="5"/>
      <c r="X697" s="5"/>
      <c r="Y697" s="5"/>
    </row>
    <row r="698">
      <c r="A698" s="5"/>
      <c r="B698" s="64"/>
      <c r="C698" s="64"/>
      <c r="D698" s="64"/>
      <c r="E698" s="64"/>
      <c r="F698" s="64"/>
      <c r="G698" s="149"/>
      <c r="H698" s="148"/>
      <c r="I698" s="4"/>
      <c r="J698" s="5"/>
      <c r="K698" s="5"/>
      <c r="L698" s="5"/>
      <c r="M698" s="5"/>
      <c r="N698" s="5"/>
      <c r="O698" s="5"/>
      <c r="P698" s="5"/>
      <c r="Q698" s="5"/>
      <c r="R698" s="5"/>
      <c r="S698" s="5"/>
      <c r="T698" s="5"/>
      <c r="U698" s="5"/>
      <c r="V698" s="5"/>
      <c r="W698" s="5"/>
      <c r="X698" s="5"/>
      <c r="Y698" s="5"/>
    </row>
    <row r="699">
      <c r="A699" s="5"/>
      <c r="B699" s="64"/>
      <c r="C699" s="64"/>
      <c r="D699" s="64"/>
      <c r="E699" s="64"/>
      <c r="F699" s="64"/>
      <c r="G699" s="149"/>
      <c r="H699" s="148"/>
      <c r="I699" s="4"/>
      <c r="J699" s="5"/>
      <c r="K699" s="5"/>
      <c r="L699" s="5"/>
      <c r="M699" s="5"/>
      <c r="N699" s="5"/>
      <c r="O699" s="5"/>
      <c r="P699" s="5"/>
      <c r="Q699" s="5"/>
      <c r="R699" s="5"/>
      <c r="S699" s="5"/>
      <c r="T699" s="5"/>
      <c r="U699" s="5"/>
      <c r="V699" s="5"/>
      <c r="W699" s="5"/>
      <c r="X699" s="5"/>
      <c r="Y699" s="5"/>
    </row>
    <row r="700">
      <c r="A700" s="5"/>
      <c r="B700" s="64"/>
      <c r="C700" s="64"/>
      <c r="D700" s="64"/>
      <c r="E700" s="64"/>
      <c r="F700" s="64"/>
      <c r="G700" s="149"/>
      <c r="H700" s="148"/>
      <c r="I700" s="4"/>
      <c r="J700" s="5"/>
      <c r="K700" s="5"/>
      <c r="L700" s="5"/>
      <c r="M700" s="5"/>
      <c r="N700" s="5"/>
      <c r="O700" s="5"/>
      <c r="P700" s="5"/>
      <c r="Q700" s="5"/>
      <c r="R700" s="5"/>
      <c r="S700" s="5"/>
      <c r="T700" s="5"/>
      <c r="U700" s="5"/>
      <c r="V700" s="5"/>
      <c r="W700" s="5"/>
      <c r="X700" s="5"/>
      <c r="Y700" s="5"/>
    </row>
    <row r="701">
      <c r="A701" s="5"/>
      <c r="B701" s="64"/>
      <c r="C701" s="64"/>
      <c r="D701" s="64"/>
      <c r="E701" s="64"/>
      <c r="F701" s="64"/>
      <c r="G701" s="149"/>
      <c r="H701" s="148"/>
      <c r="I701" s="4"/>
      <c r="J701" s="5"/>
      <c r="K701" s="5"/>
      <c r="L701" s="5"/>
      <c r="M701" s="5"/>
      <c r="N701" s="5"/>
      <c r="O701" s="5"/>
      <c r="P701" s="5"/>
      <c r="Q701" s="5"/>
      <c r="R701" s="5"/>
      <c r="S701" s="5"/>
      <c r="T701" s="5"/>
      <c r="U701" s="5"/>
      <c r="V701" s="5"/>
      <c r="W701" s="5"/>
      <c r="X701" s="5"/>
      <c r="Y701" s="5"/>
    </row>
    <row r="702">
      <c r="A702" s="5"/>
      <c r="B702" s="64"/>
      <c r="C702" s="64"/>
      <c r="D702" s="64"/>
      <c r="E702" s="64"/>
      <c r="F702" s="64"/>
      <c r="G702" s="149"/>
      <c r="H702" s="148"/>
      <c r="I702" s="4"/>
      <c r="J702" s="5"/>
      <c r="K702" s="5"/>
      <c r="L702" s="5"/>
      <c r="M702" s="5"/>
      <c r="N702" s="5"/>
      <c r="O702" s="5"/>
      <c r="P702" s="5"/>
      <c r="Q702" s="5"/>
      <c r="R702" s="5"/>
      <c r="S702" s="5"/>
      <c r="T702" s="5"/>
      <c r="U702" s="5"/>
      <c r="V702" s="5"/>
      <c r="W702" s="5"/>
      <c r="X702" s="5"/>
      <c r="Y702" s="5"/>
    </row>
    <row r="703">
      <c r="A703" s="5"/>
      <c r="B703" s="64"/>
      <c r="C703" s="64"/>
      <c r="D703" s="64"/>
      <c r="E703" s="64"/>
      <c r="F703" s="64"/>
      <c r="G703" s="149"/>
      <c r="H703" s="148"/>
      <c r="I703" s="4"/>
      <c r="J703" s="5"/>
      <c r="K703" s="5"/>
      <c r="L703" s="5"/>
      <c r="M703" s="5"/>
      <c r="N703" s="5"/>
      <c r="O703" s="5"/>
      <c r="P703" s="5"/>
      <c r="Q703" s="5"/>
      <c r="R703" s="5"/>
      <c r="S703" s="5"/>
      <c r="T703" s="5"/>
      <c r="U703" s="5"/>
      <c r="V703" s="5"/>
      <c r="W703" s="5"/>
      <c r="X703" s="5"/>
      <c r="Y703" s="5"/>
    </row>
    <row r="704">
      <c r="A704" s="5"/>
      <c r="B704" s="64"/>
      <c r="C704" s="64"/>
      <c r="D704" s="64"/>
      <c r="E704" s="64"/>
      <c r="F704" s="64"/>
      <c r="G704" s="149"/>
      <c r="H704" s="148"/>
      <c r="I704" s="4"/>
      <c r="J704" s="5"/>
      <c r="K704" s="5"/>
      <c r="L704" s="5"/>
      <c r="M704" s="5"/>
      <c r="N704" s="5"/>
      <c r="O704" s="5"/>
      <c r="P704" s="5"/>
      <c r="Q704" s="5"/>
      <c r="R704" s="5"/>
      <c r="S704" s="5"/>
      <c r="T704" s="5"/>
      <c r="U704" s="5"/>
      <c r="V704" s="5"/>
      <c r="W704" s="5"/>
      <c r="X704" s="5"/>
      <c r="Y704" s="5"/>
    </row>
    <row r="705">
      <c r="A705" s="5"/>
      <c r="B705" s="64"/>
      <c r="C705" s="64"/>
      <c r="D705" s="64"/>
      <c r="E705" s="64"/>
      <c r="F705" s="64"/>
      <c r="G705" s="149"/>
      <c r="H705" s="148"/>
      <c r="I705" s="4"/>
      <c r="J705" s="5"/>
      <c r="K705" s="5"/>
      <c r="L705" s="5"/>
      <c r="M705" s="5"/>
      <c r="N705" s="5"/>
      <c r="O705" s="5"/>
      <c r="P705" s="5"/>
      <c r="Q705" s="5"/>
      <c r="R705" s="5"/>
      <c r="S705" s="5"/>
      <c r="T705" s="5"/>
      <c r="U705" s="5"/>
      <c r="V705" s="5"/>
      <c r="W705" s="5"/>
      <c r="X705" s="5"/>
      <c r="Y705" s="5"/>
    </row>
    <row r="706">
      <c r="A706" s="5"/>
      <c r="B706" s="64"/>
      <c r="C706" s="64"/>
      <c r="D706" s="64"/>
      <c r="E706" s="64"/>
      <c r="F706" s="64"/>
      <c r="G706" s="149"/>
      <c r="H706" s="148"/>
      <c r="I706" s="4"/>
      <c r="J706" s="5"/>
      <c r="K706" s="5"/>
      <c r="L706" s="5"/>
      <c r="M706" s="5"/>
      <c r="N706" s="5"/>
      <c r="O706" s="5"/>
      <c r="P706" s="5"/>
      <c r="Q706" s="5"/>
      <c r="R706" s="5"/>
      <c r="S706" s="5"/>
      <c r="T706" s="5"/>
      <c r="U706" s="5"/>
      <c r="V706" s="5"/>
      <c r="W706" s="5"/>
      <c r="X706" s="5"/>
      <c r="Y706" s="5"/>
    </row>
    <row r="707">
      <c r="A707" s="5"/>
      <c r="B707" s="64"/>
      <c r="C707" s="64"/>
      <c r="D707" s="64"/>
      <c r="E707" s="64"/>
      <c r="F707" s="64"/>
      <c r="G707" s="149"/>
      <c r="H707" s="148"/>
      <c r="I707" s="4"/>
      <c r="J707" s="5"/>
      <c r="K707" s="5"/>
      <c r="L707" s="5"/>
      <c r="M707" s="5"/>
      <c r="N707" s="5"/>
      <c r="O707" s="5"/>
      <c r="P707" s="5"/>
      <c r="Q707" s="5"/>
      <c r="R707" s="5"/>
      <c r="S707" s="5"/>
      <c r="T707" s="5"/>
      <c r="U707" s="5"/>
      <c r="V707" s="5"/>
      <c r="W707" s="5"/>
      <c r="X707" s="5"/>
      <c r="Y707" s="5"/>
    </row>
    <row r="708">
      <c r="A708" s="5"/>
      <c r="B708" s="64"/>
      <c r="C708" s="64"/>
      <c r="D708" s="64"/>
      <c r="E708" s="64"/>
      <c r="F708" s="64"/>
      <c r="G708" s="149"/>
      <c r="H708" s="148"/>
      <c r="I708" s="4"/>
      <c r="J708" s="5"/>
      <c r="K708" s="5"/>
      <c r="L708" s="5"/>
      <c r="M708" s="5"/>
      <c r="N708" s="5"/>
      <c r="O708" s="5"/>
      <c r="P708" s="5"/>
      <c r="Q708" s="5"/>
      <c r="R708" s="5"/>
      <c r="S708" s="5"/>
      <c r="T708" s="5"/>
      <c r="U708" s="5"/>
      <c r="V708" s="5"/>
      <c r="W708" s="5"/>
      <c r="X708" s="5"/>
      <c r="Y708" s="5"/>
    </row>
    <row r="709">
      <c r="A709" s="5"/>
      <c r="B709" s="64"/>
      <c r="C709" s="64"/>
      <c r="D709" s="64"/>
      <c r="E709" s="64"/>
      <c r="F709" s="64"/>
      <c r="G709" s="149"/>
      <c r="H709" s="148"/>
      <c r="I709" s="4"/>
      <c r="J709" s="5"/>
      <c r="K709" s="5"/>
      <c r="L709" s="5"/>
      <c r="M709" s="5"/>
      <c r="N709" s="5"/>
      <c r="O709" s="5"/>
      <c r="P709" s="5"/>
      <c r="Q709" s="5"/>
      <c r="R709" s="5"/>
      <c r="S709" s="5"/>
      <c r="T709" s="5"/>
      <c r="U709" s="5"/>
      <c r="V709" s="5"/>
      <c r="W709" s="5"/>
      <c r="X709" s="5"/>
      <c r="Y709" s="5"/>
    </row>
    <row r="710">
      <c r="A710" s="5"/>
      <c r="B710" s="64"/>
      <c r="C710" s="64"/>
      <c r="D710" s="64"/>
      <c r="E710" s="64"/>
      <c r="F710" s="64"/>
      <c r="G710" s="149"/>
      <c r="H710" s="148"/>
      <c r="I710" s="4"/>
      <c r="J710" s="5"/>
      <c r="K710" s="5"/>
      <c r="L710" s="5"/>
      <c r="M710" s="5"/>
      <c r="N710" s="5"/>
      <c r="O710" s="5"/>
      <c r="P710" s="5"/>
      <c r="Q710" s="5"/>
      <c r="R710" s="5"/>
      <c r="S710" s="5"/>
      <c r="T710" s="5"/>
      <c r="U710" s="5"/>
      <c r="V710" s="5"/>
      <c r="W710" s="5"/>
      <c r="X710" s="5"/>
      <c r="Y710" s="5"/>
    </row>
    <row r="711">
      <c r="A711" s="5"/>
      <c r="B711" s="64"/>
      <c r="C711" s="64"/>
      <c r="D711" s="64"/>
      <c r="E711" s="64"/>
      <c r="F711" s="64"/>
      <c r="G711" s="149"/>
      <c r="H711" s="148"/>
      <c r="I711" s="4"/>
      <c r="J711" s="5"/>
      <c r="K711" s="5"/>
      <c r="L711" s="5"/>
      <c r="M711" s="5"/>
      <c r="N711" s="5"/>
      <c r="O711" s="5"/>
      <c r="P711" s="5"/>
      <c r="Q711" s="5"/>
      <c r="R711" s="5"/>
      <c r="S711" s="5"/>
      <c r="T711" s="5"/>
      <c r="U711" s="5"/>
      <c r="V711" s="5"/>
      <c r="W711" s="5"/>
      <c r="X711" s="5"/>
      <c r="Y711" s="5"/>
    </row>
    <row r="712">
      <c r="A712" s="5"/>
      <c r="B712" s="64"/>
      <c r="C712" s="64"/>
      <c r="D712" s="64"/>
      <c r="E712" s="64"/>
      <c r="F712" s="64"/>
      <c r="G712" s="149"/>
      <c r="H712" s="148"/>
      <c r="I712" s="4"/>
      <c r="J712" s="5"/>
      <c r="K712" s="5"/>
      <c r="L712" s="5"/>
      <c r="M712" s="5"/>
      <c r="N712" s="5"/>
      <c r="O712" s="5"/>
      <c r="P712" s="5"/>
      <c r="Q712" s="5"/>
      <c r="R712" s="5"/>
      <c r="S712" s="5"/>
      <c r="T712" s="5"/>
      <c r="U712" s="5"/>
      <c r="V712" s="5"/>
      <c r="W712" s="5"/>
      <c r="X712" s="5"/>
      <c r="Y712" s="5"/>
    </row>
    <row r="713">
      <c r="A713" s="5"/>
      <c r="B713" s="64"/>
      <c r="C713" s="64"/>
      <c r="D713" s="64"/>
      <c r="E713" s="64"/>
      <c r="F713" s="64"/>
      <c r="G713" s="149"/>
      <c r="H713" s="148"/>
      <c r="I713" s="4"/>
      <c r="J713" s="5"/>
      <c r="K713" s="5"/>
      <c r="L713" s="5"/>
      <c r="M713" s="5"/>
      <c r="N713" s="5"/>
      <c r="O713" s="5"/>
      <c r="P713" s="5"/>
      <c r="Q713" s="5"/>
      <c r="R713" s="5"/>
      <c r="S713" s="5"/>
      <c r="T713" s="5"/>
      <c r="U713" s="5"/>
      <c r="V713" s="5"/>
      <c r="W713" s="5"/>
      <c r="X713" s="5"/>
      <c r="Y713" s="5"/>
    </row>
    <row r="714">
      <c r="A714" s="5"/>
      <c r="B714" s="64"/>
      <c r="C714" s="64"/>
      <c r="D714" s="64"/>
      <c r="E714" s="64"/>
      <c r="F714" s="64"/>
      <c r="G714" s="149"/>
      <c r="H714" s="148"/>
      <c r="I714" s="4"/>
      <c r="J714" s="5"/>
      <c r="K714" s="5"/>
      <c r="L714" s="5"/>
      <c r="M714" s="5"/>
      <c r="N714" s="5"/>
      <c r="O714" s="5"/>
      <c r="P714" s="5"/>
      <c r="Q714" s="5"/>
      <c r="R714" s="5"/>
      <c r="S714" s="5"/>
      <c r="T714" s="5"/>
      <c r="U714" s="5"/>
      <c r="V714" s="5"/>
      <c r="W714" s="5"/>
      <c r="X714" s="5"/>
      <c r="Y714" s="5"/>
    </row>
    <row r="715">
      <c r="A715" s="5"/>
      <c r="B715" s="64"/>
      <c r="C715" s="64"/>
      <c r="D715" s="64"/>
      <c r="E715" s="64"/>
      <c r="F715" s="64"/>
      <c r="G715" s="149"/>
      <c r="H715" s="148"/>
      <c r="I715" s="4"/>
      <c r="J715" s="5"/>
      <c r="K715" s="5"/>
      <c r="L715" s="5"/>
      <c r="M715" s="5"/>
      <c r="N715" s="5"/>
      <c r="O715" s="5"/>
      <c r="P715" s="5"/>
      <c r="Q715" s="5"/>
      <c r="R715" s="5"/>
      <c r="S715" s="5"/>
      <c r="T715" s="5"/>
      <c r="U715" s="5"/>
      <c r="V715" s="5"/>
      <c r="W715" s="5"/>
      <c r="X715" s="5"/>
      <c r="Y715" s="5"/>
    </row>
    <row r="716">
      <c r="A716" s="5"/>
      <c r="B716" s="64"/>
      <c r="C716" s="64"/>
      <c r="D716" s="64"/>
      <c r="E716" s="64"/>
      <c r="F716" s="64"/>
      <c r="G716" s="149"/>
      <c r="H716" s="148"/>
      <c r="I716" s="4"/>
      <c r="J716" s="5"/>
      <c r="K716" s="5"/>
      <c r="L716" s="5"/>
      <c r="M716" s="5"/>
      <c r="N716" s="5"/>
      <c r="O716" s="5"/>
      <c r="P716" s="5"/>
      <c r="Q716" s="5"/>
      <c r="R716" s="5"/>
      <c r="S716" s="5"/>
      <c r="T716" s="5"/>
      <c r="U716" s="5"/>
      <c r="V716" s="5"/>
      <c r="W716" s="5"/>
      <c r="X716" s="5"/>
      <c r="Y716" s="5"/>
    </row>
    <row r="717">
      <c r="A717" s="5"/>
      <c r="B717" s="64"/>
      <c r="C717" s="64"/>
      <c r="D717" s="64"/>
      <c r="E717" s="64"/>
      <c r="F717" s="64"/>
      <c r="G717" s="149"/>
      <c r="H717" s="148"/>
      <c r="I717" s="4"/>
      <c r="J717" s="5"/>
      <c r="K717" s="5"/>
      <c r="L717" s="5"/>
      <c r="M717" s="5"/>
      <c r="N717" s="5"/>
      <c r="O717" s="5"/>
      <c r="P717" s="5"/>
      <c r="Q717" s="5"/>
      <c r="R717" s="5"/>
      <c r="S717" s="5"/>
      <c r="T717" s="5"/>
      <c r="U717" s="5"/>
      <c r="V717" s="5"/>
      <c r="W717" s="5"/>
      <c r="X717" s="5"/>
      <c r="Y717" s="5"/>
    </row>
    <row r="718">
      <c r="A718" s="5"/>
      <c r="B718" s="64"/>
      <c r="C718" s="64"/>
      <c r="D718" s="64"/>
      <c r="E718" s="64"/>
      <c r="F718" s="64"/>
      <c r="G718" s="149"/>
      <c r="H718" s="148"/>
      <c r="I718" s="4"/>
      <c r="J718" s="5"/>
      <c r="K718" s="5"/>
      <c r="L718" s="5"/>
      <c r="M718" s="5"/>
      <c r="N718" s="5"/>
      <c r="O718" s="5"/>
      <c r="P718" s="5"/>
      <c r="Q718" s="5"/>
      <c r="R718" s="5"/>
      <c r="S718" s="5"/>
      <c r="T718" s="5"/>
      <c r="U718" s="5"/>
      <c r="V718" s="5"/>
      <c r="W718" s="5"/>
      <c r="X718" s="5"/>
      <c r="Y718" s="5"/>
    </row>
    <row r="719">
      <c r="A719" s="5"/>
      <c r="B719" s="64"/>
      <c r="C719" s="64"/>
      <c r="D719" s="64"/>
      <c r="E719" s="64"/>
      <c r="F719" s="64"/>
      <c r="G719" s="149"/>
      <c r="H719" s="148"/>
      <c r="I719" s="4"/>
      <c r="J719" s="5"/>
      <c r="K719" s="5"/>
      <c r="L719" s="5"/>
      <c r="M719" s="5"/>
      <c r="N719" s="5"/>
      <c r="O719" s="5"/>
      <c r="P719" s="5"/>
      <c r="Q719" s="5"/>
      <c r="R719" s="5"/>
      <c r="S719" s="5"/>
      <c r="T719" s="5"/>
      <c r="U719" s="5"/>
      <c r="V719" s="5"/>
      <c r="W719" s="5"/>
      <c r="X719" s="5"/>
      <c r="Y719" s="5"/>
    </row>
    <row r="720">
      <c r="A720" s="5"/>
      <c r="B720" s="64"/>
      <c r="C720" s="64"/>
      <c r="D720" s="64"/>
      <c r="E720" s="64"/>
      <c r="F720" s="64"/>
      <c r="G720" s="149"/>
      <c r="H720" s="148"/>
      <c r="I720" s="4"/>
      <c r="J720" s="5"/>
      <c r="K720" s="5"/>
      <c r="L720" s="5"/>
      <c r="M720" s="5"/>
      <c r="N720" s="5"/>
      <c r="O720" s="5"/>
      <c r="P720" s="5"/>
      <c r="Q720" s="5"/>
      <c r="R720" s="5"/>
      <c r="S720" s="5"/>
      <c r="T720" s="5"/>
      <c r="U720" s="5"/>
      <c r="V720" s="5"/>
      <c r="W720" s="5"/>
      <c r="X720" s="5"/>
      <c r="Y720" s="5"/>
    </row>
    <row r="721">
      <c r="A721" s="5"/>
      <c r="B721" s="64"/>
      <c r="C721" s="64"/>
      <c r="D721" s="64"/>
      <c r="E721" s="64"/>
      <c r="F721" s="64"/>
      <c r="G721" s="149"/>
      <c r="H721" s="148"/>
      <c r="I721" s="4"/>
      <c r="J721" s="5"/>
      <c r="K721" s="5"/>
      <c r="L721" s="5"/>
      <c r="M721" s="5"/>
      <c r="N721" s="5"/>
      <c r="O721" s="5"/>
      <c r="P721" s="5"/>
      <c r="Q721" s="5"/>
      <c r="R721" s="5"/>
      <c r="S721" s="5"/>
      <c r="T721" s="5"/>
      <c r="U721" s="5"/>
      <c r="V721" s="5"/>
      <c r="W721" s="5"/>
      <c r="X721" s="5"/>
      <c r="Y721" s="5"/>
    </row>
    <row r="722">
      <c r="A722" s="5"/>
      <c r="B722" s="64"/>
      <c r="C722" s="64"/>
      <c r="D722" s="64"/>
      <c r="E722" s="64"/>
      <c r="F722" s="64"/>
      <c r="G722" s="149"/>
      <c r="H722" s="148"/>
      <c r="I722" s="4"/>
      <c r="J722" s="5"/>
      <c r="K722" s="5"/>
      <c r="L722" s="5"/>
      <c r="M722" s="5"/>
      <c r="N722" s="5"/>
      <c r="O722" s="5"/>
      <c r="P722" s="5"/>
      <c r="Q722" s="5"/>
      <c r="R722" s="5"/>
      <c r="S722" s="5"/>
      <c r="T722" s="5"/>
      <c r="U722" s="5"/>
      <c r="V722" s="5"/>
      <c r="W722" s="5"/>
      <c r="X722" s="5"/>
      <c r="Y722" s="5"/>
    </row>
    <row r="723">
      <c r="A723" s="5"/>
      <c r="B723" s="64"/>
      <c r="C723" s="64"/>
      <c r="D723" s="64"/>
      <c r="E723" s="64"/>
      <c r="F723" s="64"/>
      <c r="G723" s="149"/>
      <c r="H723" s="148"/>
      <c r="I723" s="4"/>
      <c r="J723" s="5"/>
      <c r="K723" s="5"/>
      <c r="L723" s="5"/>
      <c r="M723" s="5"/>
      <c r="N723" s="5"/>
      <c r="O723" s="5"/>
      <c r="P723" s="5"/>
      <c r="Q723" s="5"/>
      <c r="R723" s="5"/>
      <c r="S723" s="5"/>
      <c r="T723" s="5"/>
      <c r="U723" s="5"/>
      <c r="V723" s="5"/>
      <c r="W723" s="5"/>
      <c r="X723" s="5"/>
      <c r="Y723" s="5"/>
    </row>
    <row r="724">
      <c r="A724" s="5"/>
      <c r="B724" s="64"/>
      <c r="C724" s="64"/>
      <c r="D724" s="64"/>
      <c r="E724" s="64"/>
      <c r="F724" s="64"/>
      <c r="G724" s="149"/>
      <c r="H724" s="148"/>
      <c r="I724" s="4"/>
      <c r="J724" s="5"/>
      <c r="K724" s="5"/>
      <c r="L724" s="5"/>
      <c r="M724" s="5"/>
      <c r="N724" s="5"/>
      <c r="O724" s="5"/>
      <c r="P724" s="5"/>
      <c r="Q724" s="5"/>
      <c r="R724" s="5"/>
      <c r="S724" s="5"/>
      <c r="T724" s="5"/>
      <c r="U724" s="5"/>
      <c r="V724" s="5"/>
      <c r="W724" s="5"/>
      <c r="X724" s="5"/>
      <c r="Y724" s="5"/>
    </row>
    <row r="725">
      <c r="A725" s="5"/>
      <c r="B725" s="64"/>
      <c r="C725" s="64"/>
      <c r="D725" s="64"/>
      <c r="E725" s="64"/>
      <c r="F725" s="64"/>
      <c r="G725" s="149"/>
      <c r="H725" s="148"/>
      <c r="I725" s="4"/>
      <c r="J725" s="5"/>
      <c r="K725" s="5"/>
      <c r="L725" s="5"/>
      <c r="M725" s="5"/>
      <c r="N725" s="5"/>
      <c r="O725" s="5"/>
      <c r="P725" s="5"/>
      <c r="Q725" s="5"/>
      <c r="R725" s="5"/>
      <c r="S725" s="5"/>
      <c r="T725" s="5"/>
      <c r="U725" s="5"/>
      <c r="V725" s="5"/>
      <c r="W725" s="5"/>
      <c r="X725" s="5"/>
      <c r="Y725" s="5"/>
    </row>
    <row r="726">
      <c r="A726" s="5"/>
      <c r="B726" s="64"/>
      <c r="C726" s="64"/>
      <c r="D726" s="64"/>
      <c r="E726" s="64"/>
      <c r="F726" s="64"/>
      <c r="G726" s="149"/>
      <c r="H726" s="148"/>
      <c r="I726" s="4"/>
      <c r="J726" s="5"/>
      <c r="K726" s="5"/>
      <c r="L726" s="5"/>
      <c r="M726" s="5"/>
      <c r="N726" s="5"/>
      <c r="O726" s="5"/>
      <c r="P726" s="5"/>
      <c r="Q726" s="5"/>
      <c r="R726" s="5"/>
      <c r="S726" s="5"/>
      <c r="T726" s="5"/>
      <c r="U726" s="5"/>
      <c r="V726" s="5"/>
      <c r="W726" s="5"/>
      <c r="X726" s="5"/>
      <c r="Y726" s="5"/>
    </row>
    <row r="727">
      <c r="A727" s="5"/>
      <c r="B727" s="64"/>
      <c r="C727" s="64"/>
      <c r="D727" s="64"/>
      <c r="E727" s="64"/>
      <c r="F727" s="64"/>
      <c r="G727" s="149"/>
      <c r="H727" s="148"/>
      <c r="I727" s="4"/>
      <c r="J727" s="5"/>
      <c r="K727" s="5"/>
      <c r="L727" s="5"/>
      <c r="M727" s="5"/>
      <c r="N727" s="5"/>
      <c r="O727" s="5"/>
      <c r="P727" s="5"/>
      <c r="Q727" s="5"/>
      <c r="R727" s="5"/>
      <c r="S727" s="5"/>
      <c r="T727" s="5"/>
      <c r="U727" s="5"/>
      <c r="V727" s="5"/>
      <c r="W727" s="5"/>
      <c r="X727" s="5"/>
      <c r="Y727" s="5"/>
    </row>
    <row r="728">
      <c r="A728" s="5"/>
      <c r="B728" s="64"/>
      <c r="C728" s="64"/>
      <c r="D728" s="64"/>
      <c r="E728" s="64"/>
      <c r="F728" s="64"/>
      <c r="G728" s="149"/>
      <c r="H728" s="148"/>
      <c r="I728" s="4"/>
      <c r="J728" s="5"/>
      <c r="K728" s="5"/>
      <c r="L728" s="5"/>
      <c r="M728" s="5"/>
      <c r="N728" s="5"/>
      <c r="O728" s="5"/>
      <c r="P728" s="5"/>
      <c r="Q728" s="5"/>
      <c r="R728" s="5"/>
      <c r="S728" s="5"/>
      <c r="T728" s="5"/>
      <c r="U728" s="5"/>
      <c r="V728" s="5"/>
      <c r="W728" s="5"/>
      <c r="X728" s="5"/>
      <c r="Y728" s="5"/>
    </row>
    <row r="729">
      <c r="A729" s="5"/>
      <c r="B729" s="64"/>
      <c r="C729" s="64"/>
      <c r="D729" s="64"/>
      <c r="E729" s="64"/>
      <c r="F729" s="64"/>
      <c r="G729" s="149"/>
      <c r="H729" s="148"/>
      <c r="I729" s="4"/>
      <c r="J729" s="5"/>
      <c r="K729" s="5"/>
      <c r="L729" s="5"/>
      <c r="M729" s="5"/>
      <c r="N729" s="5"/>
      <c r="O729" s="5"/>
      <c r="P729" s="5"/>
      <c r="Q729" s="5"/>
      <c r="R729" s="5"/>
      <c r="S729" s="5"/>
      <c r="T729" s="5"/>
      <c r="U729" s="5"/>
      <c r="V729" s="5"/>
      <c r="W729" s="5"/>
      <c r="X729" s="5"/>
      <c r="Y729" s="5"/>
    </row>
    <row r="730">
      <c r="A730" s="5"/>
      <c r="B730" s="64"/>
      <c r="C730" s="64"/>
      <c r="D730" s="64"/>
      <c r="E730" s="64"/>
      <c r="F730" s="64"/>
      <c r="G730" s="149"/>
      <c r="H730" s="148"/>
      <c r="I730" s="4"/>
      <c r="J730" s="5"/>
      <c r="K730" s="5"/>
      <c r="L730" s="5"/>
      <c r="M730" s="5"/>
      <c r="N730" s="5"/>
      <c r="O730" s="5"/>
      <c r="P730" s="5"/>
      <c r="Q730" s="5"/>
      <c r="R730" s="5"/>
      <c r="S730" s="5"/>
      <c r="T730" s="5"/>
      <c r="U730" s="5"/>
      <c r="V730" s="5"/>
      <c r="W730" s="5"/>
      <c r="X730" s="5"/>
      <c r="Y730" s="5"/>
    </row>
    <row r="731">
      <c r="A731" s="5"/>
      <c r="B731" s="64"/>
      <c r="C731" s="64"/>
      <c r="D731" s="64"/>
      <c r="E731" s="64"/>
      <c r="F731" s="64"/>
      <c r="G731" s="149"/>
      <c r="H731" s="148"/>
      <c r="I731" s="4"/>
      <c r="J731" s="5"/>
      <c r="K731" s="5"/>
      <c r="L731" s="5"/>
      <c r="M731" s="5"/>
      <c r="N731" s="5"/>
      <c r="O731" s="5"/>
      <c r="P731" s="5"/>
      <c r="Q731" s="5"/>
      <c r="R731" s="5"/>
      <c r="S731" s="5"/>
      <c r="T731" s="5"/>
      <c r="U731" s="5"/>
      <c r="V731" s="5"/>
      <c r="W731" s="5"/>
      <c r="X731" s="5"/>
      <c r="Y731" s="5"/>
    </row>
    <row r="732">
      <c r="A732" s="5"/>
      <c r="B732" s="64"/>
      <c r="C732" s="64"/>
      <c r="D732" s="64"/>
      <c r="E732" s="64"/>
      <c r="F732" s="64"/>
      <c r="G732" s="149"/>
      <c r="H732" s="148"/>
      <c r="I732" s="4"/>
      <c r="J732" s="5"/>
      <c r="K732" s="5"/>
      <c r="L732" s="5"/>
      <c r="M732" s="5"/>
      <c r="N732" s="5"/>
      <c r="O732" s="5"/>
      <c r="P732" s="5"/>
      <c r="Q732" s="5"/>
      <c r="R732" s="5"/>
      <c r="S732" s="5"/>
      <c r="T732" s="5"/>
      <c r="U732" s="5"/>
      <c r="V732" s="5"/>
      <c r="W732" s="5"/>
      <c r="X732" s="5"/>
      <c r="Y732" s="5"/>
    </row>
    <row r="733">
      <c r="A733" s="5"/>
      <c r="B733" s="64"/>
      <c r="C733" s="64"/>
      <c r="D733" s="64"/>
      <c r="E733" s="64"/>
      <c r="F733" s="64"/>
      <c r="G733" s="149"/>
      <c r="H733" s="148"/>
      <c r="I733" s="4"/>
      <c r="J733" s="5"/>
      <c r="K733" s="5"/>
      <c r="L733" s="5"/>
      <c r="M733" s="5"/>
      <c r="N733" s="5"/>
      <c r="O733" s="5"/>
      <c r="P733" s="5"/>
      <c r="Q733" s="5"/>
      <c r="R733" s="5"/>
      <c r="S733" s="5"/>
      <c r="T733" s="5"/>
      <c r="U733" s="5"/>
      <c r="V733" s="5"/>
      <c r="W733" s="5"/>
      <c r="X733" s="5"/>
      <c r="Y733" s="5"/>
    </row>
    <row r="734">
      <c r="A734" s="5"/>
      <c r="B734" s="64"/>
      <c r="C734" s="64"/>
      <c r="D734" s="64"/>
      <c r="E734" s="64"/>
      <c r="F734" s="64"/>
      <c r="G734" s="149"/>
      <c r="H734" s="148"/>
      <c r="I734" s="4"/>
      <c r="J734" s="5"/>
      <c r="K734" s="5"/>
      <c r="L734" s="5"/>
      <c r="M734" s="5"/>
      <c r="N734" s="5"/>
      <c r="O734" s="5"/>
      <c r="P734" s="5"/>
      <c r="Q734" s="5"/>
      <c r="R734" s="5"/>
      <c r="S734" s="5"/>
      <c r="T734" s="5"/>
      <c r="U734" s="5"/>
      <c r="V734" s="5"/>
      <c r="W734" s="5"/>
      <c r="X734" s="5"/>
      <c r="Y734" s="5"/>
    </row>
    <row r="735">
      <c r="A735" s="5"/>
      <c r="B735" s="64"/>
      <c r="C735" s="64"/>
      <c r="D735" s="64"/>
      <c r="E735" s="64"/>
      <c r="F735" s="64"/>
      <c r="G735" s="149"/>
      <c r="H735" s="148"/>
      <c r="I735" s="4"/>
      <c r="J735" s="5"/>
      <c r="K735" s="5"/>
      <c r="L735" s="5"/>
      <c r="M735" s="5"/>
      <c r="N735" s="5"/>
      <c r="O735" s="5"/>
      <c r="P735" s="5"/>
      <c r="Q735" s="5"/>
      <c r="R735" s="5"/>
      <c r="S735" s="5"/>
      <c r="T735" s="5"/>
      <c r="U735" s="5"/>
      <c r="V735" s="5"/>
      <c r="W735" s="5"/>
      <c r="X735" s="5"/>
      <c r="Y735" s="5"/>
    </row>
    <row r="736">
      <c r="A736" s="5"/>
      <c r="B736" s="64"/>
      <c r="C736" s="64"/>
      <c r="D736" s="64"/>
      <c r="E736" s="64"/>
      <c r="F736" s="64"/>
      <c r="G736" s="149"/>
      <c r="H736" s="148"/>
      <c r="I736" s="4"/>
      <c r="J736" s="5"/>
      <c r="K736" s="5"/>
      <c r="L736" s="5"/>
      <c r="M736" s="5"/>
      <c r="N736" s="5"/>
      <c r="O736" s="5"/>
      <c r="P736" s="5"/>
      <c r="Q736" s="5"/>
      <c r="R736" s="5"/>
      <c r="S736" s="5"/>
      <c r="T736" s="5"/>
      <c r="U736" s="5"/>
      <c r="V736" s="5"/>
      <c r="W736" s="5"/>
      <c r="X736" s="5"/>
      <c r="Y736" s="5"/>
    </row>
    <row r="737">
      <c r="A737" s="5"/>
      <c r="B737" s="64"/>
      <c r="C737" s="64"/>
      <c r="D737" s="64"/>
      <c r="E737" s="64"/>
      <c r="F737" s="64"/>
      <c r="G737" s="149"/>
      <c r="H737" s="148"/>
      <c r="I737" s="4"/>
      <c r="J737" s="5"/>
      <c r="K737" s="5"/>
      <c r="L737" s="5"/>
      <c r="M737" s="5"/>
      <c r="N737" s="5"/>
      <c r="O737" s="5"/>
      <c r="P737" s="5"/>
      <c r="Q737" s="5"/>
      <c r="R737" s="5"/>
      <c r="S737" s="5"/>
      <c r="T737" s="5"/>
      <c r="U737" s="5"/>
      <c r="V737" s="5"/>
      <c r="W737" s="5"/>
      <c r="X737" s="5"/>
      <c r="Y737" s="5"/>
    </row>
    <row r="738">
      <c r="A738" s="5"/>
      <c r="B738" s="64"/>
      <c r="C738" s="64"/>
      <c r="D738" s="64"/>
      <c r="E738" s="64"/>
      <c r="F738" s="64"/>
      <c r="G738" s="149"/>
      <c r="H738" s="148"/>
      <c r="I738" s="4"/>
      <c r="J738" s="5"/>
      <c r="K738" s="5"/>
      <c r="L738" s="5"/>
      <c r="M738" s="5"/>
      <c r="N738" s="5"/>
      <c r="O738" s="5"/>
      <c r="P738" s="5"/>
      <c r="Q738" s="5"/>
      <c r="R738" s="5"/>
      <c r="S738" s="5"/>
      <c r="T738" s="5"/>
      <c r="U738" s="5"/>
      <c r="V738" s="5"/>
      <c r="W738" s="5"/>
      <c r="X738" s="5"/>
      <c r="Y738" s="5"/>
    </row>
    <row r="739">
      <c r="A739" s="5"/>
      <c r="B739" s="64"/>
      <c r="C739" s="64"/>
      <c r="D739" s="64"/>
      <c r="E739" s="64"/>
      <c r="F739" s="64"/>
      <c r="G739" s="149"/>
      <c r="H739" s="148"/>
      <c r="I739" s="4"/>
      <c r="J739" s="5"/>
      <c r="K739" s="5"/>
      <c r="L739" s="5"/>
      <c r="M739" s="5"/>
      <c r="N739" s="5"/>
      <c r="O739" s="5"/>
      <c r="P739" s="5"/>
      <c r="Q739" s="5"/>
      <c r="R739" s="5"/>
      <c r="S739" s="5"/>
      <c r="T739" s="5"/>
      <c r="U739" s="5"/>
      <c r="V739" s="5"/>
      <c r="W739" s="5"/>
      <c r="X739" s="5"/>
      <c r="Y739" s="5"/>
    </row>
    <row r="740">
      <c r="A740" s="5"/>
      <c r="B740" s="64"/>
      <c r="C740" s="64"/>
      <c r="D740" s="64"/>
      <c r="E740" s="64"/>
      <c r="F740" s="64"/>
      <c r="G740" s="149"/>
      <c r="H740" s="148"/>
      <c r="I740" s="4"/>
      <c r="J740" s="5"/>
      <c r="K740" s="5"/>
      <c r="L740" s="5"/>
      <c r="M740" s="5"/>
      <c r="N740" s="5"/>
      <c r="O740" s="5"/>
      <c r="P740" s="5"/>
      <c r="Q740" s="5"/>
      <c r="R740" s="5"/>
      <c r="S740" s="5"/>
      <c r="T740" s="5"/>
      <c r="U740" s="5"/>
      <c r="V740" s="5"/>
      <c r="W740" s="5"/>
      <c r="X740" s="5"/>
      <c r="Y740" s="5"/>
    </row>
    <row r="741">
      <c r="A741" s="5"/>
      <c r="B741" s="64"/>
      <c r="C741" s="64"/>
      <c r="D741" s="64"/>
      <c r="E741" s="64"/>
      <c r="F741" s="64"/>
      <c r="G741" s="149"/>
      <c r="H741" s="148"/>
      <c r="I741" s="4"/>
      <c r="J741" s="5"/>
      <c r="K741" s="5"/>
      <c r="L741" s="5"/>
      <c r="M741" s="5"/>
      <c r="N741" s="5"/>
      <c r="O741" s="5"/>
      <c r="P741" s="5"/>
      <c r="Q741" s="5"/>
      <c r="R741" s="5"/>
      <c r="S741" s="5"/>
      <c r="T741" s="5"/>
      <c r="U741" s="5"/>
      <c r="V741" s="5"/>
      <c r="W741" s="5"/>
      <c r="X741" s="5"/>
      <c r="Y741" s="5"/>
    </row>
    <row r="742">
      <c r="A742" s="5"/>
      <c r="B742" s="64"/>
      <c r="C742" s="64"/>
      <c r="D742" s="64"/>
      <c r="E742" s="64"/>
      <c r="F742" s="64"/>
      <c r="G742" s="149"/>
      <c r="H742" s="148"/>
      <c r="I742" s="4"/>
      <c r="J742" s="5"/>
      <c r="K742" s="5"/>
      <c r="L742" s="5"/>
      <c r="M742" s="5"/>
      <c r="N742" s="5"/>
      <c r="O742" s="5"/>
      <c r="P742" s="5"/>
      <c r="Q742" s="5"/>
      <c r="R742" s="5"/>
      <c r="S742" s="5"/>
      <c r="T742" s="5"/>
      <c r="U742" s="5"/>
      <c r="V742" s="5"/>
      <c r="W742" s="5"/>
      <c r="X742" s="5"/>
      <c r="Y742" s="5"/>
    </row>
    <row r="743">
      <c r="A743" s="5"/>
      <c r="B743" s="64"/>
      <c r="C743" s="64"/>
      <c r="D743" s="64"/>
      <c r="E743" s="64"/>
      <c r="F743" s="64"/>
      <c r="G743" s="149"/>
      <c r="H743" s="148"/>
      <c r="I743" s="4"/>
      <c r="J743" s="5"/>
      <c r="K743" s="5"/>
      <c r="L743" s="5"/>
      <c r="M743" s="5"/>
      <c r="N743" s="5"/>
      <c r="O743" s="5"/>
      <c r="P743" s="5"/>
      <c r="Q743" s="5"/>
      <c r="R743" s="5"/>
      <c r="S743" s="5"/>
      <c r="T743" s="5"/>
      <c r="U743" s="5"/>
      <c r="V743" s="5"/>
      <c r="W743" s="5"/>
      <c r="X743" s="5"/>
      <c r="Y743" s="5"/>
    </row>
    <row r="744">
      <c r="A744" s="5"/>
      <c r="B744" s="64"/>
      <c r="C744" s="64"/>
      <c r="D744" s="64"/>
      <c r="E744" s="64"/>
      <c r="F744" s="64"/>
      <c r="G744" s="149"/>
      <c r="H744" s="148"/>
      <c r="I744" s="4"/>
      <c r="J744" s="5"/>
      <c r="K744" s="5"/>
      <c r="L744" s="5"/>
      <c r="M744" s="5"/>
      <c r="N744" s="5"/>
      <c r="O744" s="5"/>
      <c r="P744" s="5"/>
      <c r="Q744" s="5"/>
      <c r="R744" s="5"/>
      <c r="S744" s="5"/>
      <c r="T744" s="5"/>
      <c r="U744" s="5"/>
      <c r="V744" s="5"/>
      <c r="W744" s="5"/>
      <c r="X744" s="5"/>
      <c r="Y744" s="5"/>
    </row>
    <row r="745">
      <c r="A745" s="5"/>
      <c r="B745" s="64"/>
      <c r="C745" s="64"/>
      <c r="D745" s="64"/>
      <c r="E745" s="64"/>
      <c r="F745" s="64"/>
      <c r="G745" s="149"/>
      <c r="H745" s="148"/>
      <c r="I745" s="4"/>
      <c r="J745" s="5"/>
      <c r="K745" s="5"/>
      <c r="L745" s="5"/>
      <c r="M745" s="5"/>
      <c r="N745" s="5"/>
      <c r="O745" s="5"/>
      <c r="P745" s="5"/>
      <c r="Q745" s="5"/>
      <c r="R745" s="5"/>
      <c r="S745" s="5"/>
      <c r="T745" s="5"/>
      <c r="U745" s="5"/>
      <c r="V745" s="5"/>
      <c r="W745" s="5"/>
      <c r="X745" s="5"/>
      <c r="Y745" s="5"/>
    </row>
    <row r="746">
      <c r="A746" s="5"/>
      <c r="B746" s="64"/>
      <c r="C746" s="64"/>
      <c r="D746" s="64"/>
      <c r="E746" s="64"/>
      <c r="F746" s="64"/>
      <c r="G746" s="149"/>
      <c r="H746" s="148"/>
      <c r="I746" s="4"/>
      <c r="J746" s="5"/>
      <c r="K746" s="5"/>
      <c r="L746" s="5"/>
      <c r="M746" s="5"/>
      <c r="N746" s="5"/>
      <c r="O746" s="5"/>
      <c r="P746" s="5"/>
      <c r="Q746" s="5"/>
      <c r="R746" s="5"/>
      <c r="S746" s="5"/>
      <c r="T746" s="5"/>
      <c r="U746" s="5"/>
      <c r="V746" s="5"/>
      <c r="W746" s="5"/>
      <c r="X746" s="5"/>
      <c r="Y746" s="5"/>
    </row>
    <row r="747">
      <c r="A747" s="5"/>
      <c r="B747" s="64"/>
      <c r="C747" s="64"/>
      <c r="D747" s="64"/>
      <c r="E747" s="64"/>
      <c r="F747" s="64"/>
      <c r="G747" s="149"/>
      <c r="H747" s="148"/>
      <c r="I747" s="4"/>
      <c r="J747" s="5"/>
      <c r="K747" s="5"/>
      <c r="L747" s="5"/>
      <c r="M747" s="5"/>
      <c r="N747" s="5"/>
      <c r="O747" s="5"/>
      <c r="P747" s="5"/>
      <c r="Q747" s="5"/>
      <c r="R747" s="5"/>
      <c r="S747" s="5"/>
      <c r="T747" s="5"/>
      <c r="U747" s="5"/>
      <c r="V747" s="5"/>
      <c r="W747" s="5"/>
      <c r="X747" s="5"/>
      <c r="Y747" s="5"/>
    </row>
    <row r="748">
      <c r="A748" s="5"/>
      <c r="B748" s="64"/>
      <c r="C748" s="64"/>
      <c r="D748" s="64"/>
      <c r="E748" s="64"/>
      <c r="F748" s="64"/>
      <c r="G748" s="149"/>
      <c r="H748" s="148"/>
      <c r="I748" s="4"/>
      <c r="J748" s="5"/>
      <c r="K748" s="5"/>
      <c r="L748" s="5"/>
      <c r="M748" s="5"/>
      <c r="N748" s="5"/>
      <c r="O748" s="5"/>
      <c r="P748" s="5"/>
      <c r="Q748" s="5"/>
      <c r="R748" s="5"/>
      <c r="S748" s="5"/>
      <c r="T748" s="5"/>
      <c r="U748" s="5"/>
      <c r="V748" s="5"/>
      <c r="W748" s="5"/>
      <c r="X748" s="5"/>
      <c r="Y748" s="5"/>
    </row>
    <row r="749">
      <c r="A749" s="5"/>
      <c r="B749" s="64"/>
      <c r="C749" s="64"/>
      <c r="D749" s="64"/>
      <c r="E749" s="64"/>
      <c r="F749" s="64"/>
      <c r="G749" s="149"/>
      <c r="H749" s="148"/>
      <c r="I749" s="4"/>
      <c r="J749" s="5"/>
      <c r="K749" s="5"/>
      <c r="L749" s="5"/>
      <c r="M749" s="5"/>
      <c r="N749" s="5"/>
      <c r="O749" s="5"/>
      <c r="P749" s="5"/>
      <c r="Q749" s="5"/>
      <c r="R749" s="5"/>
      <c r="S749" s="5"/>
      <c r="T749" s="5"/>
      <c r="U749" s="5"/>
      <c r="V749" s="5"/>
      <c r="W749" s="5"/>
      <c r="X749" s="5"/>
      <c r="Y749" s="5"/>
    </row>
    <row r="750">
      <c r="A750" s="5"/>
      <c r="B750" s="64"/>
      <c r="C750" s="64"/>
      <c r="D750" s="64"/>
      <c r="E750" s="64"/>
      <c r="F750" s="64"/>
      <c r="G750" s="149"/>
      <c r="H750" s="148"/>
      <c r="I750" s="4"/>
      <c r="J750" s="5"/>
      <c r="K750" s="5"/>
      <c r="L750" s="5"/>
      <c r="M750" s="5"/>
      <c r="N750" s="5"/>
      <c r="O750" s="5"/>
      <c r="P750" s="5"/>
      <c r="Q750" s="5"/>
      <c r="R750" s="5"/>
      <c r="S750" s="5"/>
      <c r="T750" s="5"/>
      <c r="U750" s="5"/>
      <c r="V750" s="5"/>
      <c r="W750" s="5"/>
      <c r="X750" s="5"/>
      <c r="Y750" s="5"/>
    </row>
    <row r="751">
      <c r="A751" s="5"/>
      <c r="B751" s="64"/>
      <c r="C751" s="64"/>
      <c r="D751" s="64"/>
      <c r="E751" s="64"/>
      <c r="F751" s="64"/>
      <c r="G751" s="149"/>
      <c r="H751" s="148"/>
      <c r="I751" s="4"/>
      <c r="J751" s="5"/>
      <c r="K751" s="5"/>
      <c r="L751" s="5"/>
      <c r="M751" s="5"/>
      <c r="N751" s="5"/>
      <c r="O751" s="5"/>
      <c r="P751" s="5"/>
      <c r="Q751" s="5"/>
      <c r="R751" s="5"/>
      <c r="S751" s="5"/>
      <c r="T751" s="5"/>
      <c r="U751" s="5"/>
      <c r="V751" s="5"/>
      <c r="W751" s="5"/>
      <c r="X751" s="5"/>
      <c r="Y751" s="5"/>
    </row>
    <row r="752">
      <c r="A752" s="5"/>
      <c r="B752" s="64"/>
      <c r="C752" s="64"/>
      <c r="D752" s="64"/>
      <c r="E752" s="64"/>
      <c r="F752" s="64"/>
      <c r="G752" s="149"/>
      <c r="H752" s="148"/>
      <c r="I752" s="4"/>
      <c r="J752" s="5"/>
      <c r="K752" s="5"/>
      <c r="L752" s="5"/>
      <c r="M752" s="5"/>
      <c r="N752" s="5"/>
      <c r="O752" s="5"/>
      <c r="P752" s="5"/>
      <c r="Q752" s="5"/>
      <c r="R752" s="5"/>
      <c r="S752" s="5"/>
      <c r="T752" s="5"/>
      <c r="U752" s="5"/>
      <c r="V752" s="5"/>
      <c r="W752" s="5"/>
      <c r="X752" s="5"/>
      <c r="Y752" s="5"/>
    </row>
    <row r="753">
      <c r="A753" s="5"/>
      <c r="B753" s="64"/>
      <c r="C753" s="64"/>
      <c r="D753" s="64"/>
      <c r="E753" s="64"/>
      <c r="F753" s="64"/>
      <c r="G753" s="149"/>
      <c r="H753" s="148"/>
      <c r="I753" s="4"/>
      <c r="J753" s="5"/>
      <c r="K753" s="5"/>
      <c r="L753" s="5"/>
      <c r="M753" s="5"/>
      <c r="N753" s="5"/>
      <c r="O753" s="5"/>
      <c r="P753" s="5"/>
      <c r="Q753" s="5"/>
      <c r="R753" s="5"/>
      <c r="S753" s="5"/>
      <c r="T753" s="5"/>
      <c r="U753" s="5"/>
      <c r="V753" s="5"/>
      <c r="W753" s="5"/>
      <c r="X753" s="5"/>
      <c r="Y753" s="5"/>
    </row>
    <row r="754">
      <c r="A754" s="5"/>
      <c r="B754" s="64"/>
      <c r="C754" s="64"/>
      <c r="D754" s="64"/>
      <c r="E754" s="64"/>
      <c r="F754" s="64"/>
      <c r="G754" s="149"/>
      <c r="H754" s="148"/>
      <c r="I754" s="4"/>
      <c r="J754" s="5"/>
      <c r="K754" s="5"/>
      <c r="L754" s="5"/>
      <c r="M754" s="5"/>
      <c r="N754" s="5"/>
      <c r="O754" s="5"/>
      <c r="P754" s="5"/>
      <c r="Q754" s="5"/>
      <c r="R754" s="5"/>
      <c r="S754" s="5"/>
      <c r="T754" s="5"/>
      <c r="U754" s="5"/>
      <c r="V754" s="5"/>
      <c r="W754" s="5"/>
      <c r="X754" s="5"/>
      <c r="Y754" s="5"/>
    </row>
    <row r="755">
      <c r="A755" s="5"/>
      <c r="B755" s="64"/>
      <c r="C755" s="64"/>
      <c r="D755" s="64"/>
      <c r="E755" s="64"/>
      <c r="F755" s="64"/>
      <c r="G755" s="149"/>
      <c r="H755" s="148"/>
      <c r="I755" s="4"/>
      <c r="J755" s="5"/>
      <c r="K755" s="5"/>
      <c r="L755" s="5"/>
      <c r="M755" s="5"/>
      <c r="N755" s="5"/>
      <c r="O755" s="5"/>
      <c r="P755" s="5"/>
      <c r="Q755" s="5"/>
      <c r="R755" s="5"/>
      <c r="S755" s="5"/>
      <c r="T755" s="5"/>
      <c r="U755" s="5"/>
      <c r="V755" s="5"/>
      <c r="W755" s="5"/>
      <c r="X755" s="5"/>
      <c r="Y755" s="5"/>
    </row>
    <row r="756">
      <c r="A756" s="5"/>
      <c r="B756" s="64"/>
      <c r="C756" s="64"/>
      <c r="D756" s="64"/>
      <c r="E756" s="64"/>
      <c r="F756" s="64"/>
      <c r="G756" s="149"/>
      <c r="H756" s="148"/>
      <c r="I756" s="4"/>
      <c r="J756" s="5"/>
      <c r="K756" s="5"/>
      <c r="L756" s="5"/>
      <c r="M756" s="5"/>
      <c r="N756" s="5"/>
      <c r="O756" s="5"/>
      <c r="P756" s="5"/>
      <c r="Q756" s="5"/>
      <c r="R756" s="5"/>
      <c r="S756" s="5"/>
      <c r="T756" s="5"/>
      <c r="U756" s="5"/>
      <c r="V756" s="5"/>
      <c r="W756" s="5"/>
      <c r="X756" s="5"/>
      <c r="Y756" s="5"/>
    </row>
    <row r="757">
      <c r="A757" s="5"/>
      <c r="B757" s="64"/>
      <c r="C757" s="64"/>
      <c r="D757" s="64"/>
      <c r="E757" s="64"/>
      <c r="F757" s="64"/>
      <c r="G757" s="149"/>
      <c r="H757" s="148"/>
      <c r="I757" s="4"/>
      <c r="J757" s="5"/>
      <c r="K757" s="5"/>
      <c r="L757" s="5"/>
      <c r="M757" s="5"/>
      <c r="N757" s="5"/>
      <c r="O757" s="5"/>
      <c r="P757" s="5"/>
      <c r="Q757" s="5"/>
      <c r="R757" s="5"/>
      <c r="S757" s="5"/>
      <c r="T757" s="5"/>
      <c r="U757" s="5"/>
      <c r="V757" s="5"/>
      <c r="W757" s="5"/>
      <c r="X757" s="5"/>
      <c r="Y757" s="5"/>
    </row>
    <row r="758">
      <c r="A758" s="5"/>
      <c r="B758" s="64"/>
      <c r="C758" s="64"/>
      <c r="D758" s="64"/>
      <c r="E758" s="64"/>
      <c r="F758" s="64"/>
      <c r="G758" s="149"/>
      <c r="H758" s="148"/>
      <c r="I758" s="4"/>
      <c r="J758" s="5"/>
      <c r="K758" s="5"/>
      <c r="L758" s="5"/>
      <c r="M758" s="5"/>
      <c r="N758" s="5"/>
      <c r="O758" s="5"/>
      <c r="P758" s="5"/>
      <c r="Q758" s="5"/>
      <c r="R758" s="5"/>
      <c r="S758" s="5"/>
      <c r="T758" s="5"/>
      <c r="U758" s="5"/>
      <c r="V758" s="5"/>
      <c r="W758" s="5"/>
      <c r="X758" s="5"/>
      <c r="Y758" s="5"/>
    </row>
    <row r="759">
      <c r="A759" s="5"/>
      <c r="B759" s="64"/>
      <c r="C759" s="64"/>
      <c r="D759" s="64"/>
      <c r="E759" s="64"/>
      <c r="F759" s="64"/>
      <c r="G759" s="149"/>
      <c r="H759" s="148"/>
      <c r="I759" s="4"/>
      <c r="J759" s="5"/>
      <c r="K759" s="5"/>
      <c r="L759" s="5"/>
      <c r="M759" s="5"/>
      <c r="N759" s="5"/>
      <c r="O759" s="5"/>
      <c r="P759" s="5"/>
      <c r="Q759" s="5"/>
      <c r="R759" s="5"/>
      <c r="S759" s="5"/>
      <c r="T759" s="5"/>
      <c r="U759" s="5"/>
      <c r="V759" s="5"/>
      <c r="W759" s="5"/>
      <c r="X759" s="5"/>
      <c r="Y759" s="5"/>
    </row>
    <row r="760">
      <c r="A760" s="5"/>
      <c r="B760" s="64"/>
      <c r="C760" s="64"/>
      <c r="D760" s="64"/>
      <c r="E760" s="64"/>
      <c r="F760" s="64"/>
      <c r="G760" s="149"/>
      <c r="H760" s="148"/>
      <c r="I760" s="4"/>
      <c r="J760" s="5"/>
      <c r="K760" s="5"/>
      <c r="L760" s="5"/>
      <c r="M760" s="5"/>
      <c r="N760" s="5"/>
      <c r="O760" s="5"/>
      <c r="P760" s="5"/>
      <c r="Q760" s="5"/>
      <c r="R760" s="5"/>
      <c r="S760" s="5"/>
      <c r="T760" s="5"/>
      <c r="U760" s="5"/>
      <c r="V760" s="5"/>
      <c r="W760" s="5"/>
      <c r="X760" s="5"/>
      <c r="Y760" s="5"/>
    </row>
    <row r="761">
      <c r="A761" s="5"/>
      <c r="B761" s="64"/>
      <c r="C761" s="64"/>
      <c r="D761" s="64"/>
      <c r="E761" s="64"/>
      <c r="F761" s="64"/>
      <c r="G761" s="149"/>
      <c r="H761" s="148"/>
      <c r="I761" s="4"/>
      <c r="J761" s="5"/>
      <c r="K761" s="5"/>
      <c r="L761" s="5"/>
      <c r="M761" s="5"/>
      <c r="N761" s="5"/>
      <c r="O761" s="5"/>
      <c r="P761" s="5"/>
      <c r="Q761" s="5"/>
      <c r="R761" s="5"/>
      <c r="S761" s="5"/>
      <c r="T761" s="5"/>
      <c r="U761" s="5"/>
      <c r="V761" s="5"/>
      <c r="W761" s="5"/>
      <c r="X761" s="5"/>
      <c r="Y761" s="5"/>
    </row>
    <row r="762">
      <c r="A762" s="5"/>
      <c r="B762" s="64"/>
      <c r="C762" s="64"/>
      <c r="D762" s="64"/>
      <c r="E762" s="64"/>
      <c r="F762" s="64"/>
      <c r="G762" s="149"/>
      <c r="H762" s="148"/>
      <c r="I762" s="4"/>
      <c r="J762" s="5"/>
      <c r="K762" s="5"/>
      <c r="L762" s="5"/>
      <c r="M762" s="5"/>
      <c r="N762" s="5"/>
      <c r="O762" s="5"/>
      <c r="P762" s="5"/>
      <c r="Q762" s="5"/>
      <c r="R762" s="5"/>
      <c r="S762" s="5"/>
      <c r="T762" s="5"/>
      <c r="U762" s="5"/>
      <c r="V762" s="5"/>
      <c r="W762" s="5"/>
      <c r="X762" s="5"/>
      <c r="Y762" s="5"/>
    </row>
    <row r="763">
      <c r="A763" s="5"/>
      <c r="B763" s="64"/>
      <c r="C763" s="64"/>
      <c r="D763" s="64"/>
      <c r="E763" s="64"/>
      <c r="F763" s="64"/>
      <c r="G763" s="149"/>
      <c r="H763" s="148"/>
      <c r="I763" s="4"/>
      <c r="J763" s="5"/>
      <c r="K763" s="5"/>
      <c r="L763" s="5"/>
      <c r="M763" s="5"/>
      <c r="N763" s="5"/>
      <c r="O763" s="5"/>
      <c r="P763" s="5"/>
      <c r="Q763" s="5"/>
      <c r="R763" s="5"/>
      <c r="S763" s="5"/>
      <c r="T763" s="5"/>
      <c r="U763" s="5"/>
      <c r="V763" s="5"/>
      <c r="W763" s="5"/>
      <c r="X763" s="5"/>
      <c r="Y763" s="5"/>
    </row>
    <row r="764">
      <c r="A764" s="5"/>
      <c r="B764" s="64"/>
      <c r="C764" s="64"/>
      <c r="D764" s="64"/>
      <c r="E764" s="64"/>
      <c r="F764" s="64"/>
      <c r="G764" s="149"/>
      <c r="H764" s="148"/>
      <c r="I764" s="4"/>
      <c r="J764" s="5"/>
      <c r="K764" s="5"/>
      <c r="L764" s="5"/>
      <c r="M764" s="5"/>
      <c r="N764" s="5"/>
      <c r="O764" s="5"/>
      <c r="P764" s="5"/>
      <c r="Q764" s="5"/>
      <c r="R764" s="5"/>
      <c r="S764" s="5"/>
      <c r="T764" s="5"/>
      <c r="U764" s="5"/>
      <c r="V764" s="5"/>
      <c r="W764" s="5"/>
      <c r="X764" s="5"/>
      <c r="Y764" s="5"/>
    </row>
    <row r="765">
      <c r="A765" s="5"/>
      <c r="B765" s="64"/>
      <c r="C765" s="64"/>
      <c r="D765" s="64"/>
      <c r="E765" s="64"/>
      <c r="F765" s="64"/>
      <c r="G765" s="149"/>
      <c r="H765" s="148"/>
      <c r="I765" s="4"/>
      <c r="J765" s="5"/>
      <c r="K765" s="5"/>
      <c r="L765" s="5"/>
      <c r="M765" s="5"/>
      <c r="N765" s="5"/>
      <c r="O765" s="5"/>
      <c r="P765" s="5"/>
      <c r="Q765" s="5"/>
      <c r="R765" s="5"/>
      <c r="S765" s="5"/>
      <c r="T765" s="5"/>
      <c r="U765" s="5"/>
      <c r="V765" s="5"/>
      <c r="W765" s="5"/>
      <c r="X765" s="5"/>
      <c r="Y765" s="5"/>
    </row>
    <row r="766">
      <c r="A766" s="5"/>
      <c r="B766" s="64"/>
      <c r="C766" s="64"/>
      <c r="D766" s="64"/>
      <c r="E766" s="64"/>
      <c r="F766" s="64"/>
      <c r="G766" s="149"/>
      <c r="H766" s="148"/>
      <c r="I766" s="4"/>
      <c r="J766" s="5"/>
      <c r="K766" s="5"/>
      <c r="L766" s="5"/>
      <c r="M766" s="5"/>
      <c r="N766" s="5"/>
      <c r="O766" s="5"/>
      <c r="P766" s="5"/>
      <c r="Q766" s="5"/>
      <c r="R766" s="5"/>
      <c r="S766" s="5"/>
      <c r="T766" s="5"/>
      <c r="U766" s="5"/>
      <c r="V766" s="5"/>
      <c r="W766" s="5"/>
      <c r="X766" s="5"/>
      <c r="Y766" s="5"/>
    </row>
    <row r="767">
      <c r="A767" s="5"/>
      <c r="B767" s="64"/>
      <c r="C767" s="64"/>
      <c r="D767" s="64"/>
      <c r="E767" s="64"/>
      <c r="F767" s="64"/>
      <c r="G767" s="149"/>
      <c r="H767" s="148"/>
      <c r="I767" s="4"/>
      <c r="J767" s="5"/>
      <c r="K767" s="5"/>
      <c r="L767" s="5"/>
      <c r="M767" s="5"/>
      <c r="N767" s="5"/>
      <c r="O767" s="5"/>
      <c r="P767" s="5"/>
      <c r="Q767" s="5"/>
      <c r="R767" s="5"/>
      <c r="S767" s="5"/>
      <c r="T767" s="5"/>
      <c r="U767" s="5"/>
      <c r="V767" s="5"/>
      <c r="W767" s="5"/>
      <c r="X767" s="5"/>
      <c r="Y767" s="5"/>
    </row>
    <row r="768">
      <c r="A768" s="5"/>
      <c r="B768" s="64"/>
      <c r="C768" s="64"/>
      <c r="D768" s="64"/>
      <c r="E768" s="64"/>
      <c r="F768" s="64"/>
      <c r="G768" s="149"/>
      <c r="H768" s="148"/>
      <c r="I768" s="4"/>
      <c r="J768" s="5"/>
      <c r="K768" s="5"/>
      <c r="L768" s="5"/>
      <c r="M768" s="5"/>
      <c r="N768" s="5"/>
      <c r="O768" s="5"/>
      <c r="P768" s="5"/>
      <c r="Q768" s="5"/>
      <c r="R768" s="5"/>
      <c r="S768" s="5"/>
      <c r="T768" s="5"/>
      <c r="U768" s="5"/>
      <c r="V768" s="5"/>
      <c r="W768" s="5"/>
      <c r="X768" s="5"/>
      <c r="Y768" s="5"/>
    </row>
    <row r="769">
      <c r="A769" s="5"/>
      <c r="B769" s="64"/>
      <c r="C769" s="64"/>
      <c r="D769" s="64"/>
      <c r="E769" s="64"/>
      <c r="F769" s="64"/>
      <c r="G769" s="149"/>
      <c r="H769" s="148"/>
      <c r="I769" s="4"/>
      <c r="J769" s="5"/>
      <c r="K769" s="5"/>
      <c r="L769" s="5"/>
      <c r="M769" s="5"/>
      <c r="N769" s="5"/>
      <c r="O769" s="5"/>
      <c r="P769" s="5"/>
      <c r="Q769" s="5"/>
      <c r="R769" s="5"/>
      <c r="S769" s="5"/>
      <c r="T769" s="5"/>
      <c r="U769" s="5"/>
      <c r="V769" s="5"/>
      <c r="W769" s="5"/>
      <c r="X769" s="5"/>
      <c r="Y769" s="5"/>
    </row>
    <row r="770">
      <c r="A770" s="5"/>
      <c r="B770" s="64"/>
      <c r="C770" s="64"/>
      <c r="D770" s="64"/>
      <c r="E770" s="64"/>
      <c r="F770" s="64"/>
      <c r="G770" s="149"/>
      <c r="H770" s="148"/>
      <c r="I770" s="4"/>
      <c r="J770" s="5"/>
      <c r="K770" s="5"/>
      <c r="L770" s="5"/>
      <c r="M770" s="5"/>
      <c r="N770" s="5"/>
      <c r="O770" s="5"/>
      <c r="P770" s="5"/>
      <c r="Q770" s="5"/>
      <c r="R770" s="5"/>
      <c r="S770" s="5"/>
      <c r="T770" s="5"/>
      <c r="U770" s="5"/>
      <c r="V770" s="5"/>
      <c r="W770" s="5"/>
      <c r="X770" s="5"/>
      <c r="Y770" s="5"/>
    </row>
    <row r="771">
      <c r="A771" s="5"/>
      <c r="B771" s="64"/>
      <c r="C771" s="64"/>
      <c r="D771" s="64"/>
      <c r="E771" s="64"/>
      <c r="F771" s="64"/>
      <c r="G771" s="149"/>
      <c r="H771" s="148"/>
      <c r="I771" s="4"/>
      <c r="J771" s="5"/>
      <c r="K771" s="5"/>
      <c r="L771" s="5"/>
      <c r="M771" s="5"/>
      <c r="N771" s="5"/>
      <c r="O771" s="5"/>
      <c r="P771" s="5"/>
      <c r="Q771" s="5"/>
      <c r="R771" s="5"/>
      <c r="S771" s="5"/>
      <c r="T771" s="5"/>
      <c r="U771" s="5"/>
      <c r="V771" s="5"/>
      <c r="W771" s="5"/>
      <c r="X771" s="5"/>
      <c r="Y771" s="5"/>
    </row>
    <row r="772">
      <c r="A772" s="5"/>
      <c r="B772" s="64"/>
      <c r="C772" s="64"/>
      <c r="D772" s="64"/>
      <c r="E772" s="64"/>
      <c r="F772" s="64"/>
      <c r="G772" s="149"/>
      <c r="H772" s="148"/>
      <c r="I772" s="4"/>
      <c r="J772" s="5"/>
      <c r="K772" s="5"/>
      <c r="L772" s="5"/>
      <c r="M772" s="5"/>
      <c r="N772" s="5"/>
      <c r="O772" s="5"/>
      <c r="P772" s="5"/>
      <c r="Q772" s="5"/>
      <c r="R772" s="5"/>
      <c r="S772" s="5"/>
      <c r="T772" s="5"/>
      <c r="U772" s="5"/>
      <c r="V772" s="5"/>
      <c r="W772" s="5"/>
      <c r="X772" s="5"/>
      <c r="Y772" s="5"/>
    </row>
    <row r="773">
      <c r="A773" s="5"/>
      <c r="B773" s="64"/>
      <c r="C773" s="64"/>
      <c r="D773" s="64"/>
      <c r="E773" s="64"/>
      <c r="F773" s="64"/>
      <c r="G773" s="149"/>
      <c r="H773" s="148"/>
      <c r="I773" s="4"/>
      <c r="J773" s="5"/>
      <c r="K773" s="5"/>
      <c r="L773" s="5"/>
      <c r="M773" s="5"/>
      <c r="N773" s="5"/>
      <c r="O773" s="5"/>
      <c r="P773" s="5"/>
      <c r="Q773" s="5"/>
      <c r="R773" s="5"/>
      <c r="S773" s="5"/>
      <c r="T773" s="5"/>
      <c r="U773" s="5"/>
      <c r="V773" s="5"/>
      <c r="W773" s="5"/>
      <c r="X773" s="5"/>
      <c r="Y773" s="5"/>
    </row>
    <row r="774">
      <c r="A774" s="5"/>
      <c r="B774" s="64"/>
      <c r="C774" s="64"/>
      <c r="D774" s="64"/>
      <c r="E774" s="64"/>
      <c r="F774" s="64"/>
      <c r="G774" s="149"/>
      <c r="H774" s="148"/>
      <c r="I774" s="4"/>
      <c r="J774" s="5"/>
      <c r="K774" s="5"/>
      <c r="L774" s="5"/>
      <c r="M774" s="5"/>
      <c r="N774" s="5"/>
      <c r="O774" s="5"/>
      <c r="P774" s="5"/>
      <c r="Q774" s="5"/>
      <c r="R774" s="5"/>
      <c r="S774" s="5"/>
      <c r="T774" s="5"/>
      <c r="U774" s="5"/>
      <c r="V774" s="5"/>
      <c r="W774" s="5"/>
      <c r="X774" s="5"/>
      <c r="Y774" s="5"/>
    </row>
    <row r="775">
      <c r="A775" s="5"/>
      <c r="B775" s="64"/>
      <c r="C775" s="64"/>
      <c r="D775" s="64"/>
      <c r="E775" s="64"/>
      <c r="F775" s="64"/>
      <c r="G775" s="149"/>
      <c r="H775" s="148"/>
      <c r="I775" s="4"/>
      <c r="J775" s="5"/>
      <c r="K775" s="5"/>
      <c r="L775" s="5"/>
      <c r="M775" s="5"/>
      <c r="N775" s="5"/>
      <c r="O775" s="5"/>
      <c r="P775" s="5"/>
      <c r="Q775" s="5"/>
      <c r="R775" s="5"/>
      <c r="S775" s="5"/>
      <c r="T775" s="5"/>
      <c r="U775" s="5"/>
      <c r="V775" s="5"/>
      <c r="W775" s="5"/>
      <c r="X775" s="5"/>
      <c r="Y775" s="5"/>
    </row>
    <row r="776">
      <c r="A776" s="5"/>
      <c r="B776" s="64"/>
      <c r="C776" s="64"/>
      <c r="D776" s="64"/>
      <c r="E776" s="64"/>
      <c r="F776" s="64"/>
      <c r="G776" s="149"/>
      <c r="H776" s="148"/>
      <c r="I776" s="4"/>
      <c r="J776" s="5"/>
      <c r="K776" s="5"/>
      <c r="L776" s="5"/>
      <c r="M776" s="5"/>
      <c r="N776" s="5"/>
      <c r="O776" s="5"/>
      <c r="P776" s="5"/>
      <c r="Q776" s="5"/>
      <c r="R776" s="5"/>
      <c r="S776" s="5"/>
      <c r="T776" s="5"/>
      <c r="U776" s="5"/>
      <c r="V776" s="5"/>
      <c r="W776" s="5"/>
      <c r="X776" s="5"/>
      <c r="Y776" s="5"/>
    </row>
    <row r="777">
      <c r="A777" s="5"/>
      <c r="B777" s="64"/>
      <c r="C777" s="64"/>
      <c r="D777" s="64"/>
      <c r="E777" s="64"/>
      <c r="F777" s="64"/>
      <c r="G777" s="149"/>
      <c r="H777" s="148"/>
      <c r="I777" s="4"/>
      <c r="J777" s="5"/>
      <c r="K777" s="5"/>
      <c r="L777" s="5"/>
      <c r="M777" s="5"/>
      <c r="N777" s="5"/>
      <c r="O777" s="5"/>
      <c r="P777" s="5"/>
      <c r="Q777" s="5"/>
      <c r="R777" s="5"/>
      <c r="S777" s="5"/>
      <c r="T777" s="5"/>
      <c r="U777" s="5"/>
      <c r="V777" s="5"/>
      <c r="W777" s="5"/>
      <c r="X777" s="5"/>
      <c r="Y777" s="5"/>
    </row>
    <row r="778">
      <c r="A778" s="5"/>
      <c r="B778" s="64"/>
      <c r="C778" s="64"/>
      <c r="D778" s="64"/>
      <c r="E778" s="64"/>
      <c r="F778" s="64"/>
      <c r="G778" s="149"/>
      <c r="H778" s="148"/>
      <c r="I778" s="4"/>
      <c r="J778" s="5"/>
      <c r="K778" s="5"/>
      <c r="L778" s="5"/>
      <c r="M778" s="5"/>
      <c r="N778" s="5"/>
      <c r="O778" s="5"/>
      <c r="P778" s="5"/>
      <c r="Q778" s="5"/>
      <c r="R778" s="5"/>
      <c r="S778" s="5"/>
      <c r="T778" s="5"/>
      <c r="U778" s="5"/>
      <c r="V778" s="5"/>
      <c r="W778" s="5"/>
      <c r="X778" s="5"/>
      <c r="Y778" s="5"/>
    </row>
    <row r="779">
      <c r="A779" s="5"/>
      <c r="B779" s="64"/>
      <c r="C779" s="64"/>
      <c r="D779" s="64"/>
      <c r="E779" s="64"/>
      <c r="F779" s="64"/>
      <c r="G779" s="149"/>
      <c r="H779" s="148"/>
      <c r="I779" s="4"/>
      <c r="J779" s="5"/>
      <c r="K779" s="5"/>
      <c r="L779" s="5"/>
      <c r="M779" s="5"/>
      <c r="N779" s="5"/>
      <c r="O779" s="5"/>
      <c r="P779" s="5"/>
      <c r="Q779" s="5"/>
      <c r="R779" s="5"/>
      <c r="S779" s="5"/>
      <c r="T779" s="5"/>
      <c r="U779" s="5"/>
      <c r="V779" s="5"/>
      <c r="W779" s="5"/>
      <c r="X779" s="5"/>
      <c r="Y779" s="5"/>
    </row>
    <row r="780">
      <c r="A780" s="5"/>
      <c r="B780" s="64"/>
      <c r="C780" s="64"/>
      <c r="D780" s="64"/>
      <c r="E780" s="64"/>
      <c r="F780" s="64"/>
      <c r="G780" s="149"/>
      <c r="H780" s="148"/>
      <c r="I780" s="4"/>
      <c r="J780" s="5"/>
      <c r="K780" s="5"/>
      <c r="L780" s="5"/>
      <c r="M780" s="5"/>
      <c r="N780" s="5"/>
      <c r="O780" s="5"/>
      <c r="P780" s="5"/>
      <c r="Q780" s="5"/>
      <c r="R780" s="5"/>
      <c r="S780" s="5"/>
      <c r="T780" s="5"/>
      <c r="U780" s="5"/>
      <c r="V780" s="5"/>
      <c r="W780" s="5"/>
      <c r="X780" s="5"/>
      <c r="Y780" s="5"/>
    </row>
    <row r="781">
      <c r="A781" s="5"/>
      <c r="B781" s="64"/>
      <c r="C781" s="64"/>
      <c r="D781" s="64"/>
      <c r="E781" s="64"/>
      <c r="F781" s="64"/>
      <c r="G781" s="149"/>
      <c r="H781" s="148"/>
      <c r="I781" s="4"/>
      <c r="J781" s="5"/>
      <c r="K781" s="5"/>
      <c r="L781" s="5"/>
      <c r="M781" s="5"/>
      <c r="N781" s="5"/>
      <c r="O781" s="5"/>
      <c r="P781" s="5"/>
      <c r="Q781" s="5"/>
      <c r="R781" s="5"/>
      <c r="S781" s="5"/>
      <c r="T781" s="5"/>
      <c r="U781" s="5"/>
      <c r="V781" s="5"/>
      <c r="W781" s="5"/>
      <c r="X781" s="5"/>
      <c r="Y781" s="5"/>
    </row>
    <row r="782">
      <c r="A782" s="5"/>
      <c r="B782" s="64"/>
      <c r="C782" s="64"/>
      <c r="D782" s="64"/>
      <c r="E782" s="64"/>
      <c r="F782" s="64"/>
      <c r="G782" s="149"/>
      <c r="H782" s="148"/>
      <c r="I782" s="4"/>
      <c r="J782" s="5"/>
      <c r="K782" s="5"/>
      <c r="L782" s="5"/>
      <c r="M782" s="5"/>
      <c r="N782" s="5"/>
      <c r="O782" s="5"/>
      <c r="P782" s="5"/>
      <c r="Q782" s="5"/>
      <c r="R782" s="5"/>
      <c r="S782" s="5"/>
      <c r="T782" s="5"/>
      <c r="U782" s="5"/>
      <c r="V782" s="5"/>
      <c r="W782" s="5"/>
      <c r="X782" s="5"/>
      <c r="Y782" s="5"/>
    </row>
    <row r="783">
      <c r="A783" s="5"/>
      <c r="B783" s="64"/>
      <c r="C783" s="64"/>
      <c r="D783" s="64"/>
      <c r="E783" s="64"/>
      <c r="F783" s="64"/>
      <c r="G783" s="149"/>
      <c r="H783" s="148"/>
      <c r="I783" s="4"/>
      <c r="J783" s="5"/>
      <c r="K783" s="5"/>
      <c r="L783" s="5"/>
      <c r="M783" s="5"/>
      <c r="N783" s="5"/>
      <c r="O783" s="5"/>
      <c r="P783" s="5"/>
      <c r="Q783" s="5"/>
      <c r="R783" s="5"/>
      <c r="S783" s="5"/>
      <c r="T783" s="5"/>
      <c r="U783" s="5"/>
      <c r="V783" s="5"/>
      <c r="W783" s="5"/>
      <c r="X783" s="5"/>
      <c r="Y783" s="5"/>
    </row>
    <row r="784">
      <c r="A784" s="5"/>
      <c r="B784" s="64"/>
      <c r="C784" s="64"/>
      <c r="D784" s="64"/>
      <c r="E784" s="64"/>
      <c r="F784" s="64"/>
      <c r="G784" s="149"/>
      <c r="H784" s="148"/>
      <c r="I784" s="4"/>
      <c r="J784" s="5"/>
      <c r="K784" s="5"/>
      <c r="L784" s="5"/>
      <c r="M784" s="5"/>
      <c r="N784" s="5"/>
      <c r="O784" s="5"/>
      <c r="P784" s="5"/>
      <c r="Q784" s="5"/>
      <c r="R784" s="5"/>
      <c r="S784" s="5"/>
      <c r="T784" s="5"/>
      <c r="U784" s="5"/>
      <c r="V784" s="5"/>
      <c r="W784" s="5"/>
      <c r="X784" s="5"/>
      <c r="Y784" s="5"/>
    </row>
    <row r="785">
      <c r="A785" s="5"/>
      <c r="B785" s="64"/>
      <c r="C785" s="64"/>
      <c r="D785" s="64"/>
      <c r="E785" s="64"/>
      <c r="F785" s="64"/>
      <c r="G785" s="149"/>
      <c r="H785" s="148"/>
      <c r="I785" s="4"/>
      <c r="J785" s="5"/>
      <c r="K785" s="5"/>
      <c r="L785" s="5"/>
      <c r="M785" s="5"/>
      <c r="N785" s="5"/>
      <c r="O785" s="5"/>
      <c r="P785" s="5"/>
      <c r="Q785" s="5"/>
      <c r="R785" s="5"/>
      <c r="S785" s="5"/>
      <c r="T785" s="5"/>
      <c r="U785" s="5"/>
      <c r="V785" s="5"/>
      <c r="W785" s="5"/>
      <c r="X785" s="5"/>
      <c r="Y785" s="5"/>
    </row>
    <row r="786">
      <c r="A786" s="5"/>
      <c r="B786" s="64"/>
      <c r="C786" s="64"/>
      <c r="D786" s="64"/>
      <c r="E786" s="64"/>
      <c r="F786" s="64"/>
      <c r="G786" s="149"/>
      <c r="H786" s="148"/>
      <c r="I786" s="4"/>
      <c r="J786" s="5"/>
      <c r="K786" s="5"/>
      <c r="L786" s="5"/>
      <c r="M786" s="5"/>
      <c r="N786" s="5"/>
      <c r="O786" s="5"/>
      <c r="P786" s="5"/>
      <c r="Q786" s="5"/>
      <c r="R786" s="5"/>
      <c r="S786" s="5"/>
      <c r="T786" s="5"/>
      <c r="U786" s="5"/>
      <c r="V786" s="5"/>
      <c r="W786" s="5"/>
      <c r="X786" s="5"/>
      <c r="Y786" s="5"/>
    </row>
    <row r="787">
      <c r="A787" s="5"/>
      <c r="B787" s="64"/>
      <c r="C787" s="64"/>
      <c r="D787" s="64"/>
      <c r="E787" s="64"/>
      <c r="F787" s="64"/>
      <c r="G787" s="149"/>
      <c r="H787" s="148"/>
      <c r="I787" s="4"/>
      <c r="J787" s="5"/>
      <c r="K787" s="5"/>
      <c r="L787" s="5"/>
      <c r="M787" s="5"/>
      <c r="N787" s="5"/>
      <c r="O787" s="5"/>
      <c r="P787" s="5"/>
      <c r="Q787" s="5"/>
      <c r="R787" s="5"/>
      <c r="S787" s="5"/>
      <c r="T787" s="5"/>
      <c r="U787" s="5"/>
      <c r="V787" s="5"/>
      <c r="W787" s="5"/>
      <c r="X787" s="5"/>
      <c r="Y787" s="5"/>
    </row>
    <row r="788">
      <c r="A788" s="5"/>
      <c r="B788" s="64"/>
      <c r="C788" s="64"/>
      <c r="D788" s="64"/>
      <c r="E788" s="64"/>
      <c r="F788" s="64"/>
      <c r="G788" s="149"/>
      <c r="H788" s="148"/>
      <c r="I788" s="4"/>
      <c r="J788" s="5"/>
      <c r="K788" s="5"/>
      <c r="L788" s="5"/>
      <c r="M788" s="5"/>
      <c r="N788" s="5"/>
      <c r="O788" s="5"/>
      <c r="P788" s="5"/>
      <c r="Q788" s="5"/>
      <c r="R788" s="5"/>
      <c r="S788" s="5"/>
      <c r="T788" s="5"/>
      <c r="U788" s="5"/>
      <c r="V788" s="5"/>
      <c r="W788" s="5"/>
      <c r="X788" s="5"/>
      <c r="Y788" s="5"/>
    </row>
    <row r="789">
      <c r="A789" s="5"/>
      <c r="B789" s="64"/>
      <c r="C789" s="64"/>
      <c r="D789" s="64"/>
      <c r="E789" s="64"/>
      <c r="F789" s="64"/>
      <c r="G789" s="149"/>
      <c r="H789" s="148"/>
      <c r="I789" s="4"/>
      <c r="J789" s="5"/>
      <c r="K789" s="5"/>
      <c r="L789" s="5"/>
      <c r="M789" s="5"/>
      <c r="N789" s="5"/>
      <c r="O789" s="5"/>
      <c r="P789" s="5"/>
      <c r="Q789" s="5"/>
      <c r="R789" s="5"/>
      <c r="S789" s="5"/>
      <c r="T789" s="5"/>
      <c r="U789" s="5"/>
      <c r="V789" s="5"/>
      <c r="W789" s="5"/>
      <c r="X789" s="5"/>
      <c r="Y789" s="5"/>
    </row>
    <row r="790">
      <c r="A790" s="5"/>
      <c r="B790" s="64"/>
      <c r="C790" s="64"/>
      <c r="D790" s="64"/>
      <c r="E790" s="64"/>
      <c r="F790" s="64"/>
      <c r="G790" s="149"/>
      <c r="H790" s="148"/>
      <c r="I790" s="4"/>
      <c r="J790" s="5"/>
      <c r="K790" s="5"/>
      <c r="L790" s="5"/>
      <c r="M790" s="5"/>
      <c r="N790" s="5"/>
      <c r="O790" s="5"/>
      <c r="P790" s="5"/>
      <c r="Q790" s="5"/>
      <c r="R790" s="5"/>
      <c r="S790" s="5"/>
      <c r="T790" s="5"/>
      <c r="U790" s="5"/>
      <c r="V790" s="5"/>
      <c r="W790" s="5"/>
      <c r="X790" s="5"/>
      <c r="Y790" s="5"/>
    </row>
    <row r="791">
      <c r="A791" s="5"/>
      <c r="B791" s="64"/>
      <c r="C791" s="64"/>
      <c r="D791" s="64"/>
      <c r="E791" s="64"/>
      <c r="F791" s="64"/>
      <c r="G791" s="149"/>
      <c r="H791" s="148"/>
      <c r="I791" s="4"/>
      <c r="J791" s="5"/>
      <c r="K791" s="5"/>
      <c r="L791" s="5"/>
      <c r="M791" s="5"/>
      <c r="N791" s="5"/>
      <c r="O791" s="5"/>
      <c r="P791" s="5"/>
      <c r="Q791" s="5"/>
      <c r="R791" s="5"/>
      <c r="S791" s="5"/>
      <c r="T791" s="5"/>
      <c r="U791" s="5"/>
      <c r="V791" s="5"/>
      <c r="W791" s="5"/>
      <c r="X791" s="5"/>
      <c r="Y791" s="5"/>
    </row>
    <row r="792">
      <c r="A792" s="5"/>
      <c r="B792" s="64"/>
      <c r="C792" s="64"/>
      <c r="D792" s="64"/>
      <c r="E792" s="64"/>
      <c r="F792" s="64"/>
      <c r="G792" s="149"/>
      <c r="H792" s="148"/>
      <c r="I792" s="4"/>
      <c r="J792" s="5"/>
      <c r="K792" s="5"/>
      <c r="L792" s="5"/>
      <c r="M792" s="5"/>
      <c r="N792" s="5"/>
      <c r="O792" s="5"/>
      <c r="P792" s="5"/>
      <c r="Q792" s="5"/>
      <c r="R792" s="5"/>
      <c r="S792" s="5"/>
      <c r="T792" s="5"/>
      <c r="U792" s="5"/>
      <c r="V792" s="5"/>
      <c r="W792" s="5"/>
      <c r="X792" s="5"/>
      <c r="Y792" s="5"/>
    </row>
    <row r="793">
      <c r="A793" s="5"/>
      <c r="B793" s="64"/>
      <c r="C793" s="64"/>
      <c r="D793" s="64"/>
      <c r="E793" s="64"/>
      <c r="F793" s="64"/>
      <c r="G793" s="149"/>
      <c r="H793" s="148"/>
      <c r="I793" s="4"/>
      <c r="J793" s="5"/>
      <c r="K793" s="5"/>
      <c r="L793" s="5"/>
      <c r="M793" s="5"/>
      <c r="N793" s="5"/>
      <c r="O793" s="5"/>
      <c r="P793" s="5"/>
      <c r="Q793" s="5"/>
      <c r="R793" s="5"/>
      <c r="S793" s="5"/>
      <c r="T793" s="5"/>
      <c r="U793" s="5"/>
      <c r="V793" s="5"/>
      <c r="W793" s="5"/>
      <c r="X793" s="5"/>
      <c r="Y793" s="5"/>
    </row>
    <row r="794">
      <c r="A794" s="5"/>
      <c r="B794" s="64"/>
      <c r="C794" s="64"/>
      <c r="D794" s="64"/>
      <c r="E794" s="64"/>
      <c r="F794" s="64"/>
      <c r="G794" s="149"/>
      <c r="H794" s="148"/>
      <c r="I794" s="4"/>
      <c r="J794" s="5"/>
      <c r="K794" s="5"/>
      <c r="L794" s="5"/>
      <c r="M794" s="5"/>
      <c r="N794" s="5"/>
      <c r="O794" s="5"/>
      <c r="P794" s="5"/>
      <c r="Q794" s="5"/>
      <c r="R794" s="5"/>
      <c r="S794" s="5"/>
      <c r="T794" s="5"/>
      <c r="U794" s="5"/>
      <c r="V794" s="5"/>
      <c r="W794" s="5"/>
      <c r="X794" s="5"/>
      <c r="Y794" s="5"/>
    </row>
    <row r="795">
      <c r="A795" s="5"/>
      <c r="B795" s="64"/>
      <c r="C795" s="64"/>
      <c r="D795" s="64"/>
      <c r="E795" s="64"/>
      <c r="F795" s="64"/>
      <c r="G795" s="149"/>
      <c r="H795" s="148"/>
      <c r="I795" s="4"/>
      <c r="J795" s="5"/>
      <c r="K795" s="5"/>
      <c r="L795" s="5"/>
      <c r="M795" s="5"/>
      <c r="N795" s="5"/>
      <c r="O795" s="5"/>
      <c r="P795" s="5"/>
      <c r="Q795" s="5"/>
      <c r="R795" s="5"/>
      <c r="S795" s="5"/>
      <c r="T795" s="5"/>
      <c r="U795" s="5"/>
      <c r="V795" s="5"/>
      <c r="W795" s="5"/>
      <c r="X795" s="5"/>
      <c r="Y795" s="5"/>
    </row>
    <row r="796">
      <c r="A796" s="5"/>
      <c r="B796" s="64"/>
      <c r="C796" s="64"/>
      <c r="D796" s="64"/>
      <c r="E796" s="64"/>
      <c r="F796" s="64"/>
      <c r="G796" s="149"/>
      <c r="H796" s="148"/>
      <c r="I796" s="4"/>
      <c r="J796" s="5"/>
      <c r="K796" s="5"/>
      <c r="L796" s="5"/>
      <c r="M796" s="5"/>
      <c r="N796" s="5"/>
      <c r="O796" s="5"/>
      <c r="P796" s="5"/>
      <c r="Q796" s="5"/>
      <c r="R796" s="5"/>
      <c r="S796" s="5"/>
      <c r="T796" s="5"/>
      <c r="U796" s="5"/>
      <c r="V796" s="5"/>
      <c r="W796" s="5"/>
      <c r="X796" s="5"/>
      <c r="Y796" s="5"/>
    </row>
    <row r="797">
      <c r="A797" s="5"/>
      <c r="B797" s="64"/>
      <c r="C797" s="64"/>
      <c r="D797" s="64"/>
      <c r="E797" s="64"/>
      <c r="F797" s="64"/>
      <c r="G797" s="149"/>
      <c r="H797" s="148"/>
      <c r="I797" s="4"/>
      <c r="J797" s="5"/>
      <c r="K797" s="5"/>
      <c r="L797" s="5"/>
      <c r="M797" s="5"/>
      <c r="N797" s="5"/>
      <c r="O797" s="5"/>
      <c r="P797" s="5"/>
      <c r="Q797" s="5"/>
      <c r="R797" s="5"/>
      <c r="S797" s="5"/>
      <c r="T797" s="5"/>
      <c r="U797" s="5"/>
      <c r="V797" s="5"/>
      <c r="W797" s="5"/>
      <c r="X797" s="5"/>
      <c r="Y797" s="5"/>
    </row>
    <row r="798">
      <c r="A798" s="5"/>
      <c r="B798" s="64"/>
      <c r="C798" s="64"/>
      <c r="D798" s="64"/>
      <c r="E798" s="64"/>
      <c r="F798" s="64"/>
      <c r="G798" s="149"/>
      <c r="H798" s="148"/>
      <c r="I798" s="4"/>
      <c r="J798" s="5"/>
      <c r="K798" s="5"/>
      <c r="L798" s="5"/>
      <c r="M798" s="5"/>
      <c r="N798" s="5"/>
      <c r="O798" s="5"/>
      <c r="P798" s="5"/>
      <c r="Q798" s="5"/>
      <c r="R798" s="5"/>
      <c r="S798" s="5"/>
      <c r="T798" s="5"/>
      <c r="U798" s="5"/>
      <c r="V798" s="5"/>
      <c r="W798" s="5"/>
      <c r="X798" s="5"/>
      <c r="Y798" s="5"/>
    </row>
    <row r="799">
      <c r="A799" s="5"/>
      <c r="B799" s="64"/>
      <c r="C799" s="64"/>
      <c r="D799" s="64"/>
      <c r="E799" s="64"/>
      <c r="F799" s="64"/>
      <c r="G799" s="149"/>
      <c r="H799" s="148"/>
      <c r="I799" s="4"/>
      <c r="J799" s="5"/>
      <c r="K799" s="5"/>
      <c r="L799" s="5"/>
      <c r="M799" s="5"/>
      <c r="N799" s="5"/>
      <c r="O799" s="5"/>
      <c r="P799" s="5"/>
      <c r="Q799" s="5"/>
      <c r="R799" s="5"/>
      <c r="S799" s="5"/>
      <c r="T799" s="5"/>
      <c r="U799" s="5"/>
      <c r="V799" s="5"/>
      <c r="W799" s="5"/>
      <c r="X799" s="5"/>
      <c r="Y799" s="5"/>
    </row>
    <row r="800">
      <c r="A800" s="5"/>
      <c r="B800" s="64"/>
      <c r="C800" s="64"/>
      <c r="D800" s="64"/>
      <c r="E800" s="64"/>
      <c r="F800" s="64"/>
      <c r="G800" s="149"/>
      <c r="H800" s="148"/>
      <c r="I800" s="4"/>
      <c r="J800" s="5"/>
      <c r="K800" s="5"/>
      <c r="L800" s="5"/>
      <c r="M800" s="5"/>
      <c r="N800" s="5"/>
      <c r="O800" s="5"/>
      <c r="P800" s="5"/>
      <c r="Q800" s="5"/>
      <c r="R800" s="5"/>
      <c r="S800" s="5"/>
      <c r="T800" s="5"/>
      <c r="U800" s="5"/>
      <c r="V800" s="5"/>
      <c r="W800" s="5"/>
      <c r="X800" s="5"/>
      <c r="Y800" s="5"/>
    </row>
    <row r="801">
      <c r="A801" s="5"/>
      <c r="B801" s="64"/>
      <c r="C801" s="64"/>
      <c r="D801" s="64"/>
      <c r="E801" s="64"/>
      <c r="F801" s="64"/>
      <c r="G801" s="149"/>
      <c r="H801" s="148"/>
      <c r="I801" s="4"/>
      <c r="J801" s="5"/>
      <c r="K801" s="5"/>
      <c r="L801" s="5"/>
      <c r="M801" s="5"/>
      <c r="N801" s="5"/>
      <c r="O801" s="5"/>
      <c r="P801" s="5"/>
      <c r="Q801" s="5"/>
      <c r="R801" s="5"/>
      <c r="S801" s="5"/>
      <c r="T801" s="5"/>
      <c r="U801" s="5"/>
      <c r="V801" s="5"/>
      <c r="W801" s="5"/>
      <c r="X801" s="5"/>
      <c r="Y801" s="5"/>
    </row>
    <row r="802">
      <c r="A802" s="5"/>
      <c r="B802" s="64"/>
      <c r="C802" s="64"/>
      <c r="D802" s="64"/>
      <c r="E802" s="64"/>
      <c r="F802" s="64"/>
      <c r="G802" s="149"/>
      <c r="H802" s="148"/>
      <c r="I802" s="4"/>
      <c r="J802" s="5"/>
      <c r="K802" s="5"/>
      <c r="L802" s="5"/>
      <c r="M802" s="5"/>
      <c r="N802" s="5"/>
      <c r="O802" s="5"/>
      <c r="P802" s="5"/>
      <c r="Q802" s="5"/>
      <c r="R802" s="5"/>
      <c r="S802" s="5"/>
      <c r="T802" s="5"/>
      <c r="U802" s="5"/>
      <c r="V802" s="5"/>
      <c r="W802" s="5"/>
      <c r="X802" s="5"/>
      <c r="Y802" s="5"/>
    </row>
    <row r="803">
      <c r="A803" s="5"/>
      <c r="B803" s="64"/>
      <c r="C803" s="64"/>
      <c r="D803" s="64"/>
      <c r="E803" s="64"/>
      <c r="F803" s="64"/>
      <c r="G803" s="149"/>
      <c r="H803" s="148"/>
      <c r="I803" s="4"/>
      <c r="J803" s="5"/>
      <c r="K803" s="5"/>
      <c r="L803" s="5"/>
      <c r="M803" s="5"/>
      <c r="N803" s="5"/>
      <c r="O803" s="5"/>
      <c r="P803" s="5"/>
      <c r="Q803" s="5"/>
      <c r="R803" s="5"/>
      <c r="S803" s="5"/>
      <c r="T803" s="5"/>
      <c r="U803" s="5"/>
      <c r="V803" s="5"/>
      <c r="W803" s="5"/>
      <c r="X803" s="5"/>
      <c r="Y803" s="5"/>
    </row>
    <row r="804">
      <c r="A804" s="5"/>
      <c r="B804" s="64"/>
      <c r="C804" s="64"/>
      <c r="D804" s="64"/>
      <c r="E804" s="64"/>
      <c r="F804" s="64"/>
      <c r="G804" s="149"/>
      <c r="H804" s="148"/>
      <c r="I804" s="4"/>
      <c r="J804" s="5"/>
      <c r="K804" s="5"/>
      <c r="L804" s="5"/>
      <c r="M804" s="5"/>
      <c r="N804" s="5"/>
      <c r="O804" s="5"/>
      <c r="P804" s="5"/>
      <c r="Q804" s="5"/>
      <c r="R804" s="5"/>
      <c r="S804" s="5"/>
      <c r="T804" s="5"/>
      <c r="U804" s="5"/>
      <c r="V804" s="5"/>
      <c r="W804" s="5"/>
      <c r="X804" s="5"/>
      <c r="Y804" s="5"/>
    </row>
    <row r="805">
      <c r="A805" s="5"/>
      <c r="B805" s="64"/>
      <c r="C805" s="64"/>
      <c r="D805" s="64"/>
      <c r="E805" s="64"/>
      <c r="F805" s="64"/>
      <c r="G805" s="149"/>
      <c r="H805" s="148"/>
      <c r="I805" s="4"/>
      <c r="J805" s="5"/>
      <c r="K805" s="5"/>
      <c r="L805" s="5"/>
      <c r="M805" s="5"/>
      <c r="N805" s="5"/>
      <c r="O805" s="5"/>
      <c r="P805" s="5"/>
      <c r="Q805" s="5"/>
      <c r="R805" s="5"/>
      <c r="S805" s="5"/>
      <c r="T805" s="5"/>
      <c r="U805" s="5"/>
      <c r="V805" s="5"/>
      <c r="W805" s="5"/>
      <c r="X805" s="5"/>
      <c r="Y805" s="5"/>
    </row>
    <row r="806">
      <c r="A806" s="5"/>
      <c r="B806" s="64"/>
      <c r="C806" s="64"/>
      <c r="D806" s="64"/>
      <c r="E806" s="64"/>
      <c r="F806" s="64"/>
      <c r="G806" s="149"/>
      <c r="H806" s="148"/>
      <c r="I806" s="4"/>
      <c r="J806" s="5"/>
      <c r="K806" s="5"/>
      <c r="L806" s="5"/>
      <c r="M806" s="5"/>
      <c r="N806" s="5"/>
      <c r="O806" s="5"/>
      <c r="P806" s="5"/>
      <c r="Q806" s="5"/>
      <c r="R806" s="5"/>
      <c r="S806" s="5"/>
      <c r="T806" s="5"/>
      <c r="U806" s="5"/>
      <c r="V806" s="5"/>
      <c r="W806" s="5"/>
      <c r="X806" s="5"/>
      <c r="Y806" s="5"/>
    </row>
    <row r="807">
      <c r="A807" s="5"/>
      <c r="B807" s="64"/>
      <c r="C807" s="64"/>
      <c r="D807" s="64"/>
      <c r="E807" s="64"/>
      <c r="F807" s="64"/>
      <c r="G807" s="149"/>
      <c r="H807" s="148"/>
      <c r="I807" s="4"/>
      <c r="J807" s="5"/>
      <c r="K807" s="5"/>
      <c r="L807" s="5"/>
      <c r="M807" s="5"/>
      <c r="N807" s="5"/>
      <c r="O807" s="5"/>
      <c r="P807" s="5"/>
      <c r="Q807" s="5"/>
      <c r="R807" s="5"/>
      <c r="S807" s="5"/>
      <c r="T807" s="5"/>
      <c r="U807" s="5"/>
      <c r="V807" s="5"/>
      <c r="W807" s="5"/>
      <c r="X807" s="5"/>
      <c r="Y807" s="5"/>
    </row>
    <row r="808">
      <c r="A808" s="5"/>
      <c r="B808" s="64"/>
      <c r="C808" s="64"/>
      <c r="D808" s="64"/>
      <c r="E808" s="64"/>
      <c r="F808" s="64"/>
      <c r="G808" s="149"/>
      <c r="H808" s="148"/>
      <c r="I808" s="4"/>
      <c r="J808" s="5"/>
      <c r="K808" s="5"/>
      <c r="L808" s="5"/>
      <c r="M808" s="5"/>
      <c r="N808" s="5"/>
      <c r="O808" s="5"/>
      <c r="P808" s="5"/>
      <c r="Q808" s="5"/>
      <c r="R808" s="5"/>
      <c r="S808" s="5"/>
      <c r="T808" s="5"/>
      <c r="U808" s="5"/>
      <c r="V808" s="5"/>
      <c r="W808" s="5"/>
      <c r="X808" s="5"/>
      <c r="Y808" s="5"/>
    </row>
    <row r="809">
      <c r="A809" s="5"/>
      <c r="B809" s="64"/>
      <c r="C809" s="64"/>
      <c r="D809" s="64"/>
      <c r="E809" s="64"/>
      <c r="F809" s="64"/>
      <c r="G809" s="149"/>
      <c r="H809" s="148"/>
      <c r="I809" s="4"/>
      <c r="J809" s="5"/>
      <c r="K809" s="5"/>
      <c r="L809" s="5"/>
      <c r="M809" s="5"/>
      <c r="N809" s="5"/>
      <c r="O809" s="5"/>
      <c r="P809" s="5"/>
      <c r="Q809" s="5"/>
      <c r="R809" s="5"/>
      <c r="S809" s="5"/>
      <c r="T809" s="5"/>
      <c r="U809" s="5"/>
      <c r="V809" s="5"/>
      <c r="W809" s="5"/>
      <c r="X809" s="5"/>
      <c r="Y809" s="5"/>
    </row>
    <row r="810">
      <c r="A810" s="5"/>
      <c r="B810" s="64"/>
      <c r="C810" s="64"/>
      <c r="D810" s="64"/>
      <c r="E810" s="64"/>
      <c r="F810" s="64"/>
      <c r="G810" s="149"/>
      <c r="H810" s="148"/>
      <c r="I810" s="4"/>
      <c r="J810" s="5"/>
      <c r="K810" s="5"/>
      <c r="L810" s="5"/>
      <c r="M810" s="5"/>
      <c r="N810" s="5"/>
      <c r="O810" s="5"/>
      <c r="P810" s="5"/>
      <c r="Q810" s="5"/>
      <c r="R810" s="5"/>
      <c r="S810" s="5"/>
      <c r="T810" s="5"/>
      <c r="U810" s="5"/>
      <c r="V810" s="5"/>
      <c r="W810" s="5"/>
      <c r="X810" s="5"/>
      <c r="Y810" s="5"/>
    </row>
    <row r="811">
      <c r="A811" s="5"/>
      <c r="B811" s="64"/>
      <c r="C811" s="64"/>
      <c r="D811" s="64"/>
      <c r="E811" s="64"/>
      <c r="F811" s="64"/>
      <c r="G811" s="149"/>
      <c r="H811" s="148"/>
      <c r="I811" s="4"/>
      <c r="J811" s="5"/>
      <c r="K811" s="5"/>
      <c r="L811" s="5"/>
      <c r="M811" s="5"/>
      <c r="N811" s="5"/>
      <c r="O811" s="5"/>
      <c r="P811" s="5"/>
      <c r="Q811" s="5"/>
      <c r="R811" s="5"/>
      <c r="S811" s="5"/>
      <c r="T811" s="5"/>
      <c r="U811" s="5"/>
      <c r="V811" s="5"/>
      <c r="W811" s="5"/>
      <c r="X811" s="5"/>
      <c r="Y811" s="5"/>
    </row>
    <row r="812">
      <c r="A812" s="5"/>
      <c r="B812" s="64"/>
      <c r="C812" s="64"/>
      <c r="D812" s="64"/>
      <c r="E812" s="64"/>
      <c r="F812" s="64"/>
      <c r="G812" s="149"/>
      <c r="H812" s="148"/>
      <c r="I812" s="4"/>
      <c r="J812" s="5"/>
      <c r="K812" s="5"/>
      <c r="L812" s="5"/>
      <c r="M812" s="5"/>
      <c r="N812" s="5"/>
      <c r="O812" s="5"/>
      <c r="P812" s="5"/>
      <c r="Q812" s="5"/>
      <c r="R812" s="5"/>
      <c r="S812" s="5"/>
      <c r="T812" s="5"/>
      <c r="U812" s="5"/>
      <c r="V812" s="5"/>
      <c r="W812" s="5"/>
      <c r="X812" s="5"/>
      <c r="Y812" s="5"/>
    </row>
    <row r="813">
      <c r="A813" s="5"/>
      <c r="B813" s="64"/>
      <c r="C813" s="64"/>
      <c r="D813" s="64"/>
      <c r="E813" s="64"/>
      <c r="F813" s="64"/>
      <c r="G813" s="149"/>
      <c r="H813" s="148"/>
      <c r="I813" s="4"/>
      <c r="J813" s="5"/>
      <c r="K813" s="5"/>
      <c r="L813" s="5"/>
      <c r="M813" s="5"/>
      <c r="N813" s="5"/>
      <c r="O813" s="5"/>
      <c r="P813" s="5"/>
      <c r="Q813" s="5"/>
      <c r="R813" s="5"/>
      <c r="S813" s="5"/>
      <c r="T813" s="5"/>
      <c r="U813" s="5"/>
      <c r="V813" s="5"/>
      <c r="W813" s="5"/>
      <c r="X813" s="5"/>
      <c r="Y813" s="5"/>
    </row>
    <row r="814">
      <c r="A814" s="5"/>
      <c r="B814" s="64"/>
      <c r="C814" s="64"/>
      <c r="D814" s="64"/>
      <c r="E814" s="64"/>
      <c r="F814" s="64"/>
      <c r="G814" s="149"/>
      <c r="H814" s="148"/>
      <c r="I814" s="4"/>
      <c r="J814" s="5"/>
      <c r="K814" s="5"/>
      <c r="L814" s="5"/>
      <c r="M814" s="5"/>
      <c r="N814" s="5"/>
      <c r="O814" s="5"/>
      <c r="P814" s="5"/>
      <c r="Q814" s="5"/>
      <c r="R814" s="5"/>
      <c r="S814" s="5"/>
      <c r="T814" s="5"/>
      <c r="U814" s="5"/>
      <c r="V814" s="5"/>
      <c r="W814" s="5"/>
      <c r="X814" s="5"/>
      <c r="Y814" s="5"/>
    </row>
    <row r="815">
      <c r="A815" s="5"/>
      <c r="B815" s="64"/>
      <c r="C815" s="64"/>
      <c r="D815" s="64"/>
      <c r="E815" s="64"/>
      <c r="F815" s="64"/>
      <c r="G815" s="149"/>
      <c r="H815" s="148"/>
      <c r="I815" s="4"/>
      <c r="J815" s="5"/>
      <c r="K815" s="5"/>
      <c r="L815" s="5"/>
      <c r="M815" s="5"/>
      <c r="N815" s="5"/>
      <c r="O815" s="5"/>
      <c r="P815" s="5"/>
      <c r="Q815" s="5"/>
      <c r="R815" s="5"/>
      <c r="S815" s="5"/>
      <c r="T815" s="5"/>
      <c r="U815" s="5"/>
      <c r="V815" s="5"/>
      <c r="W815" s="5"/>
      <c r="X815" s="5"/>
      <c r="Y815" s="5"/>
    </row>
    <row r="816">
      <c r="A816" s="5"/>
      <c r="B816" s="64"/>
      <c r="C816" s="64"/>
      <c r="D816" s="64"/>
      <c r="E816" s="64"/>
      <c r="F816" s="64"/>
      <c r="G816" s="149"/>
      <c r="H816" s="148"/>
      <c r="I816" s="4"/>
      <c r="J816" s="5"/>
      <c r="K816" s="5"/>
      <c r="L816" s="5"/>
      <c r="M816" s="5"/>
      <c r="N816" s="5"/>
      <c r="O816" s="5"/>
      <c r="P816" s="5"/>
      <c r="Q816" s="5"/>
      <c r="R816" s="5"/>
      <c r="S816" s="5"/>
      <c r="T816" s="5"/>
      <c r="U816" s="5"/>
      <c r="V816" s="5"/>
      <c r="W816" s="5"/>
      <c r="X816" s="5"/>
      <c r="Y816" s="5"/>
    </row>
    <row r="817">
      <c r="A817" s="5"/>
      <c r="B817" s="64"/>
      <c r="C817" s="64"/>
      <c r="D817" s="64"/>
      <c r="E817" s="64"/>
      <c r="F817" s="64"/>
      <c r="G817" s="149"/>
      <c r="H817" s="148"/>
      <c r="I817" s="4"/>
      <c r="J817" s="5"/>
      <c r="K817" s="5"/>
      <c r="L817" s="5"/>
      <c r="M817" s="5"/>
      <c r="N817" s="5"/>
      <c r="O817" s="5"/>
      <c r="P817" s="5"/>
      <c r="Q817" s="5"/>
      <c r="R817" s="5"/>
      <c r="S817" s="5"/>
      <c r="T817" s="5"/>
      <c r="U817" s="5"/>
      <c r="V817" s="5"/>
      <c r="W817" s="5"/>
      <c r="X817" s="5"/>
      <c r="Y817" s="5"/>
    </row>
    <row r="818">
      <c r="A818" s="5"/>
      <c r="B818" s="64"/>
      <c r="C818" s="64"/>
      <c r="D818" s="64"/>
      <c r="E818" s="64"/>
      <c r="F818" s="64"/>
      <c r="G818" s="149"/>
      <c r="H818" s="148"/>
      <c r="I818" s="4"/>
      <c r="J818" s="5"/>
      <c r="K818" s="5"/>
      <c r="L818" s="5"/>
      <c r="M818" s="5"/>
      <c r="N818" s="5"/>
      <c r="O818" s="5"/>
      <c r="P818" s="5"/>
      <c r="Q818" s="5"/>
      <c r="R818" s="5"/>
      <c r="S818" s="5"/>
      <c r="T818" s="5"/>
      <c r="U818" s="5"/>
      <c r="V818" s="5"/>
      <c r="W818" s="5"/>
      <c r="X818" s="5"/>
      <c r="Y818" s="5"/>
    </row>
    <row r="819">
      <c r="A819" s="5"/>
      <c r="B819" s="64"/>
      <c r="C819" s="64"/>
      <c r="D819" s="64"/>
      <c r="E819" s="64"/>
      <c r="F819" s="64"/>
      <c r="G819" s="149"/>
      <c r="H819" s="148"/>
      <c r="I819" s="4"/>
      <c r="J819" s="5"/>
      <c r="K819" s="5"/>
      <c r="L819" s="5"/>
      <c r="M819" s="5"/>
      <c r="N819" s="5"/>
      <c r="O819" s="5"/>
      <c r="P819" s="5"/>
      <c r="Q819" s="5"/>
      <c r="R819" s="5"/>
      <c r="S819" s="5"/>
      <c r="T819" s="5"/>
      <c r="U819" s="5"/>
      <c r="V819" s="5"/>
      <c r="W819" s="5"/>
      <c r="X819" s="5"/>
      <c r="Y819" s="5"/>
    </row>
    <row r="820">
      <c r="A820" s="5"/>
      <c r="B820" s="64"/>
      <c r="C820" s="64"/>
      <c r="D820" s="64"/>
      <c r="E820" s="64"/>
      <c r="F820" s="64"/>
      <c r="G820" s="149"/>
      <c r="H820" s="148"/>
      <c r="I820" s="4"/>
      <c r="J820" s="5"/>
      <c r="K820" s="5"/>
      <c r="L820" s="5"/>
      <c r="M820" s="5"/>
      <c r="N820" s="5"/>
      <c r="O820" s="5"/>
      <c r="P820" s="5"/>
      <c r="Q820" s="5"/>
      <c r="R820" s="5"/>
      <c r="S820" s="5"/>
      <c r="T820" s="5"/>
      <c r="U820" s="5"/>
      <c r="V820" s="5"/>
      <c r="W820" s="5"/>
      <c r="X820" s="5"/>
      <c r="Y820" s="5"/>
    </row>
    <row r="821">
      <c r="A821" s="5"/>
      <c r="B821" s="64"/>
      <c r="C821" s="64"/>
      <c r="D821" s="64"/>
      <c r="E821" s="64"/>
      <c r="F821" s="64"/>
      <c r="G821" s="149"/>
      <c r="H821" s="148"/>
      <c r="I821" s="4"/>
      <c r="J821" s="5"/>
      <c r="K821" s="5"/>
      <c r="L821" s="5"/>
      <c r="M821" s="5"/>
      <c r="N821" s="5"/>
      <c r="O821" s="5"/>
      <c r="P821" s="5"/>
      <c r="Q821" s="5"/>
      <c r="R821" s="5"/>
      <c r="S821" s="5"/>
      <c r="T821" s="5"/>
      <c r="U821" s="5"/>
      <c r="V821" s="5"/>
      <c r="W821" s="5"/>
      <c r="X821" s="5"/>
      <c r="Y821" s="5"/>
    </row>
    <row r="822">
      <c r="A822" s="5"/>
      <c r="B822" s="64"/>
      <c r="C822" s="64"/>
      <c r="D822" s="64"/>
      <c r="E822" s="64"/>
      <c r="F822" s="64"/>
      <c r="G822" s="149"/>
      <c r="H822" s="148"/>
      <c r="I822" s="4"/>
      <c r="J822" s="5"/>
      <c r="K822" s="5"/>
      <c r="L822" s="5"/>
      <c r="M822" s="5"/>
      <c r="N822" s="5"/>
      <c r="O822" s="5"/>
      <c r="P822" s="5"/>
      <c r="Q822" s="5"/>
      <c r="R822" s="5"/>
      <c r="S822" s="5"/>
      <c r="T822" s="5"/>
      <c r="U822" s="5"/>
      <c r="V822" s="5"/>
      <c r="W822" s="5"/>
      <c r="X822" s="5"/>
      <c r="Y822" s="5"/>
    </row>
    <row r="823">
      <c r="A823" s="5"/>
      <c r="B823" s="64"/>
      <c r="C823" s="64"/>
      <c r="D823" s="64"/>
      <c r="E823" s="64"/>
      <c r="F823" s="64"/>
      <c r="G823" s="149"/>
      <c r="H823" s="148"/>
      <c r="I823" s="4"/>
      <c r="J823" s="5"/>
      <c r="K823" s="5"/>
      <c r="L823" s="5"/>
      <c r="M823" s="5"/>
      <c r="N823" s="5"/>
      <c r="O823" s="5"/>
      <c r="P823" s="5"/>
      <c r="Q823" s="5"/>
      <c r="R823" s="5"/>
      <c r="S823" s="5"/>
      <c r="T823" s="5"/>
      <c r="U823" s="5"/>
      <c r="V823" s="5"/>
      <c r="W823" s="5"/>
      <c r="X823" s="5"/>
      <c r="Y823" s="5"/>
    </row>
    <row r="824">
      <c r="A824" s="5"/>
      <c r="B824" s="64"/>
      <c r="C824" s="64"/>
      <c r="D824" s="64"/>
      <c r="E824" s="64"/>
      <c r="F824" s="64"/>
      <c r="G824" s="149"/>
      <c r="H824" s="148"/>
      <c r="I824" s="4"/>
      <c r="J824" s="5"/>
      <c r="K824" s="5"/>
      <c r="L824" s="5"/>
      <c r="M824" s="5"/>
      <c r="N824" s="5"/>
      <c r="O824" s="5"/>
      <c r="P824" s="5"/>
      <c r="Q824" s="5"/>
      <c r="R824" s="5"/>
      <c r="S824" s="5"/>
      <c r="T824" s="5"/>
      <c r="U824" s="5"/>
      <c r="V824" s="5"/>
      <c r="W824" s="5"/>
      <c r="X824" s="5"/>
      <c r="Y824" s="5"/>
    </row>
    <row r="825">
      <c r="A825" s="5"/>
      <c r="B825" s="64"/>
      <c r="C825" s="64"/>
      <c r="D825" s="64"/>
      <c r="E825" s="64"/>
      <c r="F825" s="64"/>
      <c r="G825" s="149"/>
      <c r="H825" s="148"/>
      <c r="I825" s="4"/>
      <c r="J825" s="5"/>
      <c r="K825" s="5"/>
      <c r="L825" s="5"/>
      <c r="M825" s="5"/>
      <c r="N825" s="5"/>
      <c r="O825" s="5"/>
      <c r="P825" s="5"/>
      <c r="Q825" s="5"/>
      <c r="R825" s="5"/>
      <c r="S825" s="5"/>
      <c r="T825" s="5"/>
      <c r="U825" s="5"/>
      <c r="V825" s="5"/>
      <c r="W825" s="5"/>
      <c r="X825" s="5"/>
      <c r="Y825" s="5"/>
    </row>
    <row r="826">
      <c r="A826" s="5"/>
      <c r="B826" s="64"/>
      <c r="C826" s="64"/>
      <c r="D826" s="64"/>
      <c r="E826" s="64"/>
      <c r="F826" s="64"/>
      <c r="G826" s="149"/>
      <c r="H826" s="148"/>
      <c r="I826" s="4"/>
      <c r="J826" s="5"/>
      <c r="K826" s="5"/>
      <c r="L826" s="5"/>
      <c r="M826" s="5"/>
      <c r="N826" s="5"/>
      <c r="O826" s="5"/>
      <c r="P826" s="5"/>
      <c r="Q826" s="5"/>
      <c r="R826" s="5"/>
      <c r="S826" s="5"/>
      <c r="T826" s="5"/>
      <c r="U826" s="5"/>
      <c r="V826" s="5"/>
      <c r="W826" s="5"/>
      <c r="X826" s="5"/>
      <c r="Y826" s="5"/>
    </row>
    <row r="827">
      <c r="A827" s="5"/>
      <c r="B827" s="64"/>
      <c r="C827" s="64"/>
      <c r="D827" s="64"/>
      <c r="E827" s="64"/>
      <c r="F827" s="64"/>
      <c r="G827" s="149"/>
      <c r="H827" s="148"/>
      <c r="I827" s="4"/>
      <c r="J827" s="5"/>
      <c r="K827" s="5"/>
      <c r="L827" s="5"/>
      <c r="M827" s="5"/>
      <c r="N827" s="5"/>
      <c r="O827" s="5"/>
      <c r="P827" s="5"/>
      <c r="Q827" s="5"/>
      <c r="R827" s="5"/>
      <c r="S827" s="5"/>
      <c r="T827" s="5"/>
      <c r="U827" s="5"/>
      <c r="V827" s="5"/>
      <c r="W827" s="5"/>
      <c r="X827" s="5"/>
      <c r="Y827" s="5"/>
    </row>
    <row r="828">
      <c r="A828" s="5"/>
      <c r="B828" s="64"/>
      <c r="C828" s="64"/>
      <c r="D828" s="64"/>
      <c r="E828" s="64"/>
      <c r="F828" s="64"/>
      <c r="G828" s="149"/>
      <c r="H828" s="148"/>
      <c r="I828" s="4"/>
      <c r="J828" s="5"/>
      <c r="K828" s="5"/>
      <c r="L828" s="5"/>
      <c r="M828" s="5"/>
      <c r="N828" s="5"/>
      <c r="O828" s="5"/>
      <c r="P828" s="5"/>
      <c r="Q828" s="5"/>
      <c r="R828" s="5"/>
      <c r="S828" s="5"/>
      <c r="T828" s="5"/>
      <c r="U828" s="5"/>
      <c r="V828" s="5"/>
      <c r="W828" s="5"/>
      <c r="X828" s="5"/>
      <c r="Y828" s="5"/>
    </row>
    <row r="829">
      <c r="A829" s="5"/>
      <c r="B829" s="64"/>
      <c r="C829" s="64"/>
      <c r="D829" s="64"/>
      <c r="E829" s="64"/>
      <c r="F829" s="64"/>
      <c r="G829" s="149"/>
      <c r="H829" s="148"/>
      <c r="I829" s="4"/>
      <c r="J829" s="5"/>
      <c r="K829" s="5"/>
      <c r="L829" s="5"/>
      <c r="M829" s="5"/>
      <c r="N829" s="5"/>
      <c r="O829" s="5"/>
      <c r="P829" s="5"/>
      <c r="Q829" s="5"/>
      <c r="R829" s="5"/>
      <c r="S829" s="5"/>
      <c r="T829" s="5"/>
      <c r="U829" s="5"/>
      <c r="V829" s="5"/>
      <c r="W829" s="5"/>
      <c r="X829" s="5"/>
      <c r="Y829" s="5"/>
    </row>
    <row r="830">
      <c r="A830" s="5"/>
      <c r="B830" s="64"/>
      <c r="C830" s="64"/>
      <c r="D830" s="64"/>
      <c r="E830" s="64"/>
      <c r="F830" s="64"/>
      <c r="G830" s="149"/>
      <c r="H830" s="148"/>
      <c r="I830" s="4"/>
      <c r="J830" s="5"/>
      <c r="K830" s="5"/>
      <c r="L830" s="5"/>
      <c r="M830" s="5"/>
      <c r="N830" s="5"/>
      <c r="O830" s="5"/>
      <c r="P830" s="5"/>
      <c r="Q830" s="5"/>
      <c r="R830" s="5"/>
      <c r="S830" s="5"/>
      <c r="T830" s="5"/>
      <c r="U830" s="5"/>
      <c r="V830" s="5"/>
      <c r="W830" s="5"/>
      <c r="X830" s="5"/>
      <c r="Y830" s="5"/>
    </row>
    <row r="831">
      <c r="A831" s="5"/>
      <c r="B831" s="64"/>
      <c r="C831" s="64"/>
      <c r="D831" s="64"/>
      <c r="E831" s="64"/>
      <c r="F831" s="64"/>
      <c r="G831" s="149"/>
      <c r="H831" s="148"/>
      <c r="I831" s="4"/>
      <c r="J831" s="5"/>
      <c r="K831" s="5"/>
      <c r="L831" s="5"/>
      <c r="M831" s="5"/>
      <c r="N831" s="5"/>
      <c r="O831" s="5"/>
      <c r="P831" s="5"/>
      <c r="Q831" s="5"/>
      <c r="R831" s="5"/>
      <c r="S831" s="5"/>
      <c r="T831" s="5"/>
      <c r="U831" s="5"/>
      <c r="V831" s="5"/>
      <c r="W831" s="5"/>
      <c r="X831" s="5"/>
      <c r="Y831" s="5"/>
    </row>
    <row r="832">
      <c r="A832" s="5"/>
      <c r="B832" s="64"/>
      <c r="C832" s="64"/>
      <c r="D832" s="64"/>
      <c r="E832" s="64"/>
      <c r="F832" s="64"/>
      <c r="G832" s="149"/>
      <c r="H832" s="148"/>
      <c r="I832" s="4"/>
      <c r="J832" s="5"/>
      <c r="K832" s="5"/>
      <c r="L832" s="5"/>
      <c r="M832" s="5"/>
      <c r="N832" s="5"/>
      <c r="O832" s="5"/>
      <c r="P832" s="5"/>
      <c r="Q832" s="5"/>
      <c r="R832" s="5"/>
      <c r="S832" s="5"/>
      <c r="T832" s="5"/>
      <c r="U832" s="5"/>
      <c r="V832" s="5"/>
      <c r="W832" s="5"/>
      <c r="X832" s="5"/>
      <c r="Y832" s="5"/>
    </row>
    <row r="833">
      <c r="A833" s="5"/>
      <c r="B833" s="64"/>
      <c r="C833" s="64"/>
      <c r="D833" s="64"/>
      <c r="E833" s="64"/>
      <c r="F833" s="64"/>
      <c r="G833" s="149"/>
      <c r="H833" s="148"/>
      <c r="I833" s="4"/>
      <c r="J833" s="5"/>
      <c r="K833" s="5"/>
      <c r="L833" s="5"/>
      <c r="M833" s="5"/>
      <c r="N833" s="5"/>
      <c r="O833" s="5"/>
      <c r="P833" s="5"/>
      <c r="Q833" s="5"/>
      <c r="R833" s="5"/>
      <c r="S833" s="5"/>
      <c r="T833" s="5"/>
      <c r="U833" s="5"/>
      <c r="V833" s="5"/>
      <c r="W833" s="5"/>
      <c r="X833" s="5"/>
      <c r="Y833" s="5"/>
    </row>
    <row r="834">
      <c r="A834" s="5"/>
      <c r="B834" s="64"/>
      <c r="C834" s="64"/>
      <c r="D834" s="64"/>
      <c r="E834" s="64"/>
      <c r="F834" s="64"/>
      <c r="G834" s="149"/>
      <c r="H834" s="148"/>
      <c r="I834" s="4"/>
      <c r="J834" s="5"/>
      <c r="K834" s="5"/>
      <c r="L834" s="5"/>
      <c r="M834" s="5"/>
      <c r="N834" s="5"/>
      <c r="O834" s="5"/>
      <c r="P834" s="5"/>
      <c r="Q834" s="5"/>
      <c r="R834" s="5"/>
      <c r="S834" s="5"/>
      <c r="T834" s="5"/>
      <c r="U834" s="5"/>
      <c r="V834" s="5"/>
      <c r="W834" s="5"/>
      <c r="X834" s="5"/>
      <c r="Y834" s="5"/>
    </row>
    <row r="835">
      <c r="A835" s="5"/>
      <c r="B835" s="64"/>
      <c r="C835" s="64"/>
      <c r="D835" s="64"/>
      <c r="E835" s="64"/>
      <c r="F835" s="64"/>
      <c r="G835" s="149"/>
      <c r="H835" s="148"/>
      <c r="I835" s="4"/>
      <c r="J835" s="5"/>
      <c r="K835" s="5"/>
      <c r="L835" s="5"/>
      <c r="M835" s="5"/>
      <c r="N835" s="5"/>
      <c r="O835" s="5"/>
      <c r="P835" s="5"/>
      <c r="Q835" s="5"/>
      <c r="R835" s="5"/>
      <c r="S835" s="5"/>
      <c r="T835" s="5"/>
      <c r="U835" s="5"/>
      <c r="V835" s="5"/>
      <c r="W835" s="5"/>
      <c r="X835" s="5"/>
      <c r="Y835" s="5"/>
    </row>
    <row r="836">
      <c r="A836" s="5"/>
      <c r="B836" s="64"/>
      <c r="C836" s="64"/>
      <c r="D836" s="64"/>
      <c r="E836" s="64"/>
      <c r="F836" s="64"/>
      <c r="G836" s="149"/>
      <c r="H836" s="148"/>
      <c r="I836" s="4"/>
      <c r="J836" s="5"/>
      <c r="K836" s="5"/>
      <c r="L836" s="5"/>
      <c r="M836" s="5"/>
      <c r="N836" s="5"/>
      <c r="O836" s="5"/>
      <c r="P836" s="5"/>
      <c r="Q836" s="5"/>
      <c r="R836" s="5"/>
      <c r="S836" s="5"/>
      <c r="T836" s="5"/>
      <c r="U836" s="5"/>
      <c r="V836" s="5"/>
      <c r="W836" s="5"/>
      <c r="X836" s="5"/>
      <c r="Y836" s="5"/>
    </row>
    <row r="837">
      <c r="A837" s="5"/>
      <c r="B837" s="64"/>
      <c r="C837" s="64"/>
      <c r="D837" s="64"/>
      <c r="E837" s="64"/>
      <c r="F837" s="64"/>
      <c r="G837" s="149"/>
      <c r="H837" s="148"/>
      <c r="I837" s="4"/>
      <c r="J837" s="5"/>
      <c r="K837" s="5"/>
      <c r="L837" s="5"/>
      <c r="M837" s="5"/>
      <c r="N837" s="5"/>
      <c r="O837" s="5"/>
      <c r="P837" s="5"/>
      <c r="Q837" s="5"/>
      <c r="R837" s="5"/>
      <c r="S837" s="5"/>
      <c r="T837" s="5"/>
      <c r="U837" s="5"/>
      <c r="V837" s="5"/>
      <c r="W837" s="5"/>
      <c r="X837" s="5"/>
      <c r="Y837" s="5"/>
    </row>
    <row r="838">
      <c r="A838" s="5"/>
      <c r="B838" s="64"/>
      <c r="C838" s="64"/>
      <c r="D838" s="64"/>
      <c r="E838" s="64"/>
      <c r="F838" s="64"/>
      <c r="G838" s="149"/>
      <c r="H838" s="148"/>
      <c r="I838" s="4"/>
      <c r="J838" s="5"/>
      <c r="K838" s="5"/>
      <c r="L838" s="5"/>
      <c r="M838" s="5"/>
      <c r="N838" s="5"/>
      <c r="O838" s="5"/>
      <c r="P838" s="5"/>
      <c r="Q838" s="5"/>
      <c r="R838" s="5"/>
      <c r="S838" s="5"/>
      <c r="T838" s="5"/>
      <c r="U838" s="5"/>
      <c r="V838" s="5"/>
      <c r="W838" s="5"/>
      <c r="X838" s="5"/>
      <c r="Y838" s="5"/>
    </row>
    <row r="839">
      <c r="A839" s="5"/>
      <c r="B839" s="64"/>
      <c r="C839" s="64"/>
      <c r="D839" s="64"/>
      <c r="E839" s="64"/>
      <c r="F839" s="64"/>
      <c r="G839" s="149"/>
      <c r="H839" s="148"/>
      <c r="I839" s="4"/>
      <c r="J839" s="5"/>
      <c r="K839" s="5"/>
      <c r="L839" s="5"/>
      <c r="M839" s="5"/>
      <c r="N839" s="5"/>
      <c r="O839" s="5"/>
      <c r="P839" s="5"/>
      <c r="Q839" s="5"/>
      <c r="R839" s="5"/>
      <c r="S839" s="5"/>
      <c r="T839" s="5"/>
      <c r="U839" s="5"/>
      <c r="V839" s="5"/>
      <c r="W839" s="5"/>
      <c r="X839" s="5"/>
      <c r="Y839" s="5"/>
    </row>
    <row r="840">
      <c r="A840" s="5"/>
      <c r="B840" s="64"/>
      <c r="C840" s="64"/>
      <c r="D840" s="64"/>
      <c r="E840" s="64"/>
      <c r="F840" s="64"/>
      <c r="G840" s="149"/>
      <c r="H840" s="148"/>
      <c r="I840" s="4"/>
      <c r="J840" s="5"/>
      <c r="K840" s="5"/>
      <c r="L840" s="5"/>
      <c r="M840" s="5"/>
      <c r="N840" s="5"/>
      <c r="O840" s="5"/>
      <c r="P840" s="5"/>
      <c r="Q840" s="5"/>
      <c r="R840" s="5"/>
      <c r="S840" s="5"/>
      <c r="T840" s="5"/>
      <c r="U840" s="5"/>
      <c r="V840" s="5"/>
      <c r="W840" s="5"/>
      <c r="X840" s="5"/>
      <c r="Y840" s="5"/>
    </row>
    <row r="841">
      <c r="A841" s="5"/>
      <c r="B841" s="64"/>
      <c r="C841" s="64"/>
      <c r="D841" s="64"/>
      <c r="E841" s="64"/>
      <c r="F841" s="64"/>
      <c r="G841" s="149"/>
      <c r="H841" s="148"/>
      <c r="I841" s="4"/>
      <c r="J841" s="5"/>
      <c r="K841" s="5"/>
      <c r="L841" s="5"/>
      <c r="M841" s="5"/>
      <c r="N841" s="5"/>
      <c r="O841" s="5"/>
      <c r="P841" s="5"/>
      <c r="Q841" s="5"/>
      <c r="R841" s="5"/>
      <c r="S841" s="5"/>
      <c r="T841" s="5"/>
      <c r="U841" s="5"/>
      <c r="V841" s="5"/>
      <c r="W841" s="5"/>
      <c r="X841" s="5"/>
      <c r="Y841" s="5"/>
    </row>
    <row r="842">
      <c r="A842" s="5"/>
      <c r="B842" s="64"/>
      <c r="C842" s="64"/>
      <c r="D842" s="64"/>
      <c r="E842" s="64"/>
      <c r="F842" s="64"/>
      <c r="G842" s="149"/>
      <c r="H842" s="148"/>
      <c r="I842" s="4"/>
      <c r="J842" s="5"/>
      <c r="K842" s="5"/>
      <c r="L842" s="5"/>
      <c r="M842" s="5"/>
      <c r="N842" s="5"/>
      <c r="O842" s="5"/>
      <c r="P842" s="5"/>
      <c r="Q842" s="5"/>
      <c r="R842" s="5"/>
      <c r="S842" s="5"/>
      <c r="T842" s="5"/>
      <c r="U842" s="5"/>
      <c r="V842" s="5"/>
      <c r="W842" s="5"/>
      <c r="X842" s="5"/>
      <c r="Y842" s="5"/>
    </row>
    <row r="843">
      <c r="A843" s="5"/>
      <c r="B843" s="64"/>
      <c r="C843" s="64"/>
      <c r="D843" s="64"/>
      <c r="E843" s="64"/>
      <c r="F843" s="64"/>
      <c r="G843" s="149"/>
      <c r="H843" s="148"/>
      <c r="I843" s="4"/>
      <c r="J843" s="5"/>
      <c r="K843" s="5"/>
      <c r="L843" s="5"/>
      <c r="M843" s="5"/>
      <c r="N843" s="5"/>
      <c r="O843" s="5"/>
      <c r="P843" s="5"/>
      <c r="Q843" s="5"/>
      <c r="R843" s="5"/>
      <c r="S843" s="5"/>
      <c r="T843" s="5"/>
      <c r="U843" s="5"/>
      <c r="V843" s="5"/>
      <c r="W843" s="5"/>
      <c r="X843" s="5"/>
      <c r="Y843" s="5"/>
    </row>
    <row r="844">
      <c r="A844" s="5"/>
      <c r="B844" s="64"/>
      <c r="C844" s="64"/>
      <c r="D844" s="64"/>
      <c r="E844" s="64"/>
      <c r="F844" s="64"/>
      <c r="G844" s="149"/>
      <c r="H844" s="148"/>
      <c r="I844" s="4"/>
      <c r="J844" s="5"/>
      <c r="K844" s="5"/>
      <c r="L844" s="5"/>
      <c r="M844" s="5"/>
      <c r="N844" s="5"/>
      <c r="O844" s="5"/>
      <c r="P844" s="5"/>
      <c r="Q844" s="5"/>
      <c r="R844" s="5"/>
      <c r="S844" s="5"/>
      <c r="T844" s="5"/>
      <c r="U844" s="5"/>
      <c r="V844" s="5"/>
      <c r="W844" s="5"/>
      <c r="X844" s="5"/>
      <c r="Y844" s="5"/>
    </row>
    <row r="845">
      <c r="A845" s="5"/>
      <c r="B845" s="64"/>
      <c r="C845" s="64"/>
      <c r="D845" s="64"/>
      <c r="E845" s="64"/>
      <c r="F845" s="64"/>
      <c r="G845" s="149"/>
      <c r="H845" s="148"/>
      <c r="I845" s="4"/>
      <c r="J845" s="5"/>
      <c r="K845" s="5"/>
      <c r="L845" s="5"/>
      <c r="M845" s="5"/>
      <c r="N845" s="5"/>
      <c r="O845" s="5"/>
      <c r="P845" s="5"/>
      <c r="Q845" s="5"/>
      <c r="R845" s="5"/>
      <c r="S845" s="5"/>
      <c r="T845" s="5"/>
      <c r="U845" s="5"/>
      <c r="V845" s="5"/>
      <c r="W845" s="5"/>
      <c r="X845" s="5"/>
      <c r="Y845" s="5"/>
    </row>
    <row r="846">
      <c r="A846" s="5"/>
      <c r="B846" s="64"/>
      <c r="C846" s="64"/>
      <c r="D846" s="64"/>
      <c r="E846" s="64"/>
      <c r="F846" s="64"/>
      <c r="G846" s="149"/>
      <c r="H846" s="148"/>
      <c r="I846" s="4"/>
      <c r="J846" s="5"/>
      <c r="K846" s="5"/>
      <c r="L846" s="5"/>
      <c r="M846" s="5"/>
      <c r="N846" s="5"/>
      <c r="O846" s="5"/>
      <c r="P846" s="5"/>
      <c r="Q846" s="5"/>
      <c r="R846" s="5"/>
      <c r="S846" s="5"/>
      <c r="T846" s="5"/>
      <c r="U846" s="5"/>
      <c r="V846" s="5"/>
      <c r="W846" s="5"/>
      <c r="X846" s="5"/>
      <c r="Y846" s="5"/>
    </row>
    <row r="847">
      <c r="A847" s="5"/>
      <c r="B847" s="64"/>
      <c r="C847" s="64"/>
      <c r="D847" s="64"/>
      <c r="E847" s="64"/>
      <c r="F847" s="64"/>
      <c r="G847" s="149"/>
      <c r="H847" s="148"/>
      <c r="I847" s="4"/>
      <c r="J847" s="5"/>
      <c r="K847" s="5"/>
      <c r="L847" s="5"/>
      <c r="M847" s="5"/>
      <c r="N847" s="5"/>
      <c r="O847" s="5"/>
      <c r="P847" s="5"/>
      <c r="Q847" s="5"/>
      <c r="R847" s="5"/>
      <c r="S847" s="5"/>
      <c r="T847" s="5"/>
      <c r="U847" s="5"/>
      <c r="V847" s="5"/>
      <c r="W847" s="5"/>
      <c r="X847" s="5"/>
      <c r="Y847" s="5"/>
    </row>
    <row r="848">
      <c r="A848" s="5"/>
      <c r="B848" s="64"/>
      <c r="C848" s="64"/>
      <c r="D848" s="64"/>
      <c r="E848" s="64"/>
      <c r="F848" s="64"/>
      <c r="G848" s="149"/>
      <c r="H848" s="148"/>
      <c r="I848" s="4"/>
      <c r="J848" s="5"/>
      <c r="K848" s="5"/>
      <c r="L848" s="5"/>
      <c r="M848" s="5"/>
      <c r="N848" s="5"/>
      <c r="O848" s="5"/>
      <c r="P848" s="5"/>
      <c r="Q848" s="5"/>
      <c r="R848" s="5"/>
      <c r="S848" s="5"/>
      <c r="T848" s="5"/>
      <c r="U848" s="5"/>
      <c r="V848" s="5"/>
      <c r="W848" s="5"/>
      <c r="X848" s="5"/>
      <c r="Y848" s="5"/>
    </row>
    <row r="849">
      <c r="A849" s="5"/>
      <c r="B849" s="64"/>
      <c r="C849" s="64"/>
      <c r="D849" s="64"/>
      <c r="E849" s="64"/>
      <c r="F849" s="64"/>
      <c r="G849" s="149"/>
      <c r="H849" s="148"/>
      <c r="I849" s="4"/>
      <c r="J849" s="5"/>
      <c r="K849" s="5"/>
      <c r="L849" s="5"/>
      <c r="M849" s="5"/>
      <c r="N849" s="5"/>
      <c r="O849" s="5"/>
      <c r="P849" s="5"/>
      <c r="Q849" s="5"/>
      <c r="R849" s="5"/>
      <c r="S849" s="5"/>
      <c r="T849" s="5"/>
      <c r="U849" s="5"/>
      <c r="V849" s="5"/>
      <c r="W849" s="5"/>
      <c r="X849" s="5"/>
      <c r="Y849" s="5"/>
    </row>
    <row r="850">
      <c r="A850" s="5"/>
      <c r="B850" s="64"/>
      <c r="C850" s="64"/>
      <c r="D850" s="64"/>
      <c r="E850" s="64"/>
      <c r="F850" s="64"/>
      <c r="G850" s="149"/>
      <c r="H850" s="148"/>
      <c r="I850" s="4"/>
      <c r="J850" s="5"/>
      <c r="K850" s="5"/>
      <c r="L850" s="5"/>
      <c r="M850" s="5"/>
      <c r="N850" s="5"/>
      <c r="O850" s="5"/>
      <c r="P850" s="5"/>
      <c r="Q850" s="5"/>
      <c r="R850" s="5"/>
      <c r="S850" s="5"/>
      <c r="T850" s="5"/>
      <c r="U850" s="5"/>
      <c r="V850" s="5"/>
      <c r="W850" s="5"/>
      <c r="X850" s="5"/>
      <c r="Y850" s="5"/>
    </row>
    <row r="851">
      <c r="A851" s="5"/>
      <c r="B851" s="64"/>
      <c r="C851" s="64"/>
      <c r="D851" s="64"/>
      <c r="E851" s="64"/>
      <c r="F851" s="64"/>
      <c r="G851" s="149"/>
      <c r="H851" s="148"/>
      <c r="I851" s="4"/>
      <c r="J851" s="5"/>
      <c r="K851" s="5"/>
      <c r="L851" s="5"/>
      <c r="M851" s="5"/>
      <c r="N851" s="5"/>
      <c r="O851" s="5"/>
      <c r="P851" s="5"/>
      <c r="Q851" s="5"/>
      <c r="R851" s="5"/>
      <c r="S851" s="5"/>
      <c r="T851" s="5"/>
      <c r="U851" s="5"/>
      <c r="V851" s="5"/>
      <c r="W851" s="5"/>
      <c r="X851" s="5"/>
      <c r="Y851" s="5"/>
    </row>
    <row r="852">
      <c r="A852" s="5"/>
      <c r="B852" s="64"/>
      <c r="C852" s="64"/>
      <c r="D852" s="64"/>
      <c r="E852" s="64"/>
      <c r="F852" s="64"/>
      <c r="G852" s="149"/>
      <c r="H852" s="148"/>
      <c r="I852" s="4"/>
      <c r="J852" s="5"/>
      <c r="K852" s="5"/>
      <c r="L852" s="5"/>
      <c r="M852" s="5"/>
      <c r="N852" s="5"/>
      <c r="O852" s="5"/>
      <c r="P852" s="5"/>
      <c r="Q852" s="5"/>
      <c r="R852" s="5"/>
      <c r="S852" s="5"/>
      <c r="T852" s="5"/>
      <c r="U852" s="5"/>
      <c r="V852" s="5"/>
      <c r="W852" s="5"/>
      <c r="X852" s="5"/>
      <c r="Y852" s="5"/>
    </row>
    <row r="853">
      <c r="A853" s="5"/>
      <c r="B853" s="64"/>
      <c r="C853" s="64"/>
      <c r="D853" s="64"/>
      <c r="E853" s="64"/>
      <c r="F853" s="64"/>
      <c r="G853" s="149"/>
      <c r="H853" s="148"/>
      <c r="I853" s="4"/>
      <c r="J853" s="5"/>
      <c r="K853" s="5"/>
      <c r="L853" s="5"/>
      <c r="M853" s="5"/>
      <c r="N853" s="5"/>
      <c r="O853" s="5"/>
      <c r="P853" s="5"/>
      <c r="Q853" s="5"/>
      <c r="R853" s="5"/>
      <c r="S853" s="5"/>
      <c r="T853" s="5"/>
      <c r="U853" s="5"/>
      <c r="V853" s="5"/>
      <c r="W853" s="5"/>
      <c r="X853" s="5"/>
      <c r="Y853" s="5"/>
    </row>
    <row r="854">
      <c r="A854" s="5"/>
      <c r="B854" s="64"/>
      <c r="C854" s="64"/>
      <c r="D854" s="64"/>
      <c r="E854" s="64"/>
      <c r="F854" s="64"/>
      <c r="G854" s="149"/>
      <c r="H854" s="148"/>
      <c r="I854" s="4"/>
      <c r="J854" s="5"/>
      <c r="K854" s="5"/>
      <c r="L854" s="5"/>
      <c r="M854" s="5"/>
      <c r="N854" s="5"/>
      <c r="O854" s="5"/>
      <c r="P854" s="5"/>
      <c r="Q854" s="5"/>
      <c r="R854" s="5"/>
      <c r="S854" s="5"/>
      <c r="T854" s="5"/>
      <c r="U854" s="5"/>
      <c r="V854" s="5"/>
      <c r="W854" s="5"/>
      <c r="X854" s="5"/>
      <c r="Y854" s="5"/>
    </row>
    <row r="855">
      <c r="A855" s="5"/>
      <c r="B855" s="64"/>
      <c r="C855" s="64"/>
      <c r="D855" s="64"/>
      <c r="E855" s="64"/>
      <c r="F855" s="64"/>
      <c r="G855" s="149"/>
      <c r="H855" s="148"/>
      <c r="I855" s="4"/>
      <c r="J855" s="5"/>
      <c r="K855" s="5"/>
      <c r="L855" s="5"/>
      <c r="M855" s="5"/>
      <c r="N855" s="5"/>
      <c r="O855" s="5"/>
      <c r="P855" s="5"/>
      <c r="Q855" s="5"/>
      <c r="R855" s="5"/>
      <c r="S855" s="5"/>
      <c r="T855" s="5"/>
      <c r="U855" s="5"/>
      <c r="V855" s="5"/>
      <c r="W855" s="5"/>
      <c r="X855" s="5"/>
      <c r="Y855" s="5"/>
    </row>
    <row r="856">
      <c r="A856" s="5"/>
      <c r="B856" s="64"/>
      <c r="C856" s="64"/>
      <c r="D856" s="64"/>
      <c r="E856" s="64"/>
      <c r="F856" s="64"/>
      <c r="G856" s="149"/>
      <c r="H856" s="148"/>
      <c r="I856" s="4"/>
      <c r="J856" s="5"/>
      <c r="K856" s="5"/>
      <c r="L856" s="5"/>
      <c r="M856" s="5"/>
      <c r="N856" s="5"/>
      <c r="O856" s="5"/>
      <c r="P856" s="5"/>
      <c r="Q856" s="5"/>
      <c r="R856" s="5"/>
      <c r="S856" s="5"/>
      <c r="T856" s="5"/>
      <c r="U856" s="5"/>
      <c r="V856" s="5"/>
      <c r="W856" s="5"/>
      <c r="X856" s="5"/>
      <c r="Y856" s="5"/>
    </row>
    <row r="857">
      <c r="A857" s="5"/>
      <c r="B857" s="64"/>
      <c r="C857" s="64"/>
      <c r="D857" s="64"/>
      <c r="E857" s="64"/>
      <c r="F857" s="64"/>
      <c r="G857" s="149"/>
      <c r="H857" s="148"/>
      <c r="I857" s="4"/>
      <c r="J857" s="5"/>
      <c r="K857" s="5"/>
      <c r="L857" s="5"/>
      <c r="M857" s="5"/>
      <c r="N857" s="5"/>
      <c r="O857" s="5"/>
      <c r="P857" s="5"/>
      <c r="Q857" s="5"/>
      <c r="R857" s="5"/>
      <c r="S857" s="5"/>
      <c r="T857" s="5"/>
      <c r="U857" s="5"/>
      <c r="V857" s="5"/>
      <c r="W857" s="5"/>
      <c r="X857" s="5"/>
      <c r="Y857" s="5"/>
    </row>
    <row r="858">
      <c r="A858" s="5"/>
      <c r="B858" s="64"/>
      <c r="C858" s="64"/>
      <c r="D858" s="64"/>
      <c r="E858" s="64"/>
      <c r="F858" s="64"/>
      <c r="G858" s="149"/>
      <c r="H858" s="148"/>
      <c r="I858" s="4"/>
      <c r="J858" s="5"/>
      <c r="K858" s="5"/>
      <c r="L858" s="5"/>
      <c r="M858" s="5"/>
      <c r="N858" s="5"/>
      <c r="O858" s="5"/>
      <c r="P858" s="5"/>
      <c r="Q858" s="5"/>
      <c r="R858" s="5"/>
      <c r="S858" s="5"/>
      <c r="T858" s="5"/>
      <c r="U858" s="5"/>
      <c r="V858" s="5"/>
      <c r="W858" s="5"/>
      <c r="X858" s="5"/>
      <c r="Y858" s="5"/>
    </row>
    <row r="859">
      <c r="A859" s="5"/>
      <c r="B859" s="64"/>
      <c r="C859" s="64"/>
      <c r="D859" s="64"/>
      <c r="E859" s="64"/>
      <c r="F859" s="64"/>
      <c r="G859" s="149"/>
      <c r="H859" s="148"/>
      <c r="I859" s="4"/>
      <c r="J859" s="5"/>
      <c r="K859" s="5"/>
      <c r="L859" s="5"/>
      <c r="M859" s="5"/>
      <c r="N859" s="5"/>
      <c r="O859" s="5"/>
      <c r="P859" s="5"/>
      <c r="Q859" s="5"/>
      <c r="R859" s="5"/>
      <c r="S859" s="5"/>
      <c r="T859" s="5"/>
      <c r="U859" s="5"/>
      <c r="V859" s="5"/>
      <c r="W859" s="5"/>
      <c r="X859" s="5"/>
      <c r="Y859" s="5"/>
    </row>
    <row r="860">
      <c r="A860" s="5"/>
      <c r="B860" s="64"/>
      <c r="C860" s="64"/>
      <c r="D860" s="64"/>
      <c r="E860" s="64"/>
      <c r="F860" s="64"/>
      <c r="G860" s="149"/>
      <c r="H860" s="148"/>
      <c r="I860" s="4"/>
      <c r="J860" s="5"/>
      <c r="K860" s="5"/>
      <c r="L860" s="5"/>
      <c r="M860" s="5"/>
      <c r="N860" s="5"/>
      <c r="O860" s="5"/>
      <c r="P860" s="5"/>
      <c r="Q860" s="5"/>
      <c r="R860" s="5"/>
      <c r="S860" s="5"/>
      <c r="T860" s="5"/>
      <c r="U860" s="5"/>
      <c r="V860" s="5"/>
      <c r="W860" s="5"/>
      <c r="X860" s="5"/>
      <c r="Y860" s="5"/>
    </row>
    <row r="861">
      <c r="A861" s="5"/>
      <c r="B861" s="64"/>
      <c r="C861" s="64"/>
      <c r="D861" s="64"/>
      <c r="E861" s="64"/>
      <c r="F861" s="64"/>
      <c r="G861" s="149"/>
      <c r="H861" s="148"/>
      <c r="I861" s="4"/>
      <c r="J861" s="5"/>
      <c r="K861" s="5"/>
      <c r="L861" s="5"/>
      <c r="M861" s="5"/>
      <c r="N861" s="5"/>
      <c r="O861" s="5"/>
      <c r="P861" s="5"/>
      <c r="Q861" s="5"/>
      <c r="R861" s="5"/>
      <c r="S861" s="5"/>
      <c r="T861" s="5"/>
      <c r="U861" s="5"/>
      <c r="V861" s="5"/>
      <c r="W861" s="5"/>
      <c r="X861" s="5"/>
      <c r="Y861" s="5"/>
    </row>
    <row r="862">
      <c r="A862" s="5"/>
      <c r="B862" s="64"/>
      <c r="C862" s="64"/>
      <c r="D862" s="64"/>
      <c r="E862" s="64"/>
      <c r="F862" s="64"/>
      <c r="G862" s="149"/>
      <c r="H862" s="148"/>
      <c r="I862" s="4"/>
      <c r="J862" s="5"/>
      <c r="K862" s="5"/>
      <c r="L862" s="5"/>
      <c r="M862" s="5"/>
      <c r="N862" s="5"/>
      <c r="O862" s="5"/>
      <c r="P862" s="5"/>
      <c r="Q862" s="5"/>
      <c r="R862" s="5"/>
      <c r="S862" s="5"/>
      <c r="T862" s="5"/>
      <c r="U862" s="5"/>
      <c r="V862" s="5"/>
      <c r="W862" s="5"/>
      <c r="X862" s="5"/>
      <c r="Y862" s="5"/>
    </row>
    <row r="863">
      <c r="A863" s="5"/>
      <c r="B863" s="64"/>
      <c r="C863" s="64"/>
      <c r="D863" s="64"/>
      <c r="E863" s="64"/>
      <c r="F863" s="64"/>
      <c r="G863" s="149"/>
      <c r="H863" s="148"/>
      <c r="I863" s="4"/>
      <c r="J863" s="5"/>
      <c r="K863" s="5"/>
      <c r="L863" s="5"/>
      <c r="M863" s="5"/>
      <c r="N863" s="5"/>
      <c r="O863" s="5"/>
      <c r="P863" s="5"/>
      <c r="Q863" s="5"/>
      <c r="R863" s="5"/>
      <c r="S863" s="5"/>
      <c r="T863" s="5"/>
      <c r="U863" s="5"/>
      <c r="V863" s="5"/>
      <c r="W863" s="5"/>
      <c r="X863" s="5"/>
      <c r="Y863" s="5"/>
    </row>
    <row r="864">
      <c r="A864" s="5"/>
      <c r="B864" s="64"/>
      <c r="C864" s="64"/>
      <c r="D864" s="64"/>
      <c r="E864" s="64"/>
      <c r="F864" s="64"/>
      <c r="G864" s="149"/>
      <c r="H864" s="148"/>
      <c r="I864" s="4"/>
      <c r="J864" s="5"/>
      <c r="K864" s="5"/>
      <c r="L864" s="5"/>
      <c r="M864" s="5"/>
      <c r="N864" s="5"/>
      <c r="O864" s="5"/>
      <c r="P864" s="5"/>
      <c r="Q864" s="5"/>
      <c r="R864" s="5"/>
      <c r="S864" s="5"/>
      <c r="T864" s="5"/>
      <c r="U864" s="5"/>
      <c r="V864" s="5"/>
      <c r="W864" s="5"/>
      <c r="X864" s="5"/>
      <c r="Y864" s="5"/>
    </row>
    <row r="865">
      <c r="A865" s="5"/>
      <c r="B865" s="64"/>
      <c r="C865" s="64"/>
      <c r="D865" s="64"/>
      <c r="E865" s="64"/>
      <c r="F865" s="64"/>
      <c r="G865" s="149"/>
      <c r="H865" s="148"/>
      <c r="I865" s="4"/>
      <c r="J865" s="5"/>
      <c r="K865" s="5"/>
      <c r="L865" s="5"/>
      <c r="M865" s="5"/>
      <c r="N865" s="5"/>
      <c r="O865" s="5"/>
      <c r="P865" s="5"/>
      <c r="Q865" s="5"/>
      <c r="R865" s="5"/>
      <c r="S865" s="5"/>
      <c r="T865" s="5"/>
      <c r="U865" s="5"/>
      <c r="V865" s="5"/>
      <c r="W865" s="5"/>
      <c r="X865" s="5"/>
      <c r="Y865" s="5"/>
    </row>
    <row r="866">
      <c r="A866" s="5"/>
      <c r="B866" s="64"/>
      <c r="C866" s="64"/>
      <c r="D866" s="64"/>
      <c r="E866" s="64"/>
      <c r="F866" s="64"/>
      <c r="G866" s="149"/>
      <c r="H866" s="148"/>
      <c r="I866" s="4"/>
      <c r="J866" s="5"/>
      <c r="K866" s="5"/>
      <c r="L866" s="5"/>
      <c r="M866" s="5"/>
      <c r="N866" s="5"/>
      <c r="O866" s="5"/>
      <c r="P866" s="5"/>
      <c r="Q866" s="5"/>
      <c r="R866" s="5"/>
      <c r="S866" s="5"/>
      <c r="T866" s="5"/>
      <c r="U866" s="5"/>
      <c r="V866" s="5"/>
      <c r="W866" s="5"/>
      <c r="X866" s="5"/>
      <c r="Y866" s="5"/>
    </row>
    <row r="867">
      <c r="A867" s="5"/>
      <c r="B867" s="64"/>
      <c r="C867" s="64"/>
      <c r="D867" s="64"/>
      <c r="E867" s="64"/>
      <c r="F867" s="64"/>
      <c r="G867" s="149"/>
      <c r="H867" s="148"/>
      <c r="I867" s="4"/>
      <c r="J867" s="5"/>
      <c r="K867" s="5"/>
      <c r="L867" s="5"/>
      <c r="M867" s="5"/>
      <c r="N867" s="5"/>
      <c r="O867" s="5"/>
      <c r="P867" s="5"/>
      <c r="Q867" s="5"/>
      <c r="R867" s="5"/>
      <c r="S867" s="5"/>
      <c r="T867" s="5"/>
      <c r="U867" s="5"/>
      <c r="V867" s="5"/>
      <c r="W867" s="5"/>
      <c r="X867" s="5"/>
      <c r="Y867" s="5"/>
    </row>
    <row r="868">
      <c r="A868" s="5"/>
      <c r="B868" s="64"/>
      <c r="C868" s="64"/>
      <c r="D868" s="64"/>
      <c r="E868" s="64"/>
      <c r="F868" s="64"/>
      <c r="G868" s="149"/>
      <c r="H868" s="148"/>
      <c r="I868" s="4"/>
      <c r="J868" s="5"/>
      <c r="K868" s="5"/>
      <c r="L868" s="5"/>
      <c r="M868" s="5"/>
      <c r="N868" s="5"/>
      <c r="O868" s="5"/>
      <c r="P868" s="5"/>
      <c r="Q868" s="5"/>
      <c r="R868" s="5"/>
      <c r="S868" s="5"/>
      <c r="T868" s="5"/>
      <c r="U868" s="5"/>
      <c r="V868" s="5"/>
      <c r="W868" s="5"/>
      <c r="X868" s="5"/>
      <c r="Y868" s="5"/>
    </row>
    <row r="869">
      <c r="A869" s="5"/>
      <c r="B869" s="64"/>
      <c r="C869" s="64"/>
      <c r="D869" s="64"/>
      <c r="E869" s="64"/>
      <c r="F869" s="64"/>
      <c r="G869" s="149"/>
      <c r="H869" s="148"/>
      <c r="I869" s="4"/>
      <c r="J869" s="5"/>
      <c r="K869" s="5"/>
      <c r="L869" s="5"/>
      <c r="M869" s="5"/>
      <c r="N869" s="5"/>
      <c r="O869" s="5"/>
      <c r="P869" s="5"/>
      <c r="Q869" s="5"/>
      <c r="R869" s="5"/>
      <c r="S869" s="5"/>
      <c r="T869" s="5"/>
      <c r="U869" s="5"/>
      <c r="V869" s="5"/>
      <c r="W869" s="5"/>
      <c r="X869" s="5"/>
      <c r="Y869" s="5"/>
    </row>
    <row r="870">
      <c r="A870" s="5"/>
      <c r="B870" s="64"/>
      <c r="C870" s="64"/>
      <c r="D870" s="64"/>
      <c r="E870" s="64"/>
      <c r="F870" s="64"/>
      <c r="G870" s="149"/>
      <c r="H870" s="148"/>
      <c r="I870" s="4"/>
      <c r="J870" s="5"/>
      <c r="K870" s="5"/>
      <c r="L870" s="5"/>
      <c r="M870" s="5"/>
      <c r="N870" s="5"/>
      <c r="O870" s="5"/>
      <c r="P870" s="5"/>
      <c r="Q870" s="5"/>
      <c r="R870" s="5"/>
      <c r="S870" s="5"/>
      <c r="T870" s="5"/>
      <c r="U870" s="5"/>
      <c r="V870" s="5"/>
      <c r="W870" s="5"/>
      <c r="X870" s="5"/>
      <c r="Y870" s="5"/>
    </row>
    <row r="871">
      <c r="A871" s="5"/>
      <c r="B871" s="64"/>
      <c r="C871" s="64"/>
      <c r="D871" s="64"/>
      <c r="E871" s="64"/>
      <c r="F871" s="64"/>
      <c r="G871" s="149"/>
      <c r="H871" s="148"/>
      <c r="I871" s="4"/>
      <c r="J871" s="5"/>
      <c r="K871" s="5"/>
      <c r="L871" s="5"/>
      <c r="M871" s="5"/>
      <c r="N871" s="5"/>
      <c r="O871" s="5"/>
      <c r="P871" s="5"/>
      <c r="Q871" s="5"/>
      <c r="R871" s="5"/>
      <c r="S871" s="5"/>
      <c r="T871" s="5"/>
      <c r="U871" s="5"/>
      <c r="V871" s="5"/>
      <c r="W871" s="5"/>
      <c r="X871" s="5"/>
      <c r="Y871" s="5"/>
    </row>
    <row r="872">
      <c r="A872" s="5"/>
      <c r="B872" s="64"/>
      <c r="C872" s="64"/>
      <c r="D872" s="64"/>
      <c r="E872" s="64"/>
      <c r="F872" s="64"/>
      <c r="G872" s="149"/>
      <c r="H872" s="148"/>
      <c r="I872" s="4"/>
      <c r="J872" s="5"/>
      <c r="K872" s="5"/>
      <c r="L872" s="5"/>
      <c r="M872" s="5"/>
      <c r="N872" s="5"/>
      <c r="O872" s="5"/>
      <c r="P872" s="5"/>
      <c r="Q872" s="5"/>
      <c r="R872" s="5"/>
      <c r="S872" s="5"/>
      <c r="T872" s="5"/>
      <c r="U872" s="5"/>
      <c r="V872" s="5"/>
      <c r="W872" s="5"/>
      <c r="X872" s="5"/>
      <c r="Y872" s="5"/>
    </row>
    <row r="873">
      <c r="A873" s="5"/>
      <c r="B873" s="64"/>
      <c r="C873" s="64"/>
      <c r="D873" s="64"/>
      <c r="E873" s="64"/>
      <c r="F873" s="64"/>
      <c r="G873" s="149"/>
      <c r="H873" s="148"/>
      <c r="I873" s="4"/>
      <c r="J873" s="5"/>
      <c r="K873" s="5"/>
      <c r="L873" s="5"/>
      <c r="M873" s="5"/>
      <c r="N873" s="5"/>
      <c r="O873" s="5"/>
      <c r="P873" s="5"/>
      <c r="Q873" s="5"/>
      <c r="R873" s="5"/>
      <c r="S873" s="5"/>
      <c r="T873" s="5"/>
      <c r="U873" s="5"/>
      <c r="V873" s="5"/>
      <c r="W873" s="5"/>
      <c r="X873" s="5"/>
      <c r="Y873" s="5"/>
    </row>
    <row r="874">
      <c r="A874" s="5"/>
      <c r="B874" s="64"/>
      <c r="C874" s="64"/>
      <c r="D874" s="64"/>
      <c r="E874" s="64"/>
      <c r="F874" s="64"/>
      <c r="G874" s="149"/>
      <c r="H874" s="148"/>
      <c r="I874" s="4"/>
      <c r="J874" s="5"/>
      <c r="K874" s="5"/>
      <c r="L874" s="5"/>
      <c r="M874" s="5"/>
      <c r="N874" s="5"/>
      <c r="O874" s="5"/>
      <c r="P874" s="5"/>
      <c r="Q874" s="5"/>
      <c r="R874" s="5"/>
      <c r="S874" s="5"/>
      <c r="T874" s="5"/>
      <c r="U874" s="5"/>
      <c r="V874" s="5"/>
      <c r="W874" s="5"/>
      <c r="X874" s="5"/>
      <c r="Y874" s="5"/>
    </row>
    <row r="875">
      <c r="A875" s="5"/>
      <c r="B875" s="64"/>
      <c r="C875" s="64"/>
      <c r="D875" s="64"/>
      <c r="E875" s="64"/>
      <c r="F875" s="64"/>
      <c r="G875" s="149"/>
      <c r="H875" s="148"/>
      <c r="I875" s="4"/>
      <c r="J875" s="5"/>
      <c r="K875" s="5"/>
      <c r="L875" s="5"/>
      <c r="M875" s="5"/>
      <c r="N875" s="5"/>
      <c r="O875" s="5"/>
      <c r="P875" s="5"/>
      <c r="Q875" s="5"/>
      <c r="R875" s="5"/>
      <c r="S875" s="5"/>
      <c r="T875" s="5"/>
      <c r="U875" s="5"/>
      <c r="V875" s="5"/>
      <c r="W875" s="5"/>
      <c r="X875" s="5"/>
      <c r="Y875" s="5"/>
    </row>
    <row r="876">
      <c r="A876" s="5"/>
      <c r="B876" s="64"/>
      <c r="C876" s="64"/>
      <c r="D876" s="64"/>
      <c r="E876" s="64"/>
      <c r="F876" s="64"/>
      <c r="G876" s="149"/>
      <c r="H876" s="148"/>
      <c r="I876" s="4"/>
      <c r="J876" s="5"/>
      <c r="K876" s="5"/>
      <c r="L876" s="5"/>
      <c r="M876" s="5"/>
      <c r="N876" s="5"/>
      <c r="O876" s="5"/>
      <c r="P876" s="5"/>
      <c r="Q876" s="5"/>
      <c r="R876" s="5"/>
      <c r="S876" s="5"/>
      <c r="T876" s="5"/>
      <c r="U876" s="5"/>
      <c r="V876" s="5"/>
      <c r="W876" s="5"/>
      <c r="X876" s="5"/>
      <c r="Y876" s="5"/>
    </row>
    <row r="877">
      <c r="A877" s="5"/>
      <c r="B877" s="64"/>
      <c r="C877" s="64"/>
      <c r="D877" s="64"/>
      <c r="E877" s="64"/>
      <c r="F877" s="64"/>
      <c r="G877" s="149"/>
      <c r="H877" s="148"/>
      <c r="I877" s="4"/>
      <c r="J877" s="5"/>
      <c r="K877" s="5"/>
      <c r="L877" s="5"/>
      <c r="M877" s="5"/>
      <c r="N877" s="5"/>
      <c r="O877" s="5"/>
      <c r="P877" s="5"/>
      <c r="Q877" s="5"/>
      <c r="R877" s="5"/>
      <c r="S877" s="5"/>
      <c r="T877" s="5"/>
      <c r="U877" s="5"/>
      <c r="V877" s="5"/>
      <c r="W877" s="5"/>
      <c r="X877" s="5"/>
      <c r="Y877" s="5"/>
    </row>
    <row r="878">
      <c r="A878" s="5"/>
      <c r="B878" s="64"/>
      <c r="C878" s="64"/>
      <c r="D878" s="64"/>
      <c r="E878" s="64"/>
      <c r="F878" s="64"/>
      <c r="G878" s="149"/>
      <c r="H878" s="148"/>
      <c r="I878" s="4"/>
      <c r="J878" s="5"/>
      <c r="K878" s="5"/>
      <c r="L878" s="5"/>
      <c r="M878" s="5"/>
      <c r="N878" s="5"/>
      <c r="O878" s="5"/>
      <c r="P878" s="5"/>
      <c r="Q878" s="5"/>
      <c r="R878" s="5"/>
      <c r="S878" s="5"/>
      <c r="T878" s="5"/>
      <c r="U878" s="5"/>
      <c r="V878" s="5"/>
      <c r="W878" s="5"/>
      <c r="X878" s="5"/>
      <c r="Y878" s="5"/>
    </row>
    <row r="879">
      <c r="A879" s="5"/>
      <c r="B879" s="64"/>
      <c r="C879" s="64"/>
      <c r="D879" s="64"/>
      <c r="E879" s="64"/>
      <c r="F879" s="64"/>
      <c r="G879" s="149"/>
      <c r="H879" s="148"/>
      <c r="I879" s="4"/>
      <c r="J879" s="5"/>
      <c r="K879" s="5"/>
      <c r="L879" s="5"/>
      <c r="M879" s="5"/>
      <c r="N879" s="5"/>
      <c r="O879" s="5"/>
      <c r="P879" s="5"/>
      <c r="Q879" s="5"/>
      <c r="R879" s="5"/>
      <c r="S879" s="5"/>
      <c r="T879" s="5"/>
      <c r="U879" s="5"/>
      <c r="V879" s="5"/>
      <c r="W879" s="5"/>
      <c r="X879" s="5"/>
      <c r="Y879" s="5"/>
    </row>
    <row r="880">
      <c r="A880" s="5"/>
      <c r="B880" s="64"/>
      <c r="C880" s="64"/>
      <c r="D880" s="64"/>
      <c r="E880" s="64"/>
      <c r="F880" s="64"/>
      <c r="G880" s="149"/>
      <c r="H880" s="148"/>
      <c r="I880" s="4"/>
      <c r="J880" s="5"/>
      <c r="K880" s="5"/>
      <c r="L880" s="5"/>
      <c r="M880" s="5"/>
      <c r="N880" s="5"/>
      <c r="O880" s="5"/>
      <c r="P880" s="5"/>
      <c r="Q880" s="5"/>
      <c r="R880" s="5"/>
      <c r="S880" s="5"/>
      <c r="T880" s="5"/>
      <c r="U880" s="5"/>
      <c r="V880" s="5"/>
      <c r="W880" s="5"/>
      <c r="X880" s="5"/>
      <c r="Y880" s="5"/>
    </row>
    <row r="881">
      <c r="A881" s="5"/>
      <c r="B881" s="64"/>
      <c r="C881" s="64"/>
      <c r="D881" s="64"/>
      <c r="E881" s="64"/>
      <c r="F881" s="64"/>
      <c r="G881" s="149"/>
      <c r="H881" s="148"/>
      <c r="I881" s="4"/>
      <c r="J881" s="5"/>
      <c r="K881" s="5"/>
      <c r="L881" s="5"/>
      <c r="M881" s="5"/>
      <c r="N881" s="5"/>
      <c r="O881" s="5"/>
      <c r="P881" s="5"/>
      <c r="Q881" s="5"/>
      <c r="R881" s="5"/>
      <c r="S881" s="5"/>
      <c r="T881" s="5"/>
      <c r="U881" s="5"/>
      <c r="V881" s="5"/>
      <c r="W881" s="5"/>
      <c r="X881" s="5"/>
      <c r="Y881" s="5"/>
    </row>
    <row r="882">
      <c r="A882" s="5"/>
      <c r="B882" s="64"/>
      <c r="C882" s="64"/>
      <c r="D882" s="64"/>
      <c r="E882" s="64"/>
      <c r="F882" s="64"/>
      <c r="G882" s="149"/>
      <c r="H882" s="148"/>
      <c r="I882" s="4"/>
      <c r="J882" s="5"/>
      <c r="K882" s="5"/>
      <c r="L882" s="5"/>
      <c r="M882" s="5"/>
      <c r="N882" s="5"/>
      <c r="O882" s="5"/>
      <c r="P882" s="5"/>
      <c r="Q882" s="5"/>
      <c r="R882" s="5"/>
      <c r="S882" s="5"/>
      <c r="T882" s="5"/>
      <c r="U882" s="5"/>
      <c r="V882" s="5"/>
      <c r="W882" s="5"/>
      <c r="X882" s="5"/>
      <c r="Y882" s="5"/>
    </row>
    <row r="883">
      <c r="A883" s="5"/>
      <c r="B883" s="64"/>
      <c r="C883" s="64"/>
      <c r="D883" s="64"/>
      <c r="E883" s="64"/>
      <c r="F883" s="64"/>
      <c r="G883" s="149"/>
      <c r="H883" s="148"/>
      <c r="I883" s="4"/>
      <c r="J883" s="5"/>
      <c r="K883" s="5"/>
      <c r="L883" s="5"/>
      <c r="M883" s="5"/>
      <c r="N883" s="5"/>
      <c r="O883" s="5"/>
      <c r="P883" s="5"/>
      <c r="Q883" s="5"/>
      <c r="R883" s="5"/>
      <c r="S883" s="5"/>
      <c r="T883" s="5"/>
      <c r="U883" s="5"/>
      <c r="V883" s="5"/>
      <c r="W883" s="5"/>
      <c r="X883" s="5"/>
      <c r="Y883" s="5"/>
    </row>
    <row r="884">
      <c r="A884" s="5"/>
      <c r="B884" s="64"/>
      <c r="C884" s="64"/>
      <c r="D884" s="64"/>
      <c r="E884" s="64"/>
      <c r="F884" s="64"/>
      <c r="G884" s="149"/>
      <c r="H884" s="148"/>
      <c r="I884" s="4"/>
      <c r="J884" s="5"/>
      <c r="K884" s="5"/>
      <c r="L884" s="5"/>
      <c r="M884" s="5"/>
      <c r="N884" s="5"/>
      <c r="O884" s="5"/>
      <c r="P884" s="5"/>
      <c r="Q884" s="5"/>
      <c r="R884" s="5"/>
      <c r="S884" s="5"/>
      <c r="T884" s="5"/>
      <c r="U884" s="5"/>
      <c r="V884" s="5"/>
      <c r="W884" s="5"/>
      <c r="X884" s="5"/>
      <c r="Y884" s="5"/>
    </row>
    <row r="885">
      <c r="A885" s="5"/>
      <c r="B885" s="64"/>
      <c r="C885" s="64"/>
      <c r="D885" s="64"/>
      <c r="E885" s="64"/>
      <c r="F885" s="64"/>
      <c r="G885" s="149"/>
      <c r="H885" s="148"/>
      <c r="I885" s="4"/>
      <c r="J885" s="5"/>
      <c r="K885" s="5"/>
      <c r="L885" s="5"/>
      <c r="M885" s="5"/>
      <c r="N885" s="5"/>
      <c r="O885" s="5"/>
      <c r="P885" s="5"/>
      <c r="Q885" s="5"/>
      <c r="R885" s="5"/>
      <c r="S885" s="5"/>
      <c r="T885" s="5"/>
      <c r="U885" s="5"/>
      <c r="V885" s="5"/>
      <c r="W885" s="5"/>
      <c r="X885" s="5"/>
      <c r="Y885" s="5"/>
    </row>
    <row r="886">
      <c r="A886" s="5"/>
      <c r="B886" s="64"/>
      <c r="C886" s="64"/>
      <c r="D886" s="64"/>
      <c r="E886" s="64"/>
      <c r="F886" s="64"/>
      <c r="G886" s="149"/>
      <c r="H886" s="148"/>
      <c r="I886" s="4"/>
      <c r="J886" s="5"/>
      <c r="K886" s="5"/>
      <c r="L886" s="5"/>
      <c r="M886" s="5"/>
      <c r="N886" s="5"/>
      <c r="O886" s="5"/>
      <c r="P886" s="5"/>
      <c r="Q886" s="5"/>
      <c r="R886" s="5"/>
      <c r="S886" s="5"/>
      <c r="T886" s="5"/>
      <c r="U886" s="5"/>
      <c r="V886" s="5"/>
      <c r="W886" s="5"/>
      <c r="X886" s="5"/>
      <c r="Y886" s="5"/>
    </row>
    <row r="887">
      <c r="A887" s="5"/>
      <c r="B887" s="64"/>
      <c r="C887" s="64"/>
      <c r="D887" s="64"/>
      <c r="E887" s="64"/>
      <c r="F887" s="64"/>
      <c r="G887" s="149"/>
      <c r="H887" s="148"/>
      <c r="I887" s="4"/>
      <c r="J887" s="5"/>
      <c r="K887" s="5"/>
      <c r="L887" s="5"/>
      <c r="M887" s="5"/>
      <c r="N887" s="5"/>
      <c r="O887" s="5"/>
      <c r="P887" s="5"/>
      <c r="Q887" s="5"/>
      <c r="R887" s="5"/>
      <c r="S887" s="5"/>
      <c r="T887" s="5"/>
      <c r="U887" s="5"/>
      <c r="V887" s="5"/>
      <c r="W887" s="5"/>
      <c r="X887" s="5"/>
      <c r="Y887" s="5"/>
    </row>
    <row r="888">
      <c r="A888" s="5"/>
      <c r="B888" s="64"/>
      <c r="C888" s="64"/>
      <c r="D888" s="64"/>
      <c r="E888" s="64"/>
      <c r="F888" s="64"/>
      <c r="G888" s="149"/>
      <c r="H888" s="148"/>
      <c r="I888" s="4"/>
      <c r="J888" s="5"/>
      <c r="K888" s="5"/>
      <c r="L888" s="5"/>
      <c r="M888" s="5"/>
      <c r="N888" s="5"/>
      <c r="O888" s="5"/>
      <c r="P888" s="5"/>
      <c r="Q888" s="5"/>
      <c r="R888" s="5"/>
      <c r="S888" s="5"/>
      <c r="T888" s="5"/>
      <c r="U888" s="5"/>
      <c r="V888" s="5"/>
      <c r="W888" s="5"/>
      <c r="X888" s="5"/>
      <c r="Y888" s="5"/>
    </row>
    <row r="889">
      <c r="A889" s="5"/>
      <c r="B889" s="64"/>
      <c r="C889" s="64"/>
      <c r="D889" s="64"/>
      <c r="E889" s="64"/>
      <c r="F889" s="64"/>
      <c r="G889" s="149"/>
      <c r="H889" s="148"/>
      <c r="I889" s="4"/>
      <c r="J889" s="5"/>
      <c r="K889" s="5"/>
      <c r="L889" s="5"/>
      <c r="M889" s="5"/>
      <c r="N889" s="5"/>
      <c r="O889" s="5"/>
      <c r="P889" s="5"/>
      <c r="Q889" s="5"/>
      <c r="R889" s="5"/>
      <c r="S889" s="5"/>
      <c r="T889" s="5"/>
      <c r="U889" s="5"/>
      <c r="V889" s="5"/>
      <c r="W889" s="5"/>
      <c r="X889" s="5"/>
      <c r="Y889" s="5"/>
    </row>
    <row r="890">
      <c r="A890" s="5"/>
      <c r="B890" s="64"/>
      <c r="C890" s="64"/>
      <c r="D890" s="64"/>
      <c r="E890" s="64"/>
      <c r="F890" s="64"/>
      <c r="G890" s="149"/>
      <c r="H890" s="148"/>
      <c r="I890" s="4"/>
      <c r="J890" s="5"/>
      <c r="K890" s="5"/>
      <c r="L890" s="5"/>
      <c r="M890" s="5"/>
      <c r="N890" s="5"/>
      <c r="O890" s="5"/>
      <c r="P890" s="5"/>
      <c r="Q890" s="5"/>
      <c r="R890" s="5"/>
      <c r="S890" s="5"/>
      <c r="T890" s="5"/>
      <c r="U890" s="5"/>
      <c r="V890" s="5"/>
      <c r="W890" s="5"/>
      <c r="X890" s="5"/>
      <c r="Y890" s="5"/>
    </row>
    <row r="891">
      <c r="A891" s="5"/>
      <c r="B891" s="64"/>
      <c r="C891" s="64"/>
      <c r="D891" s="64"/>
      <c r="E891" s="64"/>
      <c r="F891" s="64"/>
      <c r="G891" s="149"/>
      <c r="H891" s="148"/>
      <c r="I891" s="4"/>
      <c r="J891" s="5"/>
      <c r="K891" s="5"/>
      <c r="L891" s="5"/>
      <c r="M891" s="5"/>
      <c r="N891" s="5"/>
      <c r="O891" s="5"/>
      <c r="P891" s="5"/>
      <c r="Q891" s="5"/>
      <c r="R891" s="5"/>
      <c r="S891" s="5"/>
      <c r="T891" s="5"/>
      <c r="U891" s="5"/>
      <c r="V891" s="5"/>
      <c r="W891" s="5"/>
      <c r="X891" s="5"/>
      <c r="Y891" s="5"/>
    </row>
    <row r="892">
      <c r="A892" s="5"/>
      <c r="B892" s="64"/>
      <c r="C892" s="64"/>
      <c r="D892" s="64"/>
      <c r="E892" s="64"/>
      <c r="F892" s="64"/>
      <c r="G892" s="149"/>
      <c r="H892" s="148"/>
      <c r="I892" s="4"/>
      <c r="J892" s="5"/>
      <c r="K892" s="5"/>
      <c r="L892" s="5"/>
      <c r="M892" s="5"/>
      <c r="N892" s="5"/>
      <c r="O892" s="5"/>
      <c r="P892" s="5"/>
      <c r="Q892" s="5"/>
      <c r="R892" s="5"/>
      <c r="S892" s="5"/>
      <c r="T892" s="5"/>
      <c r="U892" s="5"/>
      <c r="V892" s="5"/>
      <c r="W892" s="5"/>
      <c r="X892" s="5"/>
      <c r="Y892" s="5"/>
    </row>
    <row r="893">
      <c r="A893" s="5"/>
      <c r="B893" s="64"/>
      <c r="C893" s="64"/>
      <c r="D893" s="64"/>
      <c r="E893" s="64"/>
      <c r="F893" s="64"/>
      <c r="G893" s="149"/>
      <c r="H893" s="148"/>
      <c r="I893" s="4"/>
      <c r="J893" s="5"/>
      <c r="K893" s="5"/>
      <c r="L893" s="5"/>
      <c r="M893" s="5"/>
      <c r="N893" s="5"/>
      <c r="O893" s="5"/>
      <c r="P893" s="5"/>
      <c r="Q893" s="5"/>
      <c r="R893" s="5"/>
      <c r="S893" s="5"/>
      <c r="T893" s="5"/>
      <c r="U893" s="5"/>
      <c r="V893" s="5"/>
      <c r="W893" s="5"/>
      <c r="X893" s="5"/>
      <c r="Y893" s="5"/>
    </row>
    <row r="894">
      <c r="A894" s="5"/>
      <c r="B894" s="64"/>
      <c r="C894" s="64"/>
      <c r="D894" s="64"/>
      <c r="E894" s="64"/>
      <c r="F894" s="64"/>
      <c r="G894" s="149"/>
      <c r="H894" s="148"/>
      <c r="I894" s="4"/>
      <c r="J894" s="5"/>
      <c r="K894" s="5"/>
      <c r="L894" s="5"/>
      <c r="M894" s="5"/>
      <c r="N894" s="5"/>
      <c r="O894" s="5"/>
      <c r="P894" s="5"/>
      <c r="Q894" s="5"/>
      <c r="R894" s="5"/>
      <c r="S894" s="5"/>
      <c r="T894" s="5"/>
      <c r="U894" s="5"/>
      <c r="V894" s="5"/>
      <c r="W894" s="5"/>
      <c r="X894" s="5"/>
      <c r="Y894" s="5"/>
    </row>
    <row r="895">
      <c r="A895" s="5"/>
      <c r="B895" s="64"/>
      <c r="C895" s="64"/>
      <c r="D895" s="64"/>
      <c r="E895" s="64"/>
      <c r="F895" s="64"/>
      <c r="G895" s="149"/>
      <c r="H895" s="148"/>
      <c r="I895" s="4"/>
      <c r="J895" s="5"/>
      <c r="K895" s="5"/>
      <c r="L895" s="5"/>
      <c r="M895" s="5"/>
      <c r="N895" s="5"/>
      <c r="O895" s="5"/>
      <c r="P895" s="5"/>
      <c r="Q895" s="5"/>
      <c r="R895" s="5"/>
      <c r="S895" s="5"/>
      <c r="T895" s="5"/>
      <c r="U895" s="5"/>
      <c r="V895" s="5"/>
      <c r="W895" s="5"/>
      <c r="X895" s="5"/>
      <c r="Y895" s="5"/>
    </row>
    <row r="896">
      <c r="A896" s="5"/>
      <c r="B896" s="64"/>
      <c r="C896" s="64"/>
      <c r="D896" s="64"/>
      <c r="E896" s="64"/>
      <c r="F896" s="64"/>
      <c r="G896" s="149"/>
      <c r="H896" s="148"/>
      <c r="I896" s="4"/>
      <c r="J896" s="5"/>
      <c r="K896" s="5"/>
      <c r="L896" s="5"/>
      <c r="M896" s="5"/>
      <c r="N896" s="5"/>
      <c r="O896" s="5"/>
      <c r="P896" s="5"/>
      <c r="Q896" s="5"/>
      <c r="R896" s="5"/>
      <c r="S896" s="5"/>
      <c r="T896" s="5"/>
      <c r="U896" s="5"/>
      <c r="V896" s="5"/>
      <c r="W896" s="5"/>
      <c r="X896" s="5"/>
      <c r="Y896" s="5"/>
    </row>
    <row r="897">
      <c r="A897" s="5"/>
      <c r="B897" s="64"/>
      <c r="C897" s="64"/>
      <c r="D897" s="64"/>
      <c r="E897" s="64"/>
      <c r="F897" s="64"/>
      <c r="G897" s="149"/>
      <c r="H897" s="148"/>
      <c r="I897" s="4"/>
      <c r="J897" s="5"/>
      <c r="K897" s="5"/>
      <c r="L897" s="5"/>
      <c r="M897" s="5"/>
      <c r="N897" s="5"/>
      <c r="O897" s="5"/>
      <c r="P897" s="5"/>
      <c r="Q897" s="5"/>
      <c r="R897" s="5"/>
      <c r="S897" s="5"/>
      <c r="T897" s="5"/>
      <c r="U897" s="5"/>
      <c r="V897" s="5"/>
      <c r="W897" s="5"/>
      <c r="X897" s="5"/>
      <c r="Y897" s="5"/>
    </row>
    <row r="898">
      <c r="A898" s="5"/>
      <c r="B898" s="64"/>
      <c r="C898" s="64"/>
      <c r="D898" s="64"/>
      <c r="E898" s="64"/>
      <c r="F898" s="64"/>
      <c r="G898" s="149"/>
      <c r="H898" s="148"/>
      <c r="I898" s="4"/>
      <c r="J898" s="5"/>
      <c r="K898" s="5"/>
      <c r="L898" s="5"/>
      <c r="M898" s="5"/>
      <c r="N898" s="5"/>
      <c r="O898" s="5"/>
      <c r="P898" s="5"/>
      <c r="Q898" s="5"/>
      <c r="R898" s="5"/>
      <c r="S898" s="5"/>
      <c r="T898" s="5"/>
      <c r="U898" s="5"/>
      <c r="V898" s="5"/>
      <c r="W898" s="5"/>
      <c r="X898" s="5"/>
      <c r="Y898" s="5"/>
    </row>
    <row r="899">
      <c r="A899" s="5"/>
      <c r="B899" s="64"/>
      <c r="C899" s="64"/>
      <c r="D899" s="64"/>
      <c r="E899" s="64"/>
      <c r="F899" s="64"/>
      <c r="G899" s="149"/>
      <c r="H899" s="148"/>
      <c r="I899" s="4"/>
      <c r="J899" s="5"/>
      <c r="K899" s="5"/>
      <c r="L899" s="5"/>
      <c r="M899" s="5"/>
      <c r="N899" s="5"/>
      <c r="O899" s="5"/>
      <c r="P899" s="5"/>
      <c r="Q899" s="5"/>
      <c r="R899" s="5"/>
      <c r="S899" s="5"/>
      <c r="T899" s="5"/>
      <c r="U899" s="5"/>
      <c r="V899" s="5"/>
      <c r="W899" s="5"/>
      <c r="X899" s="5"/>
      <c r="Y899" s="5"/>
    </row>
    <row r="900">
      <c r="A900" s="5"/>
      <c r="B900" s="64"/>
      <c r="C900" s="64"/>
      <c r="D900" s="64"/>
      <c r="E900" s="64"/>
      <c r="F900" s="64"/>
      <c r="G900" s="149"/>
      <c r="H900" s="148"/>
      <c r="I900" s="4"/>
      <c r="J900" s="5"/>
      <c r="K900" s="5"/>
      <c r="L900" s="5"/>
      <c r="M900" s="5"/>
      <c r="N900" s="5"/>
      <c r="O900" s="5"/>
      <c r="P900" s="5"/>
      <c r="Q900" s="5"/>
      <c r="R900" s="5"/>
      <c r="S900" s="5"/>
      <c r="T900" s="5"/>
      <c r="U900" s="5"/>
      <c r="V900" s="5"/>
      <c r="W900" s="5"/>
      <c r="X900" s="5"/>
      <c r="Y900" s="5"/>
    </row>
    <row r="901">
      <c r="A901" s="5"/>
      <c r="B901" s="64"/>
      <c r="C901" s="64"/>
      <c r="D901" s="64"/>
      <c r="E901" s="64"/>
      <c r="F901" s="64"/>
      <c r="G901" s="149"/>
      <c r="H901" s="148"/>
      <c r="I901" s="4"/>
      <c r="J901" s="5"/>
      <c r="K901" s="5"/>
      <c r="L901" s="5"/>
      <c r="M901" s="5"/>
      <c r="N901" s="5"/>
      <c r="O901" s="5"/>
      <c r="P901" s="5"/>
      <c r="Q901" s="5"/>
      <c r="R901" s="5"/>
      <c r="S901" s="5"/>
      <c r="T901" s="5"/>
      <c r="U901" s="5"/>
      <c r="V901" s="5"/>
      <c r="W901" s="5"/>
      <c r="X901" s="5"/>
      <c r="Y901" s="5"/>
    </row>
    <row r="902">
      <c r="A902" s="5"/>
      <c r="B902" s="64"/>
      <c r="C902" s="64"/>
      <c r="D902" s="64"/>
      <c r="E902" s="64"/>
      <c r="F902" s="64"/>
      <c r="G902" s="149"/>
      <c r="H902" s="148"/>
      <c r="I902" s="4"/>
      <c r="J902" s="5"/>
      <c r="K902" s="5"/>
      <c r="L902" s="5"/>
      <c r="M902" s="5"/>
      <c r="N902" s="5"/>
      <c r="O902" s="5"/>
      <c r="P902" s="5"/>
      <c r="Q902" s="5"/>
      <c r="R902" s="5"/>
      <c r="S902" s="5"/>
      <c r="T902" s="5"/>
      <c r="U902" s="5"/>
      <c r="V902" s="5"/>
      <c r="W902" s="5"/>
      <c r="X902" s="5"/>
      <c r="Y902" s="5"/>
    </row>
    <row r="903">
      <c r="A903" s="5"/>
      <c r="B903" s="64"/>
      <c r="C903" s="64"/>
      <c r="D903" s="64"/>
      <c r="E903" s="64"/>
      <c r="F903" s="64"/>
      <c r="G903" s="149"/>
      <c r="H903" s="148"/>
      <c r="I903" s="4"/>
      <c r="J903" s="5"/>
      <c r="K903" s="5"/>
      <c r="L903" s="5"/>
      <c r="M903" s="5"/>
      <c r="N903" s="5"/>
      <c r="O903" s="5"/>
      <c r="P903" s="5"/>
      <c r="Q903" s="5"/>
      <c r="R903" s="5"/>
      <c r="S903" s="5"/>
      <c r="T903" s="5"/>
      <c r="U903" s="5"/>
      <c r="V903" s="5"/>
      <c r="W903" s="5"/>
      <c r="X903" s="5"/>
      <c r="Y903" s="5"/>
    </row>
    <row r="904">
      <c r="A904" s="5"/>
      <c r="B904" s="64"/>
      <c r="C904" s="64"/>
      <c r="D904" s="64"/>
      <c r="E904" s="64"/>
      <c r="F904" s="64"/>
      <c r="G904" s="149"/>
      <c r="H904" s="148"/>
      <c r="I904" s="4"/>
      <c r="J904" s="5"/>
      <c r="K904" s="5"/>
      <c r="L904" s="5"/>
      <c r="M904" s="5"/>
      <c r="N904" s="5"/>
      <c r="O904" s="5"/>
      <c r="P904" s="5"/>
      <c r="Q904" s="5"/>
      <c r="R904" s="5"/>
      <c r="S904" s="5"/>
      <c r="T904" s="5"/>
      <c r="U904" s="5"/>
      <c r="V904" s="5"/>
      <c r="W904" s="5"/>
      <c r="X904" s="5"/>
      <c r="Y904" s="5"/>
    </row>
    <row r="905">
      <c r="A905" s="5"/>
      <c r="B905" s="64"/>
      <c r="C905" s="64"/>
      <c r="D905" s="64"/>
      <c r="E905" s="64"/>
      <c r="F905" s="64"/>
      <c r="G905" s="149"/>
      <c r="H905" s="148"/>
      <c r="I905" s="4"/>
      <c r="J905" s="5"/>
      <c r="K905" s="5"/>
      <c r="L905" s="5"/>
      <c r="M905" s="5"/>
      <c r="N905" s="5"/>
      <c r="O905" s="5"/>
      <c r="P905" s="5"/>
      <c r="Q905" s="5"/>
      <c r="R905" s="5"/>
      <c r="S905" s="5"/>
      <c r="T905" s="5"/>
      <c r="U905" s="5"/>
      <c r="V905" s="5"/>
      <c r="W905" s="5"/>
      <c r="X905" s="5"/>
      <c r="Y905" s="5"/>
    </row>
    <row r="906">
      <c r="A906" s="5"/>
      <c r="B906" s="64"/>
      <c r="C906" s="64"/>
      <c r="D906" s="64"/>
      <c r="E906" s="64"/>
      <c r="F906" s="64"/>
      <c r="G906" s="149"/>
      <c r="H906" s="148"/>
      <c r="I906" s="4"/>
      <c r="J906" s="5"/>
      <c r="K906" s="5"/>
      <c r="L906" s="5"/>
      <c r="M906" s="5"/>
      <c r="N906" s="5"/>
      <c r="O906" s="5"/>
      <c r="P906" s="5"/>
      <c r="Q906" s="5"/>
      <c r="R906" s="5"/>
      <c r="S906" s="5"/>
      <c r="T906" s="5"/>
      <c r="U906" s="5"/>
      <c r="V906" s="5"/>
      <c r="W906" s="5"/>
      <c r="X906" s="5"/>
      <c r="Y906" s="5"/>
    </row>
    <row r="907">
      <c r="A907" s="5"/>
      <c r="B907" s="64"/>
      <c r="C907" s="64"/>
      <c r="D907" s="64"/>
      <c r="E907" s="64"/>
      <c r="F907" s="64"/>
      <c r="G907" s="149"/>
      <c r="H907" s="148"/>
      <c r="I907" s="4"/>
      <c r="J907" s="5"/>
      <c r="K907" s="5"/>
      <c r="L907" s="5"/>
      <c r="M907" s="5"/>
      <c r="N907" s="5"/>
      <c r="O907" s="5"/>
      <c r="P907" s="5"/>
      <c r="Q907" s="5"/>
      <c r="R907" s="5"/>
      <c r="S907" s="5"/>
      <c r="T907" s="5"/>
      <c r="U907" s="5"/>
      <c r="V907" s="5"/>
      <c r="W907" s="5"/>
      <c r="X907" s="5"/>
      <c r="Y907" s="5"/>
    </row>
    <row r="908">
      <c r="A908" s="5"/>
      <c r="B908" s="64"/>
      <c r="C908" s="64"/>
      <c r="D908" s="64"/>
      <c r="E908" s="64"/>
      <c r="F908" s="64"/>
      <c r="G908" s="149"/>
      <c r="H908" s="148"/>
      <c r="I908" s="4"/>
      <c r="J908" s="5"/>
      <c r="K908" s="5"/>
      <c r="L908" s="5"/>
      <c r="M908" s="5"/>
      <c r="N908" s="5"/>
      <c r="O908" s="5"/>
      <c r="P908" s="5"/>
      <c r="Q908" s="5"/>
      <c r="R908" s="5"/>
      <c r="S908" s="5"/>
      <c r="T908" s="5"/>
      <c r="U908" s="5"/>
      <c r="V908" s="5"/>
      <c r="W908" s="5"/>
      <c r="X908" s="5"/>
      <c r="Y908" s="5"/>
    </row>
    <row r="909">
      <c r="A909" s="5"/>
      <c r="B909" s="64"/>
      <c r="C909" s="64"/>
      <c r="D909" s="64"/>
      <c r="E909" s="64"/>
      <c r="F909" s="64"/>
      <c r="G909" s="149"/>
      <c r="H909" s="148"/>
      <c r="I909" s="4"/>
      <c r="J909" s="5"/>
      <c r="K909" s="5"/>
      <c r="L909" s="5"/>
      <c r="M909" s="5"/>
      <c r="N909" s="5"/>
      <c r="O909" s="5"/>
      <c r="P909" s="5"/>
      <c r="Q909" s="5"/>
      <c r="R909" s="5"/>
      <c r="S909" s="5"/>
      <c r="T909" s="5"/>
      <c r="U909" s="5"/>
      <c r="V909" s="5"/>
      <c r="W909" s="5"/>
      <c r="X909" s="5"/>
      <c r="Y909" s="5"/>
    </row>
    <row r="910">
      <c r="A910" s="5"/>
      <c r="B910" s="64"/>
      <c r="C910" s="64"/>
      <c r="D910" s="64"/>
      <c r="E910" s="64"/>
      <c r="F910" s="64"/>
      <c r="G910" s="149"/>
      <c r="H910" s="148"/>
      <c r="I910" s="4"/>
      <c r="J910" s="5"/>
      <c r="K910" s="5"/>
      <c r="L910" s="5"/>
      <c r="M910" s="5"/>
      <c r="N910" s="5"/>
      <c r="O910" s="5"/>
      <c r="P910" s="5"/>
      <c r="Q910" s="5"/>
      <c r="R910" s="5"/>
      <c r="S910" s="5"/>
      <c r="T910" s="5"/>
      <c r="U910" s="5"/>
      <c r="V910" s="5"/>
      <c r="W910" s="5"/>
      <c r="X910" s="5"/>
      <c r="Y910" s="5"/>
    </row>
    <row r="911">
      <c r="A911" s="5"/>
      <c r="B911" s="64"/>
      <c r="C911" s="64"/>
      <c r="D911" s="64"/>
      <c r="E911" s="64"/>
      <c r="F911" s="64"/>
      <c r="G911" s="149"/>
      <c r="H911" s="148"/>
      <c r="I911" s="4"/>
      <c r="J911" s="5"/>
      <c r="K911" s="5"/>
      <c r="L911" s="5"/>
      <c r="M911" s="5"/>
      <c r="N911" s="5"/>
      <c r="O911" s="5"/>
      <c r="P911" s="5"/>
      <c r="Q911" s="5"/>
      <c r="R911" s="5"/>
      <c r="S911" s="5"/>
      <c r="T911" s="5"/>
      <c r="U911" s="5"/>
      <c r="V911" s="5"/>
      <c r="W911" s="5"/>
      <c r="X911" s="5"/>
      <c r="Y911" s="5"/>
    </row>
    <row r="912">
      <c r="A912" s="5"/>
      <c r="B912" s="64"/>
      <c r="C912" s="64"/>
      <c r="D912" s="64"/>
      <c r="E912" s="64"/>
      <c r="F912" s="64"/>
      <c r="G912" s="149"/>
      <c r="H912" s="148"/>
      <c r="I912" s="4"/>
      <c r="J912" s="5"/>
      <c r="K912" s="5"/>
      <c r="L912" s="5"/>
      <c r="M912" s="5"/>
      <c r="N912" s="5"/>
      <c r="O912" s="5"/>
      <c r="P912" s="5"/>
      <c r="Q912" s="5"/>
      <c r="R912" s="5"/>
      <c r="S912" s="5"/>
      <c r="T912" s="5"/>
      <c r="U912" s="5"/>
      <c r="V912" s="5"/>
      <c r="W912" s="5"/>
      <c r="X912" s="5"/>
      <c r="Y912" s="5"/>
    </row>
    <row r="913">
      <c r="A913" s="5"/>
      <c r="B913" s="64"/>
      <c r="C913" s="64"/>
      <c r="D913" s="64"/>
      <c r="E913" s="64"/>
      <c r="F913" s="64"/>
      <c r="G913" s="149"/>
      <c r="H913" s="148"/>
      <c r="I913" s="4"/>
      <c r="J913" s="5"/>
      <c r="K913" s="5"/>
      <c r="L913" s="5"/>
      <c r="M913" s="5"/>
      <c r="N913" s="5"/>
      <c r="O913" s="5"/>
      <c r="P913" s="5"/>
      <c r="Q913" s="5"/>
      <c r="R913" s="5"/>
      <c r="S913" s="5"/>
      <c r="T913" s="5"/>
      <c r="U913" s="5"/>
      <c r="V913" s="5"/>
      <c r="W913" s="5"/>
      <c r="X913" s="5"/>
      <c r="Y913" s="5"/>
    </row>
    <row r="914">
      <c r="A914" s="5"/>
      <c r="B914" s="64"/>
      <c r="C914" s="64"/>
      <c r="D914" s="64"/>
      <c r="E914" s="64"/>
      <c r="F914" s="64"/>
      <c r="G914" s="149"/>
      <c r="H914" s="148"/>
      <c r="I914" s="4"/>
      <c r="J914" s="5"/>
      <c r="K914" s="5"/>
      <c r="L914" s="5"/>
      <c r="M914" s="5"/>
      <c r="N914" s="5"/>
      <c r="O914" s="5"/>
      <c r="P914" s="5"/>
      <c r="Q914" s="5"/>
      <c r="R914" s="5"/>
      <c r="S914" s="5"/>
      <c r="T914" s="5"/>
      <c r="U914" s="5"/>
      <c r="V914" s="5"/>
      <c r="W914" s="5"/>
      <c r="X914" s="5"/>
      <c r="Y914" s="5"/>
    </row>
    <row r="915">
      <c r="A915" s="5"/>
      <c r="B915" s="64"/>
      <c r="C915" s="64"/>
      <c r="D915" s="64"/>
      <c r="E915" s="64"/>
      <c r="F915" s="64"/>
      <c r="G915" s="149"/>
      <c r="H915" s="148"/>
      <c r="I915" s="4"/>
      <c r="J915" s="5"/>
      <c r="K915" s="5"/>
      <c r="L915" s="5"/>
      <c r="M915" s="5"/>
      <c r="N915" s="5"/>
      <c r="O915" s="5"/>
      <c r="P915" s="5"/>
      <c r="Q915" s="5"/>
      <c r="R915" s="5"/>
      <c r="S915" s="5"/>
      <c r="T915" s="5"/>
      <c r="U915" s="5"/>
      <c r="V915" s="5"/>
      <c r="W915" s="5"/>
      <c r="X915" s="5"/>
      <c r="Y915" s="5"/>
    </row>
    <row r="916">
      <c r="A916" s="5"/>
      <c r="B916" s="64"/>
      <c r="C916" s="64"/>
      <c r="D916" s="64"/>
      <c r="E916" s="64"/>
      <c r="F916" s="64"/>
      <c r="G916" s="149"/>
      <c r="H916" s="148"/>
      <c r="I916" s="4"/>
      <c r="J916" s="5"/>
      <c r="K916" s="5"/>
      <c r="L916" s="5"/>
      <c r="M916" s="5"/>
      <c r="N916" s="5"/>
      <c r="O916" s="5"/>
      <c r="P916" s="5"/>
      <c r="Q916" s="5"/>
      <c r="R916" s="5"/>
      <c r="S916" s="5"/>
      <c r="T916" s="5"/>
      <c r="U916" s="5"/>
      <c r="V916" s="5"/>
      <c r="W916" s="5"/>
      <c r="X916" s="5"/>
      <c r="Y916" s="5"/>
    </row>
    <row r="917">
      <c r="A917" s="5"/>
      <c r="B917" s="64"/>
      <c r="C917" s="64"/>
      <c r="D917" s="64"/>
      <c r="E917" s="64"/>
      <c r="F917" s="64"/>
      <c r="G917" s="149"/>
      <c r="H917" s="148"/>
      <c r="I917" s="4"/>
      <c r="J917" s="5"/>
      <c r="K917" s="5"/>
      <c r="L917" s="5"/>
      <c r="M917" s="5"/>
      <c r="N917" s="5"/>
      <c r="O917" s="5"/>
      <c r="P917" s="5"/>
      <c r="Q917" s="5"/>
      <c r="R917" s="5"/>
      <c r="S917" s="5"/>
      <c r="T917" s="5"/>
      <c r="U917" s="5"/>
      <c r="V917" s="5"/>
      <c r="W917" s="5"/>
      <c r="X917" s="5"/>
      <c r="Y917" s="5"/>
    </row>
    <row r="918">
      <c r="A918" s="5"/>
      <c r="B918" s="64"/>
      <c r="C918" s="64"/>
      <c r="D918" s="64"/>
      <c r="E918" s="64"/>
      <c r="F918" s="64"/>
      <c r="G918" s="149"/>
      <c r="H918" s="148"/>
      <c r="I918" s="4"/>
      <c r="J918" s="5"/>
      <c r="K918" s="5"/>
      <c r="L918" s="5"/>
      <c r="M918" s="5"/>
      <c r="N918" s="5"/>
      <c r="O918" s="5"/>
      <c r="P918" s="5"/>
      <c r="Q918" s="5"/>
      <c r="R918" s="5"/>
      <c r="S918" s="5"/>
      <c r="T918" s="5"/>
      <c r="U918" s="5"/>
      <c r="V918" s="5"/>
      <c r="W918" s="5"/>
      <c r="X918" s="5"/>
      <c r="Y918" s="5"/>
    </row>
    <row r="919">
      <c r="A919" s="5"/>
      <c r="B919" s="64"/>
      <c r="C919" s="64"/>
      <c r="D919" s="64"/>
      <c r="E919" s="64"/>
      <c r="F919" s="64"/>
      <c r="G919" s="149"/>
      <c r="H919" s="148"/>
      <c r="I919" s="4"/>
      <c r="J919" s="5"/>
      <c r="K919" s="5"/>
      <c r="L919" s="5"/>
      <c r="M919" s="5"/>
      <c r="N919" s="5"/>
      <c r="O919" s="5"/>
      <c r="P919" s="5"/>
      <c r="Q919" s="5"/>
      <c r="R919" s="5"/>
      <c r="S919" s="5"/>
      <c r="T919" s="5"/>
      <c r="U919" s="5"/>
      <c r="V919" s="5"/>
      <c r="W919" s="5"/>
      <c r="X919" s="5"/>
      <c r="Y919" s="5"/>
    </row>
    <row r="920">
      <c r="A920" s="5"/>
      <c r="B920" s="64"/>
      <c r="C920" s="64"/>
      <c r="D920" s="64"/>
      <c r="E920" s="64"/>
      <c r="F920" s="64"/>
      <c r="G920" s="149"/>
      <c r="H920" s="148"/>
      <c r="I920" s="4"/>
      <c r="J920" s="5"/>
      <c r="K920" s="5"/>
      <c r="L920" s="5"/>
      <c r="M920" s="5"/>
      <c r="N920" s="5"/>
      <c r="O920" s="5"/>
      <c r="P920" s="5"/>
      <c r="Q920" s="5"/>
      <c r="R920" s="5"/>
      <c r="S920" s="5"/>
      <c r="T920" s="5"/>
      <c r="U920" s="5"/>
      <c r="V920" s="5"/>
      <c r="W920" s="5"/>
      <c r="X920" s="5"/>
      <c r="Y920" s="5"/>
    </row>
    <row r="921">
      <c r="A921" s="5"/>
      <c r="B921" s="64"/>
      <c r="C921" s="64"/>
      <c r="D921" s="64"/>
      <c r="E921" s="64"/>
      <c r="F921" s="64"/>
      <c r="G921" s="149"/>
      <c r="H921" s="148"/>
      <c r="I921" s="4"/>
      <c r="J921" s="5"/>
      <c r="K921" s="5"/>
      <c r="L921" s="5"/>
      <c r="M921" s="5"/>
      <c r="N921" s="5"/>
      <c r="O921" s="5"/>
      <c r="P921" s="5"/>
      <c r="Q921" s="5"/>
      <c r="R921" s="5"/>
      <c r="S921" s="5"/>
      <c r="T921" s="5"/>
      <c r="U921" s="5"/>
      <c r="V921" s="5"/>
      <c r="W921" s="5"/>
      <c r="X921" s="5"/>
      <c r="Y921" s="5"/>
    </row>
    <row r="922">
      <c r="A922" s="5"/>
      <c r="B922" s="64"/>
      <c r="C922" s="64"/>
      <c r="D922" s="64"/>
      <c r="E922" s="64"/>
      <c r="F922" s="64"/>
      <c r="G922" s="149"/>
      <c r="H922" s="148"/>
      <c r="I922" s="4"/>
      <c r="J922" s="5"/>
      <c r="K922" s="5"/>
      <c r="L922" s="5"/>
      <c r="M922" s="5"/>
      <c r="N922" s="5"/>
      <c r="O922" s="5"/>
      <c r="P922" s="5"/>
      <c r="Q922" s="5"/>
      <c r="R922" s="5"/>
      <c r="S922" s="5"/>
      <c r="T922" s="5"/>
      <c r="U922" s="5"/>
      <c r="V922" s="5"/>
      <c r="W922" s="5"/>
      <c r="X922" s="5"/>
      <c r="Y922" s="5"/>
    </row>
    <row r="923">
      <c r="A923" s="5"/>
      <c r="B923" s="64"/>
      <c r="C923" s="64"/>
      <c r="D923" s="64"/>
      <c r="E923" s="64"/>
      <c r="F923" s="64"/>
      <c r="G923" s="149"/>
      <c r="H923" s="148"/>
      <c r="I923" s="4"/>
      <c r="J923" s="5"/>
      <c r="K923" s="5"/>
      <c r="L923" s="5"/>
      <c r="M923" s="5"/>
      <c r="N923" s="5"/>
      <c r="O923" s="5"/>
      <c r="P923" s="5"/>
      <c r="Q923" s="5"/>
      <c r="R923" s="5"/>
      <c r="S923" s="5"/>
      <c r="T923" s="5"/>
      <c r="U923" s="5"/>
      <c r="V923" s="5"/>
      <c r="W923" s="5"/>
      <c r="X923" s="5"/>
      <c r="Y923" s="5"/>
    </row>
    <row r="924">
      <c r="A924" s="5"/>
      <c r="B924" s="64"/>
      <c r="C924" s="64"/>
      <c r="D924" s="64"/>
      <c r="E924" s="64"/>
      <c r="F924" s="64"/>
      <c r="G924" s="149"/>
      <c r="H924" s="148"/>
      <c r="I924" s="4"/>
      <c r="J924" s="5"/>
      <c r="K924" s="5"/>
      <c r="L924" s="5"/>
      <c r="M924" s="5"/>
      <c r="N924" s="5"/>
      <c r="O924" s="5"/>
      <c r="P924" s="5"/>
      <c r="Q924" s="5"/>
      <c r="R924" s="5"/>
      <c r="S924" s="5"/>
      <c r="T924" s="5"/>
      <c r="U924" s="5"/>
      <c r="V924" s="5"/>
      <c r="W924" s="5"/>
      <c r="X924" s="5"/>
      <c r="Y924" s="5"/>
    </row>
    <row r="925">
      <c r="A925" s="5"/>
      <c r="B925" s="64"/>
      <c r="C925" s="64"/>
      <c r="D925" s="64"/>
      <c r="E925" s="64"/>
      <c r="F925" s="64"/>
      <c r="G925" s="149"/>
      <c r="H925" s="148"/>
      <c r="I925" s="4"/>
      <c r="J925" s="5"/>
      <c r="K925" s="5"/>
      <c r="L925" s="5"/>
      <c r="M925" s="5"/>
      <c r="N925" s="5"/>
      <c r="O925" s="5"/>
      <c r="P925" s="5"/>
      <c r="Q925" s="5"/>
      <c r="R925" s="5"/>
      <c r="S925" s="5"/>
      <c r="T925" s="5"/>
      <c r="U925" s="5"/>
      <c r="V925" s="5"/>
      <c r="W925" s="5"/>
      <c r="X925" s="5"/>
      <c r="Y925" s="5"/>
    </row>
    <row r="926">
      <c r="A926" s="5"/>
      <c r="B926" s="64"/>
      <c r="C926" s="64"/>
      <c r="D926" s="64"/>
      <c r="E926" s="64"/>
      <c r="F926" s="64"/>
      <c r="G926" s="149"/>
      <c r="H926" s="148"/>
      <c r="I926" s="4"/>
      <c r="J926" s="5"/>
      <c r="K926" s="5"/>
      <c r="L926" s="5"/>
      <c r="M926" s="5"/>
      <c r="N926" s="5"/>
      <c r="O926" s="5"/>
      <c r="P926" s="5"/>
      <c r="Q926" s="5"/>
      <c r="R926" s="5"/>
      <c r="S926" s="5"/>
      <c r="T926" s="5"/>
      <c r="U926" s="5"/>
      <c r="V926" s="5"/>
      <c r="W926" s="5"/>
      <c r="X926" s="5"/>
      <c r="Y926" s="5"/>
    </row>
    <row r="927">
      <c r="A927" s="5"/>
      <c r="B927" s="64"/>
      <c r="C927" s="64"/>
      <c r="D927" s="64"/>
      <c r="E927" s="64"/>
      <c r="F927" s="64"/>
      <c r="G927" s="149"/>
      <c r="H927" s="148"/>
      <c r="I927" s="4"/>
      <c r="J927" s="5"/>
      <c r="K927" s="5"/>
      <c r="L927" s="5"/>
      <c r="M927" s="5"/>
      <c r="N927" s="5"/>
      <c r="O927" s="5"/>
      <c r="P927" s="5"/>
      <c r="Q927" s="5"/>
      <c r="R927" s="5"/>
      <c r="S927" s="5"/>
      <c r="T927" s="5"/>
      <c r="U927" s="5"/>
      <c r="V927" s="5"/>
      <c r="W927" s="5"/>
      <c r="X927" s="5"/>
      <c r="Y927" s="5"/>
    </row>
    <row r="928">
      <c r="A928" s="5"/>
      <c r="B928" s="64"/>
      <c r="C928" s="64"/>
      <c r="D928" s="64"/>
      <c r="E928" s="64"/>
      <c r="F928" s="64"/>
      <c r="G928" s="149"/>
      <c r="H928" s="148"/>
      <c r="I928" s="4"/>
      <c r="J928" s="5"/>
      <c r="K928" s="5"/>
      <c r="L928" s="5"/>
      <c r="M928" s="5"/>
      <c r="N928" s="5"/>
      <c r="O928" s="5"/>
      <c r="P928" s="5"/>
      <c r="Q928" s="5"/>
      <c r="R928" s="5"/>
      <c r="S928" s="5"/>
      <c r="T928" s="5"/>
      <c r="U928" s="5"/>
      <c r="V928" s="5"/>
      <c r="W928" s="5"/>
      <c r="X928" s="5"/>
      <c r="Y928" s="5"/>
    </row>
    <row r="929">
      <c r="A929" s="5"/>
      <c r="B929" s="64"/>
      <c r="C929" s="64"/>
      <c r="D929" s="64"/>
      <c r="E929" s="64"/>
      <c r="F929" s="64"/>
      <c r="G929" s="149"/>
      <c r="H929" s="148"/>
      <c r="I929" s="4"/>
      <c r="J929" s="5"/>
      <c r="K929" s="5"/>
      <c r="L929" s="5"/>
      <c r="M929" s="5"/>
      <c r="N929" s="5"/>
      <c r="O929" s="5"/>
      <c r="P929" s="5"/>
      <c r="Q929" s="5"/>
      <c r="R929" s="5"/>
      <c r="S929" s="5"/>
      <c r="T929" s="5"/>
      <c r="U929" s="5"/>
      <c r="V929" s="5"/>
      <c r="W929" s="5"/>
      <c r="X929" s="5"/>
      <c r="Y929" s="5"/>
    </row>
    <row r="930">
      <c r="A930" s="5"/>
      <c r="B930" s="64"/>
      <c r="C930" s="64"/>
      <c r="D930" s="64"/>
      <c r="E930" s="64"/>
      <c r="F930" s="64"/>
      <c r="G930" s="149"/>
      <c r="H930" s="148"/>
      <c r="I930" s="4"/>
      <c r="J930" s="5"/>
      <c r="K930" s="5"/>
      <c r="L930" s="5"/>
      <c r="M930" s="5"/>
      <c r="N930" s="5"/>
      <c r="O930" s="5"/>
      <c r="P930" s="5"/>
      <c r="Q930" s="5"/>
      <c r="R930" s="5"/>
      <c r="S930" s="5"/>
      <c r="T930" s="5"/>
      <c r="U930" s="5"/>
      <c r="V930" s="5"/>
      <c r="W930" s="5"/>
      <c r="X930" s="5"/>
      <c r="Y930" s="5"/>
    </row>
    <row r="931">
      <c r="A931" s="5"/>
      <c r="B931" s="64"/>
      <c r="C931" s="64"/>
      <c r="D931" s="64"/>
      <c r="E931" s="64"/>
      <c r="F931" s="64"/>
      <c r="G931" s="149"/>
      <c r="H931" s="148"/>
      <c r="I931" s="4"/>
      <c r="J931" s="5"/>
      <c r="K931" s="5"/>
      <c r="L931" s="5"/>
      <c r="M931" s="5"/>
      <c r="N931" s="5"/>
      <c r="O931" s="5"/>
      <c r="P931" s="5"/>
      <c r="Q931" s="5"/>
      <c r="R931" s="5"/>
      <c r="S931" s="5"/>
      <c r="T931" s="5"/>
      <c r="U931" s="5"/>
      <c r="V931" s="5"/>
      <c r="W931" s="5"/>
      <c r="X931" s="5"/>
      <c r="Y931" s="5"/>
    </row>
    <row r="932">
      <c r="A932" s="5"/>
      <c r="B932" s="64"/>
      <c r="C932" s="64"/>
      <c r="D932" s="64"/>
      <c r="E932" s="64"/>
      <c r="F932" s="64"/>
      <c r="G932" s="149"/>
      <c r="H932" s="148"/>
      <c r="I932" s="4"/>
      <c r="J932" s="5"/>
      <c r="K932" s="5"/>
      <c r="L932" s="5"/>
      <c r="M932" s="5"/>
      <c r="N932" s="5"/>
      <c r="O932" s="5"/>
      <c r="P932" s="5"/>
      <c r="Q932" s="5"/>
      <c r="R932" s="5"/>
      <c r="S932" s="5"/>
      <c r="T932" s="5"/>
      <c r="U932" s="5"/>
      <c r="V932" s="5"/>
      <c r="W932" s="5"/>
      <c r="X932" s="5"/>
      <c r="Y932" s="5"/>
    </row>
    <row r="933">
      <c r="A933" s="5"/>
      <c r="B933" s="64"/>
      <c r="C933" s="64"/>
      <c r="D933" s="64"/>
      <c r="E933" s="64"/>
      <c r="F933" s="64"/>
      <c r="G933" s="149"/>
      <c r="H933" s="148"/>
      <c r="I933" s="4"/>
      <c r="J933" s="5"/>
      <c r="K933" s="5"/>
      <c r="L933" s="5"/>
      <c r="M933" s="5"/>
      <c r="N933" s="5"/>
      <c r="O933" s="5"/>
      <c r="P933" s="5"/>
      <c r="Q933" s="5"/>
      <c r="R933" s="5"/>
      <c r="S933" s="5"/>
      <c r="T933" s="5"/>
      <c r="U933" s="5"/>
      <c r="V933" s="5"/>
      <c r="W933" s="5"/>
      <c r="X933" s="5"/>
      <c r="Y933" s="5"/>
    </row>
    <row r="934">
      <c r="A934" s="5"/>
      <c r="B934" s="64"/>
      <c r="C934" s="64"/>
      <c r="D934" s="64"/>
      <c r="E934" s="64"/>
      <c r="F934" s="64"/>
      <c r="G934" s="149"/>
      <c r="H934" s="148"/>
      <c r="I934" s="4"/>
      <c r="J934" s="5"/>
      <c r="K934" s="5"/>
      <c r="L934" s="5"/>
      <c r="M934" s="5"/>
      <c r="N934" s="5"/>
      <c r="O934" s="5"/>
      <c r="P934" s="5"/>
      <c r="Q934" s="5"/>
      <c r="R934" s="5"/>
      <c r="S934" s="5"/>
      <c r="T934" s="5"/>
      <c r="U934" s="5"/>
      <c r="V934" s="5"/>
      <c r="W934" s="5"/>
      <c r="X934" s="5"/>
      <c r="Y934" s="5"/>
    </row>
    <row r="935">
      <c r="A935" s="5"/>
      <c r="B935" s="64"/>
      <c r="C935" s="64"/>
      <c r="D935" s="64"/>
      <c r="E935" s="64"/>
      <c r="F935" s="64"/>
      <c r="G935" s="149"/>
      <c r="H935" s="148"/>
      <c r="I935" s="4"/>
      <c r="J935" s="5"/>
      <c r="K935" s="5"/>
      <c r="L935" s="5"/>
      <c r="M935" s="5"/>
      <c r="N935" s="5"/>
      <c r="O935" s="5"/>
      <c r="P935" s="5"/>
      <c r="Q935" s="5"/>
      <c r="R935" s="5"/>
      <c r="S935" s="5"/>
      <c r="T935" s="5"/>
      <c r="U935" s="5"/>
      <c r="V935" s="5"/>
      <c r="W935" s="5"/>
      <c r="X935" s="5"/>
      <c r="Y935" s="5"/>
    </row>
    <row r="936">
      <c r="A936" s="5"/>
      <c r="B936" s="64"/>
      <c r="C936" s="64"/>
      <c r="D936" s="64"/>
      <c r="E936" s="64"/>
      <c r="F936" s="64"/>
      <c r="G936" s="149"/>
      <c r="H936" s="148"/>
      <c r="I936" s="4"/>
      <c r="J936" s="5"/>
      <c r="K936" s="5"/>
      <c r="L936" s="5"/>
      <c r="M936" s="5"/>
      <c r="N936" s="5"/>
      <c r="O936" s="5"/>
      <c r="P936" s="5"/>
      <c r="Q936" s="5"/>
      <c r="R936" s="5"/>
      <c r="S936" s="5"/>
      <c r="T936" s="5"/>
      <c r="U936" s="5"/>
      <c r="V936" s="5"/>
      <c r="W936" s="5"/>
      <c r="X936" s="5"/>
      <c r="Y936" s="5"/>
    </row>
    <row r="937">
      <c r="A937" s="5"/>
      <c r="B937" s="64"/>
      <c r="C937" s="64"/>
      <c r="D937" s="64"/>
      <c r="E937" s="64"/>
      <c r="F937" s="64"/>
      <c r="G937" s="149"/>
      <c r="H937" s="148"/>
      <c r="I937" s="4"/>
      <c r="J937" s="5"/>
      <c r="K937" s="5"/>
      <c r="L937" s="5"/>
      <c r="M937" s="5"/>
      <c r="N937" s="5"/>
      <c r="O937" s="5"/>
      <c r="P937" s="5"/>
      <c r="Q937" s="5"/>
      <c r="R937" s="5"/>
      <c r="S937" s="5"/>
      <c r="T937" s="5"/>
      <c r="U937" s="5"/>
      <c r="V937" s="5"/>
      <c r="W937" s="5"/>
      <c r="X937" s="5"/>
      <c r="Y937" s="5"/>
    </row>
    <row r="938">
      <c r="A938" s="5"/>
      <c r="B938" s="64"/>
      <c r="C938" s="64"/>
      <c r="D938" s="64"/>
      <c r="E938" s="64"/>
      <c r="F938" s="64"/>
      <c r="G938" s="149"/>
      <c r="H938" s="148"/>
      <c r="I938" s="4"/>
      <c r="J938" s="5"/>
      <c r="K938" s="5"/>
      <c r="L938" s="5"/>
      <c r="M938" s="5"/>
      <c r="N938" s="5"/>
      <c r="O938" s="5"/>
      <c r="P938" s="5"/>
      <c r="Q938" s="5"/>
      <c r="R938" s="5"/>
      <c r="S938" s="5"/>
      <c r="T938" s="5"/>
      <c r="U938" s="5"/>
      <c r="V938" s="5"/>
      <c r="W938" s="5"/>
      <c r="X938" s="5"/>
      <c r="Y938" s="5"/>
    </row>
    <row r="939">
      <c r="A939" s="5"/>
      <c r="B939" s="64"/>
      <c r="C939" s="64"/>
      <c r="D939" s="64"/>
      <c r="E939" s="64"/>
      <c r="F939" s="64"/>
      <c r="G939" s="149"/>
      <c r="H939" s="148"/>
      <c r="I939" s="4"/>
      <c r="J939" s="5"/>
      <c r="K939" s="5"/>
      <c r="L939" s="5"/>
      <c r="M939" s="5"/>
      <c r="N939" s="5"/>
      <c r="O939" s="5"/>
      <c r="P939" s="5"/>
      <c r="Q939" s="5"/>
      <c r="R939" s="5"/>
      <c r="S939" s="5"/>
      <c r="T939" s="5"/>
      <c r="U939" s="5"/>
      <c r="V939" s="5"/>
      <c r="W939" s="5"/>
      <c r="X939" s="5"/>
      <c r="Y939" s="5"/>
    </row>
    <row r="940">
      <c r="A940" s="5"/>
      <c r="B940" s="64"/>
      <c r="C940" s="64"/>
      <c r="D940" s="64"/>
      <c r="E940" s="64"/>
      <c r="F940" s="64"/>
      <c r="G940" s="149"/>
      <c r="H940" s="148"/>
      <c r="I940" s="4"/>
      <c r="J940" s="5"/>
      <c r="K940" s="5"/>
      <c r="L940" s="5"/>
      <c r="M940" s="5"/>
      <c r="N940" s="5"/>
      <c r="O940" s="5"/>
      <c r="P940" s="5"/>
      <c r="Q940" s="5"/>
      <c r="R940" s="5"/>
      <c r="S940" s="5"/>
      <c r="T940" s="5"/>
      <c r="U940" s="5"/>
      <c r="V940" s="5"/>
      <c r="W940" s="5"/>
      <c r="X940" s="5"/>
      <c r="Y940" s="5"/>
    </row>
    <row r="941">
      <c r="A941" s="5"/>
      <c r="B941" s="64"/>
      <c r="C941" s="64"/>
      <c r="D941" s="64"/>
      <c r="E941" s="64"/>
      <c r="F941" s="64"/>
      <c r="G941" s="149"/>
      <c r="H941" s="148"/>
      <c r="I941" s="4"/>
      <c r="J941" s="5"/>
      <c r="K941" s="5"/>
      <c r="L941" s="5"/>
      <c r="M941" s="5"/>
      <c r="N941" s="5"/>
      <c r="O941" s="5"/>
      <c r="P941" s="5"/>
      <c r="Q941" s="5"/>
      <c r="R941" s="5"/>
      <c r="S941" s="5"/>
      <c r="T941" s="5"/>
      <c r="U941" s="5"/>
      <c r="V941" s="5"/>
      <c r="W941" s="5"/>
      <c r="X941" s="5"/>
      <c r="Y941" s="5"/>
    </row>
    <row r="942">
      <c r="A942" s="5"/>
      <c r="B942" s="64"/>
      <c r="C942" s="64"/>
      <c r="D942" s="64"/>
      <c r="E942" s="64"/>
      <c r="F942" s="64"/>
      <c r="G942" s="149"/>
      <c r="H942" s="148"/>
      <c r="I942" s="4"/>
      <c r="J942" s="5"/>
      <c r="K942" s="5"/>
      <c r="L942" s="5"/>
      <c r="M942" s="5"/>
      <c r="N942" s="5"/>
      <c r="O942" s="5"/>
      <c r="P942" s="5"/>
      <c r="Q942" s="5"/>
      <c r="R942" s="5"/>
      <c r="S942" s="5"/>
      <c r="T942" s="5"/>
      <c r="U942" s="5"/>
      <c r="V942" s="5"/>
      <c r="W942" s="5"/>
      <c r="X942" s="5"/>
      <c r="Y942" s="5"/>
    </row>
    <row r="943">
      <c r="A943" s="5"/>
      <c r="B943" s="64"/>
      <c r="C943" s="64"/>
      <c r="D943" s="64"/>
      <c r="E943" s="64"/>
      <c r="F943" s="64"/>
      <c r="G943" s="149"/>
      <c r="H943" s="148"/>
      <c r="I943" s="4"/>
      <c r="J943" s="5"/>
      <c r="K943" s="5"/>
      <c r="L943" s="5"/>
      <c r="M943" s="5"/>
      <c r="N943" s="5"/>
      <c r="O943" s="5"/>
      <c r="P943" s="5"/>
      <c r="Q943" s="5"/>
      <c r="R943" s="5"/>
      <c r="S943" s="5"/>
      <c r="T943" s="5"/>
      <c r="U943" s="5"/>
      <c r="V943" s="5"/>
      <c r="W943" s="5"/>
      <c r="X943" s="5"/>
      <c r="Y943" s="5"/>
    </row>
    <row r="944">
      <c r="A944" s="5"/>
      <c r="B944" s="64"/>
      <c r="C944" s="64"/>
      <c r="D944" s="64"/>
      <c r="E944" s="64"/>
      <c r="F944" s="64"/>
      <c r="G944" s="149"/>
      <c r="H944" s="148"/>
      <c r="I944" s="4"/>
      <c r="J944" s="5"/>
      <c r="K944" s="5"/>
      <c r="L944" s="5"/>
      <c r="M944" s="5"/>
      <c r="N944" s="5"/>
      <c r="O944" s="5"/>
      <c r="P944" s="5"/>
      <c r="Q944" s="5"/>
      <c r="R944" s="5"/>
      <c r="S944" s="5"/>
      <c r="T944" s="5"/>
      <c r="U944" s="5"/>
      <c r="V944" s="5"/>
      <c r="W944" s="5"/>
      <c r="X944" s="5"/>
      <c r="Y944" s="5"/>
    </row>
    <row r="945">
      <c r="A945" s="5"/>
      <c r="B945" s="64"/>
      <c r="C945" s="64"/>
      <c r="D945" s="64"/>
      <c r="E945" s="64"/>
      <c r="F945" s="64"/>
      <c r="G945" s="149"/>
      <c r="H945" s="148"/>
      <c r="I945" s="4"/>
      <c r="J945" s="5"/>
      <c r="K945" s="5"/>
      <c r="L945" s="5"/>
      <c r="M945" s="5"/>
      <c r="N945" s="5"/>
      <c r="O945" s="5"/>
      <c r="P945" s="5"/>
      <c r="Q945" s="5"/>
      <c r="R945" s="5"/>
      <c r="S945" s="5"/>
      <c r="T945" s="5"/>
      <c r="U945" s="5"/>
      <c r="V945" s="5"/>
      <c r="W945" s="5"/>
      <c r="X945" s="5"/>
      <c r="Y945" s="5"/>
    </row>
    <row r="946">
      <c r="A946" s="5"/>
      <c r="B946" s="64"/>
      <c r="C946" s="64"/>
      <c r="D946" s="64"/>
      <c r="E946" s="64"/>
      <c r="F946" s="64"/>
      <c r="G946" s="149"/>
      <c r="H946" s="148"/>
      <c r="I946" s="4"/>
      <c r="J946" s="5"/>
      <c r="K946" s="5"/>
      <c r="L946" s="5"/>
      <c r="M946" s="5"/>
      <c r="N946" s="5"/>
      <c r="O946" s="5"/>
      <c r="P946" s="5"/>
      <c r="Q946" s="5"/>
      <c r="R946" s="5"/>
      <c r="S946" s="5"/>
      <c r="T946" s="5"/>
      <c r="U946" s="5"/>
      <c r="V946" s="5"/>
      <c r="W946" s="5"/>
      <c r="X946" s="5"/>
      <c r="Y946" s="5"/>
    </row>
    <row r="947">
      <c r="A947" s="5"/>
      <c r="B947" s="64"/>
      <c r="C947" s="64"/>
      <c r="D947" s="64"/>
      <c r="E947" s="64"/>
      <c r="F947" s="64"/>
      <c r="G947" s="149"/>
      <c r="H947" s="148"/>
      <c r="I947" s="4"/>
      <c r="J947" s="5"/>
      <c r="K947" s="5"/>
      <c r="L947" s="5"/>
      <c r="M947" s="5"/>
      <c r="N947" s="5"/>
      <c r="O947" s="5"/>
      <c r="P947" s="5"/>
      <c r="Q947" s="5"/>
      <c r="R947" s="5"/>
      <c r="S947" s="5"/>
      <c r="T947" s="5"/>
      <c r="U947" s="5"/>
      <c r="V947" s="5"/>
      <c r="W947" s="5"/>
      <c r="X947" s="5"/>
      <c r="Y947" s="5"/>
    </row>
    <row r="948">
      <c r="A948" s="5"/>
      <c r="B948" s="64"/>
      <c r="C948" s="64"/>
      <c r="D948" s="64"/>
      <c r="E948" s="64"/>
      <c r="F948" s="64"/>
      <c r="G948" s="149"/>
      <c r="H948" s="148"/>
      <c r="I948" s="4"/>
      <c r="J948" s="5"/>
      <c r="K948" s="5"/>
      <c r="L948" s="5"/>
      <c r="M948" s="5"/>
      <c r="N948" s="5"/>
      <c r="O948" s="5"/>
      <c r="P948" s="5"/>
      <c r="Q948" s="5"/>
      <c r="R948" s="5"/>
      <c r="S948" s="5"/>
      <c r="T948" s="5"/>
      <c r="U948" s="5"/>
      <c r="V948" s="5"/>
      <c r="W948" s="5"/>
      <c r="X948" s="5"/>
      <c r="Y948" s="5"/>
    </row>
    <row r="949">
      <c r="A949" s="5"/>
      <c r="B949" s="64"/>
      <c r="C949" s="64"/>
      <c r="D949" s="64"/>
      <c r="E949" s="64"/>
      <c r="F949" s="64"/>
      <c r="G949" s="149"/>
      <c r="H949" s="148"/>
      <c r="I949" s="4"/>
      <c r="J949" s="5"/>
      <c r="K949" s="5"/>
      <c r="L949" s="5"/>
      <c r="M949" s="5"/>
      <c r="N949" s="5"/>
      <c r="O949" s="5"/>
      <c r="P949" s="5"/>
      <c r="Q949" s="5"/>
      <c r="R949" s="5"/>
      <c r="S949" s="5"/>
      <c r="T949" s="5"/>
      <c r="U949" s="5"/>
      <c r="V949" s="5"/>
      <c r="W949" s="5"/>
      <c r="X949" s="5"/>
      <c r="Y949" s="5"/>
    </row>
    <row r="950">
      <c r="A950" s="5"/>
      <c r="B950" s="64"/>
      <c r="C950" s="64"/>
      <c r="D950" s="64"/>
      <c r="E950" s="64"/>
      <c r="F950" s="64"/>
      <c r="G950" s="149"/>
      <c r="H950" s="148"/>
      <c r="I950" s="4"/>
      <c r="J950" s="5"/>
      <c r="K950" s="5"/>
      <c r="L950" s="5"/>
      <c r="M950" s="5"/>
      <c r="N950" s="5"/>
      <c r="O950" s="5"/>
      <c r="P950" s="5"/>
      <c r="Q950" s="5"/>
      <c r="R950" s="5"/>
      <c r="S950" s="5"/>
      <c r="T950" s="5"/>
      <c r="U950" s="5"/>
      <c r="V950" s="5"/>
      <c r="W950" s="5"/>
      <c r="X950" s="5"/>
      <c r="Y950" s="5"/>
    </row>
    <row r="951">
      <c r="A951" s="5"/>
      <c r="B951" s="64"/>
      <c r="C951" s="64"/>
      <c r="D951" s="64"/>
      <c r="E951" s="64"/>
      <c r="F951" s="64"/>
      <c r="G951" s="149"/>
      <c r="H951" s="148"/>
      <c r="I951" s="4"/>
      <c r="J951" s="5"/>
      <c r="K951" s="5"/>
      <c r="L951" s="5"/>
      <c r="M951" s="5"/>
      <c r="N951" s="5"/>
      <c r="O951" s="5"/>
      <c r="P951" s="5"/>
      <c r="Q951" s="5"/>
      <c r="R951" s="5"/>
      <c r="S951" s="5"/>
      <c r="T951" s="5"/>
      <c r="U951" s="5"/>
      <c r="V951" s="5"/>
      <c r="W951" s="5"/>
      <c r="X951" s="5"/>
      <c r="Y951" s="5"/>
    </row>
    <row r="952">
      <c r="A952" s="5"/>
      <c r="B952" s="64"/>
      <c r="C952" s="64"/>
      <c r="D952" s="64"/>
      <c r="E952" s="64"/>
      <c r="F952" s="64"/>
      <c r="G952" s="149"/>
      <c r="H952" s="148"/>
      <c r="I952" s="4"/>
      <c r="J952" s="5"/>
      <c r="K952" s="5"/>
      <c r="L952" s="5"/>
      <c r="M952" s="5"/>
      <c r="N952" s="5"/>
      <c r="O952" s="5"/>
      <c r="P952" s="5"/>
      <c r="Q952" s="5"/>
      <c r="R952" s="5"/>
      <c r="S952" s="5"/>
      <c r="T952" s="5"/>
      <c r="U952" s="5"/>
      <c r="V952" s="5"/>
      <c r="W952" s="5"/>
      <c r="X952" s="5"/>
      <c r="Y952" s="5"/>
    </row>
    <row r="953">
      <c r="A953" s="5"/>
      <c r="B953" s="64"/>
      <c r="C953" s="64"/>
      <c r="D953" s="64"/>
      <c r="E953" s="64"/>
      <c r="F953" s="64"/>
      <c r="G953" s="149"/>
      <c r="H953" s="148"/>
      <c r="I953" s="4"/>
      <c r="J953" s="5"/>
      <c r="K953" s="5"/>
      <c r="L953" s="5"/>
      <c r="M953" s="5"/>
      <c r="N953" s="5"/>
      <c r="O953" s="5"/>
      <c r="P953" s="5"/>
      <c r="Q953" s="5"/>
      <c r="R953" s="5"/>
      <c r="S953" s="5"/>
      <c r="T953" s="5"/>
      <c r="U953" s="5"/>
      <c r="V953" s="5"/>
      <c r="W953" s="5"/>
      <c r="X953" s="5"/>
      <c r="Y953" s="5"/>
    </row>
    <row r="954">
      <c r="A954" s="5"/>
      <c r="B954" s="64"/>
      <c r="C954" s="64"/>
      <c r="D954" s="64"/>
      <c r="E954" s="64"/>
      <c r="F954" s="64"/>
      <c r="G954" s="149"/>
      <c r="H954" s="148"/>
      <c r="I954" s="4"/>
      <c r="J954" s="5"/>
      <c r="K954" s="5"/>
      <c r="L954" s="5"/>
      <c r="M954" s="5"/>
      <c r="N954" s="5"/>
      <c r="O954" s="5"/>
      <c r="P954" s="5"/>
      <c r="Q954" s="5"/>
      <c r="R954" s="5"/>
      <c r="S954" s="5"/>
      <c r="T954" s="5"/>
      <c r="U954" s="5"/>
      <c r="V954" s="5"/>
      <c r="W954" s="5"/>
      <c r="X954" s="5"/>
      <c r="Y954" s="5"/>
    </row>
    <row r="955">
      <c r="A955" s="5"/>
      <c r="B955" s="64"/>
      <c r="C955" s="64"/>
      <c r="D955" s="64"/>
      <c r="E955" s="64"/>
      <c r="F955" s="64"/>
      <c r="G955" s="149"/>
      <c r="H955" s="148"/>
      <c r="I955" s="4"/>
      <c r="J955" s="5"/>
      <c r="K955" s="5"/>
      <c r="L955" s="5"/>
      <c r="M955" s="5"/>
      <c r="N955" s="5"/>
      <c r="O955" s="5"/>
      <c r="P955" s="5"/>
      <c r="Q955" s="5"/>
      <c r="R955" s="5"/>
      <c r="S955" s="5"/>
      <c r="T955" s="5"/>
      <c r="U955" s="5"/>
      <c r="V955" s="5"/>
      <c r="W955" s="5"/>
      <c r="X955" s="5"/>
      <c r="Y955" s="5"/>
    </row>
    <row r="956">
      <c r="A956" s="5"/>
      <c r="B956" s="64"/>
      <c r="C956" s="64"/>
      <c r="D956" s="64"/>
      <c r="E956" s="64"/>
      <c r="F956" s="64"/>
      <c r="G956" s="149"/>
      <c r="H956" s="148"/>
      <c r="I956" s="4"/>
      <c r="J956" s="5"/>
      <c r="K956" s="5"/>
      <c r="L956" s="5"/>
      <c r="M956" s="5"/>
      <c r="N956" s="5"/>
      <c r="O956" s="5"/>
      <c r="P956" s="5"/>
      <c r="Q956" s="5"/>
      <c r="R956" s="5"/>
      <c r="S956" s="5"/>
      <c r="T956" s="5"/>
      <c r="U956" s="5"/>
      <c r="V956" s="5"/>
      <c r="W956" s="5"/>
      <c r="X956" s="5"/>
      <c r="Y956" s="5"/>
    </row>
    <row r="957">
      <c r="A957" s="5"/>
      <c r="B957" s="64"/>
      <c r="C957" s="64"/>
      <c r="D957" s="64"/>
      <c r="E957" s="64"/>
      <c r="F957" s="64"/>
      <c r="G957" s="149"/>
      <c r="H957" s="148"/>
      <c r="I957" s="4"/>
      <c r="J957" s="5"/>
      <c r="K957" s="5"/>
      <c r="L957" s="5"/>
      <c r="M957" s="5"/>
      <c r="N957" s="5"/>
      <c r="O957" s="5"/>
      <c r="P957" s="5"/>
      <c r="Q957" s="5"/>
      <c r="R957" s="5"/>
      <c r="S957" s="5"/>
      <c r="T957" s="5"/>
      <c r="U957" s="5"/>
      <c r="V957" s="5"/>
      <c r="W957" s="5"/>
      <c r="X957" s="5"/>
      <c r="Y957" s="5"/>
    </row>
    <row r="958">
      <c r="A958" s="5"/>
      <c r="B958" s="64"/>
      <c r="C958" s="64"/>
      <c r="D958" s="64"/>
      <c r="E958" s="64"/>
      <c r="F958" s="64"/>
      <c r="G958" s="149"/>
      <c r="H958" s="148"/>
      <c r="I958" s="4"/>
      <c r="J958" s="5"/>
      <c r="K958" s="5"/>
      <c r="L958" s="5"/>
      <c r="M958" s="5"/>
      <c r="N958" s="5"/>
      <c r="O958" s="5"/>
      <c r="P958" s="5"/>
      <c r="Q958" s="5"/>
      <c r="R958" s="5"/>
      <c r="S958" s="5"/>
      <c r="T958" s="5"/>
      <c r="U958" s="5"/>
      <c r="V958" s="5"/>
      <c r="W958" s="5"/>
      <c r="X958" s="5"/>
      <c r="Y958" s="5"/>
    </row>
    <row r="959">
      <c r="A959" s="5"/>
      <c r="B959" s="64"/>
      <c r="C959" s="64"/>
      <c r="D959" s="64"/>
      <c r="E959" s="64"/>
      <c r="F959" s="64"/>
      <c r="G959" s="149"/>
      <c r="H959" s="148"/>
      <c r="I959" s="4"/>
      <c r="J959" s="5"/>
      <c r="K959" s="5"/>
      <c r="L959" s="5"/>
      <c r="M959" s="5"/>
      <c r="N959" s="5"/>
      <c r="O959" s="5"/>
      <c r="P959" s="5"/>
      <c r="Q959" s="5"/>
      <c r="R959" s="5"/>
      <c r="S959" s="5"/>
      <c r="T959" s="5"/>
      <c r="U959" s="5"/>
      <c r="V959" s="5"/>
      <c r="W959" s="5"/>
      <c r="X959" s="5"/>
      <c r="Y959" s="5"/>
    </row>
    <row r="960">
      <c r="A960" s="5"/>
      <c r="B960" s="64"/>
      <c r="C960" s="64"/>
      <c r="D960" s="64"/>
      <c r="E960" s="64"/>
      <c r="F960" s="64"/>
      <c r="G960" s="149"/>
      <c r="H960" s="148"/>
      <c r="I960" s="4"/>
      <c r="J960" s="5"/>
      <c r="K960" s="5"/>
      <c r="L960" s="5"/>
      <c r="M960" s="5"/>
      <c r="N960" s="5"/>
      <c r="O960" s="5"/>
      <c r="P960" s="5"/>
      <c r="Q960" s="5"/>
      <c r="R960" s="5"/>
      <c r="S960" s="5"/>
      <c r="T960" s="5"/>
      <c r="U960" s="5"/>
      <c r="V960" s="5"/>
      <c r="W960" s="5"/>
      <c r="X960" s="5"/>
      <c r="Y960" s="5"/>
    </row>
    <row r="961">
      <c r="A961" s="5"/>
      <c r="B961" s="64"/>
      <c r="C961" s="64"/>
      <c r="D961" s="64"/>
      <c r="E961" s="64"/>
      <c r="F961" s="64"/>
      <c r="G961" s="149"/>
      <c r="H961" s="148"/>
      <c r="I961" s="4"/>
      <c r="J961" s="5"/>
      <c r="K961" s="5"/>
      <c r="L961" s="5"/>
      <c r="M961" s="5"/>
      <c r="N961" s="5"/>
      <c r="O961" s="5"/>
      <c r="P961" s="5"/>
      <c r="Q961" s="5"/>
      <c r="R961" s="5"/>
      <c r="S961" s="5"/>
      <c r="T961" s="5"/>
      <c r="U961" s="5"/>
      <c r="V961" s="5"/>
      <c r="W961" s="5"/>
      <c r="X961" s="5"/>
      <c r="Y961" s="5"/>
    </row>
    <row r="962">
      <c r="A962" s="5"/>
      <c r="B962" s="64"/>
      <c r="C962" s="64"/>
      <c r="D962" s="64"/>
      <c r="E962" s="64"/>
      <c r="F962" s="64"/>
      <c r="G962" s="149"/>
      <c r="H962" s="148"/>
      <c r="I962" s="4"/>
      <c r="J962" s="5"/>
      <c r="K962" s="5"/>
      <c r="L962" s="5"/>
      <c r="M962" s="5"/>
      <c r="N962" s="5"/>
      <c r="O962" s="5"/>
      <c r="P962" s="5"/>
      <c r="Q962" s="5"/>
      <c r="R962" s="5"/>
      <c r="S962" s="5"/>
      <c r="T962" s="5"/>
      <c r="U962" s="5"/>
      <c r="V962" s="5"/>
      <c r="W962" s="5"/>
      <c r="X962" s="5"/>
      <c r="Y962" s="5"/>
    </row>
    <row r="963">
      <c r="A963" s="5"/>
      <c r="B963" s="64"/>
      <c r="C963" s="64"/>
      <c r="D963" s="64"/>
      <c r="E963" s="64"/>
      <c r="F963" s="64"/>
      <c r="G963" s="149"/>
      <c r="H963" s="148"/>
      <c r="I963" s="4"/>
      <c r="J963" s="5"/>
      <c r="K963" s="5"/>
      <c r="L963" s="5"/>
      <c r="M963" s="5"/>
      <c r="N963" s="5"/>
      <c r="O963" s="5"/>
      <c r="P963" s="5"/>
      <c r="Q963" s="5"/>
      <c r="R963" s="5"/>
      <c r="S963" s="5"/>
      <c r="T963" s="5"/>
      <c r="U963" s="5"/>
      <c r="V963" s="5"/>
      <c r="W963" s="5"/>
      <c r="X963" s="5"/>
      <c r="Y963" s="5"/>
    </row>
    <row r="964">
      <c r="A964" s="5"/>
      <c r="B964" s="64"/>
      <c r="C964" s="64"/>
      <c r="D964" s="64"/>
      <c r="E964" s="64"/>
      <c r="F964" s="64"/>
      <c r="G964" s="149"/>
      <c r="H964" s="148"/>
      <c r="I964" s="4"/>
      <c r="J964" s="5"/>
      <c r="K964" s="5"/>
      <c r="L964" s="5"/>
      <c r="M964" s="5"/>
      <c r="N964" s="5"/>
      <c r="O964" s="5"/>
      <c r="P964" s="5"/>
      <c r="Q964" s="5"/>
      <c r="R964" s="5"/>
      <c r="S964" s="5"/>
      <c r="T964" s="5"/>
      <c r="U964" s="5"/>
      <c r="V964" s="5"/>
      <c r="W964" s="5"/>
      <c r="X964" s="5"/>
      <c r="Y964" s="5"/>
    </row>
    <row r="965">
      <c r="A965" s="5"/>
      <c r="B965" s="64"/>
      <c r="C965" s="64"/>
      <c r="D965" s="64"/>
      <c r="E965" s="64"/>
      <c r="F965" s="64"/>
      <c r="G965" s="149"/>
      <c r="H965" s="148"/>
      <c r="I965" s="4"/>
      <c r="J965" s="5"/>
      <c r="K965" s="5"/>
      <c r="L965" s="5"/>
      <c r="M965" s="5"/>
      <c r="N965" s="5"/>
      <c r="O965" s="5"/>
      <c r="P965" s="5"/>
      <c r="Q965" s="5"/>
      <c r="R965" s="5"/>
      <c r="S965" s="5"/>
      <c r="T965" s="5"/>
      <c r="U965" s="5"/>
      <c r="V965" s="5"/>
      <c r="W965" s="5"/>
      <c r="X965" s="5"/>
      <c r="Y965" s="5"/>
    </row>
    <row r="966">
      <c r="A966" s="5"/>
      <c r="B966" s="64"/>
      <c r="C966" s="64"/>
      <c r="D966" s="64"/>
      <c r="E966" s="64"/>
      <c r="F966" s="64"/>
      <c r="G966" s="149"/>
      <c r="H966" s="148"/>
      <c r="I966" s="4"/>
      <c r="J966" s="5"/>
      <c r="K966" s="5"/>
      <c r="L966" s="5"/>
      <c r="M966" s="5"/>
      <c r="N966" s="5"/>
      <c r="O966" s="5"/>
      <c r="P966" s="5"/>
      <c r="Q966" s="5"/>
      <c r="R966" s="5"/>
      <c r="S966" s="5"/>
      <c r="T966" s="5"/>
      <c r="U966" s="5"/>
      <c r="V966" s="5"/>
      <c r="W966" s="5"/>
      <c r="X966" s="5"/>
      <c r="Y966" s="5"/>
    </row>
    <row r="967">
      <c r="A967" s="5"/>
      <c r="B967" s="64"/>
      <c r="C967" s="64"/>
      <c r="D967" s="64"/>
      <c r="E967" s="64"/>
      <c r="F967" s="64"/>
      <c r="G967" s="149"/>
      <c r="H967" s="148"/>
      <c r="I967" s="4"/>
      <c r="J967" s="5"/>
      <c r="K967" s="5"/>
      <c r="L967" s="5"/>
      <c r="M967" s="5"/>
      <c r="N967" s="5"/>
      <c r="O967" s="5"/>
      <c r="P967" s="5"/>
      <c r="Q967" s="5"/>
      <c r="R967" s="5"/>
      <c r="S967" s="5"/>
      <c r="T967" s="5"/>
      <c r="U967" s="5"/>
      <c r="V967" s="5"/>
      <c r="W967" s="5"/>
      <c r="X967" s="5"/>
      <c r="Y967" s="5"/>
    </row>
    <row r="968">
      <c r="A968" s="5"/>
      <c r="B968" s="64"/>
      <c r="C968" s="64"/>
      <c r="D968" s="64"/>
      <c r="E968" s="64"/>
      <c r="F968" s="64"/>
      <c r="G968" s="149"/>
      <c r="H968" s="148"/>
      <c r="I968" s="4"/>
      <c r="J968" s="5"/>
      <c r="K968" s="5"/>
      <c r="L968" s="5"/>
      <c r="M968" s="5"/>
      <c r="N968" s="5"/>
      <c r="O968" s="5"/>
      <c r="P968" s="5"/>
      <c r="Q968" s="5"/>
      <c r="R968" s="5"/>
      <c r="S968" s="5"/>
      <c r="T968" s="5"/>
      <c r="U968" s="5"/>
      <c r="V968" s="5"/>
      <c r="W968" s="5"/>
      <c r="X968" s="5"/>
      <c r="Y968" s="5"/>
    </row>
    <row r="969">
      <c r="A969" s="5"/>
      <c r="B969" s="64"/>
      <c r="C969" s="64"/>
      <c r="D969" s="64"/>
      <c r="E969" s="64"/>
      <c r="F969" s="64"/>
      <c r="G969" s="149"/>
      <c r="H969" s="148"/>
      <c r="I969" s="4"/>
      <c r="J969" s="5"/>
      <c r="K969" s="5"/>
      <c r="L969" s="5"/>
      <c r="M969" s="5"/>
      <c r="N969" s="5"/>
      <c r="O969" s="5"/>
      <c r="P969" s="5"/>
      <c r="Q969" s="5"/>
      <c r="R969" s="5"/>
      <c r="S969" s="5"/>
      <c r="T969" s="5"/>
      <c r="U969" s="5"/>
      <c r="V969" s="5"/>
      <c r="W969" s="5"/>
      <c r="X969" s="5"/>
      <c r="Y969" s="5"/>
    </row>
    <row r="970">
      <c r="A970" s="5"/>
      <c r="B970" s="64"/>
      <c r="C970" s="64"/>
      <c r="D970" s="64"/>
      <c r="E970" s="64"/>
      <c r="F970" s="64"/>
      <c r="G970" s="149"/>
      <c r="H970" s="148"/>
      <c r="I970" s="4"/>
      <c r="J970" s="5"/>
      <c r="K970" s="5"/>
      <c r="L970" s="5"/>
      <c r="M970" s="5"/>
      <c r="N970" s="5"/>
      <c r="O970" s="5"/>
      <c r="P970" s="5"/>
      <c r="Q970" s="5"/>
      <c r="R970" s="5"/>
      <c r="S970" s="5"/>
      <c r="T970" s="5"/>
      <c r="U970" s="5"/>
      <c r="V970" s="5"/>
      <c r="W970" s="5"/>
      <c r="X970" s="5"/>
      <c r="Y970" s="5"/>
    </row>
    <row r="971">
      <c r="A971" s="5"/>
      <c r="B971" s="64"/>
      <c r="C971" s="64"/>
      <c r="D971" s="64"/>
      <c r="E971" s="64"/>
      <c r="F971" s="64"/>
      <c r="G971" s="149"/>
      <c r="H971" s="148"/>
      <c r="I971" s="4"/>
      <c r="J971" s="5"/>
      <c r="K971" s="5"/>
      <c r="L971" s="5"/>
      <c r="M971" s="5"/>
      <c r="N971" s="5"/>
      <c r="O971" s="5"/>
      <c r="P971" s="5"/>
      <c r="Q971" s="5"/>
      <c r="R971" s="5"/>
      <c r="S971" s="5"/>
      <c r="T971" s="5"/>
      <c r="U971" s="5"/>
      <c r="V971" s="5"/>
      <c r="W971" s="5"/>
      <c r="X971" s="5"/>
      <c r="Y971" s="5"/>
    </row>
    <row r="972">
      <c r="A972" s="5"/>
      <c r="B972" s="64"/>
      <c r="C972" s="64"/>
      <c r="D972" s="64"/>
      <c r="E972" s="64"/>
      <c r="F972" s="64"/>
      <c r="G972" s="149"/>
      <c r="H972" s="148"/>
      <c r="I972" s="4"/>
      <c r="J972" s="5"/>
      <c r="K972" s="5"/>
      <c r="L972" s="5"/>
      <c r="M972" s="5"/>
      <c r="N972" s="5"/>
      <c r="O972" s="5"/>
      <c r="P972" s="5"/>
      <c r="Q972" s="5"/>
      <c r="R972" s="5"/>
      <c r="S972" s="5"/>
      <c r="T972" s="5"/>
      <c r="U972" s="5"/>
      <c r="V972" s="5"/>
      <c r="W972" s="5"/>
      <c r="X972" s="5"/>
      <c r="Y972" s="5"/>
    </row>
    <row r="973">
      <c r="A973" s="5"/>
      <c r="B973" s="64"/>
      <c r="C973" s="64"/>
      <c r="D973" s="64"/>
      <c r="E973" s="64"/>
      <c r="F973" s="64"/>
      <c r="G973" s="149"/>
      <c r="H973" s="148"/>
      <c r="I973" s="4"/>
      <c r="J973" s="5"/>
      <c r="K973" s="5"/>
      <c r="L973" s="5"/>
      <c r="M973" s="5"/>
      <c r="N973" s="5"/>
      <c r="O973" s="5"/>
      <c r="P973" s="5"/>
      <c r="Q973" s="5"/>
      <c r="R973" s="5"/>
      <c r="S973" s="5"/>
      <c r="T973" s="5"/>
      <c r="U973" s="5"/>
      <c r="V973" s="5"/>
      <c r="W973" s="5"/>
      <c r="X973" s="5"/>
      <c r="Y973" s="5"/>
    </row>
    <row r="974">
      <c r="A974" s="5"/>
      <c r="B974" s="64"/>
      <c r="C974" s="64"/>
      <c r="D974" s="64"/>
      <c r="E974" s="64"/>
      <c r="F974" s="64"/>
      <c r="G974" s="149"/>
      <c r="H974" s="148"/>
      <c r="I974" s="4"/>
      <c r="J974" s="5"/>
      <c r="K974" s="5"/>
      <c r="L974" s="5"/>
      <c r="M974" s="5"/>
      <c r="N974" s="5"/>
      <c r="O974" s="5"/>
      <c r="P974" s="5"/>
      <c r="Q974" s="5"/>
      <c r="R974" s="5"/>
      <c r="S974" s="5"/>
      <c r="T974" s="5"/>
      <c r="U974" s="5"/>
      <c r="V974" s="5"/>
      <c r="W974" s="5"/>
      <c r="X974" s="5"/>
      <c r="Y974" s="5"/>
    </row>
    <row r="975">
      <c r="A975" s="5"/>
      <c r="B975" s="64"/>
      <c r="C975" s="64"/>
      <c r="D975" s="64"/>
      <c r="E975" s="64"/>
      <c r="F975" s="64"/>
      <c r="G975" s="149"/>
      <c r="H975" s="148"/>
      <c r="I975" s="4"/>
      <c r="J975" s="5"/>
      <c r="K975" s="5"/>
      <c r="L975" s="5"/>
      <c r="M975" s="5"/>
      <c r="N975" s="5"/>
      <c r="O975" s="5"/>
      <c r="P975" s="5"/>
      <c r="Q975" s="5"/>
      <c r="R975" s="5"/>
      <c r="S975" s="5"/>
      <c r="T975" s="5"/>
      <c r="U975" s="5"/>
      <c r="V975" s="5"/>
      <c r="W975" s="5"/>
      <c r="X975" s="5"/>
      <c r="Y975" s="5"/>
    </row>
    <row r="976">
      <c r="A976" s="5"/>
      <c r="B976" s="64"/>
      <c r="C976" s="64"/>
      <c r="D976" s="64"/>
      <c r="E976" s="64"/>
      <c r="F976" s="64"/>
      <c r="G976" s="149"/>
      <c r="H976" s="148"/>
      <c r="I976" s="4"/>
      <c r="J976" s="5"/>
      <c r="K976" s="5"/>
      <c r="L976" s="5"/>
      <c r="M976" s="5"/>
      <c r="N976" s="5"/>
      <c r="O976" s="5"/>
      <c r="P976" s="5"/>
      <c r="Q976" s="5"/>
      <c r="R976" s="5"/>
      <c r="S976" s="5"/>
      <c r="T976" s="5"/>
      <c r="U976" s="5"/>
      <c r="V976" s="5"/>
      <c r="W976" s="5"/>
      <c r="X976" s="5"/>
      <c r="Y976" s="5"/>
    </row>
    <row r="977">
      <c r="A977" s="5"/>
      <c r="B977" s="64"/>
      <c r="C977" s="64"/>
      <c r="D977" s="64"/>
      <c r="E977" s="64"/>
      <c r="F977" s="64"/>
      <c r="G977" s="149"/>
      <c r="H977" s="148"/>
      <c r="I977" s="4"/>
      <c r="J977" s="5"/>
      <c r="K977" s="5"/>
      <c r="L977" s="5"/>
      <c r="M977" s="5"/>
      <c r="N977" s="5"/>
      <c r="O977" s="5"/>
      <c r="P977" s="5"/>
      <c r="Q977" s="5"/>
      <c r="R977" s="5"/>
      <c r="S977" s="5"/>
      <c r="T977" s="5"/>
      <c r="U977" s="5"/>
      <c r="V977" s="5"/>
      <c r="W977" s="5"/>
      <c r="X977" s="5"/>
      <c r="Y977" s="5"/>
    </row>
    <row r="978">
      <c r="A978" s="5"/>
      <c r="B978" s="64"/>
      <c r="C978" s="64"/>
      <c r="D978" s="64"/>
      <c r="E978" s="64"/>
      <c r="F978" s="64"/>
      <c r="G978" s="149"/>
      <c r="H978" s="148"/>
      <c r="I978" s="4"/>
      <c r="J978" s="5"/>
      <c r="K978" s="5"/>
      <c r="L978" s="5"/>
      <c r="M978" s="5"/>
      <c r="N978" s="5"/>
      <c r="O978" s="5"/>
      <c r="P978" s="5"/>
      <c r="Q978" s="5"/>
      <c r="R978" s="5"/>
      <c r="S978" s="5"/>
      <c r="T978" s="5"/>
      <c r="U978" s="5"/>
      <c r="V978" s="5"/>
      <c r="W978" s="5"/>
      <c r="X978" s="5"/>
      <c r="Y978" s="5"/>
    </row>
    <row r="979">
      <c r="A979" s="5"/>
      <c r="B979" s="64"/>
      <c r="C979" s="64"/>
      <c r="D979" s="64"/>
      <c r="E979" s="64"/>
      <c r="F979" s="64"/>
      <c r="G979" s="149"/>
      <c r="H979" s="148"/>
      <c r="I979" s="4"/>
      <c r="J979" s="5"/>
      <c r="K979" s="5"/>
      <c r="L979" s="5"/>
      <c r="M979" s="5"/>
      <c r="N979" s="5"/>
      <c r="O979" s="5"/>
      <c r="P979" s="5"/>
      <c r="Q979" s="5"/>
      <c r="R979" s="5"/>
      <c r="S979" s="5"/>
      <c r="T979" s="5"/>
      <c r="U979" s="5"/>
      <c r="V979" s="5"/>
      <c r="W979" s="5"/>
      <c r="X979" s="5"/>
      <c r="Y979" s="5"/>
    </row>
    <row r="980">
      <c r="A980" s="5"/>
      <c r="B980" s="64"/>
      <c r="C980" s="64"/>
      <c r="D980" s="64"/>
      <c r="E980" s="64"/>
      <c r="F980" s="64"/>
      <c r="G980" s="149"/>
      <c r="H980" s="148"/>
      <c r="I980" s="4"/>
      <c r="J980" s="5"/>
      <c r="K980" s="5"/>
      <c r="L980" s="5"/>
      <c r="M980" s="5"/>
      <c r="N980" s="5"/>
      <c r="O980" s="5"/>
      <c r="P980" s="5"/>
      <c r="Q980" s="5"/>
      <c r="R980" s="5"/>
      <c r="S980" s="5"/>
      <c r="T980" s="5"/>
      <c r="U980" s="5"/>
      <c r="V980" s="5"/>
      <c r="W980" s="5"/>
      <c r="X980" s="5"/>
      <c r="Y980" s="5"/>
    </row>
    <row r="981">
      <c r="A981" s="5"/>
      <c r="B981" s="64"/>
      <c r="C981" s="64"/>
      <c r="D981" s="64"/>
      <c r="E981" s="64"/>
      <c r="F981" s="64"/>
      <c r="G981" s="149"/>
      <c r="H981" s="148"/>
      <c r="I981" s="4"/>
      <c r="J981" s="5"/>
      <c r="K981" s="5"/>
      <c r="L981" s="5"/>
      <c r="M981" s="5"/>
      <c r="N981" s="5"/>
      <c r="O981" s="5"/>
      <c r="P981" s="5"/>
      <c r="Q981" s="5"/>
      <c r="R981" s="5"/>
      <c r="S981" s="5"/>
      <c r="T981" s="5"/>
      <c r="U981" s="5"/>
      <c r="V981" s="5"/>
      <c r="W981" s="5"/>
      <c r="X981" s="5"/>
      <c r="Y981" s="5"/>
    </row>
    <row r="982">
      <c r="A982" s="5"/>
      <c r="B982" s="64"/>
      <c r="C982" s="64"/>
      <c r="D982" s="64"/>
      <c r="E982" s="64"/>
      <c r="F982" s="64"/>
      <c r="G982" s="149"/>
      <c r="H982" s="148"/>
      <c r="I982" s="4"/>
      <c r="J982" s="5"/>
      <c r="K982" s="5"/>
      <c r="L982" s="5"/>
      <c r="M982" s="5"/>
      <c r="N982" s="5"/>
      <c r="O982" s="5"/>
      <c r="P982" s="5"/>
      <c r="Q982" s="5"/>
      <c r="R982" s="5"/>
      <c r="S982" s="5"/>
      <c r="T982" s="5"/>
      <c r="U982" s="5"/>
      <c r="V982" s="5"/>
      <c r="W982" s="5"/>
      <c r="X982" s="5"/>
      <c r="Y982" s="5"/>
    </row>
    <row r="983">
      <c r="A983" s="5"/>
      <c r="B983" s="64"/>
      <c r="C983" s="64"/>
      <c r="D983" s="64"/>
      <c r="E983" s="64"/>
      <c r="F983" s="64"/>
      <c r="G983" s="149"/>
      <c r="H983" s="148"/>
      <c r="I983" s="4"/>
      <c r="J983" s="5"/>
      <c r="K983" s="5"/>
      <c r="L983" s="5"/>
      <c r="M983" s="5"/>
      <c r="N983" s="5"/>
      <c r="O983" s="5"/>
      <c r="P983" s="5"/>
      <c r="Q983" s="5"/>
      <c r="R983" s="5"/>
      <c r="S983" s="5"/>
      <c r="T983" s="5"/>
      <c r="U983" s="5"/>
      <c r="V983" s="5"/>
      <c r="W983" s="5"/>
      <c r="X983" s="5"/>
      <c r="Y983" s="5"/>
    </row>
    <row r="984">
      <c r="A984" s="5"/>
      <c r="B984" s="64"/>
      <c r="C984" s="64"/>
      <c r="D984" s="64"/>
      <c r="E984" s="64"/>
      <c r="F984" s="64"/>
      <c r="G984" s="149"/>
      <c r="H984" s="148"/>
      <c r="I984" s="4"/>
      <c r="J984" s="5"/>
      <c r="K984" s="5"/>
      <c r="L984" s="5"/>
      <c r="M984" s="5"/>
      <c r="N984" s="5"/>
      <c r="O984" s="5"/>
      <c r="P984" s="5"/>
      <c r="Q984" s="5"/>
      <c r="R984" s="5"/>
      <c r="S984" s="5"/>
      <c r="T984" s="5"/>
      <c r="U984" s="5"/>
      <c r="V984" s="5"/>
      <c r="W984" s="5"/>
      <c r="X984" s="5"/>
      <c r="Y984" s="5"/>
    </row>
    <row r="985">
      <c r="A985" s="5"/>
      <c r="B985" s="64"/>
      <c r="C985" s="64"/>
      <c r="D985" s="64"/>
      <c r="E985" s="64"/>
      <c r="F985" s="64"/>
      <c r="G985" s="149"/>
      <c r="H985" s="148"/>
      <c r="I985" s="4"/>
      <c r="J985" s="5"/>
      <c r="K985" s="5"/>
      <c r="L985" s="5"/>
      <c r="M985" s="5"/>
      <c r="N985" s="5"/>
      <c r="O985" s="5"/>
      <c r="P985" s="5"/>
      <c r="Q985" s="5"/>
      <c r="R985" s="5"/>
      <c r="S985" s="5"/>
      <c r="T985" s="5"/>
      <c r="U985" s="5"/>
      <c r="V985" s="5"/>
      <c r="W985" s="5"/>
      <c r="X985" s="5"/>
      <c r="Y985" s="5"/>
    </row>
    <row r="986">
      <c r="A986" s="5"/>
      <c r="B986" s="64"/>
      <c r="C986" s="64"/>
      <c r="D986" s="64"/>
      <c r="E986" s="64"/>
      <c r="F986" s="64"/>
      <c r="G986" s="149"/>
      <c r="H986" s="148"/>
      <c r="I986" s="4"/>
      <c r="J986" s="5"/>
      <c r="K986" s="5"/>
      <c r="L986" s="5"/>
      <c r="M986" s="5"/>
      <c r="N986" s="5"/>
      <c r="O986" s="5"/>
      <c r="P986" s="5"/>
      <c r="Q986" s="5"/>
      <c r="R986" s="5"/>
      <c r="S986" s="5"/>
      <c r="T986" s="5"/>
      <c r="U986" s="5"/>
      <c r="V986" s="5"/>
      <c r="W986" s="5"/>
      <c r="X986" s="5"/>
      <c r="Y986" s="5"/>
    </row>
    <row r="987">
      <c r="A987" s="5"/>
      <c r="B987" s="64"/>
      <c r="C987" s="64"/>
      <c r="D987" s="64"/>
      <c r="E987" s="64"/>
      <c r="F987" s="64"/>
      <c r="G987" s="149"/>
      <c r="H987" s="148"/>
      <c r="I987" s="4"/>
      <c r="J987" s="5"/>
      <c r="K987" s="5"/>
      <c r="L987" s="5"/>
      <c r="M987" s="5"/>
      <c r="N987" s="5"/>
      <c r="O987" s="5"/>
      <c r="P987" s="5"/>
      <c r="Q987" s="5"/>
      <c r="R987" s="5"/>
      <c r="S987" s="5"/>
      <c r="T987" s="5"/>
      <c r="U987" s="5"/>
      <c r="V987" s="5"/>
      <c r="W987" s="5"/>
      <c r="X987" s="5"/>
      <c r="Y987" s="5"/>
    </row>
    <row r="988">
      <c r="A988" s="5"/>
      <c r="B988" s="64"/>
      <c r="C988" s="64"/>
      <c r="D988" s="64"/>
      <c r="E988" s="64"/>
      <c r="F988" s="64"/>
      <c r="G988" s="149"/>
      <c r="H988" s="148"/>
      <c r="I988" s="4"/>
      <c r="J988" s="5"/>
      <c r="K988" s="5"/>
      <c r="L988" s="5"/>
      <c r="M988" s="5"/>
      <c r="N988" s="5"/>
      <c r="O988" s="5"/>
      <c r="P988" s="5"/>
      <c r="Q988" s="5"/>
      <c r="R988" s="5"/>
      <c r="S988" s="5"/>
      <c r="T988" s="5"/>
      <c r="U988" s="5"/>
      <c r="V988" s="5"/>
      <c r="W988" s="5"/>
      <c r="X988" s="5"/>
      <c r="Y988" s="5"/>
    </row>
    <row r="989">
      <c r="A989" s="5"/>
      <c r="B989" s="64"/>
      <c r="C989" s="64"/>
      <c r="D989" s="64"/>
      <c r="E989" s="64"/>
      <c r="F989" s="64"/>
      <c r="G989" s="149"/>
      <c r="H989" s="148"/>
      <c r="I989" s="4"/>
      <c r="J989" s="5"/>
      <c r="K989" s="5"/>
      <c r="L989" s="5"/>
      <c r="M989" s="5"/>
      <c r="N989" s="5"/>
      <c r="O989" s="5"/>
      <c r="P989" s="5"/>
      <c r="Q989" s="5"/>
      <c r="R989" s="5"/>
      <c r="S989" s="5"/>
      <c r="T989" s="5"/>
      <c r="U989" s="5"/>
      <c r="V989" s="5"/>
      <c r="W989" s="5"/>
      <c r="X989" s="5"/>
      <c r="Y989" s="5"/>
    </row>
    <row r="990">
      <c r="A990" s="5"/>
      <c r="B990" s="64"/>
      <c r="C990" s="64"/>
      <c r="D990" s="64"/>
      <c r="E990" s="64"/>
      <c r="F990" s="64"/>
      <c r="G990" s="149"/>
      <c r="H990" s="148"/>
      <c r="I990" s="4"/>
      <c r="J990" s="5"/>
      <c r="K990" s="5"/>
      <c r="L990" s="5"/>
      <c r="M990" s="5"/>
      <c r="N990" s="5"/>
      <c r="O990" s="5"/>
      <c r="P990" s="5"/>
      <c r="Q990" s="5"/>
      <c r="R990" s="5"/>
      <c r="S990" s="5"/>
      <c r="T990" s="5"/>
      <c r="U990" s="5"/>
      <c r="V990" s="5"/>
      <c r="W990" s="5"/>
      <c r="X990" s="5"/>
      <c r="Y990" s="5"/>
    </row>
    <row r="991">
      <c r="A991" s="5"/>
      <c r="B991" s="64"/>
      <c r="C991" s="64"/>
      <c r="D991" s="64"/>
      <c r="E991" s="64"/>
      <c r="F991" s="64"/>
      <c r="G991" s="149"/>
      <c r="H991" s="148"/>
      <c r="I991" s="4"/>
      <c r="J991" s="5"/>
      <c r="K991" s="5"/>
      <c r="L991" s="5"/>
      <c r="M991" s="5"/>
      <c r="N991" s="5"/>
      <c r="O991" s="5"/>
      <c r="P991" s="5"/>
      <c r="Q991" s="5"/>
      <c r="R991" s="5"/>
      <c r="S991" s="5"/>
      <c r="T991" s="5"/>
      <c r="U991" s="5"/>
      <c r="V991" s="5"/>
      <c r="W991" s="5"/>
      <c r="X991" s="5"/>
      <c r="Y991" s="5"/>
    </row>
    <row r="992">
      <c r="A992" s="5"/>
      <c r="B992" s="64"/>
      <c r="C992" s="64"/>
      <c r="D992" s="64"/>
      <c r="E992" s="64"/>
      <c r="F992" s="64"/>
      <c r="G992" s="149"/>
      <c r="H992" s="148"/>
      <c r="I992" s="4"/>
      <c r="J992" s="5"/>
      <c r="K992" s="5"/>
      <c r="L992" s="5"/>
      <c r="M992" s="5"/>
      <c r="N992" s="5"/>
      <c r="O992" s="5"/>
      <c r="P992" s="5"/>
      <c r="Q992" s="5"/>
      <c r="R992" s="5"/>
      <c r="S992" s="5"/>
      <c r="T992" s="5"/>
      <c r="U992" s="5"/>
      <c r="V992" s="5"/>
      <c r="W992" s="5"/>
      <c r="X992" s="5"/>
      <c r="Y992" s="5"/>
    </row>
    <row r="993">
      <c r="A993" s="5"/>
      <c r="B993" s="64"/>
      <c r="C993" s="64"/>
      <c r="D993" s="64"/>
      <c r="E993" s="64"/>
      <c r="F993" s="64"/>
      <c r="G993" s="149"/>
      <c r="H993" s="148"/>
      <c r="I993" s="4"/>
      <c r="J993" s="5"/>
      <c r="K993" s="5"/>
      <c r="L993" s="5"/>
      <c r="M993" s="5"/>
      <c r="N993" s="5"/>
      <c r="O993" s="5"/>
      <c r="P993" s="5"/>
      <c r="Q993" s="5"/>
      <c r="R993" s="5"/>
      <c r="S993" s="5"/>
      <c r="T993" s="5"/>
      <c r="U993" s="5"/>
      <c r="V993" s="5"/>
      <c r="W993" s="5"/>
      <c r="X993" s="5"/>
      <c r="Y993" s="5"/>
    </row>
    <row r="994">
      <c r="A994" s="5"/>
      <c r="B994" s="64"/>
      <c r="C994" s="64"/>
      <c r="D994" s="64"/>
      <c r="E994" s="64"/>
      <c r="F994" s="64"/>
      <c r="G994" s="149"/>
      <c r="H994" s="148"/>
      <c r="I994" s="4"/>
      <c r="J994" s="5"/>
      <c r="K994" s="5"/>
      <c r="L994" s="5"/>
      <c r="M994" s="5"/>
      <c r="N994" s="5"/>
      <c r="O994" s="5"/>
      <c r="P994" s="5"/>
      <c r="Q994" s="5"/>
      <c r="R994" s="5"/>
      <c r="S994" s="5"/>
      <c r="T994" s="5"/>
      <c r="U994" s="5"/>
      <c r="V994" s="5"/>
      <c r="W994" s="5"/>
      <c r="X994" s="5"/>
      <c r="Y994" s="5"/>
    </row>
    <row r="995">
      <c r="A995" s="5"/>
      <c r="B995" s="64"/>
      <c r="C995" s="64"/>
      <c r="D995" s="64"/>
      <c r="E995" s="64"/>
      <c r="F995" s="64"/>
      <c r="G995" s="149"/>
      <c r="H995" s="148"/>
      <c r="I995" s="4"/>
      <c r="J995" s="5"/>
      <c r="K995" s="5"/>
      <c r="L995" s="5"/>
      <c r="M995" s="5"/>
      <c r="N995" s="5"/>
      <c r="O995" s="5"/>
      <c r="P995" s="5"/>
      <c r="Q995" s="5"/>
      <c r="R995" s="5"/>
      <c r="S995" s="5"/>
      <c r="T995" s="5"/>
      <c r="U995" s="5"/>
      <c r="V995" s="5"/>
      <c r="W995" s="5"/>
      <c r="X995" s="5"/>
      <c r="Y995" s="5"/>
    </row>
    <row r="996">
      <c r="A996" s="5"/>
      <c r="B996" s="64"/>
      <c r="C996" s="64"/>
      <c r="D996" s="64"/>
      <c r="E996" s="64"/>
      <c r="F996" s="64"/>
      <c r="G996" s="149"/>
      <c r="H996" s="148"/>
      <c r="I996" s="4"/>
      <c r="J996" s="5"/>
      <c r="K996" s="5"/>
      <c r="L996" s="5"/>
      <c r="M996" s="5"/>
      <c r="N996" s="5"/>
      <c r="O996" s="5"/>
      <c r="P996" s="5"/>
      <c r="Q996" s="5"/>
      <c r="R996" s="5"/>
      <c r="S996" s="5"/>
      <c r="T996" s="5"/>
      <c r="U996" s="5"/>
      <c r="V996" s="5"/>
      <c r="W996" s="5"/>
      <c r="X996" s="5"/>
      <c r="Y996" s="5"/>
    </row>
    <row r="997">
      <c r="A997" s="5"/>
      <c r="B997" s="64"/>
      <c r="C997" s="64"/>
      <c r="D997" s="64"/>
      <c r="E997" s="64"/>
      <c r="F997" s="64"/>
      <c r="G997" s="149"/>
      <c r="H997" s="148"/>
      <c r="I997" s="4"/>
      <c r="J997" s="5"/>
      <c r="K997" s="5"/>
      <c r="L997" s="5"/>
      <c r="M997" s="5"/>
      <c r="N997" s="5"/>
      <c r="O997" s="5"/>
      <c r="P997" s="5"/>
      <c r="Q997" s="5"/>
      <c r="R997" s="5"/>
      <c r="S997" s="5"/>
      <c r="T997" s="5"/>
      <c r="U997" s="5"/>
      <c r="V997" s="5"/>
      <c r="W997" s="5"/>
      <c r="X997" s="5"/>
      <c r="Y997" s="5"/>
    </row>
    <row r="998">
      <c r="A998" s="5"/>
      <c r="B998" s="64"/>
      <c r="C998" s="64"/>
      <c r="D998" s="64"/>
      <c r="E998" s="64"/>
      <c r="F998" s="64"/>
      <c r="G998" s="149"/>
      <c r="H998" s="148"/>
      <c r="I998" s="4"/>
      <c r="J998" s="5"/>
      <c r="K998" s="5"/>
      <c r="L998" s="5"/>
      <c r="M998" s="5"/>
      <c r="N998" s="5"/>
      <c r="O998" s="5"/>
      <c r="P998" s="5"/>
      <c r="Q998" s="5"/>
      <c r="R998" s="5"/>
      <c r="S998" s="5"/>
      <c r="T998" s="5"/>
      <c r="U998" s="5"/>
      <c r="V998" s="5"/>
      <c r="W998" s="5"/>
      <c r="X998" s="5"/>
      <c r="Y998" s="5"/>
    </row>
    <row r="999">
      <c r="A999" s="5"/>
      <c r="B999" s="64"/>
      <c r="C999" s="64"/>
      <c r="D999" s="64"/>
      <c r="E999" s="64"/>
      <c r="F999" s="64"/>
      <c r="G999" s="149"/>
      <c r="H999" s="148"/>
      <c r="I999" s="4"/>
      <c r="J999" s="5"/>
      <c r="K999" s="5"/>
      <c r="L999" s="5"/>
      <c r="M999" s="5"/>
      <c r="N999" s="5"/>
      <c r="O999" s="5"/>
      <c r="P999" s="5"/>
      <c r="Q999" s="5"/>
      <c r="R999" s="5"/>
      <c r="S999" s="5"/>
      <c r="T999" s="5"/>
      <c r="U999" s="5"/>
      <c r="V999" s="5"/>
      <c r="W999" s="5"/>
      <c r="X999" s="5"/>
      <c r="Y999" s="5"/>
    </row>
    <row r="1000">
      <c r="A1000" s="5"/>
      <c r="B1000" s="64"/>
      <c r="C1000" s="64"/>
      <c r="D1000" s="64"/>
      <c r="E1000" s="64"/>
      <c r="F1000" s="64"/>
      <c r="G1000" s="149"/>
      <c r="H1000" s="148"/>
      <c r="I1000" s="4"/>
      <c r="J1000" s="5"/>
      <c r="K1000" s="5"/>
      <c r="L1000" s="5"/>
      <c r="M1000" s="5"/>
      <c r="N1000" s="5"/>
      <c r="O1000" s="5"/>
      <c r="P1000" s="5"/>
      <c r="Q1000" s="5"/>
      <c r="R1000" s="5"/>
      <c r="S1000" s="5"/>
      <c r="T1000" s="5"/>
      <c r="U1000" s="5"/>
      <c r="V1000" s="5"/>
      <c r="W1000" s="5"/>
      <c r="X1000" s="5"/>
      <c r="Y1000" s="5"/>
    </row>
    <row r="1001">
      <c r="A1001" s="5"/>
      <c r="B1001" s="64"/>
      <c r="C1001" s="64"/>
      <c r="D1001" s="64"/>
      <c r="E1001" s="64"/>
      <c r="F1001" s="64"/>
      <c r="G1001" s="149"/>
      <c r="H1001" s="148"/>
      <c r="I1001" s="4"/>
      <c r="J1001" s="5"/>
      <c r="K1001" s="5"/>
      <c r="L1001" s="5"/>
      <c r="M1001" s="5"/>
      <c r="N1001" s="5"/>
      <c r="O1001" s="5"/>
      <c r="P1001" s="5"/>
      <c r="Q1001" s="5"/>
      <c r="R1001" s="5"/>
      <c r="S1001" s="5"/>
      <c r="T1001" s="5"/>
      <c r="U1001" s="5"/>
      <c r="V1001" s="5"/>
      <c r="W1001" s="5"/>
      <c r="X1001" s="5"/>
      <c r="Y1001" s="5"/>
    </row>
    <row r="1002">
      <c r="A1002" s="5"/>
      <c r="B1002" s="64"/>
      <c r="C1002" s="64"/>
      <c r="D1002" s="64"/>
      <c r="E1002" s="64"/>
      <c r="F1002" s="64"/>
      <c r="G1002" s="149"/>
      <c r="H1002" s="148"/>
      <c r="I1002" s="4"/>
      <c r="J1002" s="5"/>
      <c r="K1002" s="5"/>
      <c r="L1002" s="5"/>
      <c r="M1002" s="5"/>
      <c r="N1002" s="5"/>
      <c r="O1002" s="5"/>
      <c r="P1002" s="5"/>
      <c r="Q1002" s="5"/>
      <c r="R1002" s="5"/>
      <c r="S1002" s="5"/>
      <c r="T1002" s="5"/>
      <c r="U1002" s="5"/>
      <c r="V1002" s="5"/>
      <c r="W1002" s="5"/>
      <c r="X1002" s="5"/>
      <c r="Y1002" s="5"/>
    </row>
    <row r="1003">
      <c r="A1003" s="5"/>
      <c r="B1003" s="64"/>
      <c r="C1003" s="64"/>
      <c r="D1003" s="64"/>
      <c r="E1003" s="64"/>
      <c r="F1003" s="64"/>
      <c r="G1003" s="149"/>
      <c r="H1003" s="148"/>
      <c r="I1003" s="4"/>
      <c r="J1003" s="5"/>
      <c r="K1003" s="5"/>
      <c r="L1003" s="5"/>
      <c r="M1003" s="5"/>
      <c r="N1003" s="5"/>
      <c r="O1003" s="5"/>
      <c r="P1003" s="5"/>
      <c r="Q1003" s="5"/>
      <c r="R1003" s="5"/>
      <c r="S1003" s="5"/>
      <c r="T1003" s="5"/>
      <c r="U1003" s="5"/>
      <c r="V1003" s="5"/>
      <c r="W1003" s="5"/>
      <c r="X1003" s="5"/>
      <c r="Y1003" s="5"/>
    </row>
    <row r="1004">
      <c r="A1004" s="5"/>
      <c r="B1004" s="64"/>
      <c r="C1004" s="64"/>
      <c r="D1004" s="64"/>
      <c r="E1004" s="64"/>
      <c r="F1004" s="64"/>
      <c r="G1004" s="149"/>
      <c r="H1004" s="148"/>
      <c r="I1004" s="4"/>
      <c r="J1004" s="5"/>
      <c r="K1004" s="5"/>
      <c r="L1004" s="5"/>
      <c r="M1004" s="5"/>
      <c r="N1004" s="5"/>
      <c r="O1004" s="5"/>
      <c r="P1004" s="5"/>
      <c r="Q1004" s="5"/>
      <c r="R1004" s="5"/>
      <c r="S1004" s="5"/>
      <c r="T1004" s="5"/>
      <c r="U1004" s="5"/>
      <c r="V1004" s="5"/>
      <c r="W1004" s="5"/>
      <c r="X1004" s="5"/>
      <c r="Y1004" s="5"/>
    </row>
    <row r="1005">
      <c r="A1005" s="5"/>
      <c r="B1005" s="64"/>
      <c r="C1005" s="64"/>
      <c r="D1005" s="64"/>
      <c r="E1005" s="64"/>
      <c r="F1005" s="64"/>
      <c r="G1005" s="149"/>
      <c r="H1005" s="148"/>
      <c r="I1005" s="4"/>
      <c r="J1005" s="5"/>
      <c r="K1005" s="5"/>
      <c r="L1005" s="5"/>
      <c r="M1005" s="5"/>
      <c r="N1005" s="5"/>
      <c r="O1005" s="5"/>
      <c r="P1005" s="5"/>
      <c r="Q1005" s="5"/>
      <c r="R1005" s="5"/>
      <c r="S1005" s="5"/>
      <c r="T1005" s="5"/>
      <c r="U1005" s="5"/>
      <c r="V1005" s="5"/>
      <c r="W1005" s="5"/>
      <c r="X1005" s="5"/>
      <c r="Y1005" s="5"/>
    </row>
    <row r="1006">
      <c r="A1006" s="5"/>
      <c r="B1006" s="64"/>
      <c r="C1006" s="64"/>
      <c r="D1006" s="64"/>
      <c r="E1006" s="64"/>
      <c r="F1006" s="64"/>
      <c r="G1006" s="149"/>
      <c r="H1006" s="148"/>
      <c r="I1006" s="4"/>
      <c r="J1006" s="5"/>
      <c r="K1006" s="5"/>
      <c r="L1006" s="5"/>
      <c r="M1006" s="5"/>
      <c r="N1006" s="5"/>
      <c r="O1006" s="5"/>
      <c r="P1006" s="5"/>
      <c r="Q1006" s="5"/>
      <c r="R1006" s="5"/>
      <c r="S1006" s="5"/>
      <c r="T1006" s="5"/>
      <c r="U1006" s="5"/>
      <c r="V1006" s="5"/>
      <c r="W1006" s="5"/>
      <c r="X1006" s="5"/>
      <c r="Y1006" s="5"/>
    </row>
    <row r="1007">
      <c r="A1007" s="5"/>
      <c r="B1007" s="64"/>
      <c r="C1007" s="64"/>
      <c r="D1007" s="64"/>
      <c r="E1007" s="64"/>
      <c r="F1007" s="64"/>
      <c r="G1007" s="149"/>
      <c r="H1007" s="148"/>
      <c r="I1007" s="4"/>
      <c r="J1007" s="5"/>
      <c r="K1007" s="5"/>
      <c r="L1007" s="5"/>
      <c r="M1007" s="5"/>
      <c r="N1007" s="5"/>
      <c r="O1007" s="5"/>
      <c r="P1007" s="5"/>
      <c r="Q1007" s="5"/>
      <c r="R1007" s="5"/>
      <c r="S1007" s="5"/>
      <c r="T1007" s="5"/>
      <c r="U1007" s="5"/>
      <c r="V1007" s="5"/>
      <c r="W1007" s="5"/>
      <c r="X1007" s="5"/>
      <c r="Y1007" s="5"/>
    </row>
    <row r="1008">
      <c r="A1008" s="5"/>
      <c r="B1008" s="64"/>
      <c r="C1008" s="64"/>
      <c r="D1008" s="64"/>
      <c r="E1008" s="64"/>
      <c r="F1008" s="64"/>
      <c r="G1008" s="149"/>
      <c r="H1008" s="148"/>
      <c r="I1008" s="4"/>
      <c r="J1008" s="5"/>
      <c r="K1008" s="5"/>
      <c r="L1008" s="5"/>
      <c r="M1008" s="5"/>
      <c r="N1008" s="5"/>
      <c r="O1008" s="5"/>
      <c r="P1008" s="5"/>
      <c r="Q1008" s="5"/>
      <c r="R1008" s="5"/>
      <c r="S1008" s="5"/>
      <c r="T1008" s="5"/>
      <c r="U1008" s="5"/>
      <c r="V1008" s="5"/>
      <c r="W1008" s="5"/>
      <c r="X1008" s="5"/>
      <c r="Y1008" s="5"/>
    </row>
    <row r="1009">
      <c r="A1009" s="5"/>
      <c r="B1009" s="64"/>
      <c r="C1009" s="64"/>
      <c r="D1009" s="64"/>
      <c r="E1009" s="64"/>
      <c r="F1009" s="64"/>
      <c r="G1009" s="149"/>
      <c r="H1009" s="148"/>
      <c r="I1009" s="4"/>
      <c r="J1009" s="5"/>
      <c r="K1009" s="5"/>
      <c r="L1009" s="5"/>
      <c r="M1009" s="5"/>
      <c r="N1009" s="5"/>
      <c r="O1009" s="5"/>
      <c r="P1009" s="5"/>
      <c r="Q1009" s="5"/>
      <c r="R1009" s="5"/>
      <c r="S1009" s="5"/>
      <c r="T1009" s="5"/>
      <c r="U1009" s="5"/>
      <c r="V1009" s="5"/>
      <c r="W1009" s="5"/>
      <c r="X1009" s="5"/>
      <c r="Y1009" s="5"/>
    </row>
    <row r="1010">
      <c r="A1010" s="5"/>
      <c r="B1010" s="64"/>
      <c r="C1010" s="64"/>
      <c r="D1010" s="64"/>
      <c r="E1010" s="64"/>
      <c r="F1010" s="64"/>
      <c r="G1010" s="149"/>
      <c r="H1010" s="148"/>
      <c r="I1010" s="4"/>
      <c r="J1010" s="5"/>
      <c r="K1010" s="5"/>
      <c r="L1010" s="5"/>
      <c r="M1010" s="5"/>
      <c r="N1010" s="5"/>
      <c r="O1010" s="5"/>
      <c r="P1010" s="5"/>
      <c r="Q1010" s="5"/>
      <c r="R1010" s="5"/>
      <c r="S1010" s="5"/>
      <c r="T1010" s="5"/>
      <c r="U1010" s="5"/>
      <c r="V1010" s="5"/>
      <c r="W1010" s="5"/>
      <c r="X1010" s="5"/>
      <c r="Y1010" s="5"/>
    </row>
    <row r="1011">
      <c r="A1011" s="5"/>
      <c r="B1011" s="64"/>
      <c r="C1011" s="64"/>
      <c r="D1011" s="64"/>
      <c r="E1011" s="64"/>
      <c r="F1011" s="64"/>
      <c r="G1011" s="149"/>
      <c r="H1011" s="148"/>
      <c r="I1011" s="4"/>
      <c r="J1011" s="5"/>
      <c r="K1011" s="5"/>
      <c r="L1011" s="5"/>
      <c r="M1011" s="5"/>
      <c r="N1011" s="5"/>
      <c r="O1011" s="5"/>
      <c r="P1011" s="5"/>
      <c r="Q1011" s="5"/>
      <c r="R1011" s="5"/>
      <c r="S1011" s="5"/>
      <c r="T1011" s="5"/>
      <c r="U1011" s="5"/>
      <c r="V1011" s="5"/>
      <c r="W1011" s="5"/>
      <c r="X1011" s="5"/>
      <c r="Y1011" s="5"/>
    </row>
    <row r="1012">
      <c r="A1012" s="5"/>
      <c r="B1012" s="64"/>
      <c r="C1012" s="64"/>
      <c r="D1012" s="64"/>
      <c r="E1012" s="64"/>
      <c r="F1012" s="64"/>
      <c r="G1012" s="149"/>
      <c r="H1012" s="148"/>
      <c r="I1012" s="4"/>
      <c r="J1012" s="5"/>
      <c r="K1012" s="5"/>
      <c r="L1012" s="5"/>
      <c r="M1012" s="5"/>
      <c r="N1012" s="5"/>
      <c r="O1012" s="5"/>
      <c r="P1012" s="5"/>
      <c r="Q1012" s="5"/>
      <c r="R1012" s="5"/>
      <c r="S1012" s="5"/>
      <c r="T1012" s="5"/>
      <c r="U1012" s="5"/>
      <c r="V1012" s="5"/>
      <c r="W1012" s="5"/>
      <c r="X1012" s="5"/>
      <c r="Y1012" s="5"/>
    </row>
    <row r="1013">
      <c r="A1013" s="5"/>
      <c r="B1013" s="64"/>
      <c r="C1013" s="64"/>
      <c r="D1013" s="64"/>
      <c r="E1013" s="64"/>
      <c r="F1013" s="64"/>
      <c r="G1013" s="149"/>
      <c r="H1013" s="148"/>
      <c r="I1013" s="4"/>
      <c r="J1013" s="5"/>
      <c r="K1013" s="5"/>
      <c r="L1013" s="5"/>
      <c r="M1013" s="5"/>
      <c r="N1013" s="5"/>
      <c r="O1013" s="5"/>
      <c r="P1013" s="5"/>
      <c r="Q1013" s="5"/>
      <c r="R1013" s="5"/>
      <c r="S1013" s="5"/>
      <c r="T1013" s="5"/>
      <c r="U1013" s="5"/>
      <c r="V1013" s="5"/>
      <c r="W1013" s="5"/>
      <c r="X1013" s="5"/>
      <c r="Y1013" s="5"/>
    </row>
    <row r="1014">
      <c r="A1014" s="5"/>
      <c r="B1014" s="64"/>
      <c r="C1014" s="64"/>
      <c r="D1014" s="64"/>
      <c r="E1014" s="64"/>
      <c r="F1014" s="64"/>
      <c r="G1014" s="149"/>
      <c r="H1014" s="148"/>
      <c r="I1014" s="4"/>
      <c r="J1014" s="5"/>
      <c r="K1014" s="5"/>
      <c r="L1014" s="5"/>
      <c r="M1014" s="5"/>
      <c r="N1014" s="5"/>
      <c r="O1014" s="5"/>
      <c r="P1014" s="5"/>
      <c r="Q1014" s="5"/>
      <c r="R1014" s="5"/>
      <c r="S1014" s="5"/>
      <c r="T1014" s="5"/>
      <c r="U1014" s="5"/>
      <c r="V1014" s="5"/>
      <c r="W1014" s="5"/>
      <c r="X1014" s="5"/>
      <c r="Y1014" s="5"/>
    </row>
    <row r="1015">
      <c r="A1015" s="5"/>
      <c r="B1015" s="64"/>
      <c r="C1015" s="64"/>
      <c r="D1015" s="64"/>
      <c r="E1015" s="64"/>
      <c r="F1015" s="64"/>
      <c r="G1015" s="149"/>
      <c r="H1015" s="148"/>
      <c r="I1015" s="4"/>
      <c r="J1015" s="5"/>
      <c r="K1015" s="5"/>
      <c r="L1015" s="5"/>
      <c r="M1015" s="5"/>
      <c r="N1015" s="5"/>
      <c r="O1015" s="5"/>
      <c r="P1015" s="5"/>
      <c r="Q1015" s="5"/>
      <c r="R1015" s="5"/>
      <c r="S1015" s="5"/>
      <c r="T1015" s="5"/>
      <c r="U1015" s="5"/>
      <c r="V1015" s="5"/>
      <c r="W1015" s="5"/>
      <c r="X1015" s="5"/>
      <c r="Y1015" s="5"/>
    </row>
    <row r="1016">
      <c r="A1016" s="5"/>
      <c r="B1016" s="64"/>
      <c r="C1016" s="64"/>
      <c r="D1016" s="64"/>
      <c r="E1016" s="64"/>
      <c r="F1016" s="64"/>
      <c r="G1016" s="149"/>
      <c r="H1016" s="148"/>
      <c r="I1016" s="4"/>
      <c r="J1016" s="5"/>
      <c r="K1016" s="5"/>
      <c r="L1016" s="5"/>
      <c r="M1016" s="5"/>
      <c r="N1016" s="5"/>
      <c r="O1016" s="5"/>
      <c r="P1016" s="5"/>
      <c r="Q1016" s="5"/>
      <c r="R1016" s="5"/>
      <c r="S1016" s="5"/>
      <c r="T1016" s="5"/>
      <c r="U1016" s="5"/>
      <c r="V1016" s="5"/>
      <c r="W1016" s="5"/>
      <c r="X1016" s="5"/>
      <c r="Y1016" s="5"/>
    </row>
    <row r="1017">
      <c r="A1017" s="5"/>
      <c r="B1017" s="64"/>
      <c r="C1017" s="64"/>
      <c r="D1017" s="64"/>
      <c r="E1017" s="64"/>
      <c r="F1017" s="64"/>
      <c r="G1017" s="149"/>
      <c r="H1017" s="148"/>
      <c r="I1017" s="4"/>
      <c r="J1017" s="5"/>
      <c r="K1017" s="5"/>
      <c r="L1017" s="5"/>
      <c r="M1017" s="5"/>
      <c r="N1017" s="5"/>
      <c r="O1017" s="5"/>
      <c r="P1017" s="5"/>
      <c r="Q1017" s="5"/>
      <c r="R1017" s="5"/>
      <c r="S1017" s="5"/>
      <c r="T1017" s="5"/>
      <c r="U1017" s="5"/>
      <c r="V1017" s="5"/>
      <c r="W1017" s="5"/>
      <c r="X1017" s="5"/>
      <c r="Y1017" s="5"/>
    </row>
    <row r="1018">
      <c r="A1018" s="5"/>
      <c r="B1018" s="64"/>
      <c r="C1018" s="64"/>
      <c r="D1018" s="64"/>
      <c r="E1018" s="64"/>
      <c r="F1018" s="64"/>
      <c r="G1018" s="149"/>
      <c r="H1018" s="148"/>
      <c r="I1018" s="4"/>
      <c r="J1018" s="5"/>
      <c r="K1018" s="5"/>
      <c r="L1018" s="5"/>
      <c r="M1018" s="5"/>
      <c r="N1018" s="5"/>
      <c r="O1018" s="5"/>
      <c r="P1018" s="5"/>
      <c r="Q1018" s="5"/>
      <c r="R1018" s="5"/>
      <c r="S1018" s="5"/>
      <c r="T1018" s="5"/>
      <c r="U1018" s="5"/>
      <c r="V1018" s="5"/>
      <c r="W1018" s="5"/>
      <c r="X1018" s="5"/>
      <c r="Y1018" s="5"/>
    </row>
    <row r="1019">
      <c r="A1019" s="5"/>
      <c r="B1019" s="64"/>
      <c r="C1019" s="64"/>
      <c r="D1019" s="64"/>
      <c r="E1019" s="64"/>
      <c r="F1019" s="64"/>
      <c r="G1019" s="149"/>
      <c r="H1019" s="148"/>
      <c r="I1019" s="4"/>
      <c r="J1019" s="5"/>
      <c r="K1019" s="5"/>
      <c r="L1019" s="5"/>
      <c r="M1019" s="5"/>
      <c r="N1019" s="5"/>
      <c r="O1019" s="5"/>
      <c r="P1019" s="5"/>
      <c r="Q1019" s="5"/>
      <c r="R1019" s="5"/>
      <c r="S1019" s="5"/>
      <c r="T1019" s="5"/>
      <c r="U1019" s="5"/>
      <c r="V1019" s="5"/>
      <c r="W1019" s="5"/>
      <c r="X1019" s="5"/>
      <c r="Y1019" s="5"/>
    </row>
    <row r="1020">
      <c r="A1020" s="5"/>
      <c r="B1020" s="64"/>
      <c r="C1020" s="64"/>
      <c r="D1020" s="64"/>
      <c r="E1020" s="64"/>
      <c r="F1020" s="64"/>
      <c r="G1020" s="149"/>
      <c r="H1020" s="148"/>
      <c r="I1020" s="4"/>
      <c r="J1020" s="5"/>
      <c r="K1020" s="5"/>
      <c r="L1020" s="5"/>
      <c r="M1020" s="5"/>
      <c r="N1020" s="5"/>
      <c r="O1020" s="5"/>
      <c r="P1020" s="5"/>
      <c r="Q1020" s="5"/>
      <c r="R1020" s="5"/>
      <c r="S1020" s="5"/>
      <c r="T1020" s="5"/>
      <c r="U1020" s="5"/>
      <c r="V1020" s="5"/>
      <c r="W1020" s="5"/>
      <c r="X1020" s="5"/>
      <c r="Y1020" s="5"/>
    </row>
    <row r="1021">
      <c r="A1021" s="5"/>
      <c r="B1021" s="64"/>
      <c r="C1021" s="64"/>
      <c r="D1021" s="64"/>
      <c r="E1021" s="64"/>
      <c r="F1021" s="64"/>
      <c r="G1021" s="149"/>
      <c r="H1021" s="148"/>
      <c r="I1021" s="4"/>
      <c r="J1021" s="5"/>
      <c r="K1021" s="5"/>
      <c r="L1021" s="5"/>
      <c r="M1021" s="5"/>
      <c r="N1021" s="5"/>
      <c r="O1021" s="5"/>
      <c r="P1021" s="5"/>
      <c r="Q1021" s="5"/>
      <c r="R1021" s="5"/>
      <c r="S1021" s="5"/>
      <c r="T1021" s="5"/>
      <c r="U1021" s="5"/>
      <c r="V1021" s="5"/>
      <c r="W1021" s="5"/>
      <c r="X1021" s="5"/>
      <c r="Y1021" s="5"/>
    </row>
    <row r="1022">
      <c r="A1022" s="5"/>
      <c r="B1022" s="64"/>
      <c r="C1022" s="64"/>
      <c r="D1022" s="64"/>
      <c r="E1022" s="64"/>
      <c r="F1022" s="64"/>
      <c r="G1022" s="149"/>
      <c r="H1022" s="148"/>
      <c r="I1022" s="4"/>
      <c r="J1022" s="5"/>
      <c r="K1022" s="5"/>
      <c r="L1022" s="5"/>
      <c r="M1022" s="5"/>
      <c r="N1022" s="5"/>
      <c r="O1022" s="5"/>
      <c r="P1022" s="5"/>
      <c r="Q1022" s="5"/>
      <c r="R1022" s="5"/>
      <c r="S1022" s="5"/>
      <c r="T1022" s="5"/>
      <c r="U1022" s="5"/>
      <c r="V1022" s="5"/>
      <c r="W1022" s="5"/>
      <c r="X1022" s="5"/>
      <c r="Y1022" s="5"/>
    </row>
    <row r="1023">
      <c r="A1023" s="5"/>
      <c r="B1023" s="64"/>
      <c r="C1023" s="64"/>
      <c r="D1023" s="64"/>
      <c r="E1023" s="64"/>
      <c r="F1023" s="64"/>
      <c r="G1023" s="149"/>
      <c r="H1023" s="148"/>
      <c r="I1023" s="4"/>
      <c r="J1023" s="5"/>
      <c r="K1023" s="5"/>
      <c r="L1023" s="5"/>
      <c r="M1023" s="5"/>
      <c r="N1023" s="5"/>
      <c r="O1023" s="5"/>
      <c r="P1023" s="5"/>
      <c r="Q1023" s="5"/>
      <c r="R1023" s="5"/>
      <c r="S1023" s="5"/>
      <c r="T1023" s="5"/>
      <c r="U1023" s="5"/>
      <c r="V1023" s="5"/>
      <c r="W1023" s="5"/>
      <c r="X1023" s="5"/>
      <c r="Y1023" s="5"/>
    </row>
    <row r="1024">
      <c r="A1024" s="5"/>
      <c r="B1024" s="64"/>
      <c r="C1024" s="64"/>
      <c r="D1024" s="64"/>
      <c r="E1024" s="64"/>
      <c r="F1024" s="64"/>
      <c r="G1024" s="149"/>
      <c r="H1024" s="148"/>
      <c r="I1024" s="4"/>
      <c r="J1024" s="5"/>
      <c r="K1024" s="5"/>
      <c r="L1024" s="5"/>
      <c r="M1024" s="5"/>
      <c r="N1024" s="5"/>
      <c r="O1024" s="5"/>
      <c r="P1024" s="5"/>
      <c r="Q1024" s="5"/>
      <c r="R1024" s="5"/>
      <c r="S1024" s="5"/>
      <c r="T1024" s="5"/>
      <c r="U1024" s="5"/>
      <c r="V1024" s="5"/>
      <c r="W1024" s="5"/>
      <c r="X1024" s="5"/>
      <c r="Y1024" s="5"/>
    </row>
    <row r="1025">
      <c r="A1025" s="5"/>
      <c r="B1025" s="64"/>
      <c r="C1025" s="64"/>
      <c r="D1025" s="64"/>
      <c r="E1025" s="64"/>
      <c r="F1025" s="64"/>
      <c r="G1025" s="149"/>
      <c r="H1025" s="148"/>
      <c r="I1025" s="4"/>
      <c r="J1025" s="5"/>
      <c r="K1025" s="5"/>
      <c r="L1025" s="5"/>
      <c r="M1025" s="5"/>
      <c r="N1025" s="5"/>
      <c r="O1025" s="5"/>
      <c r="P1025" s="5"/>
      <c r="Q1025" s="5"/>
      <c r="R1025" s="5"/>
      <c r="S1025" s="5"/>
      <c r="T1025" s="5"/>
      <c r="U1025" s="5"/>
      <c r="V1025" s="5"/>
      <c r="W1025" s="5"/>
      <c r="X1025" s="5"/>
      <c r="Y1025" s="5"/>
    </row>
    <row r="1026">
      <c r="A1026" s="5"/>
      <c r="B1026" s="64"/>
      <c r="C1026" s="64"/>
      <c r="D1026" s="64"/>
      <c r="E1026" s="64"/>
      <c r="F1026" s="64"/>
      <c r="G1026" s="149"/>
      <c r="H1026" s="148"/>
      <c r="I1026" s="4"/>
      <c r="J1026" s="5"/>
      <c r="K1026" s="5"/>
      <c r="L1026" s="5"/>
      <c r="M1026" s="5"/>
      <c r="N1026" s="5"/>
      <c r="O1026" s="5"/>
      <c r="P1026" s="5"/>
      <c r="Q1026" s="5"/>
      <c r="R1026" s="5"/>
      <c r="S1026" s="5"/>
      <c r="T1026" s="5"/>
      <c r="U1026" s="5"/>
      <c r="V1026" s="5"/>
      <c r="W1026" s="5"/>
      <c r="X1026" s="5"/>
      <c r="Y1026" s="5"/>
    </row>
    <row r="1027">
      <c r="A1027" s="5"/>
      <c r="B1027" s="64"/>
      <c r="C1027" s="64"/>
      <c r="D1027" s="64"/>
      <c r="E1027" s="64"/>
      <c r="F1027" s="64"/>
      <c r="G1027" s="149"/>
      <c r="H1027" s="148"/>
      <c r="I1027" s="4"/>
      <c r="J1027" s="5"/>
      <c r="K1027" s="5"/>
      <c r="L1027" s="5"/>
      <c r="M1027" s="5"/>
      <c r="N1027" s="5"/>
      <c r="O1027" s="5"/>
      <c r="P1027" s="5"/>
      <c r="Q1027" s="5"/>
      <c r="R1027" s="5"/>
      <c r="S1027" s="5"/>
      <c r="T1027" s="5"/>
      <c r="U1027" s="5"/>
      <c r="V1027" s="5"/>
      <c r="W1027" s="5"/>
      <c r="X1027" s="5"/>
      <c r="Y1027" s="5"/>
    </row>
    <row r="1028">
      <c r="A1028" s="5"/>
      <c r="B1028" s="64"/>
      <c r="C1028" s="64"/>
      <c r="D1028" s="64"/>
      <c r="E1028" s="64"/>
      <c r="F1028" s="64"/>
      <c r="G1028" s="149"/>
      <c r="H1028" s="148"/>
      <c r="I1028" s="4"/>
      <c r="J1028" s="5"/>
      <c r="K1028" s="5"/>
      <c r="L1028" s="5"/>
      <c r="M1028" s="5"/>
      <c r="N1028" s="5"/>
      <c r="O1028" s="5"/>
      <c r="P1028" s="5"/>
      <c r="Q1028" s="5"/>
      <c r="R1028" s="5"/>
      <c r="S1028" s="5"/>
      <c r="T1028" s="5"/>
      <c r="U1028" s="5"/>
      <c r="V1028" s="5"/>
      <c r="W1028" s="5"/>
      <c r="X1028" s="5"/>
      <c r="Y1028" s="5"/>
    </row>
    <row r="1029">
      <c r="A1029" s="5"/>
      <c r="B1029" s="64"/>
      <c r="C1029" s="64"/>
      <c r="D1029" s="64"/>
      <c r="E1029" s="64"/>
      <c r="F1029" s="64"/>
      <c r="G1029" s="149"/>
      <c r="H1029" s="148"/>
      <c r="I1029" s="4"/>
      <c r="J1029" s="5"/>
      <c r="K1029" s="5"/>
      <c r="L1029" s="5"/>
      <c r="M1029" s="5"/>
      <c r="N1029" s="5"/>
      <c r="O1029" s="5"/>
      <c r="P1029" s="5"/>
      <c r="Q1029" s="5"/>
      <c r="R1029" s="5"/>
      <c r="S1029" s="5"/>
      <c r="T1029" s="5"/>
      <c r="U1029" s="5"/>
      <c r="V1029" s="5"/>
      <c r="W1029" s="5"/>
      <c r="X1029" s="5"/>
      <c r="Y1029" s="5"/>
    </row>
    <row r="1030">
      <c r="A1030" s="5"/>
      <c r="B1030" s="64"/>
      <c r="C1030" s="64"/>
      <c r="D1030" s="64"/>
      <c r="E1030" s="64"/>
      <c r="F1030" s="64"/>
      <c r="G1030" s="149"/>
      <c r="H1030" s="148"/>
      <c r="I1030" s="4"/>
      <c r="J1030" s="5"/>
      <c r="K1030" s="5"/>
      <c r="L1030" s="5"/>
      <c r="M1030" s="5"/>
      <c r="N1030" s="5"/>
      <c r="O1030" s="5"/>
      <c r="P1030" s="5"/>
      <c r="Q1030" s="5"/>
      <c r="R1030" s="5"/>
      <c r="S1030" s="5"/>
      <c r="T1030" s="5"/>
      <c r="U1030" s="5"/>
      <c r="V1030" s="5"/>
      <c r="W1030" s="5"/>
      <c r="X1030" s="5"/>
      <c r="Y1030" s="5"/>
    </row>
    <row r="1031">
      <c r="A1031" s="5"/>
      <c r="B1031" s="64"/>
      <c r="C1031" s="64"/>
      <c r="D1031" s="64"/>
      <c r="E1031" s="64"/>
      <c r="F1031" s="64"/>
      <c r="G1031" s="149"/>
      <c r="H1031" s="148"/>
      <c r="I1031" s="4"/>
      <c r="J1031" s="5"/>
      <c r="K1031" s="5"/>
      <c r="L1031" s="5"/>
      <c r="M1031" s="5"/>
      <c r="N1031" s="5"/>
      <c r="O1031" s="5"/>
      <c r="P1031" s="5"/>
      <c r="Q1031" s="5"/>
      <c r="R1031" s="5"/>
      <c r="S1031" s="5"/>
      <c r="T1031" s="5"/>
      <c r="U1031" s="5"/>
      <c r="V1031" s="5"/>
      <c r="W1031" s="5"/>
      <c r="X1031" s="5"/>
      <c r="Y1031" s="5"/>
    </row>
    <row r="1032">
      <c r="A1032" s="5"/>
      <c r="B1032" s="64"/>
      <c r="C1032" s="64"/>
      <c r="D1032" s="64"/>
      <c r="E1032" s="64"/>
      <c r="F1032" s="64"/>
      <c r="G1032" s="149"/>
      <c r="H1032" s="148"/>
      <c r="I1032" s="4"/>
      <c r="J1032" s="5"/>
      <c r="K1032" s="5"/>
      <c r="L1032" s="5"/>
      <c r="M1032" s="5"/>
      <c r="N1032" s="5"/>
      <c r="O1032" s="5"/>
      <c r="P1032" s="5"/>
      <c r="Q1032" s="5"/>
      <c r="R1032" s="5"/>
      <c r="S1032" s="5"/>
      <c r="T1032" s="5"/>
      <c r="U1032" s="5"/>
      <c r="V1032" s="5"/>
      <c r="W1032" s="5"/>
      <c r="X1032" s="5"/>
      <c r="Y1032" s="5"/>
    </row>
    <row r="1033">
      <c r="A1033" s="5"/>
      <c r="B1033" s="64"/>
      <c r="C1033" s="64"/>
      <c r="D1033" s="64"/>
      <c r="E1033" s="64"/>
      <c r="F1033" s="64"/>
      <c r="G1033" s="149"/>
      <c r="H1033" s="148"/>
      <c r="I1033" s="4"/>
      <c r="J1033" s="5"/>
      <c r="K1033" s="5"/>
      <c r="L1033" s="5"/>
      <c r="M1033" s="5"/>
      <c r="N1033" s="5"/>
      <c r="O1033" s="5"/>
      <c r="P1033" s="5"/>
      <c r="Q1033" s="5"/>
      <c r="R1033" s="5"/>
      <c r="S1033" s="5"/>
      <c r="T1033" s="5"/>
      <c r="U1033" s="5"/>
      <c r="V1033" s="5"/>
      <c r="W1033" s="5"/>
      <c r="X1033" s="5"/>
      <c r="Y1033" s="5"/>
    </row>
    <row r="1034">
      <c r="A1034" s="5"/>
      <c r="B1034" s="64"/>
      <c r="C1034" s="64"/>
      <c r="D1034" s="64"/>
      <c r="E1034" s="64"/>
      <c r="F1034" s="64"/>
      <c r="G1034" s="149"/>
      <c r="H1034" s="148"/>
      <c r="I1034" s="4"/>
      <c r="J1034" s="5"/>
      <c r="K1034" s="5"/>
      <c r="L1034" s="5"/>
      <c r="M1034" s="5"/>
      <c r="N1034" s="5"/>
      <c r="O1034" s="5"/>
      <c r="P1034" s="5"/>
      <c r="Q1034" s="5"/>
      <c r="R1034" s="5"/>
      <c r="S1034" s="5"/>
      <c r="T1034" s="5"/>
      <c r="U1034" s="5"/>
      <c r="V1034" s="5"/>
      <c r="W1034" s="5"/>
      <c r="X1034" s="5"/>
      <c r="Y1034" s="5"/>
    </row>
    <row r="1035">
      <c r="A1035" s="5"/>
      <c r="B1035" s="64"/>
      <c r="C1035" s="64"/>
      <c r="D1035" s="64"/>
      <c r="E1035" s="64"/>
      <c r="F1035" s="64"/>
      <c r="G1035" s="149"/>
      <c r="H1035" s="148"/>
      <c r="I1035" s="4"/>
      <c r="J1035" s="5"/>
      <c r="K1035" s="5"/>
      <c r="L1035" s="5"/>
      <c r="M1035" s="5"/>
      <c r="N1035" s="5"/>
      <c r="O1035" s="5"/>
      <c r="P1035" s="5"/>
      <c r="Q1035" s="5"/>
      <c r="R1035" s="5"/>
      <c r="S1035" s="5"/>
      <c r="T1035" s="5"/>
      <c r="U1035" s="5"/>
      <c r="V1035" s="5"/>
      <c r="W1035" s="5"/>
      <c r="X1035" s="5"/>
      <c r="Y1035" s="5"/>
    </row>
    <row r="1036">
      <c r="A1036" s="5"/>
      <c r="B1036" s="64"/>
      <c r="C1036" s="64"/>
      <c r="D1036" s="64"/>
      <c r="E1036" s="64"/>
      <c r="F1036" s="64"/>
      <c r="G1036" s="149"/>
      <c r="H1036" s="148"/>
      <c r="I1036" s="4"/>
      <c r="J1036" s="5"/>
      <c r="K1036" s="5"/>
      <c r="L1036" s="5"/>
      <c r="M1036" s="5"/>
      <c r="N1036" s="5"/>
      <c r="O1036" s="5"/>
      <c r="P1036" s="5"/>
      <c r="Q1036" s="5"/>
      <c r="R1036" s="5"/>
      <c r="S1036" s="5"/>
      <c r="T1036" s="5"/>
      <c r="U1036" s="5"/>
      <c r="V1036" s="5"/>
      <c r="W1036" s="5"/>
      <c r="X1036" s="5"/>
      <c r="Y1036" s="5"/>
    </row>
    <row r="1037">
      <c r="A1037" s="5"/>
      <c r="B1037" s="64"/>
      <c r="C1037" s="64"/>
      <c r="D1037" s="64"/>
      <c r="E1037" s="64"/>
      <c r="F1037" s="64"/>
      <c r="G1037" s="149"/>
      <c r="H1037" s="148"/>
      <c r="I1037" s="4"/>
      <c r="J1037" s="5"/>
      <c r="K1037" s="5"/>
      <c r="L1037" s="5"/>
      <c r="M1037" s="5"/>
      <c r="N1037" s="5"/>
      <c r="O1037" s="5"/>
      <c r="P1037" s="5"/>
      <c r="Q1037" s="5"/>
      <c r="R1037" s="5"/>
      <c r="S1037" s="5"/>
      <c r="T1037" s="5"/>
      <c r="U1037" s="5"/>
      <c r="V1037" s="5"/>
      <c r="W1037" s="5"/>
      <c r="X1037" s="5"/>
      <c r="Y1037" s="5"/>
    </row>
    <row r="1038">
      <c r="A1038" s="5"/>
      <c r="B1038" s="64"/>
      <c r="C1038" s="64"/>
      <c r="D1038" s="64"/>
      <c r="E1038" s="64"/>
      <c r="F1038" s="64"/>
      <c r="G1038" s="149"/>
      <c r="H1038" s="148"/>
      <c r="I1038" s="4"/>
      <c r="J1038" s="5"/>
      <c r="K1038" s="5"/>
      <c r="L1038" s="5"/>
      <c r="M1038" s="5"/>
      <c r="N1038" s="5"/>
      <c r="O1038" s="5"/>
      <c r="P1038" s="5"/>
      <c r="Q1038" s="5"/>
      <c r="R1038" s="5"/>
      <c r="S1038" s="5"/>
      <c r="T1038" s="5"/>
      <c r="U1038" s="5"/>
      <c r="V1038" s="5"/>
      <c r="W1038" s="5"/>
      <c r="X1038" s="5"/>
      <c r="Y1038" s="5"/>
    </row>
    <row r="1039">
      <c r="A1039" s="5"/>
      <c r="B1039" s="64"/>
      <c r="C1039" s="64"/>
      <c r="D1039" s="64"/>
      <c r="E1039" s="64"/>
      <c r="F1039" s="64"/>
      <c r="G1039" s="149"/>
      <c r="H1039" s="148"/>
      <c r="I1039" s="4"/>
      <c r="J1039" s="5"/>
      <c r="K1039" s="5"/>
      <c r="L1039" s="5"/>
      <c r="M1039" s="5"/>
      <c r="N1039" s="5"/>
      <c r="O1039" s="5"/>
      <c r="P1039" s="5"/>
      <c r="Q1039" s="5"/>
      <c r="R1039" s="5"/>
      <c r="S1039" s="5"/>
      <c r="T1039" s="5"/>
      <c r="U1039" s="5"/>
      <c r="V1039" s="5"/>
      <c r="W1039" s="5"/>
      <c r="X1039" s="5"/>
      <c r="Y1039" s="5"/>
    </row>
    <row r="1040">
      <c r="A1040" s="5"/>
      <c r="B1040" s="64"/>
      <c r="C1040" s="64"/>
      <c r="D1040" s="64"/>
      <c r="E1040" s="64"/>
      <c r="F1040" s="64"/>
      <c r="G1040" s="149"/>
      <c r="H1040" s="148"/>
      <c r="I1040" s="4"/>
      <c r="J1040" s="5"/>
      <c r="K1040" s="5"/>
      <c r="L1040" s="5"/>
      <c r="M1040" s="5"/>
      <c r="N1040" s="5"/>
      <c r="O1040" s="5"/>
      <c r="P1040" s="5"/>
      <c r="Q1040" s="5"/>
      <c r="R1040" s="5"/>
      <c r="S1040" s="5"/>
      <c r="T1040" s="5"/>
      <c r="U1040" s="5"/>
      <c r="V1040" s="5"/>
      <c r="W1040" s="5"/>
      <c r="X1040" s="5"/>
      <c r="Y1040" s="5"/>
    </row>
    <row r="1041">
      <c r="A1041" s="5"/>
      <c r="B1041" s="64"/>
      <c r="C1041" s="64"/>
      <c r="D1041" s="64"/>
      <c r="E1041" s="64"/>
      <c r="F1041" s="64"/>
      <c r="G1041" s="149"/>
      <c r="H1041" s="148"/>
      <c r="I1041" s="4"/>
      <c r="J1041" s="5"/>
      <c r="K1041" s="5"/>
      <c r="L1041" s="5"/>
      <c r="M1041" s="5"/>
      <c r="N1041" s="5"/>
      <c r="O1041" s="5"/>
      <c r="P1041" s="5"/>
      <c r="Q1041" s="5"/>
      <c r="R1041" s="5"/>
      <c r="S1041" s="5"/>
      <c r="T1041" s="5"/>
      <c r="U1041" s="5"/>
      <c r="V1041" s="5"/>
      <c r="W1041" s="5"/>
      <c r="X1041" s="5"/>
      <c r="Y1041" s="5"/>
    </row>
    <row r="1042">
      <c r="A1042" s="5"/>
      <c r="B1042" s="64"/>
      <c r="C1042" s="64"/>
      <c r="D1042" s="64"/>
      <c r="E1042" s="64"/>
      <c r="F1042" s="64"/>
      <c r="G1042" s="149"/>
      <c r="H1042" s="148"/>
      <c r="I1042" s="4"/>
      <c r="J1042" s="5"/>
      <c r="K1042" s="5"/>
      <c r="L1042" s="5"/>
      <c r="M1042" s="5"/>
      <c r="N1042" s="5"/>
      <c r="O1042" s="5"/>
      <c r="P1042" s="5"/>
      <c r="Q1042" s="5"/>
      <c r="R1042" s="5"/>
      <c r="S1042" s="5"/>
      <c r="T1042" s="5"/>
      <c r="U1042" s="5"/>
      <c r="V1042" s="5"/>
      <c r="W1042" s="5"/>
      <c r="X1042" s="5"/>
      <c r="Y1042" s="5"/>
    </row>
    <row r="1043">
      <c r="A1043" s="5"/>
      <c r="B1043" s="64"/>
      <c r="C1043" s="64"/>
      <c r="D1043" s="64"/>
      <c r="E1043" s="64"/>
      <c r="F1043" s="64"/>
      <c r="G1043" s="149"/>
      <c r="H1043" s="148"/>
      <c r="I1043" s="4"/>
      <c r="J1043" s="5"/>
      <c r="K1043" s="5"/>
      <c r="L1043" s="5"/>
      <c r="M1043" s="5"/>
      <c r="N1043" s="5"/>
      <c r="O1043" s="5"/>
      <c r="P1043" s="5"/>
      <c r="Q1043" s="5"/>
      <c r="R1043" s="5"/>
      <c r="S1043" s="5"/>
      <c r="T1043" s="5"/>
      <c r="U1043" s="5"/>
      <c r="V1043" s="5"/>
      <c r="W1043" s="5"/>
      <c r="X1043" s="5"/>
      <c r="Y1043" s="5"/>
    </row>
    <row r="1044">
      <c r="A1044" s="5"/>
      <c r="B1044" s="64"/>
      <c r="C1044" s="64"/>
      <c r="D1044" s="64"/>
      <c r="E1044" s="64"/>
      <c r="F1044" s="64"/>
      <c r="G1044" s="149"/>
      <c r="H1044" s="148"/>
      <c r="I1044" s="4"/>
      <c r="J1044" s="5"/>
      <c r="K1044" s="5"/>
      <c r="L1044" s="5"/>
      <c r="M1044" s="5"/>
      <c r="N1044" s="5"/>
      <c r="O1044" s="5"/>
      <c r="P1044" s="5"/>
      <c r="Q1044" s="5"/>
      <c r="R1044" s="5"/>
      <c r="S1044" s="5"/>
      <c r="T1044" s="5"/>
      <c r="U1044" s="5"/>
      <c r="V1044" s="5"/>
      <c r="W1044" s="5"/>
      <c r="X1044" s="5"/>
      <c r="Y1044" s="5"/>
    </row>
    <row r="1045">
      <c r="A1045" s="5"/>
      <c r="B1045" s="64"/>
      <c r="C1045" s="64"/>
      <c r="D1045" s="64"/>
      <c r="E1045" s="64"/>
      <c r="F1045" s="64"/>
      <c r="G1045" s="149"/>
      <c r="H1045" s="148"/>
      <c r="I1045" s="4"/>
      <c r="J1045" s="5"/>
      <c r="K1045" s="5"/>
      <c r="L1045" s="5"/>
      <c r="M1045" s="5"/>
      <c r="N1045" s="5"/>
      <c r="O1045" s="5"/>
      <c r="P1045" s="5"/>
      <c r="Q1045" s="5"/>
      <c r="R1045" s="5"/>
      <c r="S1045" s="5"/>
      <c r="T1045" s="5"/>
      <c r="U1045" s="5"/>
      <c r="V1045" s="5"/>
      <c r="W1045" s="5"/>
      <c r="X1045" s="5"/>
      <c r="Y1045" s="5"/>
    </row>
    <row r="1046">
      <c r="A1046" s="5"/>
      <c r="B1046" s="64"/>
      <c r="C1046" s="64"/>
      <c r="D1046" s="64"/>
      <c r="E1046" s="64"/>
      <c r="F1046" s="64"/>
      <c r="G1046" s="149"/>
      <c r="H1046" s="148"/>
      <c r="I1046" s="4"/>
      <c r="J1046" s="5"/>
      <c r="K1046" s="5"/>
      <c r="L1046" s="5"/>
      <c r="M1046" s="5"/>
      <c r="N1046" s="5"/>
      <c r="O1046" s="5"/>
      <c r="P1046" s="5"/>
      <c r="Q1046" s="5"/>
      <c r="R1046" s="5"/>
      <c r="S1046" s="5"/>
      <c r="T1046" s="5"/>
      <c r="U1046" s="5"/>
      <c r="V1046" s="5"/>
      <c r="W1046" s="5"/>
      <c r="X1046" s="5"/>
      <c r="Y1046" s="5"/>
    </row>
    <row r="1047">
      <c r="A1047" s="5"/>
      <c r="B1047" s="64"/>
      <c r="C1047" s="64"/>
      <c r="D1047" s="64"/>
      <c r="E1047" s="64"/>
      <c r="F1047" s="64"/>
      <c r="G1047" s="149"/>
      <c r="H1047" s="148"/>
      <c r="I1047" s="4"/>
      <c r="J1047" s="5"/>
      <c r="K1047" s="5"/>
      <c r="L1047" s="5"/>
      <c r="M1047" s="5"/>
      <c r="N1047" s="5"/>
      <c r="O1047" s="5"/>
      <c r="P1047" s="5"/>
      <c r="Q1047" s="5"/>
      <c r="R1047" s="5"/>
      <c r="S1047" s="5"/>
      <c r="T1047" s="5"/>
      <c r="U1047" s="5"/>
      <c r="V1047" s="5"/>
      <c r="W1047" s="5"/>
      <c r="X1047" s="5"/>
      <c r="Y1047" s="5"/>
    </row>
    <row r="1048">
      <c r="A1048" s="5"/>
      <c r="B1048" s="64"/>
      <c r="C1048" s="64"/>
      <c r="D1048" s="64"/>
      <c r="E1048" s="64"/>
      <c r="F1048" s="64"/>
      <c r="G1048" s="149"/>
      <c r="H1048" s="148"/>
      <c r="I1048" s="4"/>
      <c r="J1048" s="5"/>
      <c r="K1048" s="5"/>
      <c r="L1048" s="5"/>
      <c r="M1048" s="5"/>
      <c r="N1048" s="5"/>
      <c r="O1048" s="5"/>
      <c r="P1048" s="5"/>
      <c r="Q1048" s="5"/>
      <c r="R1048" s="5"/>
      <c r="S1048" s="5"/>
      <c r="T1048" s="5"/>
      <c r="U1048" s="5"/>
      <c r="V1048" s="5"/>
      <c r="W1048" s="5"/>
      <c r="X1048" s="5"/>
      <c r="Y1048" s="5"/>
    </row>
    <row r="1049">
      <c r="A1049" s="5"/>
      <c r="B1049" s="64"/>
      <c r="C1049" s="64"/>
      <c r="D1049" s="64"/>
      <c r="E1049" s="64"/>
      <c r="F1049" s="64"/>
      <c r="G1049" s="149"/>
      <c r="H1049" s="148"/>
      <c r="I1049" s="4"/>
      <c r="J1049" s="5"/>
      <c r="K1049" s="5"/>
      <c r="L1049" s="5"/>
      <c r="M1049" s="5"/>
      <c r="N1049" s="5"/>
      <c r="O1049" s="5"/>
      <c r="P1049" s="5"/>
      <c r="Q1049" s="5"/>
      <c r="R1049" s="5"/>
      <c r="S1049" s="5"/>
      <c r="T1049" s="5"/>
      <c r="U1049" s="5"/>
      <c r="V1049" s="5"/>
      <c r="W1049" s="5"/>
      <c r="X1049" s="5"/>
      <c r="Y1049" s="5"/>
    </row>
    <row r="1050">
      <c r="A1050" s="5"/>
      <c r="B1050" s="64"/>
      <c r="C1050" s="64"/>
      <c r="D1050" s="64"/>
      <c r="E1050" s="64"/>
      <c r="F1050" s="64"/>
      <c r="G1050" s="149"/>
      <c r="H1050" s="148"/>
      <c r="I1050" s="4"/>
      <c r="J1050" s="5"/>
      <c r="K1050" s="5"/>
      <c r="L1050" s="5"/>
      <c r="M1050" s="5"/>
      <c r="N1050" s="5"/>
      <c r="O1050" s="5"/>
      <c r="P1050" s="5"/>
      <c r="Q1050" s="5"/>
      <c r="R1050" s="5"/>
      <c r="S1050" s="5"/>
      <c r="T1050" s="5"/>
      <c r="U1050" s="5"/>
      <c r="V1050" s="5"/>
      <c r="W1050" s="5"/>
      <c r="X1050" s="5"/>
      <c r="Y1050" s="5"/>
    </row>
    <row r="1051">
      <c r="A1051" s="5"/>
      <c r="B1051" s="64"/>
      <c r="C1051" s="64"/>
      <c r="D1051" s="64"/>
      <c r="E1051" s="64"/>
      <c r="F1051" s="64"/>
      <c r="G1051" s="149"/>
      <c r="H1051" s="148"/>
      <c r="I1051" s="4"/>
      <c r="J1051" s="5"/>
      <c r="K1051" s="5"/>
      <c r="L1051" s="5"/>
      <c r="M1051" s="5"/>
      <c r="N1051" s="5"/>
      <c r="O1051" s="5"/>
      <c r="P1051" s="5"/>
      <c r="Q1051" s="5"/>
      <c r="R1051" s="5"/>
      <c r="S1051" s="5"/>
      <c r="T1051" s="5"/>
      <c r="U1051" s="5"/>
      <c r="V1051" s="5"/>
      <c r="W1051" s="5"/>
      <c r="X1051" s="5"/>
      <c r="Y1051" s="5"/>
    </row>
    <row r="1052">
      <c r="A1052" s="5"/>
      <c r="B1052" s="64"/>
      <c r="C1052" s="64"/>
      <c r="D1052" s="64"/>
      <c r="E1052" s="64"/>
      <c r="F1052" s="64"/>
      <c r="G1052" s="149"/>
      <c r="H1052" s="148"/>
      <c r="I1052" s="4"/>
      <c r="J1052" s="5"/>
      <c r="K1052" s="5"/>
      <c r="L1052" s="5"/>
      <c r="M1052" s="5"/>
      <c r="N1052" s="5"/>
      <c r="O1052" s="5"/>
      <c r="P1052" s="5"/>
      <c r="Q1052" s="5"/>
      <c r="R1052" s="5"/>
      <c r="S1052" s="5"/>
      <c r="T1052" s="5"/>
      <c r="U1052" s="5"/>
      <c r="V1052" s="5"/>
      <c r="W1052" s="5"/>
      <c r="X1052" s="5"/>
      <c r="Y1052" s="5"/>
    </row>
    <row r="1053">
      <c r="A1053" s="5"/>
      <c r="B1053" s="64"/>
      <c r="C1053" s="64"/>
      <c r="D1053" s="64"/>
      <c r="E1053" s="64"/>
      <c r="F1053" s="64"/>
      <c r="G1053" s="149"/>
      <c r="H1053" s="148"/>
      <c r="I1053" s="4"/>
      <c r="J1053" s="5"/>
      <c r="K1053" s="5"/>
      <c r="L1053" s="5"/>
      <c r="M1053" s="5"/>
      <c r="N1053" s="5"/>
      <c r="O1053" s="5"/>
      <c r="P1053" s="5"/>
      <c r="Q1053" s="5"/>
      <c r="R1053" s="5"/>
      <c r="S1053" s="5"/>
      <c r="T1053" s="5"/>
      <c r="U1053" s="5"/>
      <c r="V1053" s="5"/>
      <c r="W1053" s="5"/>
      <c r="X1053" s="5"/>
      <c r="Y1053" s="5"/>
    </row>
    <row r="1054">
      <c r="A1054" s="5"/>
      <c r="B1054" s="64"/>
      <c r="C1054" s="64"/>
      <c r="D1054" s="64"/>
      <c r="E1054" s="64"/>
      <c r="F1054" s="64"/>
      <c r="G1054" s="149"/>
      <c r="H1054" s="148"/>
      <c r="I1054" s="4"/>
      <c r="J1054" s="5"/>
      <c r="K1054" s="5"/>
      <c r="L1054" s="5"/>
      <c r="M1054" s="5"/>
      <c r="N1054" s="5"/>
      <c r="O1054" s="5"/>
      <c r="P1054" s="5"/>
      <c r="Q1054" s="5"/>
      <c r="R1054" s="5"/>
      <c r="S1054" s="5"/>
      <c r="T1054" s="5"/>
      <c r="U1054" s="5"/>
      <c r="V1054" s="5"/>
      <c r="W1054" s="5"/>
      <c r="X1054" s="5"/>
      <c r="Y1054" s="5"/>
    </row>
    <row r="1055">
      <c r="A1055" s="5"/>
      <c r="B1055" s="64"/>
      <c r="C1055" s="64"/>
      <c r="D1055" s="64"/>
      <c r="E1055" s="64"/>
      <c r="F1055" s="64"/>
      <c r="G1055" s="149"/>
      <c r="H1055" s="148"/>
      <c r="I1055" s="4"/>
      <c r="J1055" s="5"/>
      <c r="K1055" s="5"/>
      <c r="L1055" s="5"/>
      <c r="M1055" s="5"/>
      <c r="N1055" s="5"/>
      <c r="O1055" s="5"/>
      <c r="P1055" s="5"/>
      <c r="Q1055" s="5"/>
      <c r="R1055" s="5"/>
      <c r="S1055" s="5"/>
      <c r="T1055" s="5"/>
      <c r="U1055" s="5"/>
      <c r="V1055" s="5"/>
      <c r="W1055" s="5"/>
      <c r="X1055" s="5"/>
      <c r="Y1055" s="5"/>
    </row>
    <row r="1056">
      <c r="A1056" s="5"/>
      <c r="B1056" s="64"/>
      <c r="C1056" s="64"/>
      <c r="D1056" s="64"/>
      <c r="E1056" s="64"/>
      <c r="F1056" s="64"/>
      <c r="G1056" s="149"/>
      <c r="H1056" s="148"/>
      <c r="I1056" s="4"/>
      <c r="J1056" s="5"/>
      <c r="K1056" s="5"/>
      <c r="L1056" s="5"/>
      <c r="M1056" s="5"/>
      <c r="N1056" s="5"/>
      <c r="O1056" s="5"/>
      <c r="P1056" s="5"/>
      <c r="Q1056" s="5"/>
      <c r="R1056" s="5"/>
      <c r="S1056" s="5"/>
      <c r="T1056" s="5"/>
      <c r="U1056" s="5"/>
      <c r="V1056" s="5"/>
      <c r="W1056" s="5"/>
      <c r="X1056" s="5"/>
      <c r="Y1056" s="5"/>
    </row>
    <row r="1057">
      <c r="A1057" s="5"/>
      <c r="B1057" s="64"/>
      <c r="C1057" s="64"/>
      <c r="D1057" s="64"/>
      <c r="E1057" s="64"/>
      <c r="F1057" s="64"/>
      <c r="G1057" s="149"/>
      <c r="H1057" s="148"/>
      <c r="I1057" s="4"/>
      <c r="J1057" s="5"/>
      <c r="K1057" s="5"/>
      <c r="L1057" s="5"/>
      <c r="M1057" s="5"/>
      <c r="N1057" s="5"/>
      <c r="O1057" s="5"/>
      <c r="P1057" s="5"/>
      <c r="Q1057" s="5"/>
      <c r="R1057" s="5"/>
      <c r="S1057" s="5"/>
      <c r="T1057" s="5"/>
      <c r="U1057" s="5"/>
      <c r="V1057" s="5"/>
      <c r="W1057" s="5"/>
      <c r="X1057" s="5"/>
      <c r="Y1057" s="5"/>
    </row>
    <row r="1058">
      <c r="A1058" s="5"/>
      <c r="B1058" s="64"/>
      <c r="C1058" s="64"/>
      <c r="D1058" s="64"/>
      <c r="E1058" s="64"/>
      <c r="F1058" s="64"/>
      <c r="G1058" s="149"/>
      <c r="H1058" s="148"/>
      <c r="I1058" s="4"/>
      <c r="J1058" s="5"/>
      <c r="K1058" s="5"/>
      <c r="L1058" s="5"/>
      <c r="M1058" s="5"/>
      <c r="N1058" s="5"/>
      <c r="O1058" s="5"/>
      <c r="P1058" s="5"/>
      <c r="Q1058" s="5"/>
      <c r="R1058" s="5"/>
      <c r="S1058" s="5"/>
      <c r="T1058" s="5"/>
      <c r="U1058" s="5"/>
      <c r="V1058" s="5"/>
      <c r="W1058" s="5"/>
      <c r="X1058" s="5"/>
      <c r="Y1058" s="5"/>
    </row>
    <row r="1059">
      <c r="A1059" s="5"/>
      <c r="B1059" s="64"/>
      <c r="C1059" s="64"/>
      <c r="D1059" s="64"/>
      <c r="E1059" s="64"/>
      <c r="F1059" s="64"/>
      <c r="G1059" s="149"/>
      <c r="H1059" s="148"/>
      <c r="I1059" s="4"/>
      <c r="J1059" s="5"/>
      <c r="K1059" s="5"/>
      <c r="L1059" s="5"/>
      <c r="M1059" s="5"/>
      <c r="N1059" s="5"/>
      <c r="O1059" s="5"/>
      <c r="P1059" s="5"/>
      <c r="Q1059" s="5"/>
      <c r="R1059" s="5"/>
      <c r="S1059" s="5"/>
      <c r="T1059" s="5"/>
      <c r="U1059" s="5"/>
      <c r="V1059" s="5"/>
      <c r="W1059" s="5"/>
      <c r="X1059" s="5"/>
      <c r="Y1059" s="5"/>
    </row>
    <row r="1060">
      <c r="A1060" s="5"/>
      <c r="B1060" s="64"/>
      <c r="C1060" s="64"/>
      <c r="D1060" s="64"/>
      <c r="E1060" s="64"/>
      <c r="F1060" s="64"/>
      <c r="G1060" s="149"/>
      <c r="H1060" s="148"/>
      <c r="I1060" s="4"/>
      <c r="J1060" s="5"/>
      <c r="K1060" s="5"/>
      <c r="L1060" s="5"/>
      <c r="M1060" s="5"/>
      <c r="N1060" s="5"/>
      <c r="O1060" s="5"/>
      <c r="P1060" s="5"/>
      <c r="Q1060" s="5"/>
      <c r="R1060" s="5"/>
      <c r="S1060" s="5"/>
      <c r="T1060" s="5"/>
      <c r="U1060" s="5"/>
      <c r="V1060" s="5"/>
      <c r="W1060" s="5"/>
      <c r="X1060" s="5"/>
      <c r="Y1060" s="5"/>
    </row>
    <row r="1061">
      <c r="A1061" s="5"/>
      <c r="B1061" s="64"/>
      <c r="C1061" s="64"/>
      <c r="D1061" s="64"/>
      <c r="E1061" s="64"/>
      <c r="F1061" s="64"/>
      <c r="G1061" s="149"/>
      <c r="H1061" s="148"/>
      <c r="I1061" s="4"/>
      <c r="J1061" s="5"/>
      <c r="K1061" s="5"/>
      <c r="L1061" s="5"/>
      <c r="M1061" s="5"/>
      <c r="N1061" s="5"/>
      <c r="O1061" s="5"/>
      <c r="P1061" s="5"/>
      <c r="Q1061" s="5"/>
      <c r="R1061" s="5"/>
      <c r="S1061" s="5"/>
      <c r="T1061" s="5"/>
      <c r="U1061" s="5"/>
      <c r="V1061" s="5"/>
      <c r="W1061" s="5"/>
      <c r="X1061" s="5"/>
      <c r="Y1061" s="5"/>
    </row>
    <row r="1062">
      <c r="A1062" s="5"/>
      <c r="B1062" s="64"/>
      <c r="C1062" s="64"/>
      <c r="D1062" s="64"/>
      <c r="E1062" s="64"/>
      <c r="F1062" s="64"/>
      <c r="G1062" s="149"/>
      <c r="H1062" s="148"/>
      <c r="I1062" s="4"/>
      <c r="J1062" s="5"/>
      <c r="K1062" s="5"/>
      <c r="L1062" s="5"/>
      <c r="M1062" s="5"/>
      <c r="N1062" s="5"/>
      <c r="O1062" s="5"/>
      <c r="P1062" s="5"/>
      <c r="Q1062" s="5"/>
      <c r="R1062" s="5"/>
      <c r="S1062" s="5"/>
      <c r="T1062" s="5"/>
      <c r="U1062" s="5"/>
      <c r="V1062" s="5"/>
      <c r="W1062" s="5"/>
      <c r="X1062" s="5"/>
      <c r="Y1062" s="5"/>
    </row>
    <row r="1063">
      <c r="A1063" s="5"/>
      <c r="B1063" s="64"/>
      <c r="C1063" s="64"/>
      <c r="D1063" s="64"/>
      <c r="E1063" s="64"/>
      <c r="F1063" s="64"/>
      <c r="G1063" s="149"/>
      <c r="H1063" s="148"/>
      <c r="I1063" s="4"/>
      <c r="J1063" s="5"/>
      <c r="K1063" s="5"/>
      <c r="L1063" s="5"/>
      <c r="M1063" s="5"/>
      <c r="N1063" s="5"/>
      <c r="O1063" s="5"/>
      <c r="P1063" s="5"/>
      <c r="Q1063" s="5"/>
      <c r="R1063" s="5"/>
      <c r="S1063" s="5"/>
      <c r="T1063" s="5"/>
      <c r="U1063" s="5"/>
      <c r="V1063" s="5"/>
      <c r="W1063" s="5"/>
      <c r="X1063" s="5"/>
      <c r="Y1063" s="5"/>
    </row>
    <row r="1064">
      <c r="A1064" s="5"/>
      <c r="B1064" s="64"/>
      <c r="C1064" s="64"/>
      <c r="D1064" s="64"/>
      <c r="E1064" s="64"/>
      <c r="F1064" s="64"/>
      <c r="G1064" s="149"/>
      <c r="H1064" s="148"/>
      <c r="I1064" s="4"/>
      <c r="J1064" s="5"/>
      <c r="K1064" s="5"/>
      <c r="L1064" s="5"/>
      <c r="M1064" s="5"/>
      <c r="N1064" s="5"/>
      <c r="O1064" s="5"/>
      <c r="P1064" s="5"/>
      <c r="Q1064" s="5"/>
      <c r="R1064" s="5"/>
      <c r="S1064" s="5"/>
      <c r="T1064" s="5"/>
      <c r="U1064" s="5"/>
      <c r="V1064" s="5"/>
      <c r="W1064" s="5"/>
      <c r="X1064" s="5"/>
      <c r="Y1064" s="5"/>
    </row>
    <row r="1065">
      <c r="A1065" s="5"/>
      <c r="B1065" s="64"/>
      <c r="C1065" s="64"/>
      <c r="D1065" s="64"/>
      <c r="E1065" s="64"/>
      <c r="F1065" s="64"/>
      <c r="G1065" s="149"/>
      <c r="H1065" s="148"/>
      <c r="I1065" s="4"/>
      <c r="J1065" s="5"/>
      <c r="K1065" s="5"/>
      <c r="L1065" s="5"/>
      <c r="M1065" s="5"/>
      <c r="N1065" s="5"/>
      <c r="O1065" s="5"/>
      <c r="P1065" s="5"/>
      <c r="Q1065" s="5"/>
      <c r="R1065" s="5"/>
      <c r="S1065" s="5"/>
      <c r="T1065" s="5"/>
      <c r="U1065" s="5"/>
      <c r="V1065" s="5"/>
      <c r="W1065" s="5"/>
      <c r="X1065" s="5"/>
      <c r="Y1065" s="5"/>
    </row>
    <row r="1066">
      <c r="A1066" s="5"/>
      <c r="B1066" s="64"/>
      <c r="C1066" s="64"/>
      <c r="D1066" s="64"/>
      <c r="E1066" s="64"/>
      <c r="F1066" s="64"/>
      <c r="G1066" s="149"/>
      <c r="H1066" s="148"/>
      <c r="I1066" s="4"/>
      <c r="J1066" s="5"/>
      <c r="K1066" s="5"/>
      <c r="L1066" s="5"/>
      <c r="M1066" s="5"/>
      <c r="N1066" s="5"/>
      <c r="O1066" s="5"/>
      <c r="P1066" s="5"/>
      <c r="Q1066" s="5"/>
      <c r="R1066" s="5"/>
      <c r="S1066" s="5"/>
      <c r="T1066" s="5"/>
      <c r="U1066" s="5"/>
      <c r="V1066" s="5"/>
      <c r="W1066" s="5"/>
      <c r="X1066" s="5"/>
      <c r="Y1066" s="5"/>
    </row>
    <row r="1067">
      <c r="A1067" s="5"/>
      <c r="B1067" s="64"/>
      <c r="C1067" s="64"/>
      <c r="D1067" s="64"/>
      <c r="E1067" s="64"/>
      <c r="F1067" s="64"/>
      <c r="G1067" s="149"/>
      <c r="H1067" s="148"/>
      <c r="I1067" s="4"/>
      <c r="J1067" s="5"/>
      <c r="K1067" s="5"/>
      <c r="L1067" s="5"/>
      <c r="M1067" s="5"/>
      <c r="N1067" s="5"/>
      <c r="O1067" s="5"/>
      <c r="P1067" s="5"/>
      <c r="Q1067" s="5"/>
      <c r="R1067" s="5"/>
      <c r="S1067" s="5"/>
      <c r="T1067" s="5"/>
      <c r="U1067" s="5"/>
      <c r="V1067" s="5"/>
      <c r="W1067" s="5"/>
      <c r="X1067" s="5"/>
      <c r="Y1067" s="5"/>
    </row>
    <row r="1068">
      <c r="A1068" s="5"/>
      <c r="B1068" s="64"/>
      <c r="C1068" s="64"/>
      <c r="D1068" s="64"/>
      <c r="E1068" s="64"/>
      <c r="F1068" s="64"/>
      <c r="G1068" s="149"/>
      <c r="H1068" s="148"/>
      <c r="I1068" s="4"/>
      <c r="J1068" s="5"/>
      <c r="K1068" s="5"/>
      <c r="L1068" s="5"/>
      <c r="M1068" s="5"/>
      <c r="N1068" s="5"/>
      <c r="O1068" s="5"/>
      <c r="P1068" s="5"/>
      <c r="Q1068" s="5"/>
      <c r="R1068" s="5"/>
      <c r="S1068" s="5"/>
      <c r="T1068" s="5"/>
      <c r="U1068" s="5"/>
      <c r="V1068" s="5"/>
      <c r="W1068" s="5"/>
      <c r="X1068" s="5"/>
      <c r="Y1068" s="5"/>
    </row>
    <row r="1069">
      <c r="A1069" s="5"/>
      <c r="B1069" s="64"/>
      <c r="C1069" s="64"/>
      <c r="D1069" s="64"/>
      <c r="E1069" s="64"/>
      <c r="F1069" s="64"/>
      <c r="G1069" s="149"/>
      <c r="H1069" s="148"/>
      <c r="I1069" s="97"/>
      <c r="J1069" s="97"/>
      <c r="K1069" s="97"/>
      <c r="L1069" s="97"/>
      <c r="M1069" s="97"/>
      <c r="N1069" s="97"/>
      <c r="O1069" s="97"/>
      <c r="P1069" s="97"/>
      <c r="Q1069" s="97"/>
      <c r="R1069" s="97"/>
      <c r="S1069" s="97"/>
      <c r="T1069" s="97"/>
      <c r="U1069" s="97"/>
      <c r="V1069" s="97"/>
      <c r="W1069" s="97"/>
      <c r="X1069" s="97"/>
      <c r="Y1069" s="97"/>
    </row>
    <row r="1070">
      <c r="A1070" s="5"/>
      <c r="B1070" s="64"/>
      <c r="C1070" s="64"/>
      <c r="D1070" s="64"/>
      <c r="E1070" s="64"/>
      <c r="F1070" s="64"/>
      <c r="G1070" s="149"/>
      <c r="H1070" s="148"/>
      <c r="I1070" s="97"/>
      <c r="J1070" s="97"/>
      <c r="K1070" s="97"/>
      <c r="L1070" s="97"/>
      <c r="M1070" s="97"/>
      <c r="N1070" s="97"/>
      <c r="O1070" s="97"/>
      <c r="P1070" s="97"/>
      <c r="Q1070" s="97"/>
      <c r="R1070" s="97"/>
      <c r="S1070" s="97"/>
      <c r="T1070" s="97"/>
      <c r="U1070" s="97"/>
      <c r="V1070" s="97"/>
      <c r="W1070" s="97"/>
      <c r="X1070" s="97"/>
      <c r="Y1070" s="97"/>
    </row>
    <row r="1071">
      <c r="A1071" s="5"/>
      <c r="B1071" s="64"/>
      <c r="C1071" s="64"/>
      <c r="D1071" s="64"/>
      <c r="E1071" s="64"/>
      <c r="F1071" s="64"/>
      <c r="G1071" s="149"/>
      <c r="H1071" s="148"/>
      <c r="I1071" s="97"/>
      <c r="J1071" s="97"/>
      <c r="K1071" s="97"/>
      <c r="L1071" s="97"/>
      <c r="M1071" s="97"/>
      <c r="N1071" s="97"/>
      <c r="O1071" s="97"/>
      <c r="P1071" s="97"/>
      <c r="Q1071" s="97"/>
      <c r="R1071" s="97"/>
      <c r="S1071" s="97"/>
      <c r="T1071" s="97"/>
      <c r="U1071" s="97"/>
      <c r="V1071" s="97"/>
      <c r="W1071" s="97"/>
      <c r="X1071" s="97"/>
      <c r="Y1071" s="97"/>
    </row>
    <row r="1072">
      <c r="A1072" s="5"/>
      <c r="B1072" s="64"/>
      <c r="C1072" s="64"/>
      <c r="D1072" s="64"/>
      <c r="E1072" s="64"/>
      <c r="F1072" s="64"/>
      <c r="G1072" s="149"/>
      <c r="H1072" s="148"/>
      <c r="I1072" s="97"/>
      <c r="J1072" s="97"/>
      <c r="K1072" s="97"/>
      <c r="L1072" s="97"/>
      <c r="M1072" s="97"/>
      <c r="N1072" s="97"/>
      <c r="O1072" s="97"/>
      <c r="P1072" s="97"/>
      <c r="Q1072" s="97"/>
      <c r="R1072" s="97"/>
      <c r="S1072" s="97"/>
      <c r="T1072" s="97"/>
      <c r="U1072" s="97"/>
      <c r="V1072" s="97"/>
      <c r="W1072" s="97"/>
      <c r="X1072" s="97"/>
      <c r="Y1072" s="97"/>
    </row>
    <row r="1073">
      <c r="A1073" s="5"/>
      <c r="B1073" s="64"/>
      <c r="C1073" s="64"/>
      <c r="D1073" s="64"/>
      <c r="E1073" s="64"/>
      <c r="F1073" s="64"/>
      <c r="G1073" s="149"/>
      <c r="H1073" s="148"/>
      <c r="I1073" s="97"/>
      <c r="J1073" s="97"/>
      <c r="K1073" s="97"/>
      <c r="L1073" s="97"/>
      <c r="M1073" s="97"/>
      <c r="N1073" s="97"/>
      <c r="O1073" s="97"/>
      <c r="P1073" s="97"/>
      <c r="Q1073" s="97"/>
      <c r="R1073" s="97"/>
      <c r="S1073" s="97"/>
      <c r="T1073" s="97"/>
      <c r="U1073" s="97"/>
      <c r="V1073" s="97"/>
      <c r="W1073" s="97"/>
      <c r="X1073" s="97"/>
      <c r="Y1073" s="97"/>
    </row>
    <row r="1074">
      <c r="A1074" s="5"/>
      <c r="B1074" s="64"/>
      <c r="C1074" s="64"/>
      <c r="D1074" s="64"/>
      <c r="E1074" s="64"/>
      <c r="F1074" s="64"/>
      <c r="G1074" s="149"/>
      <c r="H1074" s="148"/>
      <c r="I1074" s="97"/>
      <c r="J1074" s="97"/>
      <c r="K1074" s="97"/>
      <c r="L1074" s="97"/>
      <c r="M1074" s="97"/>
      <c r="N1074" s="97"/>
      <c r="O1074" s="97"/>
      <c r="P1074" s="97"/>
      <c r="Q1074" s="97"/>
      <c r="R1074" s="97"/>
      <c r="S1074" s="97"/>
      <c r="T1074" s="97"/>
      <c r="U1074" s="97"/>
      <c r="V1074" s="97"/>
      <c r="W1074" s="97"/>
      <c r="X1074" s="97"/>
      <c r="Y1074" s="97"/>
    </row>
    <row r="1075">
      <c r="A1075" s="5"/>
      <c r="B1075" s="64"/>
      <c r="C1075" s="64"/>
      <c r="D1075" s="64"/>
      <c r="E1075" s="64"/>
      <c r="F1075" s="64"/>
      <c r="G1075" s="149"/>
      <c r="H1075" s="148"/>
      <c r="I1075" s="97"/>
      <c r="J1075" s="97"/>
      <c r="K1075" s="97"/>
      <c r="L1075" s="97"/>
      <c r="M1075" s="97"/>
      <c r="N1075" s="97"/>
      <c r="O1075" s="97"/>
      <c r="P1075" s="97"/>
      <c r="Q1075" s="97"/>
      <c r="R1075" s="97"/>
      <c r="S1075" s="97"/>
      <c r="T1075" s="97"/>
      <c r="U1075" s="97"/>
      <c r="V1075" s="97"/>
      <c r="W1075" s="97"/>
      <c r="X1075" s="97"/>
      <c r="Y1075" s="97"/>
    </row>
    <row r="1076">
      <c r="A1076" s="5"/>
      <c r="B1076" s="64"/>
      <c r="C1076" s="64"/>
      <c r="D1076" s="64"/>
      <c r="E1076" s="64"/>
      <c r="F1076" s="64"/>
      <c r="G1076" s="149"/>
      <c r="H1076" s="148"/>
      <c r="I1076" s="97"/>
      <c r="J1076" s="97"/>
      <c r="K1076" s="97"/>
      <c r="L1076" s="97"/>
      <c r="M1076" s="97"/>
      <c r="N1076" s="97"/>
      <c r="O1076" s="97"/>
      <c r="P1076" s="97"/>
      <c r="Q1076" s="97"/>
      <c r="R1076" s="97"/>
      <c r="S1076" s="97"/>
      <c r="T1076" s="97"/>
      <c r="U1076" s="97"/>
      <c r="V1076" s="97"/>
      <c r="W1076" s="97"/>
      <c r="X1076" s="97"/>
      <c r="Y1076" s="97"/>
    </row>
    <row r="1077">
      <c r="A1077" s="5"/>
      <c r="B1077" s="64"/>
      <c r="C1077" s="64"/>
      <c r="D1077" s="64"/>
      <c r="E1077" s="64"/>
      <c r="F1077" s="64"/>
      <c r="G1077" s="149"/>
      <c r="H1077" s="148"/>
      <c r="I1077" s="97"/>
      <c r="J1077" s="97"/>
      <c r="K1077" s="97"/>
      <c r="L1077" s="97"/>
      <c r="M1077" s="97"/>
      <c r="N1077" s="97"/>
      <c r="O1077" s="97"/>
      <c r="P1077" s="97"/>
      <c r="Q1077" s="97"/>
      <c r="R1077" s="97"/>
      <c r="S1077" s="97"/>
      <c r="T1077" s="97"/>
      <c r="U1077" s="97"/>
      <c r="V1077" s="97"/>
      <c r="W1077" s="97"/>
      <c r="X1077" s="97"/>
      <c r="Y1077" s="97"/>
    </row>
    <row r="1078">
      <c r="A1078" s="5"/>
      <c r="B1078" s="64"/>
      <c r="C1078" s="64"/>
      <c r="D1078" s="64"/>
      <c r="E1078" s="64"/>
      <c r="F1078" s="64"/>
      <c r="G1078" s="149"/>
      <c r="H1078" s="148"/>
      <c r="I1078" s="97"/>
      <c r="J1078" s="97"/>
      <c r="K1078" s="97"/>
      <c r="L1078" s="97"/>
      <c r="M1078" s="97"/>
      <c r="N1078" s="97"/>
      <c r="O1078" s="97"/>
      <c r="P1078" s="97"/>
      <c r="Q1078" s="97"/>
      <c r="R1078" s="97"/>
      <c r="S1078" s="97"/>
      <c r="T1078" s="97"/>
      <c r="U1078" s="97"/>
      <c r="V1078" s="97"/>
      <c r="W1078" s="97"/>
      <c r="X1078" s="97"/>
      <c r="Y1078" s="97"/>
    </row>
    <row r="1079">
      <c r="A1079" s="5"/>
      <c r="B1079" s="64"/>
      <c r="C1079" s="64"/>
      <c r="D1079" s="64"/>
      <c r="E1079" s="64"/>
      <c r="F1079" s="64"/>
      <c r="G1079" s="149"/>
      <c r="H1079" s="148"/>
      <c r="I1079" s="97"/>
      <c r="J1079" s="97"/>
      <c r="K1079" s="97"/>
      <c r="L1079" s="97"/>
      <c r="M1079" s="97"/>
      <c r="N1079" s="97"/>
      <c r="O1079" s="97"/>
      <c r="P1079" s="97"/>
      <c r="Q1079" s="97"/>
      <c r="R1079" s="97"/>
      <c r="S1079" s="97"/>
      <c r="T1079" s="97"/>
      <c r="U1079" s="97"/>
      <c r="V1079" s="97"/>
      <c r="W1079" s="97"/>
      <c r="X1079" s="97"/>
      <c r="Y1079" s="97"/>
    </row>
    <row r="1080">
      <c r="A1080" s="5"/>
      <c r="B1080" s="64"/>
      <c r="C1080" s="64"/>
      <c r="D1080" s="64"/>
      <c r="E1080" s="64"/>
      <c r="F1080" s="64"/>
      <c r="G1080" s="149"/>
      <c r="H1080" s="148"/>
      <c r="I1080" s="97"/>
      <c r="J1080" s="97"/>
      <c r="K1080" s="97"/>
      <c r="L1080" s="97"/>
      <c r="M1080" s="97"/>
      <c r="N1080" s="97"/>
      <c r="O1080" s="97"/>
      <c r="P1080" s="97"/>
      <c r="Q1080" s="97"/>
      <c r="R1080" s="97"/>
      <c r="S1080" s="97"/>
      <c r="T1080" s="97"/>
      <c r="U1080" s="97"/>
      <c r="V1080" s="97"/>
      <c r="W1080" s="97"/>
      <c r="X1080" s="97"/>
      <c r="Y1080" s="97"/>
    </row>
    <row r="1081">
      <c r="A1081" s="5"/>
      <c r="B1081" s="64"/>
      <c r="C1081" s="64"/>
      <c r="D1081" s="64"/>
      <c r="E1081" s="64"/>
      <c r="F1081" s="64"/>
      <c r="G1081" s="149"/>
      <c r="H1081" s="148"/>
      <c r="I1081" s="97"/>
      <c r="J1081" s="97"/>
      <c r="K1081" s="97"/>
      <c r="L1081" s="97"/>
      <c r="M1081" s="97"/>
      <c r="N1081" s="97"/>
      <c r="O1081" s="97"/>
      <c r="P1081" s="97"/>
      <c r="Q1081" s="97"/>
      <c r="R1081" s="97"/>
      <c r="S1081" s="97"/>
      <c r="T1081" s="97"/>
      <c r="U1081" s="97"/>
      <c r="V1081" s="97"/>
      <c r="W1081" s="97"/>
      <c r="X1081" s="97"/>
      <c r="Y1081" s="97"/>
    </row>
    <row r="1082">
      <c r="A1082" s="5"/>
      <c r="B1082" s="64"/>
      <c r="C1082" s="64"/>
      <c r="D1082" s="64"/>
      <c r="E1082" s="64"/>
      <c r="F1082" s="64"/>
      <c r="G1082" s="149"/>
      <c r="H1082" s="148"/>
      <c r="I1082" s="97"/>
      <c r="J1082" s="97"/>
      <c r="K1082" s="97"/>
      <c r="L1082" s="97"/>
      <c r="M1082" s="97"/>
      <c r="N1082" s="97"/>
      <c r="O1082" s="97"/>
      <c r="P1082" s="97"/>
      <c r="Q1082" s="97"/>
      <c r="R1082" s="97"/>
      <c r="S1082" s="97"/>
      <c r="T1082" s="97"/>
      <c r="U1082" s="97"/>
      <c r="V1082" s="97"/>
      <c r="W1082" s="97"/>
      <c r="X1082" s="97"/>
      <c r="Y1082" s="97"/>
    </row>
    <row r="1083">
      <c r="A1083" s="5"/>
      <c r="B1083" s="64"/>
      <c r="C1083" s="64"/>
      <c r="D1083" s="64"/>
      <c r="E1083" s="64"/>
      <c r="F1083" s="64"/>
      <c r="G1083" s="149"/>
      <c r="H1083" s="148"/>
      <c r="I1083" s="97"/>
      <c r="J1083" s="97"/>
      <c r="K1083" s="97"/>
      <c r="L1083" s="97"/>
      <c r="M1083" s="97"/>
      <c r="N1083" s="97"/>
      <c r="O1083" s="97"/>
      <c r="P1083" s="97"/>
      <c r="Q1083" s="97"/>
      <c r="R1083" s="97"/>
      <c r="S1083" s="97"/>
      <c r="T1083" s="97"/>
      <c r="U1083" s="97"/>
      <c r="V1083" s="97"/>
      <c r="W1083" s="97"/>
      <c r="X1083" s="97"/>
      <c r="Y1083" s="97"/>
    </row>
    <row r="1084">
      <c r="A1084" s="5"/>
      <c r="B1084" s="64"/>
      <c r="C1084" s="64"/>
      <c r="D1084" s="64"/>
      <c r="E1084" s="64"/>
      <c r="F1084" s="64"/>
      <c r="G1084" s="149"/>
      <c r="H1084" s="148"/>
      <c r="I1084" s="97"/>
      <c r="J1084" s="97"/>
      <c r="K1084" s="97"/>
      <c r="L1084" s="97"/>
      <c r="M1084" s="97"/>
      <c r="N1084" s="97"/>
      <c r="O1084" s="97"/>
      <c r="P1084" s="97"/>
      <c r="Q1084" s="97"/>
      <c r="R1084" s="97"/>
      <c r="S1084" s="97"/>
      <c r="T1084" s="97"/>
      <c r="U1084" s="97"/>
      <c r="V1084" s="97"/>
      <c r="W1084" s="97"/>
      <c r="X1084" s="97"/>
      <c r="Y1084" s="97"/>
    </row>
    <row r="1085">
      <c r="A1085" s="5"/>
      <c r="B1085" s="64"/>
      <c r="C1085" s="64"/>
      <c r="D1085" s="64"/>
      <c r="E1085" s="64"/>
      <c r="F1085" s="64"/>
      <c r="G1085" s="149"/>
      <c r="H1085" s="148"/>
      <c r="I1085" s="97"/>
      <c r="J1085" s="97"/>
      <c r="K1085" s="97"/>
      <c r="L1085" s="97"/>
      <c r="M1085" s="97"/>
      <c r="N1085" s="97"/>
      <c r="O1085" s="97"/>
      <c r="P1085" s="97"/>
      <c r="Q1085" s="97"/>
      <c r="R1085" s="97"/>
      <c r="S1085" s="97"/>
      <c r="T1085" s="97"/>
      <c r="U1085" s="97"/>
      <c r="V1085" s="97"/>
      <c r="W1085" s="97"/>
      <c r="X1085" s="97"/>
      <c r="Y1085" s="97"/>
    </row>
    <row r="1086">
      <c r="A1086" s="5"/>
      <c r="B1086" s="64"/>
      <c r="C1086" s="64"/>
      <c r="D1086" s="64"/>
      <c r="E1086" s="64"/>
      <c r="F1086" s="64"/>
      <c r="G1086" s="149"/>
      <c r="H1086" s="148"/>
      <c r="I1086" s="97"/>
      <c r="J1086" s="97"/>
      <c r="K1086" s="97"/>
      <c r="L1086" s="97"/>
      <c r="M1086" s="97"/>
      <c r="N1086" s="97"/>
      <c r="O1086" s="97"/>
      <c r="P1086" s="97"/>
      <c r="Q1086" s="97"/>
      <c r="R1086" s="97"/>
      <c r="S1086" s="97"/>
      <c r="T1086" s="97"/>
      <c r="U1086" s="97"/>
      <c r="V1086" s="97"/>
      <c r="W1086" s="97"/>
      <c r="X1086" s="97"/>
      <c r="Y1086" s="97"/>
    </row>
    <row r="1087">
      <c r="A1087" s="5"/>
      <c r="B1087" s="64"/>
      <c r="C1087" s="64"/>
      <c r="D1087" s="64"/>
      <c r="E1087" s="64"/>
      <c r="F1087" s="64"/>
      <c r="G1087" s="149"/>
      <c r="H1087" s="148"/>
      <c r="I1087" s="97"/>
      <c r="J1087" s="97"/>
      <c r="K1087" s="97"/>
      <c r="L1087" s="97"/>
      <c r="M1087" s="97"/>
      <c r="N1087" s="97"/>
      <c r="O1087" s="97"/>
      <c r="P1087" s="97"/>
      <c r="Q1087" s="97"/>
      <c r="R1087" s="97"/>
      <c r="S1087" s="97"/>
      <c r="T1087" s="97"/>
      <c r="U1087" s="97"/>
      <c r="V1087" s="97"/>
      <c r="W1087" s="97"/>
      <c r="X1087" s="97"/>
      <c r="Y1087" s="97"/>
    </row>
    <row r="1088">
      <c r="A1088" s="5"/>
      <c r="B1088" s="64"/>
      <c r="C1088" s="64"/>
      <c r="D1088" s="64"/>
      <c r="E1088" s="64"/>
      <c r="F1088" s="64"/>
      <c r="G1088" s="149"/>
      <c r="H1088" s="148"/>
      <c r="I1088" s="97"/>
      <c r="J1088" s="97"/>
      <c r="K1088" s="97"/>
      <c r="L1088" s="97"/>
      <c r="M1088" s="97"/>
      <c r="N1088" s="97"/>
      <c r="O1088" s="97"/>
      <c r="P1088" s="97"/>
      <c r="Q1088" s="97"/>
      <c r="R1088" s="97"/>
      <c r="S1088" s="97"/>
      <c r="T1088" s="97"/>
      <c r="U1088" s="97"/>
      <c r="V1088" s="97"/>
      <c r="W1088" s="97"/>
      <c r="X1088" s="97"/>
      <c r="Y1088" s="97"/>
    </row>
    <row r="1089">
      <c r="A1089" s="5"/>
      <c r="B1089" s="64"/>
      <c r="C1089" s="64"/>
      <c r="D1089" s="64"/>
      <c r="E1089" s="64"/>
      <c r="F1089" s="64"/>
      <c r="G1089" s="149"/>
      <c r="H1089" s="148"/>
      <c r="I1089" s="97"/>
      <c r="J1089" s="97"/>
      <c r="K1089" s="97"/>
      <c r="L1089" s="97"/>
      <c r="M1089" s="97"/>
      <c r="N1089" s="97"/>
      <c r="O1089" s="97"/>
      <c r="P1089" s="97"/>
      <c r="Q1089" s="97"/>
      <c r="R1089" s="97"/>
      <c r="S1089" s="97"/>
      <c r="T1089" s="97"/>
      <c r="U1089" s="97"/>
      <c r="V1089" s="97"/>
      <c r="W1089" s="97"/>
      <c r="X1089" s="97"/>
      <c r="Y1089" s="97"/>
    </row>
    <row r="1090">
      <c r="A1090" s="5"/>
      <c r="B1090" s="64"/>
      <c r="C1090" s="64"/>
      <c r="D1090" s="64"/>
      <c r="E1090" s="64"/>
      <c r="F1090" s="64"/>
      <c r="G1090" s="149"/>
      <c r="H1090" s="148"/>
      <c r="I1090" s="97"/>
      <c r="J1090" s="97"/>
      <c r="K1090" s="97"/>
      <c r="L1090" s="97"/>
      <c r="M1090" s="97"/>
      <c r="N1090" s="97"/>
      <c r="O1090" s="97"/>
      <c r="P1090" s="97"/>
      <c r="Q1090" s="97"/>
      <c r="R1090" s="97"/>
      <c r="S1090" s="97"/>
      <c r="T1090" s="97"/>
      <c r="U1090" s="97"/>
      <c r="V1090" s="97"/>
      <c r="W1090" s="97"/>
      <c r="X1090" s="97"/>
      <c r="Y1090" s="97"/>
    </row>
    <row r="1091">
      <c r="A1091" s="5"/>
      <c r="B1091" s="64"/>
      <c r="C1091" s="64"/>
      <c r="D1091" s="64"/>
      <c r="E1091" s="64"/>
      <c r="F1091" s="64"/>
      <c r="G1091" s="149"/>
      <c r="H1091" s="148"/>
      <c r="I1091" s="97"/>
      <c r="J1091" s="97"/>
      <c r="K1091" s="97"/>
      <c r="L1091" s="97"/>
      <c r="M1091" s="97"/>
      <c r="N1091" s="97"/>
      <c r="O1091" s="97"/>
      <c r="P1091" s="97"/>
      <c r="Q1091" s="97"/>
      <c r="R1091" s="97"/>
      <c r="S1091" s="97"/>
      <c r="T1091" s="97"/>
      <c r="U1091" s="97"/>
      <c r="V1091" s="97"/>
      <c r="W1091" s="97"/>
      <c r="X1091" s="97"/>
      <c r="Y1091" s="97"/>
    </row>
    <row r="1092">
      <c r="A1092" s="5"/>
      <c r="B1092" s="64"/>
      <c r="C1092" s="64"/>
      <c r="D1092" s="64"/>
      <c r="E1092" s="64"/>
      <c r="F1092" s="64"/>
      <c r="G1092" s="149"/>
      <c r="H1092" s="148"/>
      <c r="I1092" s="97"/>
      <c r="J1092" s="97"/>
      <c r="K1092" s="97"/>
      <c r="L1092" s="97"/>
      <c r="M1092" s="97"/>
      <c r="N1092" s="97"/>
      <c r="O1092" s="97"/>
      <c r="P1092" s="97"/>
      <c r="Q1092" s="97"/>
      <c r="R1092" s="97"/>
      <c r="S1092" s="97"/>
      <c r="T1092" s="97"/>
      <c r="U1092" s="97"/>
      <c r="V1092" s="97"/>
      <c r="W1092" s="97"/>
      <c r="X1092" s="97"/>
      <c r="Y1092" s="97"/>
    </row>
    <row r="1093">
      <c r="A1093" s="5"/>
      <c r="B1093" s="64"/>
      <c r="C1093" s="64"/>
      <c r="D1093" s="64"/>
      <c r="E1093" s="64"/>
      <c r="F1093" s="64"/>
      <c r="G1093" s="149"/>
      <c r="H1093" s="148"/>
      <c r="I1093" s="97"/>
      <c r="J1093" s="97"/>
      <c r="K1093" s="97"/>
      <c r="L1093" s="97"/>
      <c r="M1093" s="97"/>
      <c r="N1093" s="97"/>
      <c r="O1093" s="97"/>
      <c r="P1093" s="97"/>
      <c r="Q1093" s="97"/>
      <c r="R1093" s="97"/>
      <c r="S1093" s="97"/>
      <c r="T1093" s="97"/>
      <c r="U1093" s="97"/>
      <c r="V1093" s="97"/>
      <c r="W1093" s="97"/>
      <c r="X1093" s="97"/>
      <c r="Y1093" s="97"/>
    </row>
    <row r="1094">
      <c r="A1094" s="5"/>
      <c r="B1094" s="64"/>
      <c r="C1094" s="64"/>
      <c r="D1094" s="64"/>
      <c r="E1094" s="64"/>
      <c r="F1094" s="64"/>
      <c r="G1094" s="149"/>
      <c r="H1094" s="148"/>
      <c r="I1094" s="97"/>
      <c r="J1094" s="97"/>
      <c r="K1094" s="97"/>
      <c r="L1094" s="97"/>
      <c r="M1094" s="97"/>
      <c r="N1094" s="97"/>
      <c r="O1094" s="97"/>
      <c r="P1094" s="97"/>
      <c r="Q1094" s="97"/>
      <c r="R1094" s="97"/>
      <c r="S1094" s="97"/>
      <c r="T1094" s="97"/>
      <c r="U1094" s="97"/>
      <c r="V1094" s="97"/>
      <c r="W1094" s="97"/>
      <c r="X1094" s="97"/>
      <c r="Y1094" s="97"/>
    </row>
    <row r="1095">
      <c r="A1095" s="5"/>
      <c r="B1095" s="64"/>
      <c r="C1095" s="64"/>
      <c r="D1095" s="64"/>
      <c r="E1095" s="64"/>
      <c r="F1095" s="64"/>
      <c r="G1095" s="149"/>
      <c r="H1095" s="148"/>
      <c r="I1095" s="97"/>
      <c r="J1095" s="97"/>
      <c r="K1095" s="97"/>
      <c r="L1095" s="97"/>
      <c r="M1095" s="97"/>
      <c r="N1095" s="97"/>
      <c r="O1095" s="97"/>
      <c r="P1095" s="97"/>
      <c r="Q1095" s="97"/>
      <c r="R1095" s="97"/>
      <c r="S1095" s="97"/>
      <c r="T1095" s="97"/>
      <c r="U1095" s="97"/>
      <c r="V1095" s="97"/>
      <c r="W1095" s="97"/>
      <c r="X1095" s="97"/>
      <c r="Y1095" s="97"/>
    </row>
    <row r="1096">
      <c r="A1096" s="5"/>
      <c r="B1096" s="64"/>
      <c r="C1096" s="64"/>
      <c r="D1096" s="64"/>
      <c r="E1096" s="64"/>
      <c r="F1096" s="64"/>
      <c r="G1096" s="149"/>
      <c r="H1096" s="148"/>
      <c r="I1096" s="97"/>
      <c r="J1096" s="97"/>
      <c r="K1096" s="97"/>
      <c r="L1096" s="97"/>
      <c r="M1096" s="97"/>
      <c r="N1096" s="97"/>
      <c r="O1096" s="97"/>
      <c r="P1096" s="97"/>
      <c r="Q1096" s="97"/>
      <c r="R1096" s="97"/>
      <c r="S1096" s="97"/>
      <c r="T1096" s="97"/>
      <c r="U1096" s="97"/>
      <c r="V1096" s="97"/>
      <c r="W1096" s="97"/>
      <c r="X1096" s="97"/>
      <c r="Y1096" s="97"/>
    </row>
    <row r="1097">
      <c r="A1097" s="5"/>
      <c r="B1097" s="64"/>
      <c r="C1097" s="64"/>
      <c r="D1097" s="64"/>
      <c r="E1097" s="64"/>
      <c r="F1097" s="64"/>
      <c r="G1097" s="149"/>
      <c r="H1097" s="148"/>
      <c r="I1097" s="97"/>
      <c r="J1097" s="97"/>
      <c r="K1097" s="97"/>
      <c r="L1097" s="97"/>
      <c r="M1097" s="97"/>
      <c r="N1097" s="97"/>
      <c r="O1097" s="97"/>
      <c r="P1097" s="97"/>
      <c r="Q1097" s="97"/>
      <c r="R1097" s="97"/>
      <c r="S1097" s="97"/>
      <c r="T1097" s="97"/>
      <c r="U1097" s="97"/>
      <c r="V1097" s="97"/>
      <c r="W1097" s="97"/>
      <c r="X1097" s="97"/>
      <c r="Y1097" s="97"/>
    </row>
    <row r="1098">
      <c r="A1098" s="5"/>
      <c r="B1098" s="64"/>
      <c r="C1098" s="64"/>
      <c r="D1098" s="64"/>
      <c r="E1098" s="64"/>
      <c r="F1098" s="64"/>
      <c r="G1098" s="149"/>
      <c r="H1098" s="148"/>
      <c r="I1098" s="97"/>
      <c r="J1098" s="97"/>
      <c r="K1098" s="97"/>
      <c r="L1098" s="97"/>
      <c r="M1098" s="97"/>
      <c r="N1098" s="97"/>
      <c r="O1098" s="97"/>
      <c r="P1098" s="97"/>
      <c r="Q1098" s="97"/>
      <c r="R1098" s="97"/>
      <c r="S1098" s="97"/>
      <c r="T1098" s="97"/>
      <c r="U1098" s="97"/>
      <c r="V1098" s="97"/>
      <c r="W1098" s="97"/>
      <c r="X1098" s="97"/>
      <c r="Y1098" s="97"/>
    </row>
    <row r="1099">
      <c r="A1099" s="5"/>
      <c r="B1099" s="64"/>
      <c r="C1099" s="64"/>
      <c r="D1099" s="64"/>
      <c r="E1099" s="64"/>
      <c r="F1099" s="64"/>
      <c r="G1099" s="149"/>
      <c r="H1099" s="148"/>
      <c r="I1099" s="97"/>
      <c r="J1099" s="97"/>
      <c r="K1099" s="97"/>
      <c r="L1099" s="97"/>
      <c r="M1099" s="97"/>
      <c r="N1099" s="97"/>
      <c r="O1099" s="97"/>
      <c r="P1099" s="97"/>
      <c r="Q1099" s="97"/>
      <c r="R1099" s="97"/>
      <c r="S1099" s="97"/>
      <c r="T1099" s="97"/>
      <c r="U1099" s="97"/>
      <c r="V1099" s="97"/>
      <c r="W1099" s="97"/>
      <c r="X1099" s="97"/>
      <c r="Y1099" s="97"/>
    </row>
    <row r="1100">
      <c r="A1100" s="5"/>
      <c r="B1100" s="64"/>
      <c r="C1100" s="64"/>
      <c r="D1100" s="64"/>
      <c r="E1100" s="64"/>
      <c r="F1100" s="64"/>
      <c r="G1100" s="149"/>
      <c r="H1100" s="148"/>
      <c r="I1100" s="97"/>
      <c r="J1100" s="97"/>
      <c r="K1100" s="97"/>
      <c r="L1100" s="97"/>
      <c r="M1100" s="97"/>
      <c r="N1100" s="97"/>
      <c r="O1100" s="97"/>
      <c r="P1100" s="97"/>
      <c r="Q1100" s="97"/>
      <c r="R1100" s="97"/>
      <c r="S1100" s="97"/>
      <c r="T1100" s="97"/>
      <c r="U1100" s="97"/>
      <c r="V1100" s="97"/>
      <c r="W1100" s="97"/>
      <c r="X1100" s="97"/>
      <c r="Y1100" s="97"/>
    </row>
    <row r="1101">
      <c r="A1101" s="5"/>
      <c r="B1101" s="64"/>
      <c r="C1101" s="64"/>
      <c r="D1101" s="64"/>
      <c r="E1101" s="64"/>
      <c r="F1101" s="64"/>
      <c r="G1101" s="149"/>
      <c r="H1101" s="148"/>
      <c r="I1101" s="97"/>
      <c r="J1101" s="97"/>
      <c r="K1101" s="97"/>
      <c r="L1101" s="97"/>
      <c r="M1101" s="97"/>
      <c r="N1101" s="97"/>
      <c r="O1101" s="97"/>
      <c r="P1101" s="97"/>
      <c r="Q1101" s="97"/>
      <c r="R1101" s="97"/>
      <c r="S1101" s="97"/>
      <c r="T1101" s="97"/>
      <c r="U1101" s="97"/>
      <c r="V1101" s="97"/>
      <c r="W1101" s="97"/>
      <c r="X1101" s="97"/>
      <c r="Y1101" s="97"/>
    </row>
    <row r="1102">
      <c r="A1102" s="5"/>
      <c r="B1102" s="64"/>
      <c r="C1102" s="64"/>
      <c r="D1102" s="64"/>
      <c r="E1102" s="64"/>
      <c r="F1102" s="64"/>
      <c r="G1102" s="149"/>
      <c r="H1102" s="148"/>
      <c r="I1102" s="97"/>
      <c r="J1102" s="97"/>
      <c r="K1102" s="97"/>
      <c r="L1102" s="97"/>
      <c r="M1102" s="97"/>
      <c r="N1102" s="97"/>
      <c r="O1102" s="97"/>
      <c r="P1102" s="97"/>
      <c r="Q1102" s="97"/>
      <c r="R1102" s="97"/>
      <c r="S1102" s="97"/>
      <c r="T1102" s="97"/>
      <c r="U1102" s="97"/>
      <c r="V1102" s="97"/>
      <c r="W1102" s="97"/>
      <c r="X1102" s="97"/>
      <c r="Y1102" s="97"/>
    </row>
    <row r="1103">
      <c r="A1103" s="5"/>
      <c r="B1103" s="64"/>
      <c r="C1103" s="64"/>
      <c r="D1103" s="64"/>
      <c r="E1103" s="64"/>
      <c r="F1103" s="64"/>
      <c r="G1103" s="149"/>
      <c r="H1103" s="148"/>
      <c r="I1103" s="97"/>
      <c r="J1103" s="97"/>
      <c r="K1103" s="97"/>
      <c r="L1103" s="97"/>
      <c r="M1103" s="97"/>
      <c r="N1103" s="97"/>
      <c r="O1103" s="97"/>
      <c r="P1103" s="97"/>
      <c r="Q1103" s="97"/>
      <c r="R1103" s="97"/>
      <c r="S1103" s="97"/>
      <c r="T1103" s="97"/>
      <c r="U1103" s="97"/>
      <c r="V1103" s="97"/>
      <c r="W1103" s="97"/>
      <c r="X1103" s="97"/>
      <c r="Y1103" s="97"/>
    </row>
    <row r="1104">
      <c r="A1104" s="5"/>
      <c r="B1104" s="64"/>
      <c r="C1104" s="64"/>
      <c r="D1104" s="64"/>
      <c r="E1104" s="64"/>
      <c r="F1104" s="64"/>
      <c r="G1104" s="149"/>
      <c r="H1104" s="148"/>
      <c r="I1104" s="97"/>
      <c r="J1104" s="97"/>
      <c r="K1104" s="97"/>
      <c r="L1104" s="97"/>
      <c r="M1104" s="97"/>
      <c r="N1104" s="97"/>
      <c r="O1104" s="97"/>
      <c r="P1104" s="97"/>
      <c r="Q1104" s="97"/>
      <c r="R1104" s="97"/>
      <c r="S1104" s="97"/>
      <c r="T1104" s="97"/>
      <c r="U1104" s="97"/>
      <c r="V1104" s="97"/>
      <c r="W1104" s="97"/>
      <c r="X1104" s="97"/>
      <c r="Y1104" s="97"/>
    </row>
    <row r="1105">
      <c r="A1105" s="5"/>
      <c r="B1105" s="64"/>
      <c r="C1105" s="64"/>
      <c r="D1105" s="64"/>
      <c r="E1105" s="64"/>
      <c r="F1105" s="64"/>
      <c r="G1105" s="149"/>
      <c r="H1105" s="148"/>
      <c r="I1105" s="97"/>
      <c r="J1105" s="97"/>
      <c r="K1105" s="97"/>
      <c r="L1105" s="97"/>
      <c r="M1105" s="97"/>
      <c r="N1105" s="97"/>
      <c r="O1105" s="97"/>
      <c r="P1105" s="97"/>
      <c r="Q1105" s="97"/>
      <c r="R1105" s="97"/>
      <c r="S1105" s="97"/>
      <c r="T1105" s="97"/>
      <c r="U1105" s="97"/>
      <c r="V1105" s="97"/>
      <c r="W1105" s="97"/>
      <c r="X1105" s="97"/>
      <c r="Y1105" s="97"/>
    </row>
    <row r="1106">
      <c r="A1106" s="5"/>
      <c r="B1106" s="64"/>
      <c r="C1106" s="64"/>
      <c r="D1106" s="64"/>
      <c r="E1106" s="64"/>
      <c r="F1106" s="64"/>
      <c r="G1106" s="149"/>
      <c r="H1106" s="148"/>
      <c r="I1106" s="97"/>
      <c r="J1106" s="97"/>
      <c r="K1106" s="97"/>
      <c r="L1106" s="97"/>
      <c r="M1106" s="97"/>
      <c r="N1106" s="97"/>
      <c r="O1106" s="97"/>
      <c r="P1106" s="97"/>
      <c r="Q1106" s="97"/>
      <c r="R1106" s="97"/>
      <c r="S1106" s="97"/>
      <c r="T1106" s="97"/>
      <c r="U1106" s="97"/>
      <c r="V1106" s="97"/>
      <c r="W1106" s="97"/>
      <c r="X1106" s="97"/>
      <c r="Y1106" s="97"/>
    </row>
    <row r="1107">
      <c r="A1107" s="5"/>
      <c r="B1107" s="64"/>
      <c r="C1107" s="64"/>
      <c r="D1107" s="64"/>
      <c r="E1107" s="64"/>
      <c r="F1107" s="64"/>
      <c r="G1107" s="149"/>
      <c r="H1107" s="148"/>
      <c r="I1107" s="97"/>
      <c r="J1107" s="97"/>
      <c r="K1107" s="97"/>
      <c r="L1107" s="97"/>
      <c r="M1107" s="97"/>
      <c r="N1107" s="97"/>
      <c r="O1107" s="97"/>
      <c r="P1107" s="97"/>
      <c r="Q1107" s="97"/>
      <c r="R1107" s="97"/>
      <c r="S1107" s="97"/>
      <c r="T1107" s="97"/>
      <c r="U1107" s="97"/>
      <c r="V1107" s="97"/>
      <c r="W1107" s="97"/>
      <c r="X1107" s="97"/>
      <c r="Y1107" s="97"/>
    </row>
    <row r="1108">
      <c r="A1108" s="5"/>
      <c r="B1108" s="64"/>
      <c r="C1108" s="64"/>
      <c r="D1108" s="64"/>
      <c r="E1108" s="64"/>
      <c r="F1108" s="64"/>
      <c r="G1108" s="149"/>
      <c r="H1108" s="148"/>
      <c r="I1108" s="97"/>
      <c r="J1108" s="97"/>
      <c r="K1108" s="97"/>
      <c r="L1108" s="97"/>
      <c r="M1108" s="97"/>
      <c r="N1108" s="97"/>
      <c r="O1108" s="97"/>
      <c r="P1108" s="97"/>
      <c r="Q1108" s="97"/>
      <c r="R1108" s="97"/>
      <c r="S1108" s="97"/>
      <c r="T1108" s="97"/>
      <c r="U1108" s="97"/>
      <c r="V1108" s="97"/>
      <c r="W1108" s="97"/>
      <c r="X1108" s="97"/>
      <c r="Y1108" s="97"/>
    </row>
    <row r="1109">
      <c r="A1109" s="5"/>
      <c r="B1109" s="64"/>
      <c r="C1109" s="64"/>
      <c r="D1109" s="64"/>
      <c r="E1109" s="64"/>
      <c r="F1109" s="64"/>
      <c r="G1109" s="149"/>
      <c r="H1109" s="148"/>
      <c r="I1109" s="97"/>
      <c r="J1109" s="97"/>
      <c r="K1109" s="97"/>
      <c r="L1109" s="97"/>
      <c r="M1109" s="97"/>
      <c r="N1109" s="97"/>
      <c r="O1109" s="97"/>
      <c r="P1109" s="97"/>
      <c r="Q1109" s="97"/>
      <c r="R1109" s="97"/>
      <c r="S1109" s="97"/>
      <c r="T1109" s="97"/>
      <c r="U1109" s="97"/>
      <c r="V1109" s="97"/>
      <c r="W1109" s="97"/>
      <c r="X1109" s="97"/>
      <c r="Y1109" s="97"/>
    </row>
    <row r="1110">
      <c r="A1110" s="5"/>
      <c r="B1110" s="64"/>
      <c r="C1110" s="64"/>
      <c r="D1110" s="64"/>
      <c r="E1110" s="64"/>
      <c r="F1110" s="64"/>
      <c r="G1110" s="149"/>
      <c r="H1110" s="148"/>
      <c r="I1110" s="97"/>
      <c r="J1110" s="97"/>
      <c r="K1110" s="97"/>
      <c r="L1110" s="97"/>
      <c r="M1110" s="97"/>
      <c r="N1110" s="97"/>
      <c r="O1110" s="97"/>
      <c r="P1110" s="97"/>
      <c r="Q1110" s="97"/>
      <c r="R1110" s="97"/>
      <c r="S1110" s="97"/>
      <c r="T1110" s="97"/>
      <c r="U1110" s="97"/>
      <c r="V1110" s="97"/>
      <c r="W1110" s="97"/>
      <c r="X1110" s="97"/>
      <c r="Y1110" s="97"/>
    </row>
    <row r="1111">
      <c r="A1111" s="5"/>
      <c r="B1111" s="64"/>
      <c r="C1111" s="64"/>
      <c r="D1111" s="64"/>
      <c r="E1111" s="64"/>
      <c r="F1111" s="64"/>
      <c r="G1111" s="149"/>
      <c r="H1111" s="148"/>
      <c r="I1111" s="97"/>
      <c r="J1111" s="97"/>
      <c r="K1111" s="97"/>
      <c r="L1111" s="97"/>
      <c r="M1111" s="97"/>
      <c r="N1111" s="97"/>
      <c r="O1111" s="97"/>
      <c r="P1111" s="97"/>
      <c r="Q1111" s="97"/>
      <c r="R1111" s="97"/>
      <c r="S1111" s="97"/>
      <c r="T1111" s="97"/>
      <c r="U1111" s="97"/>
      <c r="V1111" s="97"/>
      <c r="W1111" s="97"/>
      <c r="X1111" s="97"/>
      <c r="Y1111" s="97"/>
    </row>
    <row r="1112">
      <c r="A1112" s="5"/>
      <c r="B1112" s="64"/>
      <c r="C1112" s="64"/>
      <c r="D1112" s="64"/>
      <c r="E1112" s="64"/>
      <c r="F1112" s="64"/>
      <c r="G1112" s="149"/>
      <c r="H1112" s="148"/>
      <c r="I1112" s="97"/>
      <c r="J1112" s="97"/>
      <c r="K1112" s="97"/>
      <c r="L1112" s="97"/>
      <c r="M1112" s="97"/>
      <c r="N1112" s="97"/>
      <c r="O1112" s="97"/>
      <c r="P1112" s="97"/>
      <c r="Q1112" s="97"/>
      <c r="R1112" s="97"/>
      <c r="S1112" s="97"/>
      <c r="T1112" s="97"/>
      <c r="U1112" s="97"/>
      <c r="V1112" s="97"/>
      <c r="W1112" s="97"/>
      <c r="X1112" s="97"/>
      <c r="Y1112" s="97"/>
    </row>
    <row r="1113">
      <c r="A1113" s="5"/>
      <c r="B1113" s="64"/>
      <c r="C1113" s="64"/>
      <c r="D1113" s="64"/>
      <c r="E1113" s="64"/>
      <c r="F1113" s="64"/>
      <c r="G1113" s="149"/>
      <c r="H1113" s="148"/>
      <c r="I1113" s="97"/>
      <c r="J1113" s="97"/>
      <c r="K1113" s="97"/>
      <c r="L1113" s="97"/>
      <c r="M1113" s="97"/>
      <c r="N1113" s="97"/>
      <c r="O1113" s="97"/>
      <c r="P1113" s="97"/>
      <c r="Q1113" s="97"/>
      <c r="R1113" s="97"/>
      <c r="S1113" s="97"/>
      <c r="T1113" s="97"/>
      <c r="U1113" s="97"/>
      <c r="V1113" s="97"/>
      <c r="W1113" s="97"/>
      <c r="X1113" s="97"/>
      <c r="Y1113" s="97"/>
    </row>
    <row r="1114">
      <c r="A1114" s="5"/>
      <c r="B1114" s="64"/>
      <c r="C1114" s="64"/>
      <c r="D1114" s="64"/>
      <c r="E1114" s="64"/>
      <c r="F1114" s="64"/>
      <c r="G1114" s="149"/>
      <c r="H1114" s="148"/>
      <c r="I1114" s="97"/>
      <c r="J1114" s="97"/>
      <c r="K1114" s="97"/>
      <c r="L1114" s="97"/>
      <c r="M1114" s="97"/>
      <c r="N1114" s="97"/>
      <c r="O1114" s="97"/>
      <c r="P1114" s="97"/>
      <c r="Q1114" s="97"/>
      <c r="R1114" s="97"/>
      <c r="S1114" s="97"/>
      <c r="T1114" s="97"/>
      <c r="U1114" s="97"/>
      <c r="V1114" s="97"/>
      <c r="W1114" s="97"/>
      <c r="X1114" s="97"/>
      <c r="Y1114" s="97"/>
    </row>
    <row r="1115">
      <c r="A1115" s="5"/>
      <c r="B1115" s="64"/>
      <c r="C1115" s="64"/>
      <c r="D1115" s="64"/>
      <c r="E1115" s="64"/>
      <c r="F1115" s="64"/>
      <c r="G1115" s="149"/>
      <c r="H1115" s="148"/>
      <c r="I1115" s="97"/>
      <c r="J1115" s="97"/>
      <c r="K1115" s="97"/>
      <c r="L1115" s="97"/>
      <c r="M1115" s="97"/>
      <c r="N1115" s="97"/>
      <c r="O1115" s="97"/>
      <c r="P1115" s="97"/>
      <c r="Q1115" s="97"/>
      <c r="R1115" s="97"/>
      <c r="S1115" s="97"/>
      <c r="T1115" s="97"/>
      <c r="U1115" s="97"/>
      <c r="V1115" s="97"/>
      <c r="W1115" s="97"/>
      <c r="X1115" s="97"/>
      <c r="Y1115" s="97"/>
    </row>
    <row r="1116">
      <c r="A1116" s="5"/>
      <c r="B1116" s="64"/>
      <c r="C1116" s="64"/>
      <c r="D1116" s="64"/>
      <c r="E1116" s="64"/>
      <c r="F1116" s="64"/>
      <c r="G1116" s="149"/>
      <c r="H1116" s="148"/>
      <c r="I1116" s="97"/>
      <c r="J1116" s="97"/>
      <c r="K1116" s="97"/>
      <c r="L1116" s="97"/>
      <c r="M1116" s="97"/>
      <c r="N1116" s="97"/>
      <c r="O1116" s="97"/>
      <c r="P1116" s="97"/>
      <c r="Q1116" s="97"/>
      <c r="R1116" s="97"/>
      <c r="S1116" s="97"/>
      <c r="T1116" s="97"/>
      <c r="U1116" s="97"/>
      <c r="V1116" s="97"/>
      <c r="W1116" s="97"/>
      <c r="X1116" s="97"/>
      <c r="Y1116" s="97"/>
    </row>
    <row r="1117">
      <c r="A1117" s="5"/>
      <c r="B1117" s="64"/>
      <c r="C1117" s="64"/>
      <c r="D1117" s="64"/>
      <c r="E1117" s="64"/>
      <c r="F1117" s="64"/>
      <c r="G1117" s="149"/>
      <c r="H1117" s="148"/>
      <c r="I1117" s="97"/>
      <c r="J1117" s="97"/>
      <c r="K1117" s="97"/>
      <c r="L1117" s="97"/>
      <c r="M1117" s="97"/>
      <c r="N1117" s="97"/>
      <c r="O1117" s="97"/>
      <c r="P1117" s="97"/>
      <c r="Q1117" s="97"/>
      <c r="R1117" s="97"/>
      <c r="S1117" s="97"/>
      <c r="T1117" s="97"/>
      <c r="U1117" s="97"/>
      <c r="V1117" s="97"/>
      <c r="W1117" s="97"/>
      <c r="X1117" s="97"/>
      <c r="Y1117" s="97"/>
    </row>
    <row r="1118">
      <c r="A1118" s="5"/>
      <c r="B1118" s="64"/>
      <c r="C1118" s="64"/>
      <c r="D1118" s="64"/>
      <c r="E1118" s="64"/>
      <c r="F1118" s="64"/>
      <c r="G1118" s="149"/>
      <c r="H1118" s="148"/>
      <c r="I1118" s="97"/>
      <c r="J1118" s="97"/>
      <c r="K1118" s="97"/>
      <c r="L1118" s="97"/>
      <c r="M1118" s="97"/>
      <c r="N1118" s="97"/>
      <c r="O1118" s="97"/>
      <c r="P1118" s="97"/>
      <c r="Q1118" s="97"/>
      <c r="R1118" s="97"/>
      <c r="S1118" s="97"/>
      <c r="T1118" s="97"/>
      <c r="U1118" s="97"/>
      <c r="V1118" s="97"/>
      <c r="W1118" s="97"/>
      <c r="X1118" s="97"/>
      <c r="Y1118" s="97"/>
    </row>
    <row r="1119">
      <c r="A1119" s="5"/>
      <c r="B1119" s="64"/>
      <c r="C1119" s="64"/>
      <c r="D1119" s="64"/>
      <c r="E1119" s="64"/>
      <c r="F1119" s="64"/>
      <c r="G1119" s="149"/>
      <c r="H1119" s="148"/>
      <c r="I1119" s="97"/>
      <c r="J1119" s="97"/>
      <c r="K1119" s="97"/>
      <c r="L1119" s="97"/>
      <c r="M1119" s="97"/>
      <c r="N1119" s="97"/>
      <c r="O1119" s="97"/>
      <c r="P1119" s="97"/>
      <c r="Q1119" s="97"/>
      <c r="R1119" s="97"/>
      <c r="S1119" s="97"/>
      <c r="T1119" s="97"/>
      <c r="U1119" s="97"/>
      <c r="V1119" s="97"/>
      <c r="W1119" s="97"/>
      <c r="X1119" s="97"/>
      <c r="Y1119" s="97"/>
    </row>
    <row r="1120">
      <c r="A1120" s="5"/>
      <c r="B1120" s="64"/>
      <c r="C1120" s="64"/>
      <c r="D1120" s="64"/>
      <c r="E1120" s="64"/>
      <c r="F1120" s="64"/>
      <c r="G1120" s="149"/>
      <c r="H1120" s="148"/>
      <c r="I1120" s="97"/>
      <c r="J1120" s="97"/>
      <c r="K1120" s="97"/>
      <c r="L1120" s="97"/>
      <c r="M1120" s="97"/>
      <c r="N1120" s="97"/>
      <c r="O1120" s="97"/>
      <c r="P1120" s="97"/>
      <c r="Q1120" s="97"/>
      <c r="R1120" s="97"/>
      <c r="S1120" s="97"/>
      <c r="T1120" s="97"/>
      <c r="U1120" s="97"/>
      <c r="V1120" s="97"/>
      <c r="W1120" s="97"/>
      <c r="X1120" s="97"/>
      <c r="Y1120" s="97"/>
    </row>
    <row r="1121">
      <c r="A1121" s="5"/>
      <c r="B1121" s="64"/>
      <c r="C1121" s="64"/>
      <c r="D1121" s="64"/>
      <c r="E1121" s="64"/>
      <c r="F1121" s="64"/>
      <c r="G1121" s="149"/>
      <c r="H1121" s="148"/>
      <c r="I1121" s="97"/>
      <c r="J1121" s="97"/>
      <c r="K1121" s="97"/>
      <c r="L1121" s="97"/>
      <c r="M1121" s="97"/>
      <c r="N1121" s="97"/>
      <c r="O1121" s="97"/>
      <c r="P1121" s="97"/>
      <c r="Q1121" s="97"/>
      <c r="R1121" s="97"/>
      <c r="S1121" s="97"/>
      <c r="T1121" s="97"/>
      <c r="U1121" s="97"/>
      <c r="V1121" s="97"/>
      <c r="W1121" s="97"/>
      <c r="X1121" s="97"/>
      <c r="Y1121" s="97"/>
    </row>
    <row r="1122">
      <c r="A1122" s="5"/>
      <c r="B1122" s="64"/>
      <c r="C1122" s="64"/>
      <c r="D1122" s="64"/>
      <c r="E1122" s="64"/>
      <c r="F1122" s="64"/>
      <c r="G1122" s="149"/>
      <c r="H1122" s="148"/>
      <c r="I1122" s="97"/>
      <c r="J1122" s="97"/>
      <c r="K1122" s="97"/>
      <c r="L1122" s="97"/>
      <c r="M1122" s="97"/>
      <c r="N1122" s="97"/>
      <c r="O1122" s="97"/>
      <c r="P1122" s="97"/>
      <c r="Q1122" s="97"/>
      <c r="R1122" s="97"/>
      <c r="S1122" s="97"/>
      <c r="T1122" s="97"/>
      <c r="U1122" s="97"/>
      <c r="V1122" s="97"/>
      <c r="W1122" s="97"/>
      <c r="X1122" s="97"/>
      <c r="Y1122" s="97"/>
    </row>
    <row r="1123">
      <c r="A1123" s="5"/>
      <c r="B1123" s="64"/>
      <c r="C1123" s="64"/>
      <c r="D1123" s="64"/>
      <c r="E1123" s="64"/>
      <c r="F1123" s="64"/>
      <c r="G1123" s="149"/>
      <c r="H1123" s="148"/>
      <c r="I1123" s="97"/>
      <c r="J1123" s="97"/>
      <c r="K1123" s="97"/>
      <c r="L1123" s="97"/>
      <c r="M1123" s="97"/>
      <c r="N1123" s="97"/>
      <c r="O1123" s="97"/>
      <c r="P1123" s="97"/>
      <c r="Q1123" s="97"/>
      <c r="R1123" s="97"/>
      <c r="S1123" s="97"/>
      <c r="T1123" s="97"/>
      <c r="U1123" s="97"/>
      <c r="V1123" s="97"/>
      <c r="W1123" s="97"/>
      <c r="X1123" s="97"/>
      <c r="Y1123" s="97"/>
    </row>
    <row r="1124">
      <c r="A1124" s="5"/>
      <c r="B1124" s="64"/>
      <c r="C1124" s="64"/>
      <c r="D1124" s="64"/>
      <c r="E1124" s="64"/>
      <c r="F1124" s="64"/>
      <c r="G1124" s="149"/>
      <c r="H1124" s="148"/>
      <c r="I1124" s="97"/>
      <c r="J1124" s="97"/>
      <c r="K1124" s="97"/>
      <c r="L1124" s="97"/>
      <c r="M1124" s="97"/>
      <c r="N1124" s="97"/>
      <c r="O1124" s="97"/>
      <c r="P1124" s="97"/>
      <c r="Q1124" s="97"/>
      <c r="R1124" s="97"/>
      <c r="S1124" s="97"/>
      <c r="T1124" s="97"/>
      <c r="U1124" s="97"/>
      <c r="V1124" s="97"/>
      <c r="W1124" s="97"/>
      <c r="X1124" s="97"/>
      <c r="Y1124" s="97"/>
    </row>
    <row r="1125">
      <c r="A1125" s="5"/>
      <c r="B1125" s="64"/>
      <c r="C1125" s="64"/>
      <c r="D1125" s="64"/>
      <c r="E1125" s="64"/>
      <c r="F1125" s="64"/>
      <c r="G1125" s="149"/>
      <c r="H1125" s="150"/>
      <c r="I1125" s="97"/>
      <c r="J1125" s="97"/>
      <c r="K1125" s="97"/>
      <c r="L1125" s="97"/>
      <c r="M1125" s="97"/>
      <c r="N1125" s="97"/>
      <c r="O1125" s="97"/>
      <c r="P1125" s="97"/>
      <c r="Q1125" s="97"/>
      <c r="R1125" s="97"/>
      <c r="S1125" s="97"/>
      <c r="T1125" s="97"/>
      <c r="U1125" s="97"/>
      <c r="V1125" s="97"/>
      <c r="W1125" s="97"/>
      <c r="X1125" s="97"/>
      <c r="Y1125" s="97"/>
    </row>
    <row r="1126">
      <c r="A1126" s="5"/>
      <c r="B1126" s="64"/>
      <c r="C1126" s="64"/>
      <c r="D1126" s="64"/>
      <c r="E1126" s="64"/>
      <c r="F1126" s="64"/>
      <c r="G1126" s="149"/>
      <c r="H1126" s="150"/>
      <c r="I1126" s="97"/>
      <c r="J1126" s="97"/>
      <c r="K1126" s="97"/>
      <c r="L1126" s="97"/>
      <c r="M1126" s="97"/>
      <c r="N1126" s="97"/>
      <c r="O1126" s="97"/>
      <c r="P1126" s="97"/>
      <c r="Q1126" s="97"/>
      <c r="R1126" s="97"/>
      <c r="S1126" s="97"/>
      <c r="T1126" s="97"/>
      <c r="U1126" s="97"/>
      <c r="V1126" s="97"/>
      <c r="W1126" s="97"/>
      <c r="X1126" s="97"/>
      <c r="Y1126" s="97"/>
    </row>
    <row r="1127">
      <c r="A1127" s="5"/>
      <c r="B1127" s="64"/>
      <c r="C1127" s="64"/>
      <c r="D1127" s="64"/>
      <c r="E1127" s="64"/>
      <c r="F1127" s="64"/>
      <c r="G1127" s="149"/>
      <c r="H1127" s="150"/>
      <c r="I1127" s="97"/>
      <c r="J1127" s="97"/>
      <c r="K1127" s="97"/>
      <c r="L1127" s="97"/>
      <c r="M1127" s="97"/>
      <c r="N1127" s="97"/>
      <c r="O1127" s="97"/>
      <c r="P1127" s="97"/>
      <c r="Q1127" s="97"/>
      <c r="R1127" s="97"/>
      <c r="S1127" s="97"/>
      <c r="T1127" s="97"/>
      <c r="U1127" s="97"/>
      <c r="V1127" s="97"/>
      <c r="W1127" s="97"/>
      <c r="X1127" s="97"/>
      <c r="Y1127" s="97"/>
    </row>
    <row r="1128">
      <c r="A1128" s="5"/>
      <c r="B1128" s="64"/>
      <c r="C1128" s="64"/>
      <c r="D1128" s="64"/>
      <c r="E1128" s="64"/>
      <c r="F1128" s="64"/>
      <c r="G1128" s="149"/>
      <c r="H1128" s="150"/>
      <c r="I1128" s="97"/>
      <c r="J1128" s="97"/>
      <c r="K1128" s="97"/>
      <c r="L1128" s="97"/>
      <c r="M1128" s="97"/>
      <c r="N1128" s="97"/>
      <c r="O1128" s="97"/>
      <c r="P1128" s="97"/>
      <c r="Q1128" s="97"/>
      <c r="R1128" s="97"/>
      <c r="S1128" s="97"/>
      <c r="T1128" s="97"/>
      <c r="U1128" s="97"/>
      <c r="V1128" s="97"/>
      <c r="W1128" s="97"/>
      <c r="X1128" s="97"/>
      <c r="Y1128" s="97"/>
    </row>
    <row r="1129">
      <c r="A1129" s="5"/>
      <c r="B1129" s="64"/>
      <c r="C1129" s="64"/>
      <c r="D1129" s="64"/>
      <c r="E1129" s="64"/>
      <c r="F1129" s="64"/>
      <c r="G1129" s="149"/>
      <c r="H1129" s="150"/>
      <c r="I1129" s="97"/>
      <c r="J1129" s="97"/>
      <c r="K1129" s="97"/>
      <c r="L1129" s="97"/>
      <c r="M1129" s="97"/>
      <c r="N1129" s="97"/>
      <c r="O1129" s="97"/>
      <c r="P1129" s="97"/>
      <c r="Q1129" s="97"/>
      <c r="R1129" s="97"/>
      <c r="S1129" s="97"/>
      <c r="T1129" s="97"/>
      <c r="U1129" s="97"/>
      <c r="V1129" s="97"/>
      <c r="W1129" s="97"/>
      <c r="X1129" s="97"/>
      <c r="Y1129" s="97"/>
    </row>
    <row r="1130">
      <c r="A1130" s="5"/>
      <c r="B1130" s="64"/>
      <c r="C1130" s="64"/>
      <c r="D1130" s="64"/>
      <c r="E1130" s="64"/>
      <c r="F1130" s="64"/>
      <c r="G1130" s="149"/>
      <c r="H1130" s="150"/>
      <c r="I1130" s="97"/>
      <c r="J1130" s="97"/>
      <c r="K1130" s="97"/>
      <c r="L1130" s="97"/>
      <c r="M1130" s="97"/>
      <c r="N1130" s="97"/>
      <c r="O1130" s="97"/>
      <c r="P1130" s="97"/>
      <c r="Q1130" s="97"/>
      <c r="R1130" s="97"/>
      <c r="S1130" s="97"/>
      <c r="T1130" s="97"/>
      <c r="U1130" s="97"/>
      <c r="V1130" s="97"/>
      <c r="W1130" s="97"/>
      <c r="X1130" s="97"/>
      <c r="Y1130" s="97"/>
    </row>
    <row r="1131">
      <c r="A1131" s="5"/>
      <c r="B1131" s="64"/>
      <c r="C1131" s="64"/>
      <c r="D1131" s="64"/>
      <c r="E1131" s="64"/>
      <c r="F1131" s="64"/>
      <c r="G1131" s="149"/>
      <c r="H1131" s="150"/>
      <c r="I1131" s="97"/>
      <c r="J1131" s="97"/>
      <c r="K1131" s="97"/>
      <c r="L1131" s="97"/>
      <c r="M1131" s="97"/>
      <c r="N1131" s="97"/>
      <c r="O1131" s="97"/>
      <c r="P1131" s="97"/>
      <c r="Q1131" s="97"/>
      <c r="R1131" s="97"/>
      <c r="S1131" s="97"/>
      <c r="T1131" s="97"/>
      <c r="U1131" s="97"/>
      <c r="V1131" s="97"/>
      <c r="W1131" s="97"/>
      <c r="X1131" s="97"/>
      <c r="Y1131" s="97"/>
    </row>
    <row r="1132">
      <c r="A1132" s="5"/>
      <c r="B1132" s="64"/>
      <c r="C1132" s="64"/>
      <c r="D1132" s="64"/>
      <c r="E1132" s="64"/>
      <c r="F1132" s="64"/>
      <c r="G1132" s="149"/>
      <c r="H1132" s="150"/>
      <c r="I1132" s="97"/>
      <c r="J1132" s="97"/>
      <c r="K1132" s="97"/>
      <c r="L1132" s="97"/>
      <c r="M1132" s="97"/>
      <c r="N1132" s="97"/>
      <c r="O1132" s="97"/>
      <c r="P1132" s="97"/>
      <c r="Q1132" s="97"/>
      <c r="R1132" s="97"/>
      <c r="S1132" s="97"/>
      <c r="T1132" s="97"/>
      <c r="U1132" s="97"/>
      <c r="V1132" s="97"/>
      <c r="W1132" s="97"/>
      <c r="X1132" s="97"/>
      <c r="Y1132" s="97"/>
    </row>
    <row r="1133">
      <c r="A1133" s="5"/>
      <c r="B1133" s="64"/>
      <c r="C1133" s="64"/>
      <c r="D1133" s="64"/>
      <c r="E1133" s="64"/>
      <c r="F1133" s="64"/>
      <c r="G1133" s="149"/>
      <c r="H1133" s="150"/>
      <c r="I1133" s="97"/>
      <c r="J1133" s="97"/>
      <c r="K1133" s="97"/>
      <c r="L1133" s="97"/>
      <c r="M1133" s="97"/>
      <c r="N1133" s="97"/>
      <c r="O1133" s="97"/>
      <c r="P1133" s="97"/>
      <c r="Q1133" s="97"/>
      <c r="R1133" s="97"/>
      <c r="S1133" s="97"/>
      <c r="T1133" s="97"/>
      <c r="U1133" s="97"/>
      <c r="V1133" s="97"/>
      <c r="W1133" s="97"/>
      <c r="X1133" s="97"/>
      <c r="Y1133" s="97"/>
    </row>
    <row r="1134">
      <c r="A1134" s="5"/>
      <c r="B1134" s="64"/>
      <c r="C1134" s="64"/>
      <c r="D1134" s="64"/>
      <c r="E1134" s="64"/>
      <c r="F1134" s="64"/>
      <c r="G1134" s="149"/>
      <c r="H1134" s="150"/>
      <c r="I1134" s="97"/>
      <c r="J1134" s="97"/>
      <c r="K1134" s="97"/>
      <c r="L1134" s="97"/>
      <c r="M1134" s="97"/>
      <c r="N1134" s="97"/>
      <c r="O1134" s="97"/>
      <c r="P1134" s="97"/>
      <c r="Q1134" s="97"/>
      <c r="R1134" s="97"/>
      <c r="S1134" s="97"/>
      <c r="T1134" s="97"/>
      <c r="U1134" s="97"/>
      <c r="V1134" s="97"/>
      <c r="W1134" s="97"/>
      <c r="X1134" s="97"/>
      <c r="Y1134" s="97"/>
    </row>
    <row r="1135">
      <c r="A1135" s="5"/>
      <c r="B1135" s="64"/>
      <c r="C1135" s="64"/>
      <c r="D1135" s="64"/>
      <c r="E1135" s="64"/>
      <c r="F1135" s="64"/>
      <c r="G1135" s="149"/>
      <c r="H1135" s="150"/>
      <c r="I1135" s="97"/>
      <c r="J1135" s="97"/>
      <c r="K1135" s="97"/>
      <c r="L1135" s="97"/>
      <c r="M1135" s="97"/>
      <c r="N1135" s="97"/>
      <c r="O1135" s="97"/>
      <c r="P1135" s="97"/>
      <c r="Q1135" s="97"/>
      <c r="R1135" s="97"/>
      <c r="S1135" s="97"/>
      <c r="T1135" s="97"/>
      <c r="U1135" s="97"/>
      <c r="V1135" s="97"/>
      <c r="W1135" s="97"/>
      <c r="X1135" s="97"/>
      <c r="Y1135" s="97"/>
    </row>
    <row r="1136">
      <c r="A1136" s="5"/>
      <c r="B1136" s="64"/>
      <c r="C1136" s="64"/>
      <c r="D1136" s="64"/>
      <c r="E1136" s="64"/>
      <c r="F1136" s="64"/>
      <c r="G1136" s="149"/>
      <c r="H1136" s="150"/>
      <c r="I1136" s="97"/>
      <c r="J1136" s="97"/>
      <c r="K1136" s="97"/>
      <c r="L1136" s="97"/>
      <c r="M1136" s="97"/>
      <c r="N1136" s="97"/>
      <c r="O1136" s="97"/>
      <c r="P1136" s="97"/>
      <c r="Q1136" s="97"/>
      <c r="R1136" s="97"/>
      <c r="S1136" s="97"/>
      <c r="T1136" s="97"/>
      <c r="U1136" s="97"/>
      <c r="V1136" s="97"/>
      <c r="W1136" s="97"/>
      <c r="X1136" s="97"/>
      <c r="Y1136" s="97"/>
    </row>
    <row r="1137">
      <c r="A1137" s="5"/>
      <c r="B1137" s="64"/>
      <c r="C1137" s="64"/>
      <c r="D1137" s="64"/>
      <c r="E1137" s="64"/>
      <c r="F1137" s="64"/>
      <c r="G1137" s="149"/>
      <c r="H1137" s="150"/>
      <c r="I1137" s="97"/>
      <c r="J1137" s="97"/>
      <c r="K1137" s="97"/>
      <c r="L1137" s="97"/>
      <c r="M1137" s="97"/>
      <c r="N1137" s="97"/>
      <c r="O1137" s="97"/>
      <c r="P1137" s="97"/>
      <c r="Q1137" s="97"/>
      <c r="R1137" s="97"/>
      <c r="S1137" s="97"/>
      <c r="T1137" s="97"/>
      <c r="U1137" s="97"/>
      <c r="V1137" s="97"/>
      <c r="W1137" s="97"/>
      <c r="X1137" s="97"/>
      <c r="Y1137" s="97"/>
    </row>
    <row r="1138">
      <c r="A1138" s="5"/>
      <c r="B1138" s="64"/>
      <c r="C1138" s="64"/>
      <c r="D1138" s="64"/>
      <c r="E1138" s="64"/>
      <c r="F1138" s="64"/>
      <c r="G1138" s="149"/>
      <c r="H1138" s="150"/>
      <c r="I1138" s="97"/>
      <c r="J1138" s="97"/>
      <c r="K1138" s="97"/>
      <c r="L1138" s="97"/>
      <c r="M1138" s="97"/>
      <c r="N1138" s="97"/>
      <c r="O1138" s="97"/>
      <c r="P1138" s="97"/>
      <c r="Q1138" s="97"/>
      <c r="R1138" s="97"/>
      <c r="S1138" s="97"/>
      <c r="T1138" s="97"/>
      <c r="U1138" s="97"/>
      <c r="V1138" s="97"/>
      <c r="W1138" s="97"/>
      <c r="X1138" s="97"/>
      <c r="Y1138" s="97"/>
    </row>
    <row r="1139">
      <c r="A1139" s="5"/>
      <c r="B1139" s="64"/>
      <c r="C1139" s="64"/>
      <c r="D1139" s="64"/>
      <c r="E1139" s="64"/>
      <c r="F1139" s="64"/>
      <c r="G1139" s="149"/>
      <c r="H1139" s="150"/>
      <c r="I1139" s="97"/>
      <c r="J1139" s="97"/>
      <c r="K1139" s="97"/>
      <c r="L1139" s="97"/>
      <c r="M1139" s="97"/>
      <c r="N1139" s="97"/>
      <c r="O1139" s="97"/>
      <c r="P1139" s="97"/>
      <c r="Q1139" s="97"/>
      <c r="R1139" s="97"/>
      <c r="S1139" s="97"/>
      <c r="T1139" s="97"/>
      <c r="U1139" s="97"/>
      <c r="V1139" s="97"/>
      <c r="W1139" s="97"/>
      <c r="X1139" s="97"/>
      <c r="Y1139" s="97"/>
    </row>
    <row r="1140">
      <c r="A1140" s="5"/>
      <c r="B1140" s="64"/>
      <c r="C1140" s="64"/>
      <c r="D1140" s="64"/>
      <c r="E1140" s="64"/>
      <c r="F1140" s="64"/>
      <c r="G1140" s="149"/>
      <c r="H1140" s="150"/>
      <c r="I1140" s="97"/>
      <c r="J1140" s="97"/>
      <c r="K1140" s="97"/>
      <c r="L1140" s="97"/>
      <c r="M1140" s="97"/>
      <c r="N1140" s="97"/>
      <c r="O1140" s="97"/>
      <c r="P1140" s="97"/>
      <c r="Q1140" s="97"/>
      <c r="R1140" s="97"/>
      <c r="S1140" s="97"/>
      <c r="T1140" s="97"/>
      <c r="U1140" s="97"/>
      <c r="V1140" s="97"/>
      <c r="W1140" s="97"/>
      <c r="X1140" s="97"/>
      <c r="Y1140" s="97"/>
    </row>
    <row r="1141">
      <c r="A1141" s="5"/>
      <c r="B1141" s="64"/>
      <c r="C1141" s="64"/>
      <c r="D1141" s="64"/>
      <c r="E1141" s="64"/>
      <c r="F1141" s="64"/>
      <c r="G1141" s="149"/>
      <c r="H1141" s="150"/>
      <c r="I1141" s="97"/>
      <c r="J1141" s="97"/>
      <c r="K1141" s="97"/>
      <c r="L1141" s="97"/>
      <c r="M1141" s="97"/>
      <c r="N1141" s="97"/>
      <c r="O1141" s="97"/>
      <c r="P1141" s="97"/>
      <c r="Q1141" s="97"/>
      <c r="R1141" s="97"/>
      <c r="S1141" s="97"/>
      <c r="T1141" s="97"/>
      <c r="U1141" s="97"/>
      <c r="V1141" s="97"/>
      <c r="W1141" s="97"/>
      <c r="X1141" s="97"/>
      <c r="Y1141" s="97"/>
    </row>
    <row r="1142">
      <c r="A1142" s="5"/>
      <c r="B1142" s="64"/>
      <c r="C1142" s="64"/>
      <c r="D1142" s="64"/>
      <c r="E1142" s="64"/>
      <c r="F1142" s="64"/>
      <c r="G1142" s="149"/>
      <c r="H1142" s="150"/>
      <c r="I1142" s="97"/>
      <c r="J1142" s="97"/>
      <c r="K1142" s="97"/>
      <c r="L1142" s="97"/>
      <c r="M1142" s="97"/>
      <c r="N1142" s="97"/>
      <c r="O1142" s="97"/>
      <c r="P1142" s="97"/>
      <c r="Q1142" s="97"/>
      <c r="R1142" s="97"/>
      <c r="S1142" s="97"/>
      <c r="T1142" s="97"/>
      <c r="U1142" s="97"/>
      <c r="V1142" s="97"/>
      <c r="W1142" s="97"/>
      <c r="X1142" s="97"/>
      <c r="Y1142" s="97"/>
    </row>
    <row r="1143">
      <c r="A1143" s="5"/>
      <c r="B1143" s="64"/>
      <c r="C1143" s="64"/>
      <c r="D1143" s="64"/>
      <c r="E1143" s="64"/>
      <c r="F1143" s="64"/>
      <c r="G1143" s="149"/>
      <c r="H1143" s="150"/>
      <c r="I1143" s="97"/>
      <c r="J1143" s="97"/>
      <c r="K1143" s="97"/>
      <c r="L1143" s="97"/>
      <c r="M1143" s="97"/>
      <c r="N1143" s="97"/>
      <c r="O1143" s="97"/>
      <c r="P1143" s="97"/>
      <c r="Q1143" s="97"/>
      <c r="R1143" s="97"/>
      <c r="S1143" s="97"/>
      <c r="T1143" s="97"/>
      <c r="U1143" s="97"/>
      <c r="V1143" s="97"/>
      <c r="W1143" s="97"/>
      <c r="X1143" s="97"/>
      <c r="Y1143" s="97"/>
    </row>
    <row r="1144">
      <c r="A1144" s="5"/>
      <c r="B1144" s="64"/>
      <c r="C1144" s="64"/>
      <c r="D1144" s="64"/>
      <c r="E1144" s="64"/>
      <c r="F1144" s="64"/>
      <c r="G1144" s="149"/>
      <c r="H1144" s="150"/>
      <c r="I1144" s="97"/>
      <c r="J1144" s="97"/>
      <c r="K1144" s="97"/>
      <c r="L1144" s="97"/>
      <c r="M1144" s="97"/>
      <c r="N1144" s="97"/>
      <c r="O1144" s="97"/>
      <c r="P1144" s="97"/>
      <c r="Q1144" s="97"/>
      <c r="R1144" s="97"/>
      <c r="S1144" s="97"/>
      <c r="T1144" s="97"/>
      <c r="U1144" s="97"/>
      <c r="V1144" s="97"/>
      <c r="W1144" s="97"/>
      <c r="X1144" s="97"/>
      <c r="Y1144" s="97"/>
    </row>
    <row r="1145">
      <c r="A1145" s="5"/>
      <c r="B1145" s="64"/>
      <c r="C1145" s="64"/>
      <c r="D1145" s="64"/>
      <c r="E1145" s="64"/>
      <c r="F1145" s="64"/>
      <c r="G1145" s="149"/>
      <c r="H1145" s="150"/>
      <c r="I1145" s="97"/>
      <c r="J1145" s="97"/>
      <c r="K1145" s="97"/>
      <c r="L1145" s="97"/>
      <c r="M1145" s="97"/>
      <c r="N1145" s="97"/>
      <c r="O1145" s="97"/>
      <c r="P1145" s="97"/>
      <c r="Q1145" s="97"/>
      <c r="R1145" s="97"/>
      <c r="S1145" s="97"/>
      <c r="T1145" s="97"/>
      <c r="U1145" s="97"/>
      <c r="V1145" s="97"/>
      <c r="W1145" s="97"/>
      <c r="X1145" s="97"/>
      <c r="Y1145" s="97"/>
    </row>
    <row r="1146">
      <c r="A1146" s="5"/>
      <c r="B1146" s="64"/>
      <c r="C1146" s="64"/>
      <c r="D1146" s="64"/>
      <c r="E1146" s="64"/>
      <c r="F1146" s="64"/>
      <c r="G1146" s="149"/>
      <c r="H1146" s="150"/>
      <c r="I1146" s="97"/>
      <c r="J1146" s="97"/>
      <c r="K1146" s="97"/>
      <c r="L1146" s="97"/>
      <c r="M1146" s="97"/>
      <c r="N1146" s="97"/>
      <c r="O1146" s="97"/>
      <c r="P1146" s="97"/>
      <c r="Q1146" s="97"/>
      <c r="R1146" s="97"/>
      <c r="S1146" s="97"/>
      <c r="T1146" s="97"/>
      <c r="U1146" s="97"/>
      <c r="V1146" s="97"/>
      <c r="W1146" s="97"/>
      <c r="X1146" s="97"/>
      <c r="Y1146" s="97"/>
    </row>
    <row r="1147">
      <c r="A1147" s="5"/>
      <c r="B1147" s="64"/>
      <c r="C1147" s="64"/>
      <c r="D1147" s="64"/>
      <c r="E1147" s="64"/>
      <c r="F1147" s="64"/>
      <c r="G1147" s="149"/>
      <c r="H1147" s="150"/>
      <c r="I1147" s="97"/>
      <c r="J1147" s="97"/>
      <c r="K1147" s="97"/>
      <c r="L1147" s="97"/>
      <c r="M1147" s="97"/>
      <c r="N1147" s="97"/>
      <c r="O1147" s="97"/>
      <c r="P1147" s="97"/>
      <c r="Q1147" s="97"/>
      <c r="R1147" s="97"/>
      <c r="S1147" s="97"/>
      <c r="T1147" s="97"/>
      <c r="U1147" s="97"/>
      <c r="V1147" s="97"/>
      <c r="W1147" s="97"/>
      <c r="X1147" s="97"/>
      <c r="Y1147" s="97"/>
    </row>
    <row r="1148">
      <c r="A1148" s="5"/>
      <c r="B1148" s="64"/>
      <c r="C1148" s="64"/>
      <c r="D1148" s="64"/>
      <c r="E1148" s="64"/>
      <c r="F1148" s="64"/>
      <c r="G1148" s="149"/>
      <c r="H1148" s="150"/>
      <c r="I1148" s="97"/>
      <c r="J1148" s="97"/>
      <c r="K1148" s="97"/>
      <c r="L1148" s="97"/>
      <c r="M1148" s="97"/>
      <c r="N1148" s="97"/>
      <c r="O1148" s="97"/>
      <c r="P1148" s="97"/>
      <c r="Q1148" s="97"/>
      <c r="R1148" s="97"/>
      <c r="S1148" s="97"/>
      <c r="T1148" s="97"/>
      <c r="U1148" s="97"/>
      <c r="V1148" s="97"/>
      <c r="W1148" s="97"/>
      <c r="X1148" s="97"/>
      <c r="Y1148" s="97"/>
    </row>
    <row r="1149">
      <c r="A1149" s="5"/>
      <c r="B1149" s="64"/>
      <c r="C1149" s="64"/>
      <c r="D1149" s="64"/>
      <c r="E1149" s="64"/>
      <c r="F1149" s="64"/>
      <c r="G1149" s="149"/>
      <c r="H1149" s="150"/>
      <c r="I1149" s="97"/>
      <c r="J1149" s="97"/>
      <c r="K1149" s="97"/>
      <c r="L1149" s="97"/>
      <c r="M1149" s="97"/>
      <c r="N1149" s="97"/>
      <c r="O1149" s="97"/>
      <c r="P1149" s="97"/>
      <c r="Q1149" s="97"/>
      <c r="R1149" s="97"/>
      <c r="S1149" s="97"/>
      <c r="T1149" s="97"/>
      <c r="U1149" s="97"/>
      <c r="V1149" s="97"/>
      <c r="W1149" s="97"/>
      <c r="X1149" s="97"/>
      <c r="Y1149" s="97"/>
    </row>
    <row r="1150">
      <c r="A1150" s="5"/>
      <c r="B1150" s="64"/>
      <c r="C1150" s="64"/>
      <c r="D1150" s="64"/>
      <c r="E1150" s="64"/>
      <c r="F1150" s="64"/>
      <c r="G1150" s="149"/>
      <c r="H1150" s="150"/>
      <c r="I1150" s="97"/>
      <c r="J1150" s="97"/>
      <c r="K1150" s="97"/>
      <c r="L1150" s="97"/>
      <c r="M1150" s="97"/>
      <c r="N1150" s="97"/>
      <c r="O1150" s="97"/>
      <c r="P1150" s="97"/>
      <c r="Q1150" s="97"/>
      <c r="R1150" s="97"/>
      <c r="S1150" s="97"/>
      <c r="T1150" s="97"/>
      <c r="U1150" s="97"/>
      <c r="V1150" s="97"/>
      <c r="W1150" s="97"/>
      <c r="X1150" s="97"/>
      <c r="Y1150" s="97"/>
    </row>
    <row r="1151">
      <c r="A1151" s="5"/>
      <c r="B1151" s="64"/>
      <c r="C1151" s="64"/>
      <c r="D1151" s="64"/>
      <c r="E1151" s="64"/>
      <c r="F1151" s="64"/>
      <c r="G1151" s="149"/>
      <c r="H1151" s="150"/>
      <c r="I1151" s="97"/>
      <c r="J1151" s="97"/>
      <c r="K1151" s="97"/>
      <c r="L1151" s="97"/>
      <c r="M1151" s="97"/>
      <c r="N1151" s="97"/>
      <c r="O1151" s="97"/>
      <c r="P1151" s="97"/>
      <c r="Q1151" s="97"/>
      <c r="R1151" s="97"/>
      <c r="S1151" s="97"/>
      <c r="T1151" s="97"/>
      <c r="U1151" s="97"/>
      <c r="V1151" s="97"/>
      <c r="W1151" s="97"/>
      <c r="X1151" s="97"/>
      <c r="Y1151" s="97"/>
    </row>
    <row r="1152">
      <c r="A1152" s="5"/>
      <c r="B1152" s="64"/>
      <c r="C1152" s="64"/>
      <c r="D1152" s="64"/>
      <c r="E1152" s="64"/>
      <c r="F1152" s="64"/>
      <c r="G1152" s="149"/>
      <c r="H1152" s="150"/>
      <c r="I1152" s="97"/>
      <c r="J1152" s="97"/>
      <c r="K1152" s="97"/>
      <c r="L1152" s="97"/>
      <c r="M1152" s="97"/>
      <c r="N1152" s="97"/>
      <c r="O1152" s="97"/>
      <c r="P1152" s="97"/>
      <c r="Q1152" s="97"/>
      <c r="R1152" s="97"/>
      <c r="S1152" s="97"/>
      <c r="T1152" s="97"/>
      <c r="U1152" s="97"/>
      <c r="V1152" s="97"/>
      <c r="W1152" s="97"/>
      <c r="X1152" s="97"/>
      <c r="Y1152" s="97"/>
    </row>
    <row r="1153">
      <c r="A1153" s="5"/>
      <c r="B1153" s="64"/>
      <c r="C1153" s="64"/>
      <c r="D1153" s="64"/>
      <c r="E1153" s="64"/>
      <c r="F1153" s="64"/>
      <c r="G1153" s="149"/>
      <c r="H1153" s="150"/>
      <c r="I1153" s="97"/>
      <c r="J1153" s="97"/>
      <c r="K1153" s="97"/>
      <c r="L1153" s="97"/>
      <c r="M1153" s="97"/>
      <c r="N1153" s="97"/>
      <c r="O1153" s="97"/>
      <c r="P1153" s="97"/>
      <c r="Q1153" s="97"/>
      <c r="R1153" s="97"/>
      <c r="S1153" s="97"/>
      <c r="T1153" s="97"/>
      <c r="U1153" s="97"/>
      <c r="V1153" s="97"/>
      <c r="W1153" s="97"/>
      <c r="X1153" s="97"/>
      <c r="Y1153" s="97"/>
    </row>
    <row r="1154">
      <c r="A1154" s="5"/>
      <c r="B1154" s="64"/>
      <c r="C1154" s="64"/>
      <c r="D1154" s="64"/>
      <c r="E1154" s="64"/>
      <c r="F1154" s="64"/>
      <c r="G1154" s="149"/>
      <c r="H1154" s="150"/>
      <c r="I1154" s="97"/>
      <c r="J1154" s="97"/>
      <c r="K1154" s="97"/>
      <c r="L1154" s="97"/>
      <c r="M1154" s="97"/>
      <c r="N1154" s="97"/>
      <c r="O1154" s="97"/>
      <c r="P1154" s="97"/>
      <c r="Q1154" s="97"/>
      <c r="R1154" s="97"/>
      <c r="S1154" s="97"/>
      <c r="T1154" s="97"/>
      <c r="U1154" s="97"/>
      <c r="V1154" s="97"/>
      <c r="W1154" s="97"/>
      <c r="X1154" s="97"/>
      <c r="Y1154" s="97"/>
    </row>
    <row r="1155">
      <c r="A1155" s="5"/>
      <c r="B1155" s="64"/>
      <c r="C1155" s="64"/>
      <c r="D1155" s="64"/>
      <c r="E1155" s="64"/>
      <c r="F1155" s="64"/>
      <c r="G1155" s="149"/>
      <c r="H1155" s="150"/>
      <c r="I1155" s="97"/>
      <c r="J1155" s="97"/>
      <c r="K1155" s="97"/>
      <c r="L1155" s="97"/>
      <c r="M1155" s="97"/>
      <c r="N1155" s="97"/>
      <c r="O1155" s="97"/>
      <c r="P1155" s="97"/>
      <c r="Q1155" s="97"/>
      <c r="R1155" s="97"/>
      <c r="S1155" s="97"/>
      <c r="T1155" s="97"/>
      <c r="U1155" s="97"/>
      <c r="V1155" s="97"/>
      <c r="W1155" s="97"/>
      <c r="X1155" s="97"/>
      <c r="Y1155" s="97"/>
    </row>
    <row r="1156">
      <c r="A1156" s="5"/>
      <c r="B1156" s="64"/>
      <c r="C1156" s="64"/>
      <c r="D1156" s="64"/>
      <c r="E1156" s="64"/>
      <c r="F1156" s="64"/>
      <c r="G1156" s="149"/>
      <c r="H1156" s="150"/>
      <c r="I1156" s="97"/>
      <c r="J1156" s="97"/>
      <c r="K1156" s="97"/>
      <c r="L1156" s="97"/>
      <c r="M1156" s="97"/>
      <c r="N1156" s="97"/>
      <c r="O1156" s="97"/>
      <c r="P1156" s="97"/>
      <c r="Q1156" s="97"/>
      <c r="R1156" s="97"/>
      <c r="S1156" s="97"/>
      <c r="T1156" s="97"/>
      <c r="U1156" s="97"/>
      <c r="V1156" s="97"/>
      <c r="W1156" s="97"/>
      <c r="X1156" s="97"/>
      <c r="Y1156" s="97"/>
    </row>
    <row r="1157">
      <c r="A1157" s="5"/>
      <c r="B1157" s="64"/>
      <c r="C1157" s="64"/>
      <c r="D1157" s="64"/>
      <c r="E1157" s="64"/>
      <c r="F1157" s="64"/>
      <c r="G1157" s="149"/>
      <c r="H1157" s="150"/>
      <c r="I1157" s="97"/>
      <c r="J1157" s="97"/>
      <c r="K1157" s="97"/>
      <c r="L1157" s="97"/>
      <c r="M1157" s="97"/>
      <c r="N1157" s="97"/>
      <c r="O1157" s="97"/>
      <c r="P1157" s="97"/>
      <c r="Q1157" s="97"/>
      <c r="R1157" s="97"/>
      <c r="S1157" s="97"/>
      <c r="T1157" s="97"/>
      <c r="U1157" s="97"/>
      <c r="V1157" s="97"/>
      <c r="W1157" s="97"/>
      <c r="X1157" s="97"/>
      <c r="Y1157" s="97"/>
    </row>
    <row r="1158">
      <c r="A1158" s="5"/>
      <c r="B1158" s="64"/>
      <c r="C1158" s="64"/>
      <c r="D1158" s="64"/>
      <c r="E1158" s="64"/>
      <c r="F1158" s="64"/>
      <c r="G1158" s="149"/>
      <c r="H1158" s="150"/>
      <c r="I1158" s="97"/>
      <c r="J1158" s="97"/>
      <c r="K1158" s="97"/>
      <c r="L1158" s="97"/>
      <c r="M1158" s="97"/>
      <c r="N1158" s="97"/>
      <c r="O1158" s="97"/>
      <c r="P1158" s="97"/>
      <c r="Q1158" s="97"/>
      <c r="R1158" s="97"/>
      <c r="S1158" s="97"/>
      <c r="T1158" s="97"/>
      <c r="U1158" s="97"/>
      <c r="V1158" s="97"/>
      <c r="W1158" s="97"/>
      <c r="X1158" s="97"/>
      <c r="Y1158" s="97"/>
    </row>
    <row r="1159">
      <c r="A1159" s="5"/>
      <c r="B1159" s="64"/>
      <c r="C1159" s="64"/>
      <c r="D1159" s="64"/>
      <c r="E1159" s="64"/>
      <c r="F1159" s="64"/>
      <c r="G1159" s="149"/>
      <c r="H1159" s="150"/>
      <c r="I1159" s="97"/>
      <c r="J1159" s="97"/>
      <c r="K1159" s="97"/>
      <c r="L1159" s="97"/>
      <c r="M1159" s="97"/>
      <c r="N1159" s="97"/>
      <c r="O1159" s="97"/>
      <c r="P1159" s="97"/>
      <c r="Q1159" s="97"/>
      <c r="R1159" s="97"/>
      <c r="S1159" s="97"/>
      <c r="T1159" s="97"/>
      <c r="U1159" s="97"/>
      <c r="V1159" s="97"/>
      <c r="W1159" s="97"/>
      <c r="X1159" s="97"/>
      <c r="Y1159" s="97"/>
    </row>
    <row r="1160">
      <c r="A1160" s="5"/>
      <c r="B1160" s="64"/>
      <c r="C1160" s="64"/>
      <c r="D1160" s="64"/>
      <c r="E1160" s="64"/>
      <c r="F1160" s="64"/>
      <c r="G1160" s="149"/>
      <c r="H1160" s="150"/>
      <c r="I1160" s="97"/>
      <c r="J1160" s="97"/>
      <c r="K1160" s="97"/>
      <c r="L1160" s="97"/>
      <c r="M1160" s="97"/>
      <c r="N1160" s="97"/>
      <c r="O1160" s="97"/>
      <c r="P1160" s="97"/>
      <c r="Q1160" s="97"/>
      <c r="R1160" s="97"/>
      <c r="S1160" s="97"/>
      <c r="T1160" s="97"/>
      <c r="U1160" s="97"/>
      <c r="V1160" s="97"/>
      <c r="W1160" s="97"/>
      <c r="X1160" s="97"/>
      <c r="Y1160" s="97"/>
    </row>
    <row r="1161">
      <c r="A1161" s="5"/>
      <c r="B1161" s="64"/>
      <c r="C1161" s="64"/>
      <c r="D1161" s="64"/>
      <c r="E1161" s="64"/>
      <c r="F1161" s="64"/>
      <c r="G1161" s="149"/>
      <c r="H1161" s="150"/>
      <c r="I1161" s="97"/>
      <c r="J1161" s="97"/>
      <c r="K1161" s="97"/>
      <c r="L1161" s="97"/>
      <c r="M1161" s="97"/>
      <c r="N1161" s="97"/>
      <c r="O1161" s="97"/>
      <c r="P1161" s="97"/>
      <c r="Q1161" s="97"/>
      <c r="R1161" s="97"/>
      <c r="S1161" s="97"/>
      <c r="T1161" s="97"/>
      <c r="U1161" s="97"/>
      <c r="V1161" s="97"/>
      <c r="W1161" s="97"/>
      <c r="X1161" s="97"/>
      <c r="Y1161" s="97"/>
    </row>
    <row r="1162">
      <c r="A1162" s="5"/>
      <c r="B1162" s="64"/>
      <c r="C1162" s="64"/>
      <c r="D1162" s="64"/>
      <c r="E1162" s="64"/>
      <c r="F1162" s="64"/>
      <c r="G1162" s="149"/>
      <c r="H1162" s="150"/>
      <c r="I1162" s="97"/>
      <c r="J1162" s="97"/>
      <c r="K1162" s="97"/>
      <c r="L1162" s="97"/>
      <c r="M1162" s="97"/>
      <c r="N1162" s="97"/>
      <c r="O1162" s="97"/>
      <c r="P1162" s="97"/>
      <c r="Q1162" s="97"/>
      <c r="R1162" s="97"/>
      <c r="S1162" s="97"/>
      <c r="T1162" s="97"/>
      <c r="U1162" s="97"/>
      <c r="V1162" s="97"/>
      <c r="W1162" s="97"/>
      <c r="X1162" s="97"/>
      <c r="Y1162" s="97"/>
    </row>
    <row r="1163">
      <c r="A1163" s="5"/>
      <c r="B1163" s="64"/>
      <c r="C1163" s="64"/>
      <c r="D1163" s="64"/>
      <c r="E1163" s="64"/>
      <c r="F1163" s="64"/>
      <c r="G1163" s="149"/>
      <c r="H1163" s="150"/>
      <c r="I1163" s="97"/>
      <c r="J1163" s="97"/>
      <c r="K1163" s="97"/>
      <c r="L1163" s="97"/>
      <c r="M1163" s="97"/>
      <c r="N1163" s="97"/>
      <c r="O1163" s="97"/>
      <c r="P1163" s="97"/>
      <c r="Q1163" s="97"/>
      <c r="R1163" s="97"/>
      <c r="S1163" s="97"/>
      <c r="T1163" s="97"/>
      <c r="U1163" s="97"/>
      <c r="V1163" s="97"/>
      <c r="W1163" s="97"/>
      <c r="X1163" s="97"/>
      <c r="Y1163" s="97"/>
    </row>
    <row r="1164">
      <c r="A1164" s="5"/>
      <c r="B1164" s="64"/>
      <c r="C1164" s="64"/>
      <c r="D1164" s="64"/>
      <c r="E1164" s="64"/>
      <c r="F1164" s="64"/>
      <c r="G1164" s="149"/>
      <c r="H1164" s="150"/>
      <c r="I1164" s="97"/>
      <c r="J1164" s="97"/>
      <c r="K1164" s="97"/>
      <c r="L1164" s="97"/>
      <c r="M1164" s="97"/>
      <c r="N1164" s="97"/>
      <c r="O1164" s="97"/>
      <c r="P1164" s="97"/>
      <c r="Q1164" s="97"/>
      <c r="R1164" s="97"/>
      <c r="S1164" s="97"/>
      <c r="T1164" s="97"/>
      <c r="U1164" s="97"/>
      <c r="V1164" s="97"/>
      <c r="W1164" s="97"/>
      <c r="X1164" s="97"/>
      <c r="Y1164" s="97"/>
    </row>
    <row r="1165">
      <c r="A1165" s="5"/>
      <c r="B1165" s="64"/>
      <c r="C1165" s="64"/>
      <c r="D1165" s="64"/>
      <c r="E1165" s="64"/>
      <c r="F1165" s="64"/>
      <c r="G1165" s="149"/>
      <c r="H1165" s="150"/>
      <c r="I1165" s="97"/>
      <c r="J1165" s="97"/>
      <c r="K1165" s="97"/>
      <c r="L1165" s="97"/>
      <c r="M1165" s="97"/>
      <c r="N1165" s="97"/>
      <c r="O1165" s="97"/>
      <c r="P1165" s="97"/>
      <c r="Q1165" s="97"/>
      <c r="R1165" s="97"/>
      <c r="S1165" s="97"/>
      <c r="T1165" s="97"/>
      <c r="U1165" s="97"/>
      <c r="V1165" s="97"/>
      <c r="W1165" s="97"/>
      <c r="X1165" s="97"/>
      <c r="Y1165" s="97"/>
    </row>
    <row r="1166">
      <c r="A1166" s="5"/>
      <c r="B1166" s="64"/>
      <c r="C1166" s="64"/>
      <c r="D1166" s="64"/>
      <c r="E1166" s="64"/>
      <c r="F1166" s="64"/>
      <c r="G1166" s="149"/>
      <c r="H1166" s="150"/>
      <c r="I1166" s="97"/>
      <c r="J1166" s="97"/>
      <c r="K1166" s="97"/>
      <c r="L1166" s="97"/>
      <c r="M1166" s="97"/>
      <c r="N1166" s="97"/>
      <c r="O1166" s="97"/>
      <c r="P1166" s="97"/>
      <c r="Q1166" s="97"/>
      <c r="R1166" s="97"/>
      <c r="S1166" s="97"/>
      <c r="T1166" s="97"/>
      <c r="U1166" s="97"/>
      <c r="V1166" s="97"/>
      <c r="W1166" s="97"/>
      <c r="X1166" s="97"/>
      <c r="Y1166" s="97"/>
    </row>
    <row r="1167">
      <c r="A1167" s="5"/>
      <c r="B1167" s="64"/>
      <c r="C1167" s="64"/>
      <c r="D1167" s="64"/>
      <c r="E1167" s="64"/>
      <c r="F1167" s="64"/>
      <c r="G1167" s="149"/>
      <c r="H1167" s="150"/>
      <c r="I1167" s="97"/>
      <c r="J1167" s="97"/>
      <c r="K1167" s="97"/>
      <c r="L1167" s="97"/>
      <c r="M1167" s="97"/>
      <c r="N1167" s="97"/>
      <c r="O1167" s="97"/>
      <c r="P1167" s="97"/>
      <c r="Q1167" s="97"/>
      <c r="R1167" s="97"/>
      <c r="S1167" s="97"/>
      <c r="T1167" s="97"/>
      <c r="U1167" s="97"/>
      <c r="V1167" s="97"/>
      <c r="W1167" s="97"/>
      <c r="X1167" s="97"/>
      <c r="Y1167" s="97"/>
    </row>
    <row r="1168">
      <c r="A1168" s="5"/>
      <c r="B1168" s="64"/>
      <c r="C1168" s="64"/>
      <c r="D1168" s="64"/>
      <c r="E1168" s="64"/>
      <c r="F1168" s="64"/>
      <c r="G1168" s="149"/>
      <c r="H1168" s="150"/>
      <c r="I1168" s="97"/>
      <c r="J1168" s="97"/>
      <c r="K1168" s="97"/>
      <c r="L1168" s="97"/>
      <c r="M1168" s="97"/>
      <c r="N1168" s="97"/>
      <c r="O1168" s="97"/>
      <c r="P1168" s="97"/>
      <c r="Q1168" s="97"/>
      <c r="R1168" s="97"/>
      <c r="S1168" s="97"/>
      <c r="T1168" s="97"/>
      <c r="U1168" s="97"/>
      <c r="V1168" s="97"/>
      <c r="W1168" s="97"/>
      <c r="X1168" s="97"/>
      <c r="Y1168" s="97"/>
    </row>
    <row r="1169">
      <c r="A1169" s="5"/>
      <c r="B1169" s="64"/>
      <c r="C1169" s="64"/>
      <c r="D1169" s="64"/>
      <c r="E1169" s="64"/>
      <c r="F1169" s="64"/>
      <c r="G1169" s="149"/>
      <c r="H1169" s="150"/>
      <c r="I1169" s="97"/>
      <c r="J1169" s="97"/>
      <c r="K1169" s="97"/>
      <c r="L1169" s="97"/>
      <c r="M1169" s="97"/>
      <c r="N1169" s="97"/>
      <c r="O1169" s="97"/>
      <c r="P1169" s="97"/>
      <c r="Q1169" s="97"/>
      <c r="R1169" s="97"/>
      <c r="S1169" s="97"/>
      <c r="T1169" s="97"/>
      <c r="U1169" s="97"/>
      <c r="V1169" s="97"/>
      <c r="W1169" s="97"/>
      <c r="X1169" s="97"/>
      <c r="Y1169" s="97"/>
    </row>
    <row r="1170">
      <c r="A1170" s="5"/>
      <c r="B1170" s="64"/>
      <c r="C1170" s="64"/>
      <c r="D1170" s="64"/>
      <c r="E1170" s="64"/>
      <c r="F1170" s="64"/>
      <c r="G1170" s="149"/>
      <c r="H1170" s="150"/>
      <c r="I1170" s="97"/>
      <c r="J1170" s="97"/>
      <c r="K1170" s="97"/>
      <c r="L1170" s="97"/>
      <c r="M1170" s="97"/>
      <c r="N1170" s="97"/>
      <c r="O1170" s="97"/>
      <c r="P1170" s="97"/>
      <c r="Q1170" s="97"/>
      <c r="R1170" s="97"/>
      <c r="S1170" s="97"/>
      <c r="T1170" s="97"/>
      <c r="U1170" s="97"/>
      <c r="V1170" s="97"/>
      <c r="W1170" s="97"/>
      <c r="X1170" s="97"/>
      <c r="Y1170" s="97"/>
    </row>
    <row r="1171">
      <c r="A1171" s="5"/>
      <c r="B1171" s="64"/>
      <c r="C1171" s="64"/>
      <c r="D1171" s="64"/>
      <c r="E1171" s="64"/>
      <c r="F1171" s="64"/>
      <c r="G1171" s="149"/>
      <c r="H1171" s="150"/>
      <c r="I1171" s="97"/>
      <c r="J1171" s="97"/>
      <c r="K1171" s="97"/>
      <c r="L1171" s="97"/>
      <c r="M1171" s="97"/>
      <c r="N1171" s="97"/>
      <c r="O1171" s="97"/>
      <c r="P1171" s="97"/>
      <c r="Q1171" s="97"/>
      <c r="R1171" s="97"/>
      <c r="S1171" s="97"/>
      <c r="T1171" s="97"/>
      <c r="U1171" s="97"/>
      <c r="V1171" s="97"/>
      <c r="W1171" s="97"/>
      <c r="X1171" s="97"/>
      <c r="Y1171" s="97"/>
    </row>
    <row r="1172">
      <c r="A1172" s="5"/>
      <c r="B1172" s="64"/>
      <c r="C1172" s="64"/>
      <c r="D1172" s="64"/>
      <c r="E1172" s="64"/>
      <c r="F1172" s="64"/>
      <c r="G1172" s="149"/>
      <c r="H1172" s="150"/>
      <c r="I1172" s="97"/>
      <c r="J1172" s="97"/>
      <c r="K1172" s="97"/>
      <c r="L1172" s="97"/>
      <c r="M1172" s="97"/>
      <c r="N1172" s="97"/>
      <c r="O1172" s="97"/>
      <c r="P1172" s="97"/>
      <c r="Q1172" s="97"/>
      <c r="R1172" s="97"/>
      <c r="S1172" s="97"/>
      <c r="T1172" s="97"/>
      <c r="U1172" s="97"/>
      <c r="V1172" s="97"/>
      <c r="W1172" s="97"/>
      <c r="X1172" s="97"/>
      <c r="Y1172" s="97"/>
    </row>
    <row r="1173">
      <c r="A1173" s="5"/>
      <c r="B1173" s="64"/>
      <c r="C1173" s="64"/>
      <c r="D1173" s="64"/>
      <c r="E1173" s="64"/>
      <c r="F1173" s="64"/>
      <c r="G1173" s="149"/>
      <c r="H1173" s="150"/>
      <c r="I1173" s="97"/>
      <c r="J1173" s="97"/>
      <c r="K1173" s="97"/>
      <c r="L1173" s="97"/>
      <c r="M1173" s="97"/>
      <c r="N1173" s="97"/>
      <c r="O1173" s="97"/>
      <c r="P1173" s="97"/>
      <c r="Q1173" s="97"/>
      <c r="R1173" s="97"/>
      <c r="S1173" s="97"/>
      <c r="T1173" s="97"/>
      <c r="U1173" s="97"/>
      <c r="V1173" s="97"/>
      <c r="W1173" s="97"/>
      <c r="X1173" s="97"/>
      <c r="Y1173" s="97"/>
    </row>
    <row r="1174">
      <c r="A1174" s="5"/>
      <c r="B1174" s="64"/>
      <c r="C1174" s="64"/>
      <c r="D1174" s="64"/>
      <c r="E1174" s="64"/>
      <c r="F1174" s="64"/>
      <c r="G1174" s="149"/>
      <c r="H1174" s="150"/>
      <c r="I1174" s="97"/>
      <c r="J1174" s="97"/>
      <c r="K1174" s="97"/>
      <c r="L1174" s="97"/>
      <c r="M1174" s="97"/>
      <c r="N1174" s="97"/>
      <c r="O1174" s="97"/>
      <c r="P1174" s="97"/>
      <c r="Q1174" s="97"/>
      <c r="R1174" s="97"/>
      <c r="S1174" s="97"/>
      <c r="T1174" s="97"/>
      <c r="U1174" s="97"/>
      <c r="V1174" s="97"/>
      <c r="W1174" s="97"/>
      <c r="X1174" s="97"/>
      <c r="Y1174" s="97"/>
    </row>
    <row r="1175">
      <c r="A1175" s="5"/>
      <c r="B1175" s="64"/>
      <c r="C1175" s="64"/>
      <c r="D1175" s="64"/>
      <c r="E1175" s="64"/>
      <c r="F1175" s="64"/>
      <c r="G1175" s="149"/>
      <c r="H1175" s="150"/>
      <c r="I1175" s="97"/>
      <c r="J1175" s="97"/>
      <c r="K1175" s="97"/>
      <c r="L1175" s="97"/>
      <c r="M1175" s="97"/>
      <c r="N1175" s="97"/>
      <c r="O1175" s="97"/>
      <c r="P1175" s="97"/>
      <c r="Q1175" s="97"/>
      <c r="R1175" s="97"/>
      <c r="S1175" s="97"/>
      <c r="T1175" s="97"/>
      <c r="U1175" s="97"/>
      <c r="V1175" s="97"/>
      <c r="W1175" s="97"/>
      <c r="X1175" s="97"/>
      <c r="Y1175" s="97"/>
    </row>
    <row r="1176">
      <c r="A1176" s="5"/>
      <c r="B1176" s="64"/>
      <c r="C1176" s="64"/>
      <c r="D1176" s="64"/>
      <c r="E1176" s="64"/>
      <c r="F1176" s="64"/>
      <c r="G1176" s="149"/>
      <c r="H1176" s="150"/>
      <c r="I1176" s="97"/>
      <c r="J1176" s="97"/>
      <c r="K1176" s="97"/>
      <c r="L1176" s="97"/>
      <c r="M1176" s="97"/>
      <c r="N1176" s="97"/>
      <c r="O1176" s="97"/>
      <c r="P1176" s="97"/>
      <c r="Q1176" s="97"/>
      <c r="R1176" s="97"/>
      <c r="S1176" s="97"/>
      <c r="T1176" s="97"/>
      <c r="U1176" s="97"/>
      <c r="V1176" s="97"/>
      <c r="W1176" s="97"/>
      <c r="X1176" s="97"/>
      <c r="Y1176" s="97"/>
    </row>
    <row r="1177">
      <c r="A1177" s="5"/>
      <c r="B1177" s="64"/>
      <c r="C1177" s="64"/>
      <c r="D1177" s="64"/>
      <c r="E1177" s="64"/>
      <c r="F1177" s="64"/>
      <c r="G1177" s="149"/>
      <c r="H1177" s="150"/>
      <c r="I1177" s="97"/>
      <c r="J1177" s="97"/>
      <c r="K1177" s="97"/>
      <c r="L1177" s="97"/>
      <c r="M1177" s="97"/>
      <c r="N1177" s="97"/>
      <c r="O1177" s="97"/>
      <c r="P1177" s="97"/>
      <c r="Q1177" s="97"/>
      <c r="R1177" s="97"/>
      <c r="S1177" s="97"/>
      <c r="T1177" s="97"/>
      <c r="U1177" s="97"/>
      <c r="V1177" s="97"/>
      <c r="W1177" s="97"/>
      <c r="X1177" s="97"/>
      <c r="Y1177" s="97"/>
    </row>
    <row r="1178">
      <c r="A1178" s="5"/>
      <c r="B1178" s="64"/>
      <c r="C1178" s="64"/>
      <c r="D1178" s="64"/>
      <c r="E1178" s="64"/>
      <c r="F1178" s="64"/>
      <c r="G1178" s="149"/>
      <c r="H1178" s="150"/>
      <c r="I1178" s="97"/>
      <c r="J1178" s="97"/>
      <c r="K1178" s="97"/>
      <c r="L1178" s="97"/>
      <c r="M1178" s="97"/>
      <c r="N1178" s="97"/>
      <c r="O1178" s="97"/>
      <c r="P1178" s="97"/>
      <c r="Q1178" s="97"/>
      <c r="R1178" s="97"/>
      <c r="S1178" s="97"/>
      <c r="T1178" s="97"/>
      <c r="U1178" s="97"/>
      <c r="V1178" s="97"/>
      <c r="W1178" s="97"/>
      <c r="X1178" s="97"/>
      <c r="Y1178" s="97"/>
    </row>
    <row r="1179">
      <c r="A1179" s="5"/>
      <c r="B1179" s="64"/>
      <c r="C1179" s="64"/>
      <c r="D1179" s="64"/>
      <c r="E1179" s="64"/>
      <c r="F1179" s="64"/>
      <c r="G1179" s="149"/>
      <c r="H1179" s="150"/>
      <c r="I1179" s="97"/>
      <c r="J1179" s="97"/>
      <c r="K1179" s="97"/>
      <c r="L1179" s="97"/>
      <c r="M1179" s="97"/>
      <c r="N1179" s="97"/>
      <c r="O1179" s="97"/>
      <c r="P1179" s="97"/>
      <c r="Q1179" s="97"/>
      <c r="R1179" s="97"/>
      <c r="S1179" s="97"/>
      <c r="T1179" s="97"/>
      <c r="U1179" s="97"/>
      <c r="V1179" s="97"/>
      <c r="W1179" s="97"/>
      <c r="X1179" s="97"/>
      <c r="Y1179" s="97"/>
    </row>
    <row r="1180">
      <c r="A1180" s="5"/>
      <c r="B1180" s="64"/>
      <c r="C1180" s="64"/>
      <c r="D1180" s="64"/>
      <c r="E1180" s="64"/>
      <c r="F1180" s="64"/>
      <c r="G1180" s="149"/>
      <c r="H1180" s="150"/>
      <c r="I1180" s="97"/>
      <c r="J1180" s="97"/>
      <c r="K1180" s="97"/>
      <c r="L1180" s="97"/>
      <c r="M1180" s="97"/>
      <c r="N1180" s="97"/>
      <c r="O1180" s="97"/>
      <c r="P1180" s="97"/>
      <c r="Q1180" s="97"/>
      <c r="R1180" s="97"/>
      <c r="S1180" s="97"/>
      <c r="T1180" s="97"/>
      <c r="U1180" s="97"/>
      <c r="V1180" s="97"/>
      <c r="W1180" s="97"/>
      <c r="X1180" s="97"/>
      <c r="Y1180" s="97"/>
    </row>
    <row r="1181">
      <c r="A1181" s="5"/>
      <c r="B1181" s="64"/>
      <c r="C1181" s="64"/>
      <c r="D1181" s="64"/>
      <c r="E1181" s="64"/>
      <c r="F1181" s="64"/>
      <c r="G1181" s="149"/>
      <c r="H1181" s="150"/>
      <c r="I1181" s="97"/>
      <c r="J1181" s="97"/>
      <c r="K1181" s="97"/>
      <c r="L1181" s="97"/>
      <c r="M1181" s="97"/>
      <c r="N1181" s="97"/>
      <c r="O1181" s="97"/>
      <c r="P1181" s="97"/>
      <c r="Q1181" s="97"/>
      <c r="R1181" s="97"/>
      <c r="S1181" s="97"/>
      <c r="T1181" s="97"/>
      <c r="U1181" s="97"/>
      <c r="V1181" s="97"/>
      <c r="W1181" s="97"/>
      <c r="X1181" s="97"/>
      <c r="Y1181" s="97"/>
    </row>
    <row r="1182">
      <c r="A1182" s="5"/>
      <c r="B1182" s="64"/>
      <c r="C1182" s="64"/>
      <c r="D1182" s="64"/>
      <c r="E1182" s="64"/>
      <c r="F1182" s="64"/>
      <c r="G1182" s="149"/>
      <c r="H1182" s="150"/>
      <c r="I1182" s="97"/>
      <c r="J1182" s="97"/>
      <c r="K1182" s="97"/>
      <c r="L1182" s="97"/>
      <c r="M1182" s="97"/>
      <c r="N1182" s="97"/>
      <c r="O1182" s="97"/>
      <c r="P1182" s="97"/>
      <c r="Q1182" s="97"/>
      <c r="R1182" s="97"/>
      <c r="S1182" s="97"/>
      <c r="T1182" s="97"/>
      <c r="U1182" s="97"/>
      <c r="V1182" s="97"/>
      <c r="W1182" s="97"/>
      <c r="X1182" s="97"/>
      <c r="Y1182" s="97"/>
    </row>
    <row r="1183">
      <c r="A1183" s="5"/>
      <c r="B1183" s="64"/>
      <c r="C1183" s="64"/>
      <c r="D1183" s="64"/>
      <c r="E1183" s="64"/>
      <c r="F1183" s="64"/>
      <c r="G1183" s="149"/>
      <c r="H1183" s="150"/>
      <c r="I1183" s="97"/>
      <c r="J1183" s="97"/>
      <c r="K1183" s="97"/>
      <c r="L1183" s="97"/>
      <c r="M1183" s="97"/>
      <c r="N1183" s="97"/>
      <c r="O1183" s="97"/>
      <c r="P1183" s="97"/>
      <c r="Q1183" s="97"/>
      <c r="R1183" s="97"/>
      <c r="S1183" s="97"/>
      <c r="T1183" s="97"/>
      <c r="U1183" s="97"/>
      <c r="V1183" s="97"/>
      <c r="W1183" s="97"/>
      <c r="X1183" s="97"/>
      <c r="Y1183" s="97"/>
    </row>
    <row r="1184">
      <c r="A1184" s="5"/>
      <c r="B1184" s="64"/>
      <c r="C1184" s="64"/>
      <c r="D1184" s="64"/>
      <c r="E1184" s="64"/>
      <c r="F1184" s="64"/>
      <c r="G1184" s="149"/>
      <c r="H1184" s="150"/>
      <c r="I1184" s="97"/>
      <c r="J1184" s="97"/>
      <c r="K1184" s="97"/>
      <c r="L1184" s="97"/>
      <c r="M1184" s="97"/>
      <c r="N1184" s="97"/>
      <c r="O1184" s="97"/>
      <c r="P1184" s="97"/>
      <c r="Q1184" s="97"/>
      <c r="R1184" s="97"/>
      <c r="S1184" s="97"/>
      <c r="T1184" s="97"/>
      <c r="U1184" s="97"/>
      <c r="V1184" s="97"/>
      <c r="W1184" s="97"/>
      <c r="X1184" s="97"/>
      <c r="Y1184" s="97"/>
    </row>
    <row r="1185">
      <c r="A1185" s="5"/>
      <c r="B1185" s="64"/>
      <c r="C1185" s="64"/>
      <c r="D1185" s="64"/>
      <c r="E1185" s="64"/>
      <c r="F1185" s="64"/>
      <c r="G1185" s="149"/>
      <c r="H1185" s="150"/>
      <c r="I1185" s="97"/>
      <c r="J1185" s="97"/>
      <c r="K1185" s="97"/>
      <c r="L1185" s="97"/>
      <c r="M1185" s="97"/>
      <c r="N1185" s="97"/>
      <c r="O1185" s="97"/>
      <c r="P1185" s="97"/>
      <c r="Q1185" s="97"/>
      <c r="R1185" s="97"/>
      <c r="S1185" s="97"/>
      <c r="T1185" s="97"/>
      <c r="U1185" s="97"/>
      <c r="V1185" s="97"/>
      <c r="W1185" s="97"/>
      <c r="X1185" s="97"/>
      <c r="Y1185" s="97"/>
    </row>
    <row r="1186">
      <c r="A1186" s="5"/>
      <c r="B1186" s="64"/>
      <c r="C1186" s="64"/>
      <c r="D1186" s="64"/>
      <c r="E1186" s="64"/>
      <c r="F1186" s="64"/>
      <c r="G1186" s="149"/>
      <c r="H1186" s="150"/>
      <c r="I1186" s="97"/>
      <c r="J1186" s="97"/>
      <c r="K1186" s="97"/>
      <c r="L1186" s="97"/>
      <c r="M1186" s="97"/>
      <c r="N1186" s="97"/>
      <c r="O1186" s="97"/>
      <c r="P1186" s="97"/>
      <c r="Q1186" s="97"/>
      <c r="R1186" s="97"/>
      <c r="S1186" s="97"/>
      <c r="T1186" s="97"/>
      <c r="U1186" s="97"/>
      <c r="V1186" s="97"/>
      <c r="W1186" s="97"/>
      <c r="X1186" s="97"/>
      <c r="Y1186" s="97"/>
    </row>
    <row r="1187">
      <c r="A1187" s="5"/>
      <c r="B1187" s="64"/>
      <c r="C1187" s="64"/>
      <c r="D1187" s="64"/>
      <c r="E1187" s="64"/>
      <c r="F1187" s="64"/>
      <c r="G1187" s="149"/>
      <c r="H1187" s="150"/>
      <c r="I1187" s="97"/>
      <c r="J1187" s="97"/>
      <c r="K1187" s="97"/>
      <c r="L1187" s="97"/>
      <c r="M1187" s="97"/>
      <c r="N1187" s="97"/>
      <c r="O1187" s="97"/>
      <c r="P1187" s="97"/>
      <c r="Q1187" s="97"/>
      <c r="R1187" s="97"/>
      <c r="S1187" s="97"/>
      <c r="T1187" s="97"/>
      <c r="U1187" s="97"/>
      <c r="V1187" s="97"/>
      <c r="W1187" s="97"/>
      <c r="X1187" s="97"/>
      <c r="Y1187" s="97"/>
    </row>
    <row r="1188">
      <c r="A1188" s="5"/>
      <c r="B1188" s="64"/>
      <c r="C1188" s="64"/>
      <c r="D1188" s="64"/>
      <c r="E1188" s="64"/>
      <c r="F1188" s="64"/>
      <c r="G1188" s="149"/>
      <c r="H1188" s="150"/>
      <c r="I1188" s="97"/>
      <c r="J1188" s="97"/>
      <c r="K1188" s="97"/>
      <c r="L1188" s="97"/>
      <c r="M1188" s="97"/>
      <c r="N1188" s="97"/>
      <c r="O1188" s="97"/>
      <c r="P1188" s="97"/>
      <c r="Q1188" s="97"/>
      <c r="R1188" s="97"/>
      <c r="S1188" s="97"/>
      <c r="T1188" s="97"/>
      <c r="U1188" s="97"/>
      <c r="V1188" s="97"/>
      <c r="W1188" s="97"/>
      <c r="X1188" s="97"/>
      <c r="Y1188" s="97"/>
    </row>
    <row r="1189">
      <c r="A1189" s="5"/>
      <c r="B1189" s="64"/>
      <c r="C1189" s="64"/>
      <c r="D1189" s="64"/>
      <c r="E1189" s="64"/>
      <c r="F1189" s="64"/>
      <c r="G1189" s="149"/>
      <c r="H1189" s="150"/>
      <c r="I1189" s="97"/>
      <c r="J1189" s="97"/>
      <c r="K1189" s="97"/>
      <c r="L1189" s="97"/>
      <c r="M1189" s="97"/>
      <c r="N1189" s="97"/>
      <c r="O1189" s="97"/>
      <c r="P1189" s="97"/>
      <c r="Q1189" s="97"/>
      <c r="R1189" s="97"/>
      <c r="S1189" s="97"/>
      <c r="T1189" s="97"/>
      <c r="U1189" s="97"/>
      <c r="V1189" s="97"/>
      <c r="W1189" s="97"/>
      <c r="X1189" s="97"/>
      <c r="Y1189" s="97"/>
    </row>
    <row r="1190">
      <c r="A1190" s="5"/>
      <c r="B1190" s="64"/>
      <c r="C1190" s="64"/>
      <c r="D1190" s="64"/>
      <c r="E1190" s="64"/>
      <c r="F1190" s="64"/>
      <c r="G1190" s="149"/>
      <c r="H1190" s="150"/>
      <c r="I1190" s="97"/>
      <c r="J1190" s="97"/>
      <c r="K1190" s="97"/>
      <c r="L1190" s="97"/>
      <c r="M1190" s="97"/>
      <c r="N1190" s="97"/>
      <c r="O1190" s="97"/>
      <c r="P1190" s="97"/>
      <c r="Q1190" s="97"/>
      <c r="R1190" s="97"/>
      <c r="S1190" s="97"/>
      <c r="T1190" s="97"/>
      <c r="U1190" s="97"/>
      <c r="V1190" s="97"/>
      <c r="W1190" s="97"/>
      <c r="X1190" s="97"/>
      <c r="Y1190" s="97"/>
    </row>
    <row r="1191">
      <c r="A1191" s="5"/>
      <c r="B1191" s="64"/>
      <c r="C1191" s="64"/>
      <c r="D1191" s="64"/>
      <c r="E1191" s="64"/>
      <c r="F1191" s="64"/>
      <c r="G1191" s="149"/>
      <c r="H1191" s="150"/>
      <c r="I1191" s="97"/>
      <c r="J1191" s="97"/>
      <c r="K1191" s="97"/>
      <c r="L1191" s="97"/>
      <c r="M1191" s="97"/>
      <c r="N1191" s="97"/>
      <c r="O1191" s="97"/>
      <c r="P1191" s="97"/>
      <c r="Q1191" s="97"/>
      <c r="R1191" s="97"/>
      <c r="S1191" s="97"/>
      <c r="T1191" s="97"/>
      <c r="U1191" s="97"/>
      <c r="V1191" s="97"/>
      <c r="W1191" s="97"/>
      <c r="X1191" s="97"/>
      <c r="Y1191" s="97"/>
    </row>
    <row r="1192">
      <c r="A1192" s="5"/>
      <c r="B1192" s="64"/>
      <c r="C1192" s="64"/>
      <c r="D1192" s="64"/>
      <c r="E1192" s="64"/>
      <c r="F1192" s="64"/>
      <c r="G1192" s="149"/>
      <c r="H1192" s="150"/>
      <c r="I1192" s="97"/>
      <c r="J1192" s="97"/>
      <c r="K1192" s="97"/>
      <c r="L1192" s="97"/>
      <c r="M1192" s="97"/>
      <c r="N1192" s="97"/>
      <c r="O1192" s="97"/>
      <c r="P1192" s="97"/>
      <c r="Q1192" s="97"/>
      <c r="R1192" s="97"/>
      <c r="S1192" s="97"/>
      <c r="T1192" s="97"/>
      <c r="U1192" s="97"/>
      <c r="V1192" s="97"/>
      <c r="W1192" s="97"/>
      <c r="X1192" s="97"/>
      <c r="Y1192" s="97"/>
    </row>
    <row r="1193">
      <c r="A1193" s="5"/>
      <c r="B1193" s="64"/>
      <c r="C1193" s="64"/>
      <c r="D1193" s="64"/>
      <c r="E1193" s="64"/>
      <c r="F1193" s="64"/>
      <c r="G1193" s="149"/>
      <c r="H1193" s="150"/>
      <c r="I1193" s="97"/>
      <c r="J1193" s="97"/>
      <c r="K1193" s="97"/>
      <c r="L1193" s="97"/>
      <c r="M1193" s="97"/>
      <c r="N1193" s="97"/>
      <c r="O1193" s="97"/>
      <c r="P1193" s="97"/>
      <c r="Q1193" s="97"/>
      <c r="R1193" s="97"/>
      <c r="S1193" s="97"/>
      <c r="T1193" s="97"/>
      <c r="U1193" s="97"/>
      <c r="V1193" s="97"/>
      <c r="W1193" s="97"/>
      <c r="X1193" s="97"/>
      <c r="Y1193" s="97"/>
    </row>
    <row r="1194">
      <c r="A1194" s="5"/>
      <c r="B1194" s="64"/>
      <c r="C1194" s="64"/>
      <c r="D1194" s="64"/>
      <c r="E1194" s="64"/>
      <c r="F1194" s="64"/>
      <c r="G1194" s="149"/>
      <c r="H1194" s="150"/>
      <c r="I1194" s="97"/>
      <c r="J1194" s="97"/>
      <c r="K1194" s="97"/>
      <c r="L1194" s="97"/>
      <c r="M1194" s="97"/>
      <c r="N1194" s="97"/>
      <c r="O1194" s="97"/>
      <c r="P1194" s="97"/>
      <c r="Q1194" s="97"/>
      <c r="R1194" s="97"/>
      <c r="S1194" s="97"/>
      <c r="T1194" s="97"/>
      <c r="U1194" s="97"/>
      <c r="V1194" s="97"/>
      <c r="W1194" s="97"/>
      <c r="X1194" s="97"/>
      <c r="Y1194" s="97"/>
    </row>
    <row r="1195">
      <c r="A1195" s="5"/>
      <c r="B1195" s="64"/>
      <c r="C1195" s="64"/>
      <c r="D1195" s="64"/>
      <c r="E1195" s="64"/>
      <c r="F1195" s="64"/>
      <c r="G1195" s="149"/>
      <c r="H1195" s="150"/>
      <c r="I1195" s="97"/>
      <c r="J1195" s="97"/>
      <c r="K1195" s="97"/>
      <c r="L1195" s="97"/>
      <c r="M1195" s="97"/>
      <c r="N1195" s="97"/>
      <c r="O1195" s="97"/>
      <c r="P1195" s="97"/>
      <c r="Q1195" s="97"/>
      <c r="R1195" s="97"/>
      <c r="S1195" s="97"/>
      <c r="T1195" s="97"/>
      <c r="U1195" s="97"/>
      <c r="V1195" s="97"/>
      <c r="W1195" s="97"/>
      <c r="X1195" s="97"/>
      <c r="Y1195" s="97"/>
    </row>
    <row r="1196">
      <c r="A1196" s="5"/>
      <c r="B1196" s="64"/>
      <c r="C1196" s="64"/>
      <c r="D1196" s="64"/>
      <c r="E1196" s="64"/>
      <c r="F1196" s="64"/>
      <c r="G1196" s="149"/>
      <c r="H1196" s="150"/>
      <c r="I1196" s="97"/>
      <c r="J1196" s="97"/>
      <c r="K1196" s="97"/>
      <c r="L1196" s="97"/>
      <c r="M1196" s="97"/>
      <c r="N1196" s="97"/>
      <c r="O1196" s="97"/>
      <c r="P1196" s="97"/>
      <c r="Q1196" s="97"/>
      <c r="R1196" s="97"/>
      <c r="S1196" s="97"/>
      <c r="T1196" s="97"/>
      <c r="U1196" s="97"/>
      <c r="V1196" s="97"/>
      <c r="W1196" s="97"/>
      <c r="X1196" s="97"/>
      <c r="Y1196" s="97"/>
    </row>
    <row r="1197">
      <c r="A1197" s="5"/>
      <c r="B1197" s="64"/>
      <c r="C1197" s="64"/>
      <c r="D1197" s="64"/>
      <c r="E1197" s="64"/>
      <c r="F1197" s="64"/>
      <c r="G1197" s="149"/>
      <c r="H1197" s="150"/>
      <c r="I1197" s="97"/>
      <c r="J1197" s="97"/>
      <c r="K1197" s="97"/>
      <c r="L1197" s="97"/>
      <c r="M1197" s="97"/>
      <c r="N1197" s="97"/>
      <c r="O1197" s="97"/>
      <c r="P1197" s="97"/>
      <c r="Q1197" s="97"/>
      <c r="R1197" s="97"/>
      <c r="S1197" s="97"/>
      <c r="T1197" s="97"/>
      <c r="U1197" s="97"/>
      <c r="V1197" s="97"/>
      <c r="W1197" s="97"/>
      <c r="X1197" s="97"/>
      <c r="Y1197" s="97"/>
    </row>
    <row r="1198">
      <c r="A1198" s="5"/>
      <c r="B1198" s="64"/>
      <c r="C1198" s="64"/>
      <c r="D1198" s="64"/>
      <c r="E1198" s="64"/>
      <c r="F1198" s="64"/>
      <c r="G1198" s="149"/>
      <c r="H1198" s="150"/>
      <c r="I1198" s="97"/>
      <c r="J1198" s="97"/>
      <c r="K1198" s="97"/>
      <c r="L1198" s="97"/>
      <c r="M1198" s="97"/>
      <c r="N1198" s="97"/>
      <c r="O1198" s="97"/>
      <c r="P1198" s="97"/>
      <c r="Q1198" s="97"/>
      <c r="R1198" s="97"/>
      <c r="S1198" s="97"/>
      <c r="T1198" s="97"/>
      <c r="U1198" s="97"/>
      <c r="V1198" s="97"/>
      <c r="W1198" s="97"/>
      <c r="X1198" s="97"/>
      <c r="Y1198" s="97"/>
    </row>
    <row r="1199">
      <c r="A1199" s="5"/>
      <c r="B1199" s="64"/>
      <c r="C1199" s="64"/>
      <c r="D1199" s="64"/>
      <c r="E1199" s="64"/>
      <c r="F1199" s="64"/>
      <c r="G1199" s="149"/>
      <c r="H1199" s="150"/>
      <c r="I1199" s="97"/>
      <c r="J1199" s="97"/>
      <c r="K1199" s="97"/>
      <c r="L1199" s="97"/>
      <c r="M1199" s="97"/>
      <c r="N1199" s="97"/>
      <c r="O1199" s="97"/>
      <c r="P1199" s="97"/>
      <c r="Q1199" s="97"/>
      <c r="R1199" s="97"/>
      <c r="S1199" s="97"/>
      <c r="T1199" s="97"/>
      <c r="U1199" s="97"/>
      <c r="V1199" s="97"/>
      <c r="W1199" s="97"/>
      <c r="X1199" s="97"/>
      <c r="Y1199" s="97"/>
    </row>
    <row r="1200">
      <c r="A1200" s="5"/>
      <c r="B1200" s="64"/>
      <c r="C1200" s="64"/>
      <c r="D1200" s="64"/>
      <c r="E1200" s="64"/>
      <c r="F1200" s="64"/>
      <c r="G1200" s="149"/>
      <c r="H1200" s="150"/>
      <c r="I1200" s="97"/>
      <c r="J1200" s="97"/>
      <c r="K1200" s="97"/>
      <c r="L1200" s="97"/>
      <c r="M1200" s="97"/>
      <c r="N1200" s="97"/>
      <c r="O1200" s="97"/>
      <c r="P1200" s="97"/>
      <c r="Q1200" s="97"/>
      <c r="R1200" s="97"/>
      <c r="S1200" s="97"/>
      <c r="T1200" s="97"/>
      <c r="U1200" s="97"/>
      <c r="V1200" s="97"/>
      <c r="W1200" s="97"/>
      <c r="X1200" s="97"/>
      <c r="Y1200" s="97"/>
    </row>
    <row r="1201">
      <c r="A1201" s="5"/>
      <c r="B1201" s="64"/>
      <c r="C1201" s="64"/>
      <c r="D1201" s="64"/>
      <c r="E1201" s="64"/>
      <c r="F1201" s="64"/>
      <c r="G1201" s="149"/>
      <c r="H1201" s="150"/>
      <c r="I1201" s="97"/>
      <c r="J1201" s="97"/>
      <c r="K1201" s="97"/>
      <c r="L1201" s="97"/>
      <c r="M1201" s="97"/>
      <c r="N1201" s="97"/>
      <c r="O1201" s="97"/>
      <c r="P1201" s="97"/>
      <c r="Q1201" s="97"/>
      <c r="R1201" s="97"/>
      <c r="S1201" s="97"/>
      <c r="T1201" s="97"/>
      <c r="U1201" s="97"/>
      <c r="V1201" s="97"/>
      <c r="W1201" s="97"/>
      <c r="X1201" s="97"/>
      <c r="Y1201" s="97"/>
    </row>
    <row r="1202">
      <c r="A1202" s="5"/>
      <c r="B1202" s="64"/>
      <c r="C1202" s="64"/>
      <c r="D1202" s="64"/>
      <c r="E1202" s="64"/>
      <c r="F1202" s="64"/>
      <c r="G1202" s="149"/>
      <c r="H1202" s="150"/>
      <c r="I1202" s="97"/>
      <c r="J1202" s="97"/>
      <c r="K1202" s="97"/>
      <c r="L1202" s="97"/>
      <c r="M1202" s="97"/>
      <c r="N1202" s="97"/>
      <c r="O1202" s="97"/>
      <c r="P1202" s="97"/>
      <c r="Q1202" s="97"/>
      <c r="R1202" s="97"/>
      <c r="S1202" s="97"/>
      <c r="T1202" s="97"/>
      <c r="U1202" s="97"/>
      <c r="V1202" s="97"/>
      <c r="W1202" s="97"/>
      <c r="X1202" s="97"/>
      <c r="Y1202" s="97"/>
    </row>
    <row r="1203">
      <c r="A1203" s="5"/>
      <c r="B1203" s="64"/>
      <c r="C1203" s="64"/>
      <c r="D1203" s="64"/>
      <c r="E1203" s="64"/>
      <c r="F1203" s="64"/>
      <c r="G1203" s="149"/>
      <c r="H1203" s="150"/>
      <c r="I1203" s="97"/>
      <c r="J1203" s="97"/>
      <c r="K1203" s="97"/>
      <c r="L1203" s="97"/>
      <c r="M1203" s="97"/>
      <c r="N1203" s="97"/>
      <c r="O1203" s="97"/>
      <c r="P1203" s="97"/>
      <c r="Q1203" s="97"/>
      <c r="R1203" s="97"/>
      <c r="S1203" s="97"/>
      <c r="T1203" s="97"/>
      <c r="U1203" s="97"/>
      <c r="V1203" s="97"/>
      <c r="W1203" s="97"/>
      <c r="X1203" s="97"/>
      <c r="Y1203" s="97"/>
    </row>
    <row r="1204">
      <c r="A1204" s="5"/>
      <c r="B1204" s="64"/>
      <c r="C1204" s="64"/>
      <c r="D1204" s="64"/>
      <c r="E1204" s="64"/>
      <c r="F1204" s="64"/>
      <c r="G1204" s="149"/>
      <c r="H1204" s="150"/>
      <c r="I1204" s="97"/>
      <c r="J1204" s="97"/>
      <c r="K1204" s="97"/>
      <c r="L1204" s="97"/>
      <c r="M1204" s="97"/>
      <c r="N1204" s="97"/>
      <c r="O1204" s="97"/>
      <c r="P1204" s="97"/>
      <c r="Q1204" s="97"/>
      <c r="R1204" s="97"/>
      <c r="S1204" s="97"/>
      <c r="T1204" s="97"/>
      <c r="U1204" s="97"/>
      <c r="V1204" s="97"/>
      <c r="W1204" s="97"/>
      <c r="X1204" s="97"/>
      <c r="Y1204" s="97"/>
    </row>
    <row r="1205">
      <c r="A1205" s="5"/>
      <c r="B1205" s="64"/>
      <c r="C1205" s="64"/>
      <c r="D1205" s="64"/>
      <c r="E1205" s="64"/>
      <c r="F1205" s="64"/>
      <c r="G1205" s="149"/>
      <c r="H1205" s="150"/>
      <c r="I1205" s="97"/>
      <c r="J1205" s="97"/>
      <c r="K1205" s="97"/>
      <c r="L1205" s="97"/>
      <c r="M1205" s="97"/>
      <c r="N1205" s="97"/>
      <c r="O1205" s="97"/>
      <c r="P1205" s="97"/>
      <c r="Q1205" s="97"/>
      <c r="R1205" s="97"/>
      <c r="S1205" s="97"/>
      <c r="T1205" s="97"/>
      <c r="U1205" s="97"/>
      <c r="V1205" s="97"/>
      <c r="W1205" s="97"/>
      <c r="X1205" s="97"/>
      <c r="Y1205" s="97"/>
    </row>
    <row r="1206">
      <c r="A1206" s="5"/>
      <c r="B1206" s="64"/>
      <c r="C1206" s="64"/>
      <c r="D1206" s="64"/>
      <c r="E1206" s="64"/>
      <c r="F1206" s="64"/>
      <c r="G1206" s="149"/>
      <c r="H1206" s="150"/>
      <c r="I1206" s="97"/>
      <c r="J1206" s="97"/>
      <c r="K1206" s="97"/>
      <c r="L1206" s="97"/>
      <c r="M1206" s="97"/>
      <c r="N1206" s="97"/>
      <c r="O1206" s="97"/>
      <c r="P1206" s="97"/>
      <c r="Q1206" s="97"/>
      <c r="R1206" s="97"/>
      <c r="S1206" s="97"/>
      <c r="T1206" s="97"/>
      <c r="U1206" s="97"/>
      <c r="V1206" s="97"/>
      <c r="W1206" s="97"/>
      <c r="X1206" s="97"/>
      <c r="Y1206" s="97"/>
    </row>
    <row r="1207">
      <c r="A1207" s="5"/>
      <c r="B1207" s="64"/>
      <c r="C1207" s="64"/>
      <c r="D1207" s="64"/>
      <c r="E1207" s="64"/>
      <c r="F1207" s="64"/>
      <c r="G1207" s="149"/>
      <c r="H1207" s="150"/>
      <c r="I1207" s="97"/>
      <c r="J1207" s="97"/>
      <c r="K1207" s="97"/>
      <c r="L1207" s="97"/>
      <c r="M1207" s="97"/>
      <c r="N1207" s="97"/>
      <c r="O1207" s="97"/>
      <c r="P1207" s="97"/>
      <c r="Q1207" s="97"/>
      <c r="R1207" s="97"/>
      <c r="S1207" s="97"/>
      <c r="T1207" s="97"/>
      <c r="U1207" s="97"/>
      <c r="V1207" s="97"/>
      <c r="W1207" s="97"/>
      <c r="X1207" s="97"/>
      <c r="Y1207" s="97"/>
    </row>
    <row r="1208">
      <c r="A1208" s="5"/>
      <c r="B1208" s="64"/>
      <c r="C1208" s="64"/>
      <c r="D1208" s="64"/>
      <c r="E1208" s="64"/>
      <c r="F1208" s="64"/>
      <c r="G1208" s="149"/>
      <c r="H1208" s="150"/>
      <c r="I1208" s="97"/>
      <c r="J1208" s="97"/>
      <c r="K1208" s="97"/>
      <c r="L1208" s="97"/>
      <c r="M1208" s="97"/>
      <c r="N1208" s="97"/>
      <c r="O1208" s="97"/>
      <c r="P1208" s="97"/>
      <c r="Q1208" s="97"/>
      <c r="R1208" s="97"/>
      <c r="S1208" s="97"/>
      <c r="T1208" s="97"/>
      <c r="U1208" s="97"/>
      <c r="V1208" s="97"/>
      <c r="W1208" s="97"/>
      <c r="X1208" s="97"/>
      <c r="Y1208" s="97"/>
    </row>
    <row r="1209">
      <c r="A1209" s="5"/>
      <c r="B1209" s="64"/>
      <c r="C1209" s="64"/>
      <c r="D1209" s="64"/>
      <c r="E1209" s="64"/>
      <c r="F1209" s="64"/>
      <c r="G1209" s="149"/>
      <c r="H1209" s="150"/>
      <c r="I1209" s="97"/>
      <c r="J1209" s="97"/>
      <c r="K1209" s="97"/>
      <c r="L1209" s="97"/>
      <c r="M1209" s="97"/>
      <c r="N1209" s="97"/>
      <c r="O1209" s="97"/>
      <c r="P1209" s="97"/>
      <c r="Q1209" s="97"/>
      <c r="R1209" s="97"/>
      <c r="S1209" s="97"/>
      <c r="T1209" s="97"/>
      <c r="U1209" s="97"/>
      <c r="V1209" s="97"/>
      <c r="W1209" s="97"/>
      <c r="X1209" s="97"/>
      <c r="Y1209" s="97"/>
    </row>
    <row r="1210">
      <c r="A1210" s="5"/>
      <c r="B1210" s="64"/>
      <c r="C1210" s="64"/>
      <c r="D1210" s="64"/>
      <c r="E1210" s="64"/>
      <c r="F1210" s="64"/>
      <c r="G1210" s="149"/>
      <c r="H1210" s="150"/>
      <c r="I1210" s="97"/>
      <c r="J1210" s="97"/>
      <c r="K1210" s="97"/>
      <c r="L1210" s="97"/>
      <c r="M1210" s="97"/>
      <c r="N1210" s="97"/>
      <c r="O1210" s="97"/>
      <c r="P1210" s="97"/>
      <c r="Q1210" s="97"/>
      <c r="R1210" s="97"/>
      <c r="S1210" s="97"/>
      <c r="T1210" s="97"/>
      <c r="U1210" s="97"/>
      <c r="V1210" s="97"/>
      <c r="W1210" s="97"/>
      <c r="X1210" s="97"/>
      <c r="Y1210" s="97"/>
    </row>
    <row r="1211">
      <c r="A1211" s="5"/>
      <c r="B1211" s="64"/>
      <c r="C1211" s="64"/>
      <c r="D1211" s="64"/>
      <c r="E1211" s="64"/>
      <c r="F1211" s="64"/>
      <c r="G1211" s="149"/>
      <c r="H1211" s="150"/>
      <c r="I1211" s="97"/>
      <c r="J1211" s="97"/>
      <c r="K1211" s="97"/>
      <c r="L1211" s="97"/>
      <c r="M1211" s="97"/>
      <c r="N1211" s="97"/>
      <c r="O1211" s="97"/>
      <c r="P1211" s="97"/>
      <c r="Q1211" s="97"/>
      <c r="R1211" s="97"/>
      <c r="S1211" s="97"/>
      <c r="T1211" s="97"/>
      <c r="U1211" s="97"/>
      <c r="V1211" s="97"/>
      <c r="W1211" s="97"/>
      <c r="X1211" s="97"/>
      <c r="Y1211" s="97"/>
    </row>
    <row r="1212">
      <c r="A1212" s="5"/>
      <c r="B1212" s="64"/>
      <c r="C1212" s="64"/>
      <c r="D1212" s="64"/>
      <c r="E1212" s="64"/>
      <c r="F1212" s="64"/>
      <c r="G1212" s="149"/>
      <c r="H1212" s="150"/>
      <c r="I1212" s="97"/>
      <c r="J1212" s="97"/>
      <c r="K1212" s="97"/>
      <c r="L1212" s="97"/>
      <c r="M1212" s="97"/>
      <c r="N1212" s="97"/>
      <c r="O1212" s="97"/>
      <c r="P1212" s="97"/>
      <c r="Q1212" s="97"/>
      <c r="R1212" s="97"/>
      <c r="S1212" s="97"/>
      <c r="T1212" s="97"/>
      <c r="U1212" s="97"/>
      <c r="V1212" s="97"/>
      <c r="W1212" s="97"/>
      <c r="X1212" s="97"/>
      <c r="Y1212" s="97"/>
    </row>
    <row r="1213">
      <c r="A1213" s="5"/>
      <c r="B1213" s="64"/>
      <c r="C1213" s="64"/>
      <c r="D1213" s="64"/>
      <c r="E1213" s="64"/>
      <c r="F1213" s="64"/>
      <c r="G1213" s="149"/>
      <c r="H1213" s="150"/>
      <c r="I1213" s="97"/>
      <c r="J1213" s="97"/>
      <c r="K1213" s="97"/>
      <c r="L1213" s="97"/>
      <c r="M1213" s="97"/>
      <c r="N1213" s="97"/>
      <c r="O1213" s="97"/>
      <c r="P1213" s="97"/>
      <c r="Q1213" s="97"/>
      <c r="R1213" s="97"/>
      <c r="S1213" s="97"/>
      <c r="T1213" s="97"/>
      <c r="U1213" s="97"/>
      <c r="V1213" s="97"/>
      <c r="W1213" s="97"/>
      <c r="X1213" s="97"/>
      <c r="Y1213" s="97"/>
    </row>
    <row r="1214">
      <c r="A1214" s="5"/>
      <c r="B1214" s="64"/>
      <c r="C1214" s="64"/>
      <c r="D1214" s="64"/>
      <c r="E1214" s="64"/>
      <c r="F1214" s="64"/>
      <c r="G1214" s="149"/>
      <c r="H1214" s="150"/>
      <c r="I1214" s="97"/>
      <c r="J1214" s="97"/>
      <c r="K1214" s="97"/>
      <c r="L1214" s="97"/>
      <c r="M1214" s="97"/>
      <c r="N1214" s="97"/>
      <c r="O1214" s="97"/>
      <c r="P1214" s="97"/>
      <c r="Q1214" s="97"/>
      <c r="R1214" s="97"/>
      <c r="S1214" s="97"/>
      <c r="T1214" s="97"/>
      <c r="U1214" s="97"/>
      <c r="V1214" s="97"/>
      <c r="W1214" s="97"/>
      <c r="X1214" s="97"/>
      <c r="Y1214" s="97"/>
    </row>
    <row r="1215">
      <c r="A1215" s="5"/>
      <c r="B1215" s="64"/>
      <c r="C1215" s="64"/>
      <c r="D1215" s="64"/>
      <c r="E1215" s="64"/>
      <c r="F1215" s="64"/>
      <c r="G1215" s="149"/>
      <c r="H1215" s="150"/>
      <c r="I1215" s="97"/>
      <c r="J1215" s="97"/>
      <c r="K1215" s="97"/>
      <c r="L1215" s="97"/>
      <c r="M1215" s="97"/>
      <c r="N1215" s="97"/>
      <c r="O1215" s="97"/>
      <c r="P1215" s="97"/>
      <c r="Q1215" s="97"/>
      <c r="R1215" s="97"/>
      <c r="S1215" s="97"/>
      <c r="T1215" s="97"/>
      <c r="U1215" s="97"/>
      <c r="V1215" s="97"/>
      <c r="W1215" s="97"/>
      <c r="X1215" s="97"/>
      <c r="Y1215" s="97"/>
    </row>
    <row r="1216">
      <c r="A1216" s="5"/>
      <c r="B1216" s="64"/>
      <c r="C1216" s="64"/>
      <c r="D1216" s="64"/>
      <c r="E1216" s="64"/>
      <c r="F1216" s="64"/>
      <c r="G1216" s="149"/>
      <c r="H1216" s="150"/>
      <c r="I1216" s="97"/>
      <c r="J1216" s="97"/>
      <c r="K1216" s="97"/>
      <c r="L1216" s="97"/>
      <c r="M1216" s="97"/>
      <c r="N1216" s="97"/>
      <c r="O1216" s="97"/>
      <c r="P1216" s="97"/>
      <c r="Q1216" s="97"/>
      <c r="R1216" s="97"/>
      <c r="S1216" s="97"/>
      <c r="T1216" s="97"/>
      <c r="U1216" s="97"/>
      <c r="V1216" s="97"/>
      <c r="W1216" s="97"/>
      <c r="X1216" s="97"/>
      <c r="Y1216" s="97"/>
    </row>
    <row r="1217">
      <c r="A1217" s="5"/>
      <c r="B1217" s="64"/>
      <c r="C1217" s="64"/>
      <c r="D1217" s="64"/>
      <c r="E1217" s="64"/>
      <c r="F1217" s="64"/>
      <c r="G1217" s="149"/>
      <c r="H1217" s="150"/>
      <c r="I1217" s="97"/>
      <c r="J1217" s="97"/>
      <c r="K1217" s="97"/>
      <c r="L1217" s="97"/>
      <c r="M1217" s="97"/>
      <c r="N1217" s="97"/>
      <c r="O1217" s="97"/>
      <c r="P1217" s="97"/>
      <c r="Q1217" s="97"/>
      <c r="R1217" s="97"/>
      <c r="S1217" s="97"/>
      <c r="T1217" s="97"/>
      <c r="U1217" s="97"/>
      <c r="V1217" s="97"/>
      <c r="W1217" s="97"/>
      <c r="X1217" s="97"/>
      <c r="Y1217" s="97"/>
    </row>
    <row r="1218">
      <c r="A1218" s="5"/>
      <c r="B1218" s="64"/>
      <c r="C1218" s="64"/>
      <c r="D1218" s="64"/>
      <c r="E1218" s="64"/>
      <c r="F1218" s="64"/>
      <c r="G1218" s="149"/>
      <c r="H1218" s="150"/>
      <c r="I1218" s="97"/>
      <c r="J1218" s="97"/>
      <c r="K1218" s="97"/>
      <c r="L1218" s="97"/>
      <c r="M1218" s="97"/>
      <c r="N1218" s="97"/>
      <c r="O1218" s="97"/>
      <c r="P1218" s="97"/>
      <c r="Q1218" s="97"/>
      <c r="R1218" s="97"/>
      <c r="S1218" s="97"/>
      <c r="T1218" s="97"/>
      <c r="U1218" s="97"/>
      <c r="V1218" s="97"/>
      <c r="W1218" s="97"/>
      <c r="X1218" s="97"/>
      <c r="Y1218" s="97"/>
    </row>
    <row r="1219">
      <c r="A1219" s="5"/>
      <c r="B1219" s="64"/>
      <c r="C1219" s="64"/>
      <c r="D1219" s="64"/>
      <c r="E1219" s="64"/>
      <c r="F1219" s="64"/>
      <c r="G1219" s="149"/>
      <c r="H1219" s="150"/>
      <c r="I1219" s="97"/>
      <c r="J1219" s="97"/>
      <c r="K1219" s="97"/>
      <c r="L1219" s="97"/>
      <c r="M1219" s="97"/>
      <c r="N1219" s="97"/>
      <c r="O1219" s="97"/>
      <c r="P1219" s="97"/>
      <c r="Q1219" s="97"/>
      <c r="R1219" s="97"/>
      <c r="S1219" s="97"/>
      <c r="T1219" s="97"/>
      <c r="U1219" s="97"/>
      <c r="V1219" s="97"/>
      <c r="W1219" s="97"/>
      <c r="X1219" s="97"/>
      <c r="Y1219" s="97"/>
    </row>
    <row r="1220">
      <c r="A1220" s="5"/>
      <c r="B1220" s="64"/>
      <c r="C1220" s="64"/>
      <c r="D1220" s="64"/>
      <c r="E1220" s="64"/>
      <c r="F1220" s="64"/>
      <c r="G1220" s="149"/>
      <c r="H1220" s="150"/>
      <c r="I1220" s="97"/>
      <c r="J1220" s="97"/>
      <c r="K1220" s="97"/>
      <c r="L1220" s="97"/>
      <c r="M1220" s="97"/>
      <c r="N1220" s="97"/>
      <c r="O1220" s="97"/>
      <c r="P1220" s="97"/>
      <c r="Q1220" s="97"/>
      <c r="R1220" s="97"/>
      <c r="S1220" s="97"/>
      <c r="T1220" s="97"/>
      <c r="U1220" s="97"/>
      <c r="V1220" s="97"/>
      <c r="W1220" s="97"/>
      <c r="X1220" s="97"/>
      <c r="Y1220" s="97"/>
    </row>
    <row r="1221">
      <c r="A1221" s="5"/>
      <c r="B1221" s="64"/>
      <c r="C1221" s="64"/>
      <c r="D1221" s="64"/>
      <c r="E1221" s="64"/>
      <c r="F1221" s="64"/>
      <c r="G1221" s="149"/>
      <c r="H1221" s="150"/>
      <c r="I1221" s="97"/>
      <c r="J1221" s="97"/>
      <c r="K1221" s="97"/>
      <c r="L1221" s="97"/>
      <c r="M1221" s="97"/>
      <c r="N1221" s="97"/>
      <c r="O1221" s="97"/>
      <c r="P1221" s="97"/>
      <c r="Q1221" s="97"/>
      <c r="R1221" s="97"/>
      <c r="S1221" s="97"/>
      <c r="T1221" s="97"/>
      <c r="U1221" s="97"/>
      <c r="V1221" s="97"/>
      <c r="W1221" s="97"/>
      <c r="X1221" s="97"/>
      <c r="Y1221" s="97"/>
    </row>
    <row r="1222">
      <c r="A1222" s="5"/>
      <c r="B1222" s="64"/>
      <c r="C1222" s="64"/>
      <c r="D1222" s="64"/>
      <c r="E1222" s="64"/>
      <c r="F1222" s="64"/>
      <c r="G1222" s="149"/>
      <c r="H1222" s="150"/>
      <c r="I1222" s="97"/>
      <c r="J1222" s="97"/>
      <c r="K1222" s="97"/>
      <c r="L1222" s="97"/>
      <c r="M1222" s="97"/>
      <c r="N1222" s="97"/>
      <c r="O1222" s="97"/>
      <c r="P1222" s="97"/>
      <c r="Q1222" s="97"/>
      <c r="R1222" s="97"/>
      <c r="S1222" s="97"/>
      <c r="T1222" s="97"/>
      <c r="U1222" s="97"/>
      <c r="V1222" s="97"/>
      <c r="W1222" s="97"/>
      <c r="X1222" s="97"/>
      <c r="Y1222" s="97"/>
    </row>
    <row r="1223">
      <c r="A1223" s="5"/>
      <c r="B1223" s="64"/>
      <c r="C1223" s="64"/>
      <c r="D1223" s="64"/>
      <c r="E1223" s="64"/>
      <c r="F1223" s="64"/>
      <c r="G1223" s="149"/>
      <c r="H1223" s="150"/>
      <c r="I1223" s="97"/>
      <c r="J1223" s="97"/>
      <c r="K1223" s="97"/>
      <c r="L1223" s="97"/>
      <c r="M1223" s="97"/>
      <c r="N1223" s="97"/>
      <c r="O1223" s="97"/>
      <c r="P1223" s="97"/>
      <c r="Q1223" s="97"/>
      <c r="R1223" s="97"/>
      <c r="S1223" s="97"/>
      <c r="T1223" s="97"/>
      <c r="U1223" s="97"/>
      <c r="V1223" s="97"/>
      <c r="W1223" s="97"/>
      <c r="X1223" s="97"/>
      <c r="Y1223" s="97"/>
    </row>
    <row r="1224">
      <c r="A1224" s="5"/>
      <c r="B1224" s="64"/>
      <c r="C1224" s="64"/>
      <c r="D1224" s="64"/>
      <c r="E1224" s="64"/>
      <c r="F1224" s="64"/>
      <c r="G1224" s="149"/>
      <c r="H1224" s="150"/>
      <c r="I1224" s="97"/>
      <c r="J1224" s="97"/>
      <c r="K1224" s="97"/>
      <c r="L1224" s="97"/>
      <c r="M1224" s="97"/>
      <c r="N1224" s="97"/>
      <c r="O1224" s="97"/>
      <c r="P1224" s="97"/>
      <c r="Q1224" s="97"/>
      <c r="R1224" s="97"/>
      <c r="S1224" s="97"/>
      <c r="T1224" s="97"/>
      <c r="U1224" s="97"/>
      <c r="V1224" s="97"/>
      <c r="W1224" s="97"/>
      <c r="X1224" s="97"/>
      <c r="Y1224" s="97"/>
    </row>
    <row r="1225">
      <c r="A1225" s="5"/>
      <c r="B1225" s="64"/>
      <c r="C1225" s="64"/>
      <c r="D1225" s="64"/>
      <c r="E1225" s="64"/>
      <c r="F1225" s="64"/>
      <c r="G1225" s="149"/>
      <c r="H1225" s="150"/>
      <c r="I1225" s="97"/>
      <c r="J1225" s="97"/>
      <c r="K1225" s="97"/>
      <c r="L1225" s="97"/>
      <c r="M1225" s="97"/>
      <c r="N1225" s="97"/>
      <c r="O1225" s="97"/>
      <c r="P1225" s="97"/>
      <c r="Q1225" s="97"/>
      <c r="R1225" s="97"/>
      <c r="S1225" s="97"/>
      <c r="T1225" s="97"/>
      <c r="U1225" s="97"/>
      <c r="V1225" s="97"/>
      <c r="W1225" s="97"/>
      <c r="X1225" s="97"/>
      <c r="Y1225" s="97"/>
    </row>
    <row r="1226">
      <c r="A1226" s="5"/>
      <c r="B1226" s="64"/>
      <c r="C1226" s="64"/>
      <c r="D1226" s="64"/>
      <c r="E1226" s="64"/>
      <c r="F1226" s="64"/>
      <c r="G1226" s="149"/>
      <c r="H1226" s="150"/>
      <c r="I1226" s="97"/>
      <c r="J1226" s="97"/>
      <c r="K1226" s="97"/>
      <c r="L1226" s="97"/>
      <c r="M1226" s="97"/>
      <c r="N1226" s="97"/>
      <c r="O1226" s="97"/>
      <c r="P1226" s="97"/>
      <c r="Q1226" s="97"/>
      <c r="R1226" s="97"/>
      <c r="S1226" s="97"/>
      <c r="T1226" s="97"/>
      <c r="U1226" s="97"/>
      <c r="V1226" s="97"/>
      <c r="W1226" s="97"/>
      <c r="X1226" s="97"/>
      <c r="Y1226" s="97"/>
    </row>
    <row r="1227">
      <c r="A1227" s="5"/>
      <c r="B1227" s="64"/>
      <c r="C1227" s="64"/>
      <c r="D1227" s="64"/>
      <c r="E1227" s="64"/>
      <c r="F1227" s="64"/>
      <c r="G1227" s="149"/>
      <c r="H1227" s="150"/>
      <c r="I1227" s="97"/>
      <c r="J1227" s="97"/>
      <c r="K1227" s="97"/>
      <c r="L1227" s="97"/>
      <c r="M1227" s="97"/>
      <c r="N1227" s="97"/>
      <c r="O1227" s="97"/>
      <c r="P1227" s="97"/>
      <c r="Q1227" s="97"/>
      <c r="R1227" s="97"/>
      <c r="S1227" s="97"/>
      <c r="T1227" s="97"/>
      <c r="U1227" s="97"/>
      <c r="V1227" s="97"/>
      <c r="W1227" s="97"/>
      <c r="X1227" s="97"/>
      <c r="Y1227" s="97"/>
    </row>
    <row r="1228">
      <c r="A1228" s="5"/>
      <c r="B1228" s="64"/>
      <c r="C1228" s="64"/>
      <c r="D1228" s="64"/>
      <c r="E1228" s="64"/>
      <c r="F1228" s="64"/>
      <c r="G1228" s="149"/>
      <c r="H1228" s="150"/>
      <c r="I1228" s="97"/>
      <c r="J1228" s="97"/>
      <c r="K1228" s="97"/>
      <c r="L1228" s="97"/>
      <c r="M1228" s="97"/>
      <c r="N1228" s="97"/>
      <c r="O1228" s="97"/>
      <c r="P1228" s="97"/>
      <c r="Q1228" s="97"/>
      <c r="R1228" s="97"/>
      <c r="S1228" s="97"/>
      <c r="T1228" s="97"/>
      <c r="U1228" s="97"/>
      <c r="V1228" s="97"/>
      <c r="W1228" s="97"/>
      <c r="X1228" s="97"/>
      <c r="Y1228" s="97"/>
    </row>
    <row r="1229">
      <c r="A1229" s="5"/>
      <c r="B1229" s="64"/>
      <c r="C1229" s="64"/>
      <c r="D1229" s="64"/>
      <c r="E1229" s="64"/>
      <c r="F1229" s="64"/>
      <c r="G1229" s="149"/>
      <c r="H1229" s="150"/>
      <c r="I1229" s="97"/>
      <c r="J1229" s="97"/>
      <c r="K1229" s="97"/>
      <c r="L1229" s="97"/>
      <c r="M1229" s="97"/>
      <c r="N1229" s="97"/>
      <c r="O1229" s="97"/>
      <c r="P1229" s="97"/>
      <c r="Q1229" s="97"/>
      <c r="R1229" s="97"/>
      <c r="S1229" s="97"/>
      <c r="T1229" s="97"/>
      <c r="U1229" s="97"/>
      <c r="V1229" s="97"/>
      <c r="W1229" s="97"/>
      <c r="X1229" s="97"/>
      <c r="Y1229" s="97"/>
    </row>
    <row r="1230">
      <c r="A1230" s="5"/>
      <c r="B1230" s="64"/>
      <c r="C1230" s="64"/>
      <c r="D1230" s="64"/>
      <c r="E1230" s="64"/>
      <c r="F1230" s="64"/>
      <c r="G1230" s="149"/>
      <c r="H1230" s="150"/>
      <c r="I1230" s="97"/>
      <c r="J1230" s="97"/>
      <c r="K1230" s="97"/>
      <c r="L1230" s="97"/>
      <c r="M1230" s="97"/>
      <c r="N1230" s="97"/>
      <c r="O1230" s="97"/>
      <c r="P1230" s="97"/>
      <c r="Q1230" s="97"/>
      <c r="R1230" s="97"/>
      <c r="S1230" s="97"/>
      <c r="T1230" s="97"/>
      <c r="U1230" s="97"/>
      <c r="V1230" s="97"/>
      <c r="W1230" s="97"/>
      <c r="X1230" s="97"/>
      <c r="Y1230" s="97"/>
    </row>
    <row r="1231">
      <c r="A1231" s="5"/>
      <c r="B1231" s="64"/>
      <c r="C1231" s="64"/>
      <c r="D1231" s="64"/>
      <c r="E1231" s="64"/>
      <c r="F1231" s="64"/>
      <c r="G1231" s="149"/>
      <c r="H1231" s="150"/>
      <c r="I1231" s="97"/>
      <c r="J1231" s="97"/>
      <c r="K1231" s="97"/>
      <c r="L1231" s="97"/>
      <c r="M1231" s="97"/>
      <c r="N1231" s="97"/>
      <c r="O1231" s="97"/>
      <c r="P1231" s="97"/>
      <c r="Q1231" s="97"/>
      <c r="R1231" s="97"/>
      <c r="S1231" s="97"/>
      <c r="T1231" s="97"/>
      <c r="U1231" s="97"/>
      <c r="V1231" s="97"/>
      <c r="W1231" s="97"/>
      <c r="X1231" s="97"/>
      <c r="Y1231" s="97"/>
    </row>
    <row r="1232">
      <c r="A1232" s="5"/>
      <c r="B1232" s="64"/>
      <c r="C1232" s="64"/>
      <c r="D1232" s="64"/>
      <c r="E1232" s="64"/>
      <c r="F1232" s="64"/>
      <c r="G1232" s="149"/>
      <c r="H1232" s="150"/>
      <c r="I1232" s="97"/>
      <c r="J1232" s="97"/>
      <c r="K1232" s="97"/>
      <c r="L1232" s="97"/>
      <c r="M1232" s="97"/>
      <c r="N1232" s="97"/>
      <c r="O1232" s="97"/>
      <c r="P1232" s="97"/>
      <c r="Q1232" s="97"/>
      <c r="R1232" s="97"/>
      <c r="S1232" s="97"/>
      <c r="T1232" s="97"/>
      <c r="U1232" s="97"/>
      <c r="V1232" s="97"/>
      <c r="W1232" s="97"/>
      <c r="X1232" s="97"/>
      <c r="Y1232" s="97"/>
    </row>
    <row r="1233">
      <c r="A1233" s="5"/>
      <c r="B1233" s="64"/>
      <c r="C1233" s="64"/>
      <c r="D1233" s="64"/>
      <c r="E1233" s="64"/>
      <c r="F1233" s="64"/>
      <c r="G1233" s="149"/>
      <c r="H1233" s="150"/>
      <c r="I1233" s="97"/>
      <c r="J1233" s="97"/>
      <c r="K1233" s="97"/>
      <c r="L1233" s="97"/>
      <c r="M1233" s="97"/>
      <c r="N1233" s="97"/>
      <c r="O1233" s="97"/>
      <c r="P1233" s="97"/>
      <c r="Q1233" s="97"/>
      <c r="R1233" s="97"/>
      <c r="S1233" s="97"/>
      <c r="T1233" s="97"/>
      <c r="U1233" s="97"/>
      <c r="V1233" s="97"/>
      <c r="W1233" s="97"/>
      <c r="X1233" s="97"/>
      <c r="Y1233" s="97"/>
    </row>
    <row r="1234">
      <c r="A1234" s="5"/>
      <c r="B1234" s="64"/>
      <c r="C1234" s="64"/>
      <c r="D1234" s="64"/>
      <c r="E1234" s="64"/>
      <c r="F1234" s="64"/>
      <c r="G1234" s="149"/>
      <c r="H1234" s="150"/>
      <c r="I1234" s="97"/>
      <c r="J1234" s="97"/>
      <c r="K1234" s="97"/>
      <c r="L1234" s="97"/>
      <c r="M1234" s="97"/>
      <c r="N1234" s="97"/>
      <c r="O1234" s="97"/>
      <c r="P1234" s="97"/>
      <c r="Q1234" s="97"/>
      <c r="R1234" s="97"/>
      <c r="S1234" s="97"/>
      <c r="T1234" s="97"/>
      <c r="U1234" s="97"/>
      <c r="V1234" s="97"/>
      <c r="W1234" s="97"/>
      <c r="X1234" s="97"/>
      <c r="Y1234" s="97"/>
    </row>
    <row r="1235">
      <c r="A1235" s="5"/>
      <c r="B1235" s="64"/>
      <c r="C1235" s="64"/>
      <c r="D1235" s="64"/>
      <c r="E1235" s="64"/>
      <c r="F1235" s="64"/>
      <c r="G1235" s="149"/>
      <c r="H1235" s="150"/>
      <c r="I1235" s="97"/>
      <c r="J1235" s="97"/>
      <c r="K1235" s="97"/>
      <c r="L1235" s="97"/>
      <c r="M1235" s="97"/>
      <c r="N1235" s="97"/>
      <c r="O1235" s="97"/>
      <c r="P1235" s="97"/>
      <c r="Q1235" s="97"/>
      <c r="R1235" s="97"/>
      <c r="S1235" s="97"/>
      <c r="T1235" s="97"/>
      <c r="U1235" s="97"/>
      <c r="V1235" s="97"/>
      <c r="W1235" s="97"/>
      <c r="X1235" s="97"/>
      <c r="Y1235" s="97"/>
    </row>
    <row r="1236">
      <c r="A1236" s="5"/>
      <c r="B1236" s="64"/>
      <c r="C1236" s="64"/>
      <c r="D1236" s="64"/>
      <c r="E1236" s="64"/>
      <c r="F1236" s="64"/>
      <c r="G1236" s="149"/>
      <c r="H1236" s="150"/>
      <c r="I1236" s="97"/>
      <c r="J1236" s="97"/>
      <c r="K1236" s="97"/>
      <c r="L1236" s="97"/>
      <c r="M1236" s="97"/>
      <c r="N1236" s="97"/>
      <c r="O1236" s="97"/>
      <c r="P1236" s="97"/>
      <c r="Q1236" s="97"/>
      <c r="R1236" s="97"/>
      <c r="S1236" s="97"/>
      <c r="T1236" s="97"/>
      <c r="U1236" s="97"/>
      <c r="V1236" s="97"/>
      <c r="W1236" s="97"/>
      <c r="X1236" s="97"/>
      <c r="Y1236" s="97"/>
    </row>
    <row r="1237">
      <c r="A1237" s="5"/>
      <c r="B1237" s="64"/>
      <c r="C1237" s="64"/>
      <c r="D1237" s="64"/>
      <c r="E1237" s="64"/>
      <c r="F1237" s="64"/>
      <c r="G1237" s="149"/>
      <c r="H1237" s="150"/>
      <c r="I1237" s="97"/>
      <c r="J1237" s="97"/>
      <c r="K1237" s="97"/>
      <c r="L1237" s="97"/>
      <c r="M1237" s="97"/>
      <c r="N1237" s="97"/>
      <c r="O1237" s="97"/>
      <c r="P1237" s="97"/>
      <c r="Q1237" s="97"/>
      <c r="R1237" s="97"/>
      <c r="S1237" s="97"/>
      <c r="T1237" s="97"/>
      <c r="U1237" s="97"/>
      <c r="V1237" s="97"/>
      <c r="W1237" s="97"/>
      <c r="X1237" s="97"/>
      <c r="Y1237" s="97"/>
    </row>
    <row r="1238">
      <c r="A1238" s="5"/>
      <c r="B1238" s="64"/>
      <c r="C1238" s="64"/>
      <c r="D1238" s="64"/>
      <c r="E1238" s="64"/>
      <c r="F1238" s="64"/>
      <c r="G1238" s="149"/>
      <c r="H1238" s="150"/>
      <c r="I1238" s="97"/>
      <c r="J1238" s="97"/>
      <c r="K1238" s="97"/>
      <c r="L1238" s="97"/>
      <c r="M1238" s="97"/>
      <c r="N1238" s="97"/>
      <c r="O1238" s="97"/>
      <c r="P1238" s="97"/>
      <c r="Q1238" s="97"/>
      <c r="R1238" s="97"/>
      <c r="S1238" s="97"/>
      <c r="T1238" s="97"/>
      <c r="U1238" s="97"/>
      <c r="V1238" s="97"/>
      <c r="W1238" s="97"/>
      <c r="X1238" s="97"/>
      <c r="Y1238" s="97"/>
    </row>
    <row r="1239">
      <c r="A1239" s="5"/>
      <c r="B1239" s="64"/>
      <c r="C1239" s="64"/>
      <c r="D1239" s="64"/>
      <c r="E1239" s="64"/>
      <c r="F1239" s="64"/>
      <c r="G1239" s="149"/>
      <c r="H1239" s="150"/>
      <c r="I1239" s="97"/>
      <c r="J1239" s="97"/>
      <c r="K1239" s="97"/>
      <c r="L1239" s="97"/>
      <c r="M1239" s="97"/>
      <c r="N1239" s="97"/>
      <c r="O1239" s="97"/>
      <c r="P1239" s="97"/>
      <c r="Q1239" s="97"/>
      <c r="R1239" s="97"/>
      <c r="S1239" s="97"/>
      <c r="T1239" s="97"/>
      <c r="U1239" s="97"/>
      <c r="V1239" s="97"/>
      <c r="W1239" s="97"/>
      <c r="X1239" s="97"/>
      <c r="Y1239" s="97"/>
    </row>
    <row r="1240">
      <c r="A1240" s="5"/>
      <c r="B1240" s="64"/>
      <c r="C1240" s="64"/>
      <c r="D1240" s="64"/>
      <c r="E1240" s="64"/>
      <c r="F1240" s="64"/>
      <c r="G1240" s="149"/>
      <c r="H1240" s="150"/>
      <c r="I1240" s="97"/>
      <c r="J1240" s="97"/>
      <c r="K1240" s="97"/>
      <c r="L1240" s="97"/>
      <c r="M1240" s="97"/>
      <c r="N1240" s="97"/>
      <c r="O1240" s="97"/>
      <c r="P1240" s="97"/>
      <c r="Q1240" s="97"/>
      <c r="R1240" s="97"/>
      <c r="S1240" s="97"/>
      <c r="T1240" s="97"/>
      <c r="U1240" s="97"/>
      <c r="V1240" s="97"/>
      <c r="W1240" s="97"/>
      <c r="X1240" s="97"/>
      <c r="Y1240" s="97"/>
    </row>
    <row r="1241">
      <c r="A1241" s="5"/>
      <c r="B1241" s="64"/>
      <c r="C1241" s="64"/>
      <c r="D1241" s="64"/>
      <c r="E1241" s="64"/>
      <c r="F1241" s="64"/>
      <c r="G1241" s="149"/>
      <c r="H1241" s="150"/>
      <c r="I1241" s="97"/>
      <c r="J1241" s="97"/>
      <c r="K1241" s="97"/>
      <c r="L1241" s="97"/>
      <c r="M1241" s="97"/>
      <c r="N1241" s="97"/>
      <c r="O1241" s="97"/>
      <c r="P1241" s="97"/>
      <c r="Q1241" s="97"/>
      <c r="R1241" s="97"/>
      <c r="S1241" s="97"/>
      <c r="T1241" s="97"/>
      <c r="U1241" s="97"/>
      <c r="V1241" s="97"/>
      <c r="W1241" s="97"/>
      <c r="X1241" s="97"/>
      <c r="Y1241" s="97"/>
    </row>
    <row r="1242">
      <c r="A1242" s="5"/>
      <c r="B1242" s="64"/>
      <c r="C1242" s="64"/>
      <c r="D1242" s="64"/>
      <c r="E1242" s="64"/>
      <c r="F1242" s="64"/>
      <c r="G1242" s="149"/>
      <c r="H1242" s="150"/>
      <c r="I1242" s="97"/>
      <c r="J1242" s="97"/>
      <c r="K1242" s="97"/>
      <c r="L1242" s="97"/>
      <c r="M1242" s="97"/>
      <c r="N1242" s="97"/>
      <c r="O1242" s="97"/>
      <c r="P1242" s="97"/>
      <c r="Q1242" s="97"/>
      <c r="R1242" s="97"/>
      <c r="S1242" s="97"/>
      <c r="T1242" s="97"/>
      <c r="U1242" s="97"/>
      <c r="V1242" s="97"/>
      <c r="W1242" s="97"/>
      <c r="X1242" s="97"/>
      <c r="Y1242" s="97"/>
    </row>
    <row r="1243">
      <c r="A1243" s="5"/>
      <c r="B1243" s="64"/>
      <c r="C1243" s="64"/>
      <c r="D1243" s="64"/>
      <c r="E1243" s="64"/>
      <c r="F1243" s="64"/>
      <c r="G1243" s="149"/>
      <c r="H1243" s="150"/>
      <c r="I1243" s="97"/>
      <c r="J1243" s="97"/>
      <c r="K1243" s="97"/>
      <c r="L1243" s="97"/>
      <c r="M1243" s="97"/>
      <c r="N1243" s="97"/>
      <c r="O1243" s="97"/>
      <c r="P1243" s="97"/>
      <c r="Q1243" s="97"/>
      <c r="R1243" s="97"/>
      <c r="S1243" s="97"/>
      <c r="T1243" s="97"/>
      <c r="U1243" s="97"/>
      <c r="V1243" s="97"/>
      <c r="W1243" s="97"/>
      <c r="X1243" s="97"/>
      <c r="Y1243" s="97"/>
    </row>
    <row r="1244">
      <c r="A1244" s="5"/>
      <c r="B1244" s="64"/>
      <c r="C1244" s="64"/>
      <c r="D1244" s="64"/>
      <c r="E1244" s="64"/>
      <c r="F1244" s="64"/>
      <c r="G1244" s="149"/>
      <c r="H1244" s="150"/>
      <c r="I1244" s="97"/>
      <c r="J1244" s="97"/>
      <c r="K1244" s="97"/>
      <c r="L1244" s="97"/>
      <c r="M1244" s="97"/>
      <c r="N1244" s="97"/>
      <c r="O1244" s="97"/>
      <c r="P1244" s="97"/>
      <c r="Q1244" s="97"/>
      <c r="R1244" s="97"/>
      <c r="S1244" s="97"/>
      <c r="T1244" s="97"/>
      <c r="U1244" s="97"/>
      <c r="V1244" s="97"/>
      <c r="W1244" s="97"/>
      <c r="X1244" s="97"/>
      <c r="Y1244" s="97"/>
    </row>
    <row r="1245">
      <c r="A1245" s="5"/>
      <c r="B1245" s="64"/>
      <c r="C1245" s="64"/>
      <c r="D1245" s="64"/>
      <c r="E1245" s="64"/>
      <c r="F1245" s="64"/>
      <c r="G1245" s="149"/>
      <c r="H1245" s="150"/>
      <c r="I1245" s="97"/>
      <c r="J1245" s="97"/>
      <c r="K1245" s="97"/>
      <c r="L1245" s="97"/>
      <c r="M1245" s="97"/>
      <c r="N1245" s="97"/>
      <c r="O1245" s="97"/>
      <c r="P1245" s="97"/>
      <c r="Q1245" s="97"/>
      <c r="R1245" s="97"/>
      <c r="S1245" s="97"/>
      <c r="T1245" s="97"/>
      <c r="U1245" s="97"/>
      <c r="V1245" s="97"/>
      <c r="W1245" s="97"/>
      <c r="X1245" s="97"/>
      <c r="Y1245" s="97"/>
    </row>
    <row r="1246">
      <c r="A1246" s="5"/>
      <c r="B1246" s="64"/>
      <c r="C1246" s="64"/>
      <c r="D1246" s="64"/>
      <c r="E1246" s="64"/>
      <c r="F1246" s="64"/>
      <c r="G1246" s="149"/>
      <c r="H1246" s="150"/>
      <c r="I1246" s="97"/>
      <c r="J1246" s="97"/>
      <c r="K1246" s="97"/>
      <c r="L1246" s="97"/>
      <c r="M1246" s="97"/>
      <c r="N1246" s="97"/>
      <c r="O1246" s="97"/>
      <c r="P1246" s="97"/>
      <c r="Q1246" s="97"/>
      <c r="R1246" s="97"/>
      <c r="S1246" s="97"/>
      <c r="T1246" s="97"/>
      <c r="U1246" s="97"/>
      <c r="V1246" s="97"/>
      <c r="W1246" s="97"/>
      <c r="X1246" s="97"/>
      <c r="Y1246" s="97"/>
    </row>
    <row r="1247">
      <c r="A1247" s="5"/>
      <c r="B1247" s="64"/>
      <c r="C1247" s="64"/>
      <c r="D1247" s="64"/>
      <c r="E1247" s="64"/>
      <c r="F1247" s="64"/>
      <c r="G1247" s="149"/>
      <c r="H1247" s="150"/>
      <c r="I1247" s="97"/>
      <c r="J1247" s="97"/>
      <c r="K1247" s="97"/>
      <c r="L1247" s="97"/>
      <c r="M1247" s="97"/>
      <c r="N1247" s="97"/>
      <c r="O1247" s="97"/>
      <c r="P1247" s="97"/>
      <c r="Q1247" s="97"/>
      <c r="R1247" s="97"/>
      <c r="S1247" s="97"/>
      <c r="T1247" s="97"/>
      <c r="U1247" s="97"/>
      <c r="V1247" s="97"/>
      <c r="W1247" s="97"/>
      <c r="X1247" s="97"/>
      <c r="Y1247" s="97"/>
    </row>
    <row r="1248">
      <c r="A1248" s="5"/>
      <c r="B1248" s="64"/>
      <c r="C1248" s="64"/>
      <c r="D1248" s="64"/>
      <c r="E1248" s="64"/>
      <c r="F1248" s="64"/>
      <c r="G1248" s="149"/>
      <c r="H1248" s="150"/>
      <c r="I1248" s="97"/>
      <c r="J1248" s="97"/>
      <c r="K1248" s="97"/>
      <c r="L1248" s="97"/>
      <c r="M1248" s="97"/>
      <c r="N1248" s="97"/>
      <c r="O1248" s="97"/>
      <c r="P1248" s="97"/>
      <c r="Q1248" s="97"/>
      <c r="R1248" s="97"/>
      <c r="S1248" s="97"/>
      <c r="T1248" s="97"/>
      <c r="U1248" s="97"/>
      <c r="V1248" s="97"/>
      <c r="W1248" s="97"/>
      <c r="X1248" s="97"/>
      <c r="Y1248" s="97"/>
    </row>
    <row r="1249">
      <c r="A1249" s="5"/>
      <c r="B1249" s="64"/>
      <c r="C1249" s="64"/>
      <c r="D1249" s="64"/>
      <c r="E1249" s="64"/>
      <c r="F1249" s="64"/>
      <c r="G1249" s="149"/>
      <c r="H1249" s="150"/>
      <c r="I1249" s="97"/>
      <c r="J1249" s="97"/>
      <c r="K1249" s="97"/>
      <c r="L1249" s="97"/>
      <c r="M1249" s="97"/>
      <c r="N1249" s="97"/>
      <c r="O1249" s="97"/>
      <c r="P1249" s="97"/>
      <c r="Q1249" s="97"/>
      <c r="R1249" s="97"/>
      <c r="S1249" s="97"/>
      <c r="T1249" s="97"/>
      <c r="U1249" s="97"/>
      <c r="V1249" s="97"/>
      <c r="W1249" s="97"/>
      <c r="X1249" s="97"/>
      <c r="Y1249" s="97"/>
    </row>
    <row r="1250">
      <c r="A1250" s="5"/>
      <c r="B1250" s="64"/>
      <c r="C1250" s="64"/>
      <c r="D1250" s="64"/>
      <c r="E1250" s="64"/>
      <c r="F1250" s="64"/>
      <c r="G1250" s="149"/>
      <c r="H1250" s="150"/>
      <c r="I1250" s="97"/>
      <c r="J1250" s="97"/>
      <c r="K1250" s="97"/>
      <c r="L1250" s="97"/>
      <c r="M1250" s="97"/>
      <c r="N1250" s="97"/>
      <c r="O1250" s="97"/>
      <c r="P1250" s="97"/>
      <c r="Q1250" s="97"/>
      <c r="R1250" s="97"/>
      <c r="S1250" s="97"/>
      <c r="T1250" s="97"/>
      <c r="U1250" s="97"/>
      <c r="V1250" s="97"/>
      <c r="W1250" s="97"/>
      <c r="X1250" s="97"/>
      <c r="Y1250" s="97"/>
    </row>
    <row r="1251">
      <c r="A1251" s="5"/>
      <c r="B1251" s="64"/>
      <c r="C1251" s="64"/>
      <c r="D1251" s="64"/>
      <c r="E1251" s="64"/>
      <c r="F1251" s="64"/>
      <c r="G1251" s="149"/>
      <c r="H1251" s="150"/>
      <c r="I1251" s="97"/>
      <c r="J1251" s="97"/>
      <c r="K1251" s="97"/>
      <c r="L1251" s="97"/>
      <c r="M1251" s="97"/>
      <c r="N1251" s="97"/>
      <c r="O1251" s="97"/>
      <c r="P1251" s="97"/>
      <c r="Q1251" s="97"/>
      <c r="R1251" s="97"/>
      <c r="S1251" s="97"/>
      <c r="T1251" s="97"/>
      <c r="U1251" s="97"/>
      <c r="V1251" s="97"/>
      <c r="W1251" s="97"/>
      <c r="X1251" s="97"/>
      <c r="Y1251" s="97"/>
    </row>
    <row r="1252">
      <c r="A1252" s="5"/>
      <c r="B1252" s="64"/>
      <c r="C1252" s="64"/>
      <c r="D1252" s="64"/>
      <c r="E1252" s="64"/>
      <c r="F1252" s="64"/>
      <c r="G1252" s="149"/>
      <c r="H1252" s="150"/>
      <c r="I1252" s="97"/>
      <c r="J1252" s="97"/>
      <c r="K1252" s="97"/>
      <c r="L1252" s="97"/>
      <c r="M1252" s="97"/>
      <c r="N1252" s="97"/>
      <c r="O1252" s="97"/>
      <c r="P1252" s="97"/>
      <c r="Q1252" s="97"/>
      <c r="R1252" s="97"/>
      <c r="S1252" s="97"/>
      <c r="T1252" s="97"/>
      <c r="U1252" s="97"/>
      <c r="V1252" s="97"/>
      <c r="W1252" s="97"/>
      <c r="X1252" s="97"/>
      <c r="Y1252" s="97"/>
    </row>
    <row r="1253">
      <c r="A1253" s="5"/>
      <c r="B1253" s="64"/>
      <c r="C1253" s="64"/>
      <c r="D1253" s="64"/>
      <c r="E1253" s="64"/>
      <c r="F1253" s="64"/>
      <c r="G1253" s="149"/>
      <c r="H1253" s="150"/>
      <c r="I1253" s="97"/>
      <c r="J1253" s="97"/>
      <c r="K1253" s="97"/>
      <c r="L1253" s="97"/>
      <c r="M1253" s="97"/>
      <c r="N1253" s="97"/>
      <c r="O1253" s="97"/>
      <c r="P1253" s="97"/>
      <c r="Q1253" s="97"/>
      <c r="R1253" s="97"/>
      <c r="S1253" s="97"/>
      <c r="T1253" s="97"/>
      <c r="U1253" s="97"/>
      <c r="V1253" s="97"/>
      <c r="W1253" s="97"/>
      <c r="X1253" s="97"/>
      <c r="Y1253" s="97"/>
    </row>
    <row r="1254">
      <c r="A1254" s="5"/>
      <c r="B1254" s="64"/>
      <c r="C1254" s="64"/>
      <c r="D1254" s="64"/>
      <c r="E1254" s="64"/>
      <c r="F1254" s="64"/>
      <c r="G1254" s="149"/>
      <c r="H1254" s="150"/>
      <c r="I1254" s="97"/>
      <c r="J1254" s="97"/>
      <c r="K1254" s="97"/>
      <c r="L1254" s="97"/>
      <c r="M1254" s="97"/>
      <c r="N1254" s="97"/>
      <c r="O1254" s="97"/>
      <c r="P1254" s="97"/>
      <c r="Q1254" s="97"/>
      <c r="R1254" s="97"/>
      <c r="S1254" s="97"/>
      <c r="T1254" s="97"/>
      <c r="U1254" s="97"/>
      <c r="V1254" s="97"/>
      <c r="W1254" s="97"/>
      <c r="X1254" s="97"/>
      <c r="Y1254" s="97"/>
    </row>
    <row r="1255">
      <c r="A1255" s="5"/>
      <c r="B1255" s="64"/>
      <c r="C1255" s="64"/>
      <c r="D1255" s="64"/>
      <c r="E1255" s="64"/>
      <c r="F1255" s="64"/>
      <c r="G1255" s="149"/>
      <c r="H1255" s="150"/>
      <c r="I1255" s="97"/>
      <c r="J1255" s="97"/>
      <c r="K1255" s="97"/>
      <c r="L1255" s="97"/>
      <c r="M1255" s="97"/>
      <c r="N1255" s="97"/>
      <c r="O1255" s="97"/>
      <c r="P1255" s="97"/>
      <c r="Q1255" s="97"/>
      <c r="R1255" s="97"/>
      <c r="S1255" s="97"/>
      <c r="T1255" s="97"/>
      <c r="U1255" s="97"/>
      <c r="V1255" s="97"/>
      <c r="W1255" s="97"/>
      <c r="X1255" s="97"/>
      <c r="Y1255" s="97"/>
    </row>
    <row r="1256">
      <c r="A1256" s="5"/>
      <c r="B1256" s="64"/>
      <c r="C1256" s="64"/>
      <c r="D1256" s="64"/>
      <c r="E1256" s="64"/>
      <c r="F1256" s="64"/>
      <c r="G1256" s="149"/>
      <c r="H1256" s="150"/>
      <c r="I1256" s="97"/>
      <c r="J1256" s="97"/>
      <c r="K1256" s="97"/>
      <c r="L1256" s="97"/>
      <c r="M1256" s="97"/>
      <c r="N1256" s="97"/>
      <c r="O1256" s="97"/>
      <c r="P1256" s="97"/>
      <c r="Q1256" s="97"/>
      <c r="R1256" s="97"/>
      <c r="S1256" s="97"/>
      <c r="T1256" s="97"/>
      <c r="U1256" s="97"/>
      <c r="V1256" s="97"/>
      <c r="W1256" s="97"/>
      <c r="X1256" s="97"/>
      <c r="Y1256" s="97"/>
    </row>
    <row r="1257">
      <c r="A1257" s="5"/>
      <c r="B1257" s="64"/>
      <c r="C1257" s="64"/>
      <c r="D1257" s="64"/>
      <c r="E1257" s="64"/>
      <c r="F1257" s="64"/>
      <c r="G1257" s="149"/>
      <c r="H1257" s="150"/>
      <c r="I1257" s="97"/>
      <c r="J1257" s="97"/>
      <c r="K1257" s="97"/>
      <c r="L1257" s="97"/>
      <c r="M1257" s="97"/>
      <c r="N1257" s="97"/>
      <c r="O1257" s="97"/>
      <c r="P1257" s="97"/>
      <c r="Q1257" s="97"/>
      <c r="R1257" s="97"/>
      <c r="S1257" s="97"/>
      <c r="T1257" s="97"/>
      <c r="U1257" s="97"/>
      <c r="V1257" s="97"/>
      <c r="W1257" s="97"/>
      <c r="X1257" s="97"/>
      <c r="Y1257" s="97"/>
    </row>
    <row r="1258">
      <c r="A1258" s="5"/>
      <c r="B1258" s="64"/>
      <c r="C1258" s="64"/>
      <c r="D1258" s="64"/>
      <c r="E1258" s="64"/>
      <c r="F1258" s="64"/>
      <c r="G1258" s="149"/>
      <c r="H1258" s="150"/>
      <c r="I1258" s="97"/>
      <c r="J1258" s="97"/>
      <c r="K1258" s="97"/>
      <c r="L1258" s="97"/>
      <c r="M1258" s="97"/>
      <c r="N1258" s="97"/>
      <c r="O1258" s="97"/>
      <c r="P1258" s="97"/>
      <c r="Q1258" s="97"/>
      <c r="R1258" s="97"/>
      <c r="S1258" s="97"/>
      <c r="T1258" s="97"/>
      <c r="U1258" s="97"/>
      <c r="V1258" s="97"/>
      <c r="W1258" s="97"/>
      <c r="X1258" s="97"/>
      <c r="Y1258" s="97"/>
    </row>
    <row r="1259">
      <c r="A1259" s="5"/>
      <c r="B1259" s="64"/>
      <c r="C1259" s="64"/>
      <c r="D1259" s="64"/>
      <c r="E1259" s="64"/>
      <c r="F1259" s="64"/>
      <c r="G1259" s="149"/>
      <c r="H1259" s="150"/>
      <c r="I1259" s="97"/>
      <c r="J1259" s="97"/>
      <c r="K1259" s="97"/>
      <c r="L1259" s="97"/>
      <c r="M1259" s="97"/>
      <c r="N1259" s="97"/>
      <c r="O1259" s="97"/>
      <c r="P1259" s="97"/>
      <c r="Q1259" s="97"/>
      <c r="R1259" s="97"/>
      <c r="S1259" s="97"/>
      <c r="T1259" s="97"/>
      <c r="U1259" s="97"/>
      <c r="V1259" s="97"/>
      <c r="W1259" s="97"/>
      <c r="X1259" s="97"/>
      <c r="Y1259" s="97"/>
    </row>
    <row r="1260">
      <c r="A1260" s="5"/>
      <c r="B1260" s="64"/>
      <c r="C1260" s="64"/>
      <c r="D1260" s="64"/>
      <c r="E1260" s="64"/>
      <c r="F1260" s="64"/>
      <c r="G1260" s="149"/>
      <c r="H1260" s="150"/>
      <c r="I1260" s="97"/>
      <c r="J1260" s="97"/>
      <c r="K1260" s="97"/>
      <c r="L1260" s="97"/>
      <c r="M1260" s="97"/>
      <c r="N1260" s="97"/>
      <c r="O1260" s="97"/>
      <c r="P1260" s="97"/>
      <c r="Q1260" s="97"/>
      <c r="R1260" s="97"/>
      <c r="S1260" s="97"/>
      <c r="T1260" s="97"/>
      <c r="U1260" s="97"/>
      <c r="V1260" s="97"/>
      <c r="W1260" s="97"/>
      <c r="X1260" s="97"/>
      <c r="Y1260" s="97"/>
    </row>
    <row r="1261">
      <c r="A1261" s="5"/>
      <c r="B1261" s="64"/>
      <c r="C1261" s="64"/>
      <c r="D1261" s="64"/>
      <c r="E1261" s="64"/>
      <c r="F1261" s="64"/>
      <c r="G1261" s="149"/>
      <c r="H1261" s="150"/>
      <c r="I1261" s="97"/>
      <c r="J1261" s="97"/>
      <c r="K1261" s="97"/>
      <c r="L1261" s="97"/>
      <c r="M1261" s="97"/>
      <c r="N1261" s="97"/>
      <c r="O1261" s="97"/>
      <c r="P1261" s="97"/>
      <c r="Q1261" s="97"/>
      <c r="R1261" s="97"/>
      <c r="S1261" s="97"/>
      <c r="T1261" s="97"/>
      <c r="U1261" s="97"/>
      <c r="V1261" s="97"/>
      <c r="W1261" s="97"/>
      <c r="X1261" s="97"/>
      <c r="Y1261" s="97"/>
    </row>
    <row r="1262">
      <c r="A1262" s="5"/>
      <c r="B1262" s="64"/>
      <c r="C1262" s="64"/>
      <c r="D1262" s="64"/>
      <c r="E1262" s="64"/>
      <c r="F1262" s="64"/>
      <c r="G1262" s="149"/>
      <c r="H1262" s="150"/>
      <c r="I1262" s="97"/>
      <c r="J1262" s="97"/>
      <c r="K1262" s="97"/>
      <c r="L1262" s="97"/>
      <c r="M1262" s="97"/>
      <c r="N1262" s="97"/>
      <c r="O1262" s="97"/>
      <c r="P1262" s="97"/>
      <c r="Q1262" s="97"/>
      <c r="R1262" s="97"/>
      <c r="S1262" s="97"/>
      <c r="T1262" s="97"/>
      <c r="U1262" s="97"/>
      <c r="V1262" s="97"/>
      <c r="W1262" s="97"/>
      <c r="X1262" s="97"/>
      <c r="Y1262" s="97"/>
    </row>
    <row r="1263">
      <c r="A1263" s="5"/>
      <c r="B1263" s="64"/>
      <c r="C1263" s="64"/>
      <c r="D1263" s="64"/>
      <c r="E1263" s="64"/>
      <c r="F1263" s="64"/>
      <c r="G1263" s="149"/>
      <c r="H1263" s="150"/>
      <c r="I1263" s="97"/>
      <c r="J1263" s="97"/>
      <c r="K1263" s="97"/>
      <c r="L1263" s="97"/>
      <c r="M1263" s="97"/>
      <c r="N1263" s="97"/>
      <c r="O1263" s="97"/>
      <c r="P1263" s="97"/>
      <c r="Q1263" s="97"/>
      <c r="R1263" s="97"/>
      <c r="S1263" s="97"/>
      <c r="T1263" s="97"/>
      <c r="U1263" s="97"/>
      <c r="V1263" s="97"/>
      <c r="W1263" s="97"/>
      <c r="X1263" s="97"/>
      <c r="Y1263" s="97"/>
    </row>
    <row r="1264">
      <c r="A1264" s="5"/>
      <c r="B1264" s="64"/>
      <c r="C1264" s="64"/>
      <c r="D1264" s="64"/>
      <c r="E1264" s="64"/>
      <c r="F1264" s="64"/>
      <c r="G1264" s="149"/>
      <c r="H1264" s="150"/>
      <c r="I1264" s="97"/>
      <c r="J1264" s="97"/>
      <c r="K1264" s="97"/>
      <c r="L1264" s="97"/>
      <c r="M1264" s="97"/>
      <c r="N1264" s="97"/>
      <c r="O1264" s="97"/>
      <c r="P1264" s="97"/>
      <c r="Q1264" s="97"/>
      <c r="R1264" s="97"/>
      <c r="S1264" s="97"/>
      <c r="T1264" s="97"/>
      <c r="U1264" s="97"/>
      <c r="V1264" s="97"/>
      <c r="W1264" s="97"/>
      <c r="X1264" s="97"/>
      <c r="Y1264" s="97"/>
    </row>
    <row r="1265">
      <c r="A1265" s="5"/>
      <c r="B1265" s="64"/>
      <c r="C1265" s="64"/>
      <c r="D1265" s="64"/>
      <c r="E1265" s="64"/>
      <c r="F1265" s="64"/>
      <c r="G1265" s="149"/>
      <c r="H1265" s="150"/>
      <c r="I1265" s="97"/>
      <c r="J1265" s="97"/>
      <c r="K1265" s="97"/>
      <c r="L1265" s="97"/>
      <c r="M1265" s="97"/>
      <c r="N1265" s="97"/>
      <c r="O1265" s="97"/>
      <c r="P1265" s="97"/>
      <c r="Q1265" s="97"/>
      <c r="R1265" s="97"/>
      <c r="S1265" s="97"/>
      <c r="T1265" s="97"/>
      <c r="U1265" s="97"/>
      <c r="V1265" s="97"/>
      <c r="W1265" s="97"/>
      <c r="X1265" s="97"/>
      <c r="Y1265" s="97"/>
    </row>
    <row r="1266">
      <c r="A1266" s="5"/>
      <c r="B1266" s="64"/>
      <c r="C1266" s="64"/>
      <c r="D1266" s="64"/>
      <c r="E1266" s="64"/>
      <c r="F1266" s="64"/>
      <c r="G1266" s="149"/>
      <c r="H1266" s="150"/>
      <c r="I1266" s="97"/>
      <c r="J1266" s="97"/>
      <c r="K1266" s="97"/>
      <c r="L1266" s="97"/>
      <c r="M1266" s="97"/>
      <c r="N1266" s="97"/>
      <c r="O1266" s="97"/>
      <c r="P1266" s="97"/>
      <c r="Q1266" s="97"/>
      <c r="R1266" s="97"/>
      <c r="S1266" s="97"/>
      <c r="T1266" s="97"/>
      <c r="U1266" s="97"/>
      <c r="V1266" s="97"/>
      <c r="W1266" s="97"/>
      <c r="X1266" s="97"/>
      <c r="Y1266" s="97"/>
    </row>
    <row r="1267">
      <c r="A1267" s="5"/>
      <c r="B1267" s="64"/>
      <c r="C1267" s="64"/>
      <c r="D1267" s="64"/>
      <c r="E1267" s="64"/>
      <c r="F1267" s="64"/>
      <c r="G1267" s="149"/>
      <c r="H1267" s="150"/>
      <c r="I1267" s="97"/>
      <c r="J1267" s="97"/>
      <c r="K1267" s="97"/>
      <c r="L1267" s="97"/>
      <c r="M1267" s="97"/>
      <c r="N1267" s="97"/>
      <c r="O1267" s="97"/>
      <c r="P1267" s="97"/>
      <c r="Q1267" s="97"/>
      <c r="R1267" s="97"/>
      <c r="S1267" s="97"/>
      <c r="T1267" s="97"/>
      <c r="U1267" s="97"/>
      <c r="V1267" s="97"/>
      <c r="W1267" s="97"/>
      <c r="X1267" s="97"/>
      <c r="Y1267" s="97"/>
    </row>
    <row r="1268">
      <c r="A1268" s="5"/>
      <c r="B1268" s="64"/>
      <c r="C1268" s="64"/>
      <c r="D1268" s="64"/>
      <c r="E1268" s="64"/>
      <c r="F1268" s="64"/>
      <c r="G1268" s="149"/>
      <c r="H1268" s="150"/>
      <c r="I1268" s="97"/>
      <c r="J1268" s="97"/>
      <c r="K1268" s="97"/>
      <c r="L1268" s="97"/>
      <c r="M1268" s="97"/>
      <c r="N1268" s="97"/>
      <c r="O1268" s="97"/>
      <c r="P1268" s="97"/>
      <c r="Q1268" s="97"/>
      <c r="R1268" s="97"/>
      <c r="S1268" s="97"/>
      <c r="T1268" s="97"/>
      <c r="U1268" s="97"/>
      <c r="V1268" s="97"/>
      <c r="W1268" s="97"/>
      <c r="X1268" s="97"/>
      <c r="Y1268" s="97"/>
    </row>
    <row r="1269">
      <c r="A1269" s="5"/>
      <c r="B1269" s="64"/>
      <c r="C1269" s="64"/>
      <c r="D1269" s="64"/>
      <c r="E1269" s="64"/>
      <c r="F1269" s="64"/>
      <c r="G1269" s="149"/>
      <c r="H1269" s="150"/>
      <c r="I1269" s="97"/>
      <c r="J1269" s="97"/>
      <c r="K1269" s="97"/>
      <c r="L1269" s="97"/>
      <c r="M1269" s="97"/>
      <c r="N1269" s="97"/>
      <c r="O1269" s="97"/>
      <c r="P1269" s="97"/>
      <c r="Q1269" s="97"/>
      <c r="R1269" s="97"/>
      <c r="S1269" s="97"/>
      <c r="T1269" s="97"/>
      <c r="U1269" s="97"/>
      <c r="V1269" s="97"/>
      <c r="W1269" s="97"/>
      <c r="X1269" s="97"/>
      <c r="Y1269" s="97"/>
    </row>
    <row r="1270">
      <c r="A1270" s="5"/>
      <c r="B1270" s="64"/>
      <c r="C1270" s="64"/>
      <c r="D1270" s="64"/>
      <c r="E1270" s="64"/>
      <c r="F1270" s="64"/>
      <c r="G1270" s="149"/>
      <c r="H1270" s="150"/>
      <c r="I1270" s="97"/>
      <c r="J1270" s="97"/>
      <c r="K1270" s="97"/>
      <c r="L1270" s="97"/>
      <c r="M1270" s="97"/>
      <c r="N1270" s="97"/>
      <c r="O1270" s="97"/>
      <c r="P1270" s="97"/>
      <c r="Q1270" s="97"/>
      <c r="R1270" s="97"/>
      <c r="S1270" s="97"/>
      <c r="T1270" s="97"/>
      <c r="U1270" s="97"/>
      <c r="V1270" s="97"/>
      <c r="W1270" s="97"/>
      <c r="X1270" s="97"/>
      <c r="Y1270" s="97"/>
    </row>
    <row r="1271">
      <c r="A1271" s="5"/>
      <c r="B1271" s="64"/>
      <c r="C1271" s="64"/>
      <c r="D1271" s="64"/>
      <c r="E1271" s="64"/>
      <c r="F1271" s="64"/>
      <c r="G1271" s="149"/>
      <c r="H1271" s="150"/>
      <c r="I1271" s="97"/>
      <c r="J1271" s="97"/>
      <c r="K1271" s="97"/>
      <c r="L1271" s="97"/>
      <c r="M1271" s="97"/>
      <c r="N1271" s="97"/>
      <c r="O1271" s="97"/>
      <c r="P1271" s="97"/>
      <c r="Q1271" s="97"/>
      <c r="R1271" s="97"/>
      <c r="S1271" s="97"/>
      <c r="T1271" s="97"/>
      <c r="U1271" s="97"/>
      <c r="V1271" s="97"/>
      <c r="W1271" s="97"/>
      <c r="X1271" s="97"/>
      <c r="Y1271" s="97"/>
    </row>
    <row r="1272">
      <c r="A1272" s="5"/>
      <c r="B1272" s="64"/>
      <c r="C1272" s="64"/>
      <c r="D1272" s="64"/>
      <c r="E1272" s="64"/>
      <c r="F1272" s="64"/>
      <c r="G1272" s="149"/>
      <c r="H1272" s="150"/>
      <c r="I1272" s="97"/>
      <c r="J1272" s="97"/>
      <c r="K1272" s="97"/>
      <c r="L1272" s="97"/>
      <c r="M1272" s="97"/>
      <c r="N1272" s="97"/>
      <c r="O1272" s="97"/>
      <c r="P1272" s="97"/>
      <c r="Q1272" s="97"/>
      <c r="R1272" s="97"/>
      <c r="S1272" s="97"/>
      <c r="T1272" s="97"/>
      <c r="U1272" s="97"/>
      <c r="V1272" s="97"/>
      <c r="W1272" s="97"/>
      <c r="X1272" s="97"/>
      <c r="Y1272" s="97"/>
    </row>
    <row r="1273">
      <c r="A1273" s="5"/>
      <c r="B1273" s="64"/>
      <c r="C1273" s="64"/>
      <c r="D1273" s="64"/>
      <c r="E1273" s="64"/>
      <c r="F1273" s="64"/>
      <c r="G1273" s="149"/>
      <c r="H1273" s="150"/>
      <c r="I1273" s="97"/>
      <c r="J1273" s="97"/>
      <c r="K1273" s="97"/>
      <c r="L1273" s="97"/>
      <c r="M1273" s="97"/>
      <c r="N1273" s="97"/>
      <c r="O1273" s="97"/>
      <c r="P1273" s="97"/>
      <c r="Q1273" s="97"/>
      <c r="R1273" s="97"/>
      <c r="S1273" s="97"/>
      <c r="T1273" s="97"/>
      <c r="U1273" s="97"/>
      <c r="V1273" s="97"/>
      <c r="W1273" s="97"/>
      <c r="X1273" s="97"/>
      <c r="Y1273" s="97"/>
    </row>
    <row r="1274">
      <c r="A1274" s="5"/>
      <c r="B1274" s="64"/>
      <c r="C1274" s="64"/>
      <c r="D1274" s="64"/>
      <c r="E1274" s="64"/>
      <c r="F1274" s="64"/>
      <c r="G1274" s="149"/>
      <c r="H1274" s="150"/>
      <c r="I1274" s="97"/>
      <c r="J1274" s="97"/>
      <c r="K1274" s="97"/>
      <c r="L1274" s="97"/>
      <c r="M1274" s="97"/>
      <c r="N1274" s="97"/>
      <c r="O1274" s="97"/>
      <c r="P1274" s="97"/>
      <c r="Q1274" s="97"/>
      <c r="R1274" s="97"/>
      <c r="S1274" s="97"/>
      <c r="T1274" s="97"/>
      <c r="U1274" s="97"/>
      <c r="V1274" s="97"/>
      <c r="W1274" s="97"/>
      <c r="X1274" s="97"/>
      <c r="Y1274" s="97"/>
    </row>
    <row r="1275">
      <c r="A1275" s="5"/>
      <c r="B1275" s="64"/>
      <c r="C1275" s="64"/>
      <c r="D1275" s="64"/>
      <c r="E1275" s="64"/>
      <c r="F1275" s="64"/>
      <c r="G1275" s="149"/>
      <c r="H1275" s="150"/>
      <c r="I1275" s="97"/>
      <c r="J1275" s="97"/>
      <c r="K1275" s="97"/>
      <c r="L1275" s="97"/>
      <c r="M1275" s="97"/>
      <c r="N1275" s="97"/>
      <c r="O1275" s="97"/>
      <c r="P1275" s="97"/>
      <c r="Q1275" s="97"/>
      <c r="R1275" s="97"/>
      <c r="S1275" s="97"/>
      <c r="T1275" s="97"/>
      <c r="U1275" s="97"/>
      <c r="V1275" s="97"/>
      <c r="W1275" s="97"/>
      <c r="X1275" s="97"/>
      <c r="Y1275" s="97"/>
    </row>
    <row r="1276">
      <c r="A1276" s="5"/>
      <c r="B1276" s="64"/>
      <c r="C1276" s="64"/>
      <c r="D1276" s="64"/>
      <c r="E1276" s="64"/>
      <c r="F1276" s="64"/>
      <c r="G1276" s="149"/>
      <c r="H1276" s="150"/>
      <c r="I1276" s="97"/>
      <c r="J1276" s="97"/>
      <c r="K1276" s="97"/>
      <c r="L1276" s="97"/>
      <c r="M1276" s="97"/>
      <c r="N1276" s="97"/>
      <c r="O1276" s="97"/>
      <c r="P1276" s="97"/>
      <c r="Q1276" s="97"/>
      <c r="R1276" s="97"/>
      <c r="S1276" s="97"/>
      <c r="T1276" s="97"/>
      <c r="U1276" s="97"/>
      <c r="V1276" s="97"/>
      <c r="W1276" s="97"/>
      <c r="X1276" s="97"/>
      <c r="Y1276" s="97"/>
    </row>
    <row r="1277">
      <c r="A1277" s="5"/>
      <c r="B1277" s="64"/>
      <c r="C1277" s="64"/>
      <c r="D1277" s="64"/>
      <c r="E1277" s="64"/>
      <c r="F1277" s="64"/>
      <c r="G1277" s="149"/>
      <c r="H1277" s="150"/>
      <c r="I1277" s="97"/>
      <c r="J1277" s="97"/>
      <c r="K1277" s="97"/>
      <c r="L1277" s="97"/>
      <c r="M1277" s="97"/>
      <c r="N1277" s="97"/>
      <c r="O1277" s="97"/>
      <c r="P1277" s="97"/>
      <c r="Q1277" s="97"/>
      <c r="R1277" s="97"/>
      <c r="S1277" s="97"/>
      <c r="T1277" s="97"/>
      <c r="U1277" s="97"/>
      <c r="V1277" s="97"/>
      <c r="W1277" s="97"/>
      <c r="X1277" s="97"/>
      <c r="Y1277" s="97"/>
    </row>
    <row r="1278">
      <c r="A1278" s="5"/>
      <c r="B1278" s="64"/>
      <c r="C1278" s="64"/>
      <c r="D1278" s="64"/>
      <c r="E1278" s="64"/>
      <c r="F1278" s="64"/>
      <c r="G1278" s="149"/>
      <c r="H1278" s="150"/>
      <c r="I1278" s="97"/>
      <c r="J1278" s="97"/>
      <c r="K1278" s="97"/>
      <c r="L1278" s="97"/>
      <c r="M1278" s="97"/>
      <c r="N1278" s="97"/>
      <c r="O1278" s="97"/>
      <c r="P1278" s="97"/>
      <c r="Q1278" s="97"/>
      <c r="R1278" s="97"/>
      <c r="S1278" s="97"/>
      <c r="T1278" s="97"/>
      <c r="U1278" s="97"/>
      <c r="V1278" s="97"/>
      <c r="W1278" s="97"/>
      <c r="X1278" s="97"/>
      <c r="Y1278" s="97"/>
    </row>
    <row r="1279">
      <c r="A1279" s="5"/>
      <c r="B1279" s="64"/>
      <c r="C1279" s="64"/>
      <c r="D1279" s="64"/>
      <c r="E1279" s="64"/>
      <c r="F1279" s="64"/>
      <c r="G1279" s="149"/>
      <c r="H1279" s="150"/>
      <c r="I1279" s="97"/>
      <c r="J1279" s="97"/>
      <c r="K1279" s="97"/>
      <c r="L1279" s="97"/>
      <c r="M1279" s="97"/>
      <c r="N1279" s="97"/>
      <c r="O1279" s="97"/>
      <c r="P1279" s="97"/>
      <c r="Q1279" s="97"/>
      <c r="R1279" s="97"/>
      <c r="S1279" s="97"/>
      <c r="T1279" s="97"/>
      <c r="U1279" s="97"/>
      <c r="V1279" s="97"/>
      <c r="W1279" s="97"/>
      <c r="X1279" s="97"/>
      <c r="Y1279" s="97"/>
    </row>
    <row r="1280">
      <c r="A1280" s="5"/>
      <c r="B1280" s="64"/>
      <c r="C1280" s="64"/>
      <c r="D1280" s="64"/>
      <c r="E1280" s="64"/>
      <c r="F1280" s="64"/>
      <c r="G1280" s="149"/>
      <c r="H1280" s="150"/>
      <c r="I1280" s="97"/>
      <c r="J1280" s="97"/>
      <c r="K1280" s="97"/>
      <c r="L1280" s="97"/>
      <c r="M1280" s="97"/>
      <c r="N1280" s="97"/>
      <c r="O1280" s="97"/>
      <c r="P1280" s="97"/>
      <c r="Q1280" s="97"/>
      <c r="R1280" s="97"/>
      <c r="S1280" s="97"/>
      <c r="T1280" s="97"/>
      <c r="U1280" s="97"/>
      <c r="V1280" s="97"/>
      <c r="W1280" s="97"/>
      <c r="X1280" s="97"/>
      <c r="Y1280" s="97"/>
    </row>
    <row r="1281">
      <c r="A1281" s="5"/>
      <c r="B1281" s="64"/>
      <c r="C1281" s="64"/>
      <c r="D1281" s="64"/>
      <c r="E1281" s="64"/>
      <c r="F1281" s="64"/>
      <c r="G1281" s="149"/>
      <c r="H1281" s="150"/>
      <c r="I1281" s="97"/>
      <c r="J1281" s="97"/>
      <c r="K1281" s="97"/>
      <c r="L1281" s="97"/>
      <c r="M1281" s="97"/>
      <c r="N1281" s="97"/>
      <c r="O1281" s="97"/>
      <c r="P1281" s="97"/>
      <c r="Q1281" s="97"/>
      <c r="R1281" s="97"/>
      <c r="S1281" s="97"/>
      <c r="T1281" s="97"/>
      <c r="U1281" s="97"/>
      <c r="V1281" s="97"/>
      <c r="W1281" s="97"/>
      <c r="X1281" s="97"/>
      <c r="Y1281" s="97"/>
    </row>
    <row r="1282">
      <c r="A1282" s="5"/>
      <c r="B1282" s="64"/>
      <c r="C1282" s="64"/>
      <c r="D1282" s="64"/>
      <c r="E1282" s="64"/>
      <c r="F1282" s="64"/>
      <c r="G1282" s="149"/>
      <c r="H1282" s="150"/>
      <c r="I1282" s="97"/>
      <c r="J1282" s="97"/>
      <c r="K1282" s="97"/>
      <c r="L1282" s="97"/>
      <c r="M1282" s="97"/>
      <c r="N1282" s="97"/>
      <c r="O1282" s="97"/>
      <c r="P1282" s="97"/>
      <c r="Q1282" s="97"/>
      <c r="R1282" s="97"/>
      <c r="S1282" s="97"/>
      <c r="T1282" s="97"/>
      <c r="U1282" s="97"/>
      <c r="V1282" s="97"/>
      <c r="W1282" s="97"/>
      <c r="X1282" s="97"/>
      <c r="Y1282" s="97"/>
    </row>
    <row r="1283">
      <c r="A1283" s="5"/>
      <c r="B1283" s="64"/>
      <c r="C1283" s="64"/>
      <c r="D1283" s="64"/>
      <c r="E1283" s="64"/>
      <c r="F1283" s="64"/>
      <c r="G1283" s="149"/>
      <c r="H1283" s="150"/>
      <c r="I1283" s="97"/>
      <c r="J1283" s="97"/>
      <c r="K1283" s="97"/>
      <c r="L1283" s="97"/>
      <c r="M1283" s="97"/>
      <c r="N1283" s="97"/>
      <c r="O1283" s="97"/>
      <c r="P1283" s="97"/>
      <c r="Q1283" s="97"/>
      <c r="R1283" s="97"/>
      <c r="S1283" s="97"/>
      <c r="T1283" s="97"/>
      <c r="U1283" s="97"/>
      <c r="V1283" s="97"/>
      <c r="W1283" s="97"/>
      <c r="X1283" s="97"/>
      <c r="Y1283" s="97"/>
    </row>
    <row r="1284">
      <c r="A1284" s="5"/>
      <c r="B1284" s="64"/>
      <c r="C1284" s="64"/>
      <c r="D1284" s="64"/>
      <c r="E1284" s="64"/>
      <c r="F1284" s="64"/>
      <c r="G1284" s="149"/>
      <c r="H1284" s="150"/>
      <c r="I1284" s="97"/>
      <c r="J1284" s="97"/>
      <c r="K1284" s="97"/>
      <c r="L1284" s="97"/>
      <c r="M1284" s="97"/>
      <c r="N1284" s="97"/>
      <c r="O1284" s="97"/>
      <c r="P1284" s="97"/>
      <c r="Q1284" s="97"/>
      <c r="R1284" s="97"/>
      <c r="S1284" s="97"/>
      <c r="T1284" s="97"/>
      <c r="U1284" s="97"/>
      <c r="V1284" s="97"/>
      <c r="W1284" s="97"/>
      <c r="X1284" s="97"/>
      <c r="Y1284" s="97"/>
    </row>
    <row r="1285">
      <c r="A1285" s="5"/>
      <c r="B1285" s="64"/>
      <c r="C1285" s="64"/>
      <c r="D1285" s="64"/>
      <c r="E1285" s="64"/>
      <c r="F1285" s="64"/>
      <c r="G1285" s="149"/>
      <c r="H1285" s="150"/>
      <c r="I1285" s="97"/>
      <c r="J1285" s="97"/>
      <c r="K1285" s="97"/>
      <c r="L1285" s="97"/>
      <c r="M1285" s="97"/>
      <c r="N1285" s="97"/>
      <c r="O1285" s="97"/>
      <c r="P1285" s="97"/>
      <c r="Q1285" s="97"/>
      <c r="R1285" s="97"/>
      <c r="S1285" s="97"/>
      <c r="T1285" s="97"/>
      <c r="U1285" s="97"/>
      <c r="V1285" s="97"/>
      <c r="W1285" s="97"/>
      <c r="X1285" s="97"/>
      <c r="Y1285" s="97"/>
    </row>
    <row r="1286">
      <c r="A1286" s="5"/>
      <c r="B1286" s="64"/>
      <c r="C1286" s="64"/>
      <c r="D1286" s="64"/>
      <c r="E1286" s="64"/>
      <c r="F1286" s="64"/>
      <c r="G1286" s="149"/>
      <c r="H1286" s="150"/>
      <c r="I1286" s="97"/>
      <c r="J1286" s="97"/>
      <c r="K1286" s="97"/>
      <c r="L1286" s="97"/>
      <c r="M1286" s="97"/>
      <c r="N1286" s="97"/>
      <c r="O1286" s="97"/>
      <c r="P1286" s="97"/>
      <c r="Q1286" s="97"/>
      <c r="R1286" s="97"/>
      <c r="S1286" s="97"/>
      <c r="T1286" s="97"/>
      <c r="U1286" s="97"/>
      <c r="V1286" s="97"/>
      <c r="W1286" s="97"/>
      <c r="X1286" s="97"/>
      <c r="Y1286" s="97"/>
    </row>
    <row r="1287">
      <c r="A1287" s="5"/>
      <c r="B1287" s="64"/>
      <c r="C1287" s="64"/>
      <c r="D1287" s="64"/>
      <c r="E1287" s="64"/>
      <c r="F1287" s="64"/>
      <c r="G1287" s="149"/>
      <c r="H1287" s="150"/>
      <c r="I1287" s="97"/>
      <c r="J1287" s="97"/>
      <c r="K1287" s="97"/>
      <c r="L1287" s="97"/>
      <c r="M1287" s="97"/>
      <c r="N1287" s="97"/>
      <c r="O1287" s="97"/>
      <c r="P1287" s="97"/>
      <c r="Q1287" s="97"/>
      <c r="R1287" s="97"/>
      <c r="S1287" s="97"/>
      <c r="T1287" s="97"/>
      <c r="U1287" s="97"/>
      <c r="V1287" s="97"/>
      <c r="W1287" s="97"/>
      <c r="X1287" s="97"/>
      <c r="Y1287" s="97"/>
    </row>
    <row r="1288">
      <c r="A1288" s="5"/>
      <c r="B1288" s="64"/>
      <c r="C1288" s="64"/>
      <c r="D1288" s="64"/>
      <c r="E1288" s="64"/>
      <c r="F1288" s="64"/>
      <c r="G1288" s="149"/>
      <c r="H1288" s="150"/>
      <c r="I1288" s="97"/>
      <c r="J1288" s="97"/>
      <c r="K1288" s="97"/>
      <c r="L1288" s="97"/>
      <c r="M1288" s="97"/>
      <c r="N1288" s="97"/>
      <c r="O1288" s="97"/>
      <c r="P1288" s="97"/>
      <c r="Q1288" s="97"/>
      <c r="R1288" s="97"/>
      <c r="S1288" s="97"/>
      <c r="T1288" s="97"/>
      <c r="U1288" s="97"/>
      <c r="V1288" s="97"/>
      <c r="W1288" s="97"/>
      <c r="X1288" s="97"/>
      <c r="Y1288" s="97"/>
    </row>
    <row r="1289">
      <c r="A1289" s="5"/>
      <c r="B1289" s="64"/>
      <c r="C1289" s="64"/>
      <c r="D1289" s="64"/>
      <c r="E1289" s="64"/>
      <c r="F1289" s="64"/>
      <c r="G1289" s="149"/>
      <c r="H1289" s="150"/>
      <c r="I1289" s="97"/>
      <c r="J1289" s="97"/>
      <c r="K1289" s="97"/>
      <c r="L1289" s="97"/>
      <c r="M1289" s="97"/>
      <c r="N1289" s="97"/>
      <c r="O1289" s="97"/>
      <c r="P1289" s="97"/>
      <c r="Q1289" s="97"/>
      <c r="R1289" s="97"/>
      <c r="S1289" s="97"/>
      <c r="T1289" s="97"/>
      <c r="U1289" s="97"/>
      <c r="V1289" s="97"/>
      <c r="W1289" s="97"/>
      <c r="X1289" s="97"/>
      <c r="Y1289" s="97"/>
    </row>
    <row r="1290">
      <c r="A1290" s="5"/>
      <c r="B1290" s="64"/>
      <c r="C1290" s="64"/>
      <c r="D1290" s="64"/>
      <c r="E1290" s="64"/>
      <c r="F1290" s="64"/>
      <c r="G1290" s="149"/>
      <c r="H1290" s="150"/>
      <c r="I1290" s="97"/>
      <c r="J1290" s="97"/>
      <c r="K1290" s="97"/>
      <c r="L1290" s="97"/>
      <c r="M1290" s="97"/>
      <c r="N1290" s="97"/>
      <c r="O1290" s="97"/>
      <c r="P1290" s="97"/>
      <c r="Q1290" s="97"/>
      <c r="R1290" s="97"/>
      <c r="S1290" s="97"/>
      <c r="T1290" s="97"/>
      <c r="U1290" s="97"/>
      <c r="V1290" s="97"/>
      <c r="W1290" s="97"/>
      <c r="X1290" s="97"/>
      <c r="Y1290" s="97"/>
    </row>
    <row r="1291">
      <c r="A1291" s="5"/>
      <c r="B1291" s="64"/>
      <c r="C1291" s="64"/>
      <c r="D1291" s="64"/>
      <c r="E1291" s="64"/>
      <c r="F1291" s="64"/>
      <c r="G1291" s="149"/>
      <c r="H1291" s="150"/>
      <c r="I1291" s="97"/>
      <c r="J1291" s="97"/>
      <c r="K1291" s="97"/>
      <c r="L1291" s="97"/>
      <c r="M1291" s="97"/>
      <c r="N1291" s="97"/>
      <c r="O1291" s="97"/>
      <c r="P1291" s="97"/>
      <c r="Q1291" s="97"/>
      <c r="R1291" s="97"/>
      <c r="S1291" s="97"/>
      <c r="T1291" s="97"/>
      <c r="U1291" s="97"/>
      <c r="V1291" s="97"/>
      <c r="W1291" s="97"/>
      <c r="X1291" s="97"/>
      <c r="Y1291" s="97"/>
    </row>
    <row r="1292">
      <c r="A1292" s="5"/>
      <c r="B1292" s="64"/>
      <c r="C1292" s="64"/>
      <c r="D1292" s="64"/>
      <c r="E1292" s="64"/>
      <c r="F1292" s="64"/>
      <c r="G1292" s="149"/>
      <c r="H1292" s="150"/>
      <c r="I1292" s="97"/>
      <c r="J1292" s="97"/>
      <c r="K1292" s="97"/>
      <c r="L1292" s="97"/>
      <c r="M1292" s="97"/>
      <c r="N1292" s="97"/>
      <c r="O1292" s="97"/>
      <c r="P1292" s="97"/>
      <c r="Q1292" s="97"/>
      <c r="R1292" s="97"/>
      <c r="S1292" s="97"/>
      <c r="T1292" s="97"/>
      <c r="U1292" s="97"/>
      <c r="V1292" s="97"/>
      <c r="W1292" s="97"/>
      <c r="X1292" s="97"/>
      <c r="Y1292" s="97"/>
    </row>
    <row r="1293">
      <c r="A1293" s="5"/>
      <c r="B1293" s="64"/>
      <c r="C1293" s="64"/>
      <c r="D1293" s="64"/>
      <c r="E1293" s="64"/>
      <c r="F1293" s="64"/>
      <c r="G1293" s="149"/>
      <c r="H1293" s="150"/>
      <c r="I1293" s="97"/>
      <c r="J1293" s="97"/>
      <c r="K1293" s="97"/>
      <c r="L1293" s="97"/>
      <c r="M1293" s="97"/>
      <c r="N1293" s="97"/>
      <c r="O1293" s="97"/>
      <c r="P1293" s="97"/>
      <c r="Q1293" s="97"/>
      <c r="R1293" s="97"/>
      <c r="S1293" s="97"/>
      <c r="T1293" s="97"/>
      <c r="U1293" s="97"/>
      <c r="V1293" s="97"/>
      <c r="W1293" s="97"/>
      <c r="X1293" s="97"/>
      <c r="Y1293" s="97"/>
    </row>
    <row r="1294">
      <c r="A1294" s="5"/>
      <c r="B1294" s="64"/>
      <c r="C1294" s="64"/>
      <c r="D1294" s="64"/>
      <c r="E1294" s="64"/>
      <c r="F1294" s="64"/>
      <c r="G1294" s="149"/>
      <c r="H1294" s="150"/>
      <c r="I1294" s="97"/>
      <c r="J1294" s="97"/>
      <c r="K1294" s="97"/>
      <c r="L1294" s="97"/>
      <c r="M1294" s="97"/>
      <c r="N1294" s="97"/>
      <c r="O1294" s="97"/>
      <c r="P1294" s="97"/>
      <c r="Q1294" s="97"/>
      <c r="R1294" s="97"/>
      <c r="S1294" s="97"/>
      <c r="T1294" s="97"/>
      <c r="U1294" s="97"/>
      <c r="V1294" s="97"/>
      <c r="W1294" s="97"/>
      <c r="X1294" s="97"/>
      <c r="Y1294" s="97"/>
    </row>
    <row r="1295">
      <c r="A1295" s="5"/>
      <c r="B1295" s="64"/>
      <c r="C1295" s="64"/>
      <c r="D1295" s="64"/>
      <c r="E1295" s="64"/>
      <c r="F1295" s="64"/>
      <c r="G1295" s="149"/>
      <c r="H1295" s="150"/>
      <c r="I1295" s="97"/>
      <c r="J1295" s="97"/>
      <c r="K1295" s="97"/>
      <c r="L1295" s="97"/>
      <c r="M1295" s="97"/>
      <c r="N1295" s="97"/>
      <c r="O1295" s="97"/>
      <c r="P1295" s="97"/>
      <c r="Q1295" s="97"/>
      <c r="R1295" s="97"/>
      <c r="S1295" s="97"/>
      <c r="T1295" s="97"/>
      <c r="U1295" s="97"/>
      <c r="V1295" s="97"/>
      <c r="W1295" s="97"/>
      <c r="X1295" s="97"/>
      <c r="Y1295" s="97"/>
    </row>
    <row r="1296">
      <c r="A1296" s="5"/>
      <c r="B1296" s="64"/>
      <c r="C1296" s="64"/>
      <c r="D1296" s="64"/>
      <c r="E1296" s="64"/>
      <c r="F1296" s="64"/>
      <c r="G1296" s="149"/>
      <c r="H1296" s="150"/>
      <c r="I1296" s="97"/>
      <c r="J1296" s="97"/>
      <c r="K1296" s="97"/>
      <c r="L1296" s="97"/>
      <c r="M1296" s="97"/>
      <c r="N1296" s="97"/>
      <c r="O1296" s="97"/>
      <c r="P1296" s="97"/>
      <c r="Q1296" s="97"/>
      <c r="R1296" s="97"/>
      <c r="S1296" s="97"/>
      <c r="T1296" s="97"/>
      <c r="U1296" s="97"/>
      <c r="V1296" s="97"/>
      <c r="W1296" s="97"/>
      <c r="X1296" s="97"/>
      <c r="Y1296" s="97"/>
    </row>
    <row r="1297">
      <c r="A1297" s="5"/>
      <c r="B1297" s="64"/>
      <c r="C1297" s="64"/>
      <c r="D1297" s="64"/>
      <c r="E1297" s="64"/>
      <c r="F1297" s="64"/>
      <c r="G1297" s="149"/>
      <c r="H1297" s="150"/>
      <c r="I1297" s="97"/>
      <c r="J1297" s="97"/>
      <c r="K1297" s="97"/>
      <c r="L1297" s="97"/>
      <c r="M1297" s="97"/>
      <c r="N1297" s="97"/>
      <c r="O1297" s="97"/>
      <c r="P1297" s="97"/>
      <c r="Q1297" s="97"/>
      <c r="R1297" s="97"/>
      <c r="S1297" s="97"/>
      <c r="T1297" s="97"/>
      <c r="U1297" s="97"/>
      <c r="V1297" s="97"/>
      <c r="W1297" s="97"/>
      <c r="X1297" s="97"/>
      <c r="Y1297" s="97"/>
    </row>
    <row r="1298">
      <c r="A1298" s="5"/>
      <c r="B1298" s="64"/>
      <c r="C1298" s="64"/>
      <c r="D1298" s="64"/>
      <c r="E1298" s="64"/>
      <c r="F1298" s="64"/>
      <c r="G1298" s="149"/>
      <c r="H1298" s="150"/>
      <c r="I1298" s="97"/>
      <c r="J1298" s="97"/>
      <c r="K1298" s="97"/>
      <c r="L1298" s="97"/>
      <c r="M1298" s="97"/>
      <c r="N1298" s="97"/>
      <c r="O1298" s="97"/>
      <c r="P1298" s="97"/>
      <c r="Q1298" s="97"/>
      <c r="R1298" s="97"/>
      <c r="S1298" s="97"/>
      <c r="T1298" s="97"/>
      <c r="U1298" s="97"/>
      <c r="V1298" s="97"/>
      <c r="W1298" s="97"/>
      <c r="X1298" s="97"/>
      <c r="Y1298" s="97"/>
    </row>
    <row r="1299">
      <c r="A1299" s="5"/>
      <c r="B1299" s="64"/>
      <c r="C1299" s="64"/>
      <c r="D1299" s="64"/>
      <c r="E1299" s="64"/>
      <c r="F1299" s="64"/>
      <c r="G1299" s="149"/>
      <c r="H1299" s="150"/>
      <c r="I1299" s="97"/>
      <c r="J1299" s="97"/>
      <c r="K1299" s="97"/>
      <c r="L1299" s="97"/>
      <c r="M1299" s="97"/>
      <c r="N1299" s="97"/>
      <c r="O1299" s="97"/>
      <c r="P1299" s="97"/>
      <c r="Q1299" s="97"/>
      <c r="R1299" s="97"/>
      <c r="S1299" s="97"/>
      <c r="T1299" s="97"/>
      <c r="U1299" s="97"/>
      <c r="V1299" s="97"/>
      <c r="W1299" s="97"/>
      <c r="X1299" s="97"/>
      <c r="Y1299" s="97"/>
    </row>
    <row r="1300">
      <c r="A1300" s="5"/>
      <c r="B1300" s="64"/>
      <c r="C1300" s="64"/>
      <c r="D1300" s="64"/>
      <c r="E1300" s="64"/>
      <c r="F1300" s="64"/>
      <c r="G1300" s="149"/>
      <c r="H1300" s="150"/>
      <c r="I1300" s="97"/>
      <c r="J1300" s="97"/>
      <c r="K1300" s="97"/>
      <c r="L1300" s="97"/>
      <c r="M1300" s="97"/>
      <c r="N1300" s="97"/>
      <c r="O1300" s="97"/>
      <c r="P1300" s="97"/>
      <c r="Q1300" s="97"/>
      <c r="R1300" s="97"/>
      <c r="S1300" s="97"/>
      <c r="T1300" s="97"/>
      <c r="U1300" s="97"/>
      <c r="V1300" s="97"/>
      <c r="W1300" s="97"/>
      <c r="X1300" s="97"/>
      <c r="Y1300" s="97"/>
    </row>
    <row r="1301">
      <c r="A1301" s="5"/>
      <c r="B1301" s="64"/>
      <c r="C1301" s="64"/>
      <c r="D1301" s="64"/>
      <c r="E1301" s="64"/>
      <c r="F1301" s="64"/>
      <c r="G1301" s="149"/>
      <c r="H1301" s="150"/>
      <c r="I1301" s="97"/>
      <c r="J1301" s="97"/>
      <c r="K1301" s="97"/>
      <c r="L1301" s="97"/>
      <c r="M1301" s="97"/>
      <c r="N1301" s="97"/>
      <c r="O1301" s="97"/>
      <c r="P1301" s="97"/>
      <c r="Q1301" s="97"/>
      <c r="R1301" s="97"/>
      <c r="S1301" s="97"/>
      <c r="T1301" s="97"/>
      <c r="U1301" s="97"/>
      <c r="V1301" s="97"/>
      <c r="W1301" s="97"/>
      <c r="X1301" s="97"/>
      <c r="Y1301" s="97"/>
    </row>
    <row r="1302">
      <c r="A1302" s="5"/>
      <c r="B1302" s="64"/>
      <c r="C1302" s="64"/>
      <c r="D1302" s="64"/>
      <c r="E1302" s="64"/>
      <c r="F1302" s="64"/>
      <c r="G1302" s="149"/>
      <c r="H1302" s="150"/>
      <c r="I1302" s="97"/>
      <c r="J1302" s="97"/>
      <c r="K1302" s="97"/>
      <c r="L1302" s="97"/>
      <c r="M1302" s="97"/>
      <c r="N1302" s="97"/>
      <c r="O1302" s="97"/>
      <c r="P1302" s="97"/>
      <c r="Q1302" s="97"/>
      <c r="R1302" s="97"/>
      <c r="S1302" s="97"/>
      <c r="T1302" s="97"/>
      <c r="U1302" s="97"/>
      <c r="V1302" s="97"/>
      <c r="W1302" s="97"/>
      <c r="X1302" s="97"/>
      <c r="Y1302" s="97"/>
    </row>
    <row r="1303">
      <c r="A1303" s="5"/>
      <c r="B1303" s="64"/>
      <c r="C1303" s="64"/>
      <c r="D1303" s="64"/>
      <c r="E1303" s="64"/>
      <c r="F1303" s="64"/>
      <c r="G1303" s="149"/>
      <c r="H1303" s="150"/>
      <c r="I1303" s="97"/>
      <c r="J1303" s="97"/>
      <c r="K1303" s="97"/>
      <c r="L1303" s="97"/>
      <c r="M1303" s="97"/>
      <c r="N1303" s="97"/>
      <c r="O1303" s="97"/>
      <c r="P1303" s="97"/>
      <c r="Q1303" s="97"/>
      <c r="R1303" s="97"/>
      <c r="S1303" s="97"/>
      <c r="T1303" s="97"/>
      <c r="U1303" s="97"/>
      <c r="V1303" s="97"/>
      <c r="W1303" s="97"/>
      <c r="X1303" s="97"/>
      <c r="Y1303" s="97"/>
    </row>
    <row r="1304">
      <c r="A1304" s="5"/>
      <c r="B1304" s="64"/>
      <c r="C1304" s="64"/>
      <c r="D1304" s="64"/>
      <c r="E1304" s="64"/>
      <c r="F1304" s="64"/>
      <c r="G1304" s="149"/>
      <c r="H1304" s="150"/>
      <c r="I1304" s="97"/>
      <c r="J1304" s="97"/>
      <c r="K1304" s="97"/>
      <c r="L1304" s="97"/>
      <c r="M1304" s="97"/>
      <c r="N1304" s="97"/>
      <c r="O1304" s="97"/>
      <c r="P1304" s="97"/>
      <c r="Q1304" s="97"/>
      <c r="R1304" s="97"/>
      <c r="S1304" s="97"/>
      <c r="T1304" s="97"/>
      <c r="U1304" s="97"/>
      <c r="V1304" s="97"/>
      <c r="W1304" s="97"/>
      <c r="X1304" s="97"/>
      <c r="Y1304" s="97"/>
    </row>
    <row r="1305">
      <c r="A1305" s="5"/>
      <c r="B1305" s="64"/>
      <c r="C1305" s="64"/>
      <c r="D1305" s="64"/>
      <c r="E1305" s="64"/>
      <c r="F1305" s="64"/>
      <c r="G1305" s="149"/>
      <c r="H1305" s="150"/>
      <c r="I1305" s="97"/>
      <c r="J1305" s="97"/>
      <c r="K1305" s="97"/>
      <c r="L1305" s="97"/>
      <c r="M1305" s="97"/>
      <c r="N1305" s="97"/>
      <c r="O1305" s="97"/>
      <c r="P1305" s="97"/>
      <c r="Q1305" s="97"/>
      <c r="R1305" s="97"/>
      <c r="S1305" s="97"/>
      <c r="T1305" s="97"/>
      <c r="U1305" s="97"/>
      <c r="V1305" s="97"/>
      <c r="W1305" s="97"/>
      <c r="X1305" s="97"/>
      <c r="Y1305" s="97"/>
    </row>
    <row r="1306">
      <c r="A1306" s="5"/>
      <c r="B1306" s="64"/>
      <c r="C1306" s="64"/>
      <c r="D1306" s="64"/>
      <c r="E1306" s="64"/>
      <c r="F1306" s="64"/>
      <c r="G1306" s="149"/>
      <c r="H1306" s="150"/>
      <c r="I1306" s="97"/>
      <c r="J1306" s="97"/>
      <c r="K1306" s="97"/>
      <c r="L1306" s="97"/>
      <c r="M1306" s="97"/>
      <c r="N1306" s="97"/>
      <c r="O1306" s="97"/>
      <c r="P1306" s="97"/>
      <c r="Q1306" s="97"/>
      <c r="R1306" s="97"/>
      <c r="S1306" s="97"/>
      <c r="T1306" s="97"/>
      <c r="U1306" s="97"/>
      <c r="V1306" s="97"/>
      <c r="W1306" s="97"/>
      <c r="X1306" s="97"/>
      <c r="Y1306" s="97"/>
    </row>
    <row r="1307">
      <c r="A1307" s="5"/>
      <c r="B1307" s="64"/>
      <c r="C1307" s="64"/>
      <c r="D1307" s="64"/>
      <c r="E1307" s="64"/>
      <c r="F1307" s="64"/>
      <c r="G1307" s="149"/>
      <c r="H1307" s="150"/>
      <c r="I1307" s="97"/>
      <c r="J1307" s="97"/>
      <c r="K1307" s="97"/>
      <c r="L1307" s="97"/>
      <c r="M1307" s="97"/>
      <c r="N1307" s="97"/>
      <c r="O1307" s="97"/>
      <c r="P1307" s="97"/>
      <c r="Q1307" s="97"/>
      <c r="R1307" s="97"/>
      <c r="S1307" s="97"/>
      <c r="T1307" s="97"/>
      <c r="U1307" s="97"/>
      <c r="V1307" s="97"/>
      <c r="W1307" s="97"/>
      <c r="X1307" s="97"/>
      <c r="Y1307" s="97"/>
    </row>
    <row r="1308">
      <c r="A1308" s="5"/>
      <c r="B1308" s="64"/>
      <c r="C1308" s="64"/>
      <c r="D1308" s="64"/>
      <c r="E1308" s="64"/>
      <c r="F1308" s="64"/>
      <c r="G1308" s="149"/>
      <c r="H1308" s="150"/>
      <c r="I1308" s="97"/>
      <c r="J1308" s="97"/>
      <c r="K1308" s="97"/>
      <c r="L1308" s="97"/>
      <c r="M1308" s="97"/>
      <c r="N1308" s="97"/>
      <c r="O1308" s="97"/>
      <c r="P1308" s="97"/>
      <c r="Q1308" s="97"/>
      <c r="R1308" s="97"/>
      <c r="S1308" s="97"/>
      <c r="T1308" s="97"/>
      <c r="U1308" s="97"/>
      <c r="V1308" s="97"/>
      <c r="W1308" s="97"/>
      <c r="X1308" s="97"/>
      <c r="Y1308" s="97"/>
    </row>
    <row r="1309">
      <c r="A1309" s="5"/>
      <c r="B1309" s="64"/>
      <c r="C1309" s="64"/>
      <c r="D1309" s="64"/>
      <c r="E1309" s="64"/>
      <c r="F1309" s="64"/>
      <c r="G1309" s="149"/>
      <c r="H1309" s="150"/>
      <c r="I1309" s="97"/>
      <c r="J1309" s="97"/>
      <c r="K1309" s="97"/>
      <c r="L1309" s="97"/>
      <c r="M1309" s="97"/>
      <c r="N1309" s="97"/>
      <c r="O1309" s="97"/>
      <c r="P1309" s="97"/>
      <c r="Q1309" s="97"/>
      <c r="R1309" s="97"/>
      <c r="S1309" s="97"/>
      <c r="T1309" s="97"/>
      <c r="U1309" s="97"/>
      <c r="V1309" s="97"/>
      <c r="W1309" s="97"/>
      <c r="X1309" s="97"/>
      <c r="Y1309" s="97"/>
    </row>
    <row r="1310">
      <c r="A1310" s="5"/>
      <c r="B1310" s="64"/>
      <c r="C1310" s="64"/>
      <c r="D1310" s="64"/>
      <c r="E1310" s="64"/>
      <c r="F1310" s="64"/>
      <c r="G1310" s="149"/>
      <c r="H1310" s="150"/>
      <c r="I1310" s="97"/>
      <c r="J1310" s="97"/>
      <c r="K1310" s="97"/>
      <c r="L1310" s="97"/>
      <c r="M1310" s="97"/>
      <c r="N1310" s="97"/>
      <c r="O1310" s="97"/>
      <c r="P1310" s="97"/>
      <c r="Q1310" s="97"/>
      <c r="R1310" s="97"/>
      <c r="S1310" s="97"/>
      <c r="T1310" s="97"/>
      <c r="U1310" s="97"/>
      <c r="V1310" s="97"/>
      <c r="W1310" s="97"/>
      <c r="X1310" s="97"/>
      <c r="Y1310" s="97"/>
    </row>
    <row r="1311">
      <c r="A1311" s="5"/>
      <c r="B1311" s="64"/>
      <c r="C1311" s="64"/>
      <c r="D1311" s="64"/>
      <c r="E1311" s="64"/>
      <c r="F1311" s="64"/>
      <c r="G1311" s="149"/>
      <c r="H1311" s="150"/>
      <c r="I1311" s="97"/>
      <c r="J1311" s="97"/>
      <c r="K1311" s="97"/>
      <c r="L1311" s="97"/>
      <c r="M1311" s="97"/>
      <c r="N1311" s="97"/>
      <c r="O1311" s="97"/>
      <c r="P1311" s="97"/>
      <c r="Q1311" s="97"/>
      <c r="R1311" s="97"/>
      <c r="S1311" s="97"/>
      <c r="T1311" s="97"/>
      <c r="U1311" s="97"/>
      <c r="V1311" s="97"/>
      <c r="W1311" s="97"/>
      <c r="X1311" s="97"/>
      <c r="Y1311" s="97"/>
    </row>
    <row r="1312">
      <c r="A1312" s="5"/>
      <c r="B1312" s="64"/>
      <c r="C1312" s="64"/>
      <c r="D1312" s="64"/>
      <c r="E1312" s="64"/>
      <c r="F1312" s="64"/>
      <c r="G1312" s="149"/>
      <c r="H1312" s="150"/>
      <c r="I1312" s="97"/>
      <c r="J1312" s="97"/>
      <c r="K1312" s="97"/>
      <c r="L1312" s="97"/>
      <c r="M1312" s="97"/>
      <c r="N1312" s="97"/>
      <c r="O1312" s="97"/>
      <c r="P1312" s="97"/>
      <c r="Q1312" s="97"/>
      <c r="R1312" s="97"/>
      <c r="S1312" s="97"/>
      <c r="T1312" s="97"/>
      <c r="U1312" s="97"/>
      <c r="V1312" s="97"/>
      <c r="W1312" s="97"/>
      <c r="X1312" s="97"/>
      <c r="Y1312" s="97"/>
    </row>
    <row r="1313">
      <c r="A1313" s="5"/>
      <c r="B1313" s="64"/>
      <c r="C1313" s="64"/>
      <c r="D1313" s="64"/>
      <c r="E1313" s="64"/>
      <c r="F1313" s="64"/>
      <c r="G1313" s="149"/>
      <c r="H1313" s="150"/>
      <c r="I1313" s="97"/>
      <c r="J1313" s="97"/>
      <c r="K1313" s="97"/>
      <c r="L1313" s="97"/>
      <c r="M1313" s="97"/>
      <c r="N1313" s="97"/>
      <c r="O1313" s="97"/>
      <c r="P1313" s="97"/>
      <c r="Q1313" s="97"/>
      <c r="R1313" s="97"/>
      <c r="S1313" s="97"/>
      <c r="T1313" s="97"/>
      <c r="U1313" s="97"/>
      <c r="V1313" s="97"/>
      <c r="W1313" s="97"/>
      <c r="X1313" s="97"/>
      <c r="Y1313" s="97"/>
    </row>
    <row r="1314">
      <c r="A1314" s="5"/>
      <c r="B1314" s="64"/>
      <c r="C1314" s="64"/>
      <c r="D1314" s="64"/>
      <c r="E1314" s="64"/>
      <c r="F1314" s="64"/>
      <c r="G1314" s="149"/>
      <c r="H1314" s="150"/>
      <c r="I1314" s="97"/>
      <c r="J1314" s="97"/>
      <c r="K1314" s="97"/>
      <c r="L1314" s="97"/>
      <c r="M1314" s="97"/>
      <c r="N1314" s="97"/>
      <c r="O1314" s="97"/>
      <c r="P1314" s="97"/>
      <c r="Q1314" s="97"/>
      <c r="R1314" s="97"/>
      <c r="S1314" s="97"/>
      <c r="T1314" s="97"/>
      <c r="U1314" s="97"/>
      <c r="V1314" s="97"/>
      <c r="W1314" s="97"/>
      <c r="X1314" s="97"/>
      <c r="Y1314" s="97"/>
    </row>
    <row r="1315">
      <c r="A1315" s="5"/>
      <c r="B1315" s="64"/>
      <c r="C1315" s="64"/>
      <c r="D1315" s="64"/>
      <c r="E1315" s="64"/>
      <c r="F1315" s="64"/>
      <c r="G1315" s="149"/>
      <c r="H1315" s="150"/>
      <c r="I1315" s="97"/>
      <c r="J1315" s="97"/>
      <c r="K1315" s="97"/>
      <c r="L1315" s="97"/>
      <c r="M1315" s="97"/>
      <c r="N1315" s="97"/>
      <c r="O1315" s="97"/>
      <c r="P1315" s="97"/>
      <c r="Q1315" s="97"/>
      <c r="R1315" s="97"/>
      <c r="S1315" s="97"/>
      <c r="T1315" s="97"/>
      <c r="U1315" s="97"/>
      <c r="V1315" s="97"/>
      <c r="W1315" s="97"/>
      <c r="X1315" s="97"/>
      <c r="Y1315" s="97"/>
    </row>
    <row r="1316">
      <c r="A1316" s="5"/>
      <c r="B1316" s="64"/>
      <c r="C1316" s="64"/>
      <c r="D1316" s="64"/>
      <c r="E1316" s="64"/>
      <c r="F1316" s="64"/>
      <c r="G1316" s="149"/>
      <c r="H1316" s="150"/>
      <c r="I1316" s="97"/>
      <c r="J1316" s="97"/>
      <c r="K1316" s="97"/>
      <c r="L1316" s="97"/>
      <c r="M1316" s="97"/>
      <c r="N1316" s="97"/>
      <c r="O1316" s="97"/>
      <c r="P1316" s="97"/>
      <c r="Q1316" s="97"/>
      <c r="R1316" s="97"/>
      <c r="S1316" s="97"/>
      <c r="T1316" s="97"/>
      <c r="U1316" s="97"/>
      <c r="V1316" s="97"/>
      <c r="W1316" s="97"/>
      <c r="X1316" s="97"/>
      <c r="Y1316" s="97"/>
    </row>
    <row r="1317">
      <c r="A1317" s="5"/>
      <c r="B1317" s="64"/>
      <c r="C1317" s="64"/>
      <c r="D1317" s="64"/>
      <c r="E1317" s="64"/>
      <c r="F1317" s="64"/>
      <c r="G1317" s="149"/>
      <c r="H1317" s="150"/>
      <c r="I1317" s="97"/>
      <c r="J1317" s="97"/>
      <c r="K1317" s="97"/>
      <c r="L1317" s="97"/>
      <c r="M1317" s="97"/>
      <c r="N1317" s="97"/>
      <c r="O1317" s="97"/>
      <c r="P1317" s="97"/>
      <c r="Q1317" s="97"/>
      <c r="R1317" s="97"/>
      <c r="S1317" s="97"/>
      <c r="T1317" s="97"/>
      <c r="U1317" s="97"/>
      <c r="V1317" s="97"/>
      <c r="W1317" s="97"/>
      <c r="X1317" s="97"/>
      <c r="Y1317" s="97"/>
    </row>
    <row r="1318">
      <c r="A1318" s="5"/>
      <c r="B1318" s="64"/>
      <c r="C1318" s="64"/>
      <c r="D1318" s="64"/>
      <c r="E1318" s="64"/>
      <c r="F1318" s="64"/>
      <c r="G1318" s="149"/>
      <c r="H1318" s="150"/>
      <c r="I1318" s="97"/>
      <c r="J1318" s="97"/>
      <c r="K1318" s="97"/>
      <c r="L1318" s="97"/>
      <c r="M1318" s="97"/>
      <c r="N1318" s="97"/>
      <c r="O1318" s="97"/>
      <c r="P1318" s="97"/>
      <c r="Q1318" s="97"/>
      <c r="R1318" s="97"/>
      <c r="S1318" s="97"/>
      <c r="T1318" s="97"/>
      <c r="U1318" s="97"/>
      <c r="V1318" s="97"/>
      <c r="W1318" s="97"/>
      <c r="X1318" s="97"/>
      <c r="Y1318" s="97"/>
    </row>
    <row r="1319">
      <c r="A1319" s="5"/>
      <c r="B1319" s="64"/>
      <c r="C1319" s="64"/>
      <c r="D1319" s="64"/>
      <c r="E1319" s="64"/>
      <c r="F1319" s="64"/>
      <c r="G1319" s="149"/>
      <c r="H1319" s="150"/>
      <c r="I1319" s="97"/>
      <c r="J1319" s="97"/>
      <c r="K1319" s="97"/>
      <c r="L1319" s="97"/>
      <c r="M1319" s="97"/>
      <c r="N1319" s="97"/>
      <c r="O1319" s="97"/>
      <c r="P1319" s="97"/>
      <c r="Q1319" s="97"/>
      <c r="R1319" s="97"/>
      <c r="S1319" s="97"/>
      <c r="T1319" s="97"/>
      <c r="U1319" s="97"/>
      <c r="V1319" s="97"/>
      <c r="W1319" s="97"/>
      <c r="X1319" s="97"/>
      <c r="Y1319" s="97"/>
    </row>
    <row r="1320">
      <c r="A1320" s="5"/>
      <c r="B1320" s="64"/>
      <c r="C1320" s="64"/>
      <c r="D1320" s="64"/>
      <c r="E1320" s="64"/>
      <c r="F1320" s="64"/>
      <c r="G1320" s="149"/>
      <c r="H1320" s="150"/>
      <c r="I1320" s="97"/>
      <c r="J1320" s="97"/>
      <c r="K1320" s="97"/>
      <c r="L1320" s="97"/>
      <c r="M1320" s="97"/>
      <c r="N1320" s="97"/>
      <c r="O1320" s="97"/>
      <c r="P1320" s="97"/>
      <c r="Q1320" s="97"/>
      <c r="R1320" s="97"/>
      <c r="S1320" s="97"/>
      <c r="T1320" s="97"/>
      <c r="U1320" s="97"/>
      <c r="V1320" s="97"/>
      <c r="W1320" s="97"/>
      <c r="X1320" s="97"/>
      <c r="Y1320" s="97"/>
    </row>
    <row r="1321">
      <c r="A1321" s="5"/>
      <c r="B1321" s="64"/>
      <c r="C1321" s="64"/>
      <c r="D1321" s="64"/>
      <c r="E1321" s="64"/>
      <c r="F1321" s="64"/>
      <c r="G1321" s="149"/>
      <c r="H1321" s="150"/>
      <c r="I1321" s="97"/>
      <c r="J1321" s="97"/>
      <c r="K1321" s="97"/>
      <c r="L1321" s="97"/>
      <c r="M1321" s="97"/>
      <c r="N1321" s="97"/>
      <c r="O1321" s="97"/>
      <c r="P1321" s="97"/>
      <c r="Q1321" s="97"/>
      <c r="R1321" s="97"/>
      <c r="S1321" s="97"/>
      <c r="T1321" s="97"/>
      <c r="U1321" s="97"/>
      <c r="V1321" s="97"/>
      <c r="W1321" s="97"/>
      <c r="X1321" s="97"/>
      <c r="Y1321" s="97"/>
    </row>
    <row r="1322">
      <c r="A1322" s="5"/>
      <c r="B1322" s="64"/>
      <c r="C1322" s="64"/>
      <c r="D1322" s="64"/>
      <c r="E1322" s="64"/>
      <c r="F1322" s="64"/>
      <c r="G1322" s="149"/>
      <c r="H1322" s="150"/>
      <c r="I1322" s="97"/>
      <c r="J1322" s="97"/>
      <c r="K1322" s="97"/>
      <c r="L1322" s="97"/>
      <c r="M1322" s="97"/>
      <c r="N1322" s="97"/>
      <c r="O1322" s="97"/>
      <c r="P1322" s="97"/>
      <c r="Q1322" s="97"/>
      <c r="R1322" s="97"/>
      <c r="S1322" s="97"/>
      <c r="T1322" s="97"/>
      <c r="U1322" s="97"/>
      <c r="V1322" s="97"/>
      <c r="W1322" s="97"/>
      <c r="X1322" s="97"/>
      <c r="Y1322" s="97"/>
    </row>
    <row r="1323">
      <c r="A1323" s="5"/>
      <c r="B1323" s="64"/>
      <c r="C1323" s="64"/>
      <c r="D1323" s="64"/>
      <c r="E1323" s="64"/>
      <c r="F1323" s="64"/>
      <c r="G1323" s="149"/>
      <c r="H1323" s="150"/>
      <c r="I1323" s="97"/>
      <c r="J1323" s="97"/>
      <c r="K1323" s="97"/>
      <c r="L1323" s="97"/>
      <c r="M1323" s="97"/>
      <c r="N1323" s="97"/>
      <c r="O1323" s="97"/>
      <c r="P1323" s="97"/>
      <c r="Q1323" s="97"/>
      <c r="R1323" s="97"/>
      <c r="S1323" s="97"/>
      <c r="T1323" s="97"/>
      <c r="U1323" s="97"/>
      <c r="V1323" s="97"/>
      <c r="W1323" s="97"/>
      <c r="X1323" s="97"/>
      <c r="Y1323" s="97"/>
    </row>
    <row r="1324">
      <c r="A1324" s="5"/>
      <c r="B1324" s="64"/>
      <c r="C1324" s="64"/>
      <c r="D1324" s="64"/>
      <c r="E1324" s="64"/>
      <c r="F1324" s="64"/>
      <c r="G1324" s="149"/>
      <c r="H1324" s="150"/>
      <c r="I1324" s="97"/>
      <c r="J1324" s="97"/>
      <c r="K1324" s="97"/>
      <c r="L1324" s="97"/>
      <c r="M1324" s="97"/>
      <c r="N1324" s="97"/>
      <c r="O1324" s="97"/>
      <c r="P1324" s="97"/>
      <c r="Q1324" s="97"/>
      <c r="R1324" s="97"/>
      <c r="S1324" s="97"/>
      <c r="T1324" s="97"/>
      <c r="U1324" s="97"/>
      <c r="V1324" s="97"/>
      <c r="W1324" s="97"/>
      <c r="X1324" s="97"/>
      <c r="Y1324" s="97"/>
    </row>
    <row r="1325">
      <c r="A1325" s="5"/>
      <c r="B1325" s="64"/>
      <c r="C1325" s="64"/>
      <c r="D1325" s="64"/>
      <c r="E1325" s="64"/>
      <c r="F1325" s="64"/>
      <c r="G1325" s="149"/>
      <c r="H1325" s="150"/>
      <c r="I1325" s="97"/>
      <c r="J1325" s="97"/>
      <c r="K1325" s="97"/>
      <c r="L1325" s="97"/>
      <c r="M1325" s="97"/>
      <c r="N1325" s="97"/>
      <c r="O1325" s="97"/>
      <c r="P1325" s="97"/>
      <c r="Q1325" s="97"/>
      <c r="R1325" s="97"/>
      <c r="S1325" s="97"/>
      <c r="T1325" s="97"/>
      <c r="U1325" s="97"/>
      <c r="V1325" s="97"/>
      <c r="W1325" s="97"/>
      <c r="X1325" s="97"/>
      <c r="Y1325" s="97"/>
    </row>
    <row r="1326">
      <c r="A1326" s="5"/>
      <c r="B1326" s="64"/>
      <c r="C1326" s="64"/>
      <c r="D1326" s="64"/>
      <c r="E1326" s="64"/>
      <c r="F1326" s="64"/>
      <c r="G1326" s="149"/>
      <c r="H1326" s="150"/>
      <c r="I1326" s="97"/>
      <c r="J1326" s="97"/>
      <c r="K1326" s="97"/>
      <c r="L1326" s="97"/>
      <c r="M1326" s="97"/>
      <c r="N1326" s="97"/>
      <c r="O1326" s="97"/>
      <c r="P1326" s="97"/>
      <c r="Q1326" s="97"/>
      <c r="R1326" s="97"/>
      <c r="S1326" s="97"/>
      <c r="T1326" s="97"/>
      <c r="U1326" s="97"/>
      <c r="V1326" s="97"/>
      <c r="W1326" s="97"/>
      <c r="X1326" s="97"/>
      <c r="Y1326" s="97"/>
    </row>
    <row r="1327">
      <c r="A1327" s="5"/>
      <c r="B1327" s="64"/>
      <c r="C1327" s="64"/>
      <c r="D1327" s="64"/>
      <c r="E1327" s="64"/>
      <c r="F1327" s="64"/>
      <c r="G1327" s="149"/>
      <c r="H1327" s="150"/>
      <c r="I1327" s="97"/>
      <c r="J1327" s="97"/>
      <c r="K1327" s="97"/>
      <c r="L1327" s="97"/>
      <c r="M1327" s="97"/>
      <c r="N1327" s="97"/>
      <c r="O1327" s="97"/>
      <c r="P1327" s="97"/>
      <c r="Q1327" s="97"/>
      <c r="R1327" s="97"/>
      <c r="S1327" s="97"/>
      <c r="T1327" s="97"/>
      <c r="U1327" s="97"/>
      <c r="V1327" s="97"/>
      <c r="W1327" s="97"/>
      <c r="X1327" s="97"/>
      <c r="Y1327" s="97"/>
    </row>
    <row r="1328">
      <c r="A1328" s="5"/>
      <c r="B1328" s="64"/>
      <c r="C1328" s="64"/>
      <c r="D1328" s="64"/>
      <c r="E1328" s="64"/>
      <c r="F1328" s="64"/>
      <c r="G1328" s="149"/>
      <c r="H1328" s="150"/>
      <c r="I1328" s="97"/>
      <c r="J1328" s="97"/>
      <c r="K1328" s="97"/>
      <c r="L1328" s="97"/>
      <c r="M1328" s="97"/>
      <c r="N1328" s="97"/>
      <c r="O1328" s="97"/>
      <c r="P1328" s="97"/>
      <c r="Q1328" s="97"/>
      <c r="R1328" s="97"/>
      <c r="S1328" s="97"/>
      <c r="T1328" s="97"/>
      <c r="U1328" s="97"/>
      <c r="V1328" s="97"/>
      <c r="W1328" s="97"/>
      <c r="X1328" s="97"/>
      <c r="Y1328" s="97"/>
    </row>
    <row r="1329">
      <c r="A1329" s="5"/>
      <c r="B1329" s="64"/>
      <c r="C1329" s="64"/>
      <c r="D1329" s="64"/>
      <c r="E1329" s="64"/>
      <c r="F1329" s="64"/>
      <c r="G1329" s="149"/>
      <c r="H1329" s="150"/>
      <c r="I1329" s="97"/>
      <c r="J1329" s="97"/>
      <c r="K1329" s="97"/>
      <c r="L1329" s="97"/>
      <c r="M1329" s="97"/>
      <c r="N1329" s="97"/>
      <c r="O1329" s="97"/>
      <c r="P1329" s="97"/>
      <c r="Q1329" s="97"/>
      <c r="R1329" s="97"/>
      <c r="S1329" s="97"/>
      <c r="T1329" s="97"/>
      <c r="U1329" s="97"/>
      <c r="V1329" s="97"/>
      <c r="W1329" s="97"/>
      <c r="X1329" s="97"/>
      <c r="Y1329" s="97"/>
    </row>
    <row r="1330">
      <c r="A1330" s="5"/>
      <c r="B1330" s="64"/>
      <c r="C1330" s="64"/>
      <c r="D1330" s="64"/>
      <c r="E1330" s="64"/>
      <c r="F1330" s="64"/>
      <c r="G1330" s="149"/>
      <c r="H1330" s="150"/>
      <c r="I1330" s="97"/>
      <c r="J1330" s="97"/>
      <c r="K1330" s="97"/>
      <c r="L1330" s="97"/>
      <c r="M1330" s="97"/>
      <c r="N1330" s="97"/>
      <c r="O1330" s="97"/>
      <c r="P1330" s="97"/>
      <c r="Q1330" s="97"/>
      <c r="R1330" s="97"/>
      <c r="S1330" s="97"/>
      <c r="T1330" s="97"/>
      <c r="U1330" s="97"/>
      <c r="V1330" s="97"/>
      <c r="W1330" s="97"/>
      <c r="X1330" s="97"/>
      <c r="Y1330" s="97"/>
    </row>
    <row r="1331">
      <c r="A1331" s="5"/>
      <c r="B1331" s="64"/>
      <c r="C1331" s="64"/>
      <c r="D1331" s="64"/>
      <c r="E1331" s="64"/>
      <c r="F1331" s="64"/>
      <c r="G1331" s="149"/>
      <c r="H1331" s="150"/>
      <c r="I1331" s="97"/>
      <c r="J1331" s="97"/>
      <c r="K1331" s="97"/>
      <c r="L1331" s="97"/>
      <c r="M1331" s="97"/>
      <c r="N1331" s="97"/>
      <c r="O1331" s="97"/>
      <c r="P1331" s="97"/>
      <c r="Q1331" s="97"/>
      <c r="R1331" s="97"/>
      <c r="S1331" s="97"/>
      <c r="T1331" s="97"/>
      <c r="U1331" s="97"/>
      <c r="V1331" s="97"/>
      <c r="W1331" s="97"/>
      <c r="X1331" s="97"/>
      <c r="Y1331" s="97"/>
    </row>
    <row r="1332">
      <c r="A1332" s="5"/>
      <c r="B1332" s="64"/>
      <c r="C1332" s="64"/>
      <c r="D1332" s="64"/>
      <c r="E1332" s="64"/>
      <c r="F1332" s="64"/>
      <c r="G1332" s="149"/>
      <c r="H1332" s="150"/>
      <c r="I1332" s="97"/>
      <c r="J1332" s="97"/>
      <c r="K1332" s="97"/>
      <c r="L1332" s="97"/>
      <c r="M1332" s="97"/>
      <c r="N1332" s="97"/>
      <c r="O1332" s="97"/>
      <c r="P1332" s="97"/>
      <c r="Q1332" s="97"/>
      <c r="R1332" s="97"/>
      <c r="S1332" s="97"/>
      <c r="T1332" s="97"/>
      <c r="U1332" s="97"/>
      <c r="V1332" s="97"/>
      <c r="W1332" s="97"/>
      <c r="X1332" s="97"/>
      <c r="Y1332" s="97"/>
    </row>
    <row r="1333">
      <c r="A1333" s="5"/>
      <c r="B1333" s="64"/>
      <c r="C1333" s="64"/>
      <c r="D1333" s="64"/>
      <c r="E1333" s="64"/>
      <c r="F1333" s="64"/>
      <c r="G1333" s="149"/>
      <c r="H1333" s="150"/>
      <c r="I1333" s="97"/>
      <c r="J1333" s="97"/>
      <c r="K1333" s="97"/>
      <c r="L1333" s="97"/>
      <c r="M1333" s="97"/>
      <c r="N1333" s="97"/>
      <c r="O1333" s="97"/>
      <c r="P1333" s="97"/>
      <c r="Q1333" s="97"/>
      <c r="R1333" s="97"/>
      <c r="S1333" s="97"/>
      <c r="T1333" s="97"/>
      <c r="U1333" s="97"/>
      <c r="V1333" s="97"/>
      <c r="W1333" s="97"/>
      <c r="X1333" s="97"/>
      <c r="Y1333" s="97"/>
    </row>
    <row r="1334">
      <c r="A1334" s="5"/>
      <c r="B1334" s="64"/>
      <c r="C1334" s="64"/>
      <c r="D1334" s="64"/>
      <c r="E1334" s="64"/>
      <c r="F1334" s="64"/>
      <c r="G1334" s="149"/>
      <c r="H1334" s="150"/>
      <c r="I1334" s="97"/>
      <c r="J1334" s="97"/>
      <c r="K1334" s="97"/>
      <c r="L1334" s="97"/>
      <c r="M1334" s="97"/>
      <c r="N1334" s="97"/>
      <c r="O1334" s="97"/>
      <c r="P1334" s="97"/>
      <c r="Q1334" s="97"/>
      <c r="R1334" s="97"/>
      <c r="S1334" s="97"/>
      <c r="T1334" s="97"/>
      <c r="U1334" s="97"/>
      <c r="V1334" s="97"/>
      <c r="W1334" s="97"/>
      <c r="X1334" s="97"/>
      <c r="Y1334" s="97"/>
    </row>
    <row r="1335">
      <c r="A1335" s="5"/>
      <c r="B1335" s="64"/>
      <c r="C1335" s="64"/>
      <c r="D1335" s="64"/>
      <c r="E1335" s="64"/>
      <c r="F1335" s="64"/>
      <c r="G1335" s="149"/>
      <c r="H1335" s="150"/>
      <c r="I1335" s="97"/>
      <c r="J1335" s="97"/>
      <c r="K1335" s="97"/>
      <c r="L1335" s="97"/>
      <c r="M1335" s="97"/>
      <c r="N1335" s="97"/>
      <c r="O1335" s="97"/>
      <c r="P1335" s="97"/>
      <c r="Q1335" s="97"/>
      <c r="R1335" s="97"/>
      <c r="S1335" s="97"/>
      <c r="T1335" s="97"/>
      <c r="U1335" s="97"/>
      <c r="V1335" s="97"/>
      <c r="W1335" s="97"/>
      <c r="X1335" s="97"/>
      <c r="Y1335" s="97"/>
    </row>
    <row r="1336">
      <c r="A1336" s="5"/>
      <c r="B1336" s="64"/>
      <c r="C1336" s="64"/>
      <c r="D1336" s="64"/>
      <c r="E1336" s="64"/>
      <c r="F1336" s="64"/>
      <c r="G1336" s="149"/>
      <c r="H1336" s="150"/>
      <c r="I1336" s="97"/>
      <c r="J1336" s="97"/>
      <c r="K1336" s="97"/>
      <c r="L1336" s="97"/>
      <c r="M1336" s="97"/>
      <c r="N1336" s="97"/>
      <c r="O1336" s="97"/>
      <c r="P1336" s="97"/>
      <c r="Q1336" s="97"/>
      <c r="R1336" s="97"/>
      <c r="S1336" s="97"/>
      <c r="T1336" s="97"/>
      <c r="U1336" s="97"/>
      <c r="V1336" s="97"/>
      <c r="W1336" s="97"/>
      <c r="X1336" s="97"/>
      <c r="Y1336" s="97"/>
    </row>
    <row r="1337">
      <c r="A1337" s="5"/>
      <c r="B1337" s="64"/>
      <c r="C1337" s="64"/>
      <c r="D1337" s="64"/>
      <c r="E1337" s="64"/>
      <c r="F1337" s="64"/>
      <c r="G1337" s="149"/>
      <c r="H1337" s="150"/>
      <c r="I1337" s="97"/>
      <c r="J1337" s="97"/>
      <c r="K1337" s="97"/>
      <c r="L1337" s="97"/>
      <c r="M1337" s="97"/>
      <c r="N1337" s="97"/>
      <c r="O1337" s="97"/>
      <c r="P1337" s="97"/>
      <c r="Q1337" s="97"/>
      <c r="R1337" s="97"/>
      <c r="S1337" s="97"/>
      <c r="T1337" s="97"/>
      <c r="U1337" s="97"/>
      <c r="V1337" s="97"/>
      <c r="W1337" s="97"/>
      <c r="X1337" s="97"/>
      <c r="Y1337" s="97"/>
    </row>
    <row r="1338">
      <c r="A1338" s="5"/>
      <c r="B1338" s="64"/>
      <c r="C1338" s="64"/>
      <c r="D1338" s="64"/>
      <c r="E1338" s="64"/>
      <c r="F1338" s="64"/>
      <c r="G1338" s="149"/>
      <c r="H1338" s="150"/>
      <c r="I1338" s="97"/>
      <c r="J1338" s="97"/>
      <c r="K1338" s="97"/>
      <c r="L1338" s="97"/>
      <c r="M1338" s="97"/>
      <c r="N1338" s="97"/>
      <c r="O1338" s="97"/>
      <c r="P1338" s="97"/>
      <c r="Q1338" s="97"/>
      <c r="R1338" s="97"/>
      <c r="S1338" s="97"/>
      <c r="T1338" s="97"/>
      <c r="U1338" s="97"/>
      <c r="V1338" s="97"/>
      <c r="W1338" s="97"/>
      <c r="X1338" s="97"/>
      <c r="Y1338" s="97"/>
    </row>
    <row r="1339">
      <c r="A1339" s="5"/>
      <c r="B1339" s="64"/>
      <c r="C1339" s="64"/>
      <c r="D1339" s="64"/>
      <c r="E1339" s="64"/>
      <c r="F1339" s="64"/>
      <c r="G1339" s="149"/>
      <c r="H1339" s="150"/>
      <c r="I1339" s="97"/>
      <c r="J1339" s="97"/>
      <c r="K1339" s="97"/>
      <c r="L1339" s="97"/>
      <c r="M1339" s="97"/>
      <c r="N1339" s="97"/>
      <c r="O1339" s="97"/>
      <c r="P1339" s="97"/>
      <c r="Q1339" s="97"/>
      <c r="R1339" s="97"/>
      <c r="S1339" s="97"/>
      <c r="T1339" s="97"/>
      <c r="U1339" s="97"/>
      <c r="V1339" s="97"/>
      <c r="W1339" s="97"/>
      <c r="X1339" s="97"/>
      <c r="Y1339" s="97"/>
    </row>
    <row r="1340">
      <c r="A1340" s="5"/>
      <c r="B1340" s="64"/>
      <c r="C1340" s="64"/>
      <c r="D1340" s="64"/>
      <c r="E1340" s="64"/>
      <c r="F1340" s="64"/>
      <c r="G1340" s="149"/>
      <c r="H1340" s="150"/>
      <c r="I1340" s="97"/>
      <c r="J1340" s="97"/>
      <c r="K1340" s="97"/>
      <c r="L1340" s="97"/>
      <c r="M1340" s="97"/>
      <c r="N1340" s="97"/>
      <c r="O1340" s="97"/>
      <c r="P1340" s="97"/>
      <c r="Q1340" s="97"/>
      <c r="R1340" s="97"/>
      <c r="S1340" s="97"/>
      <c r="T1340" s="97"/>
      <c r="U1340" s="97"/>
      <c r="V1340" s="97"/>
      <c r="W1340" s="97"/>
      <c r="X1340" s="97"/>
      <c r="Y1340" s="97"/>
    </row>
    <row r="1341">
      <c r="A1341" s="5"/>
      <c r="B1341" s="64"/>
      <c r="C1341" s="64"/>
      <c r="D1341" s="64"/>
      <c r="E1341" s="64"/>
      <c r="F1341" s="64"/>
      <c r="G1341" s="149"/>
      <c r="H1341" s="150"/>
      <c r="I1341" s="97"/>
      <c r="J1341" s="97"/>
      <c r="K1341" s="97"/>
      <c r="L1341" s="97"/>
      <c r="M1341" s="97"/>
      <c r="N1341" s="97"/>
      <c r="O1341" s="97"/>
      <c r="P1341" s="97"/>
      <c r="Q1341" s="97"/>
      <c r="R1341" s="97"/>
      <c r="S1341" s="97"/>
      <c r="T1341" s="97"/>
      <c r="U1341" s="97"/>
      <c r="V1341" s="97"/>
      <c r="W1341" s="97"/>
      <c r="X1341" s="97"/>
      <c r="Y1341" s="97"/>
    </row>
    <row r="1342">
      <c r="A1342" s="5"/>
      <c r="B1342" s="64"/>
      <c r="C1342" s="64"/>
      <c r="D1342" s="64"/>
      <c r="E1342" s="64"/>
      <c r="F1342" s="64"/>
      <c r="G1342" s="149"/>
      <c r="H1342" s="150"/>
      <c r="I1342" s="97"/>
      <c r="J1342" s="97"/>
      <c r="K1342" s="97"/>
      <c r="L1342" s="97"/>
      <c r="M1342" s="97"/>
      <c r="N1342" s="97"/>
      <c r="O1342" s="97"/>
      <c r="P1342" s="97"/>
      <c r="Q1342" s="97"/>
      <c r="R1342" s="97"/>
      <c r="S1342" s="97"/>
      <c r="T1342" s="97"/>
      <c r="U1342" s="97"/>
      <c r="V1342" s="97"/>
      <c r="W1342" s="97"/>
      <c r="X1342" s="97"/>
      <c r="Y1342" s="97"/>
    </row>
    <row r="1343">
      <c r="A1343" s="5"/>
      <c r="B1343" s="64"/>
      <c r="C1343" s="64"/>
      <c r="D1343" s="64"/>
      <c r="E1343" s="64"/>
      <c r="F1343" s="64"/>
      <c r="G1343" s="149"/>
      <c r="H1343" s="150"/>
      <c r="I1343" s="97"/>
      <c r="J1343" s="97"/>
      <c r="K1343" s="97"/>
      <c r="L1343" s="97"/>
      <c r="M1343" s="97"/>
      <c r="N1343" s="97"/>
      <c r="O1343" s="97"/>
      <c r="P1343" s="97"/>
      <c r="Q1343" s="97"/>
      <c r="R1343" s="97"/>
      <c r="S1343" s="97"/>
      <c r="T1343" s="97"/>
      <c r="U1343" s="97"/>
      <c r="V1343" s="97"/>
      <c r="W1343" s="97"/>
      <c r="X1343" s="97"/>
      <c r="Y1343" s="97"/>
    </row>
    <row r="1344">
      <c r="A1344" s="5"/>
      <c r="B1344" s="64"/>
      <c r="C1344" s="64"/>
      <c r="D1344" s="64"/>
      <c r="E1344" s="64"/>
      <c r="F1344" s="64"/>
      <c r="G1344" s="149"/>
      <c r="H1344" s="150"/>
      <c r="I1344" s="97"/>
      <c r="J1344" s="97"/>
      <c r="K1344" s="97"/>
      <c r="L1344" s="97"/>
      <c r="M1344" s="97"/>
      <c r="N1344" s="97"/>
      <c r="O1344" s="97"/>
      <c r="P1344" s="97"/>
      <c r="Q1344" s="97"/>
      <c r="R1344" s="97"/>
      <c r="S1344" s="97"/>
      <c r="T1344" s="97"/>
      <c r="U1344" s="97"/>
      <c r="V1344" s="97"/>
      <c r="W1344" s="97"/>
      <c r="X1344" s="97"/>
      <c r="Y1344" s="97"/>
    </row>
    <row r="1345">
      <c r="A1345" s="5"/>
      <c r="B1345" s="64"/>
      <c r="C1345" s="64"/>
      <c r="D1345" s="64"/>
      <c r="E1345" s="64"/>
      <c r="F1345" s="64"/>
      <c r="G1345" s="149"/>
      <c r="H1345" s="150"/>
      <c r="I1345" s="97"/>
      <c r="J1345" s="97"/>
      <c r="K1345" s="97"/>
      <c r="L1345" s="97"/>
      <c r="M1345" s="97"/>
      <c r="N1345" s="97"/>
      <c r="O1345" s="97"/>
      <c r="P1345" s="97"/>
      <c r="Q1345" s="97"/>
      <c r="R1345" s="97"/>
      <c r="S1345" s="97"/>
      <c r="T1345" s="97"/>
      <c r="U1345" s="97"/>
      <c r="V1345" s="97"/>
      <c r="W1345" s="97"/>
      <c r="X1345" s="97"/>
      <c r="Y1345" s="97"/>
    </row>
    <row r="1346">
      <c r="A1346" s="5"/>
      <c r="B1346" s="64"/>
      <c r="C1346" s="64"/>
      <c r="D1346" s="64"/>
      <c r="E1346" s="64"/>
      <c r="F1346" s="64"/>
      <c r="G1346" s="149"/>
      <c r="H1346" s="150"/>
      <c r="I1346" s="97"/>
      <c r="J1346" s="97"/>
      <c r="K1346" s="97"/>
      <c r="L1346" s="97"/>
      <c r="M1346" s="97"/>
      <c r="N1346" s="97"/>
      <c r="O1346" s="97"/>
      <c r="P1346" s="97"/>
      <c r="Q1346" s="97"/>
      <c r="R1346" s="97"/>
      <c r="S1346" s="97"/>
      <c r="T1346" s="97"/>
      <c r="U1346" s="97"/>
      <c r="V1346" s="97"/>
      <c r="W1346" s="97"/>
      <c r="X1346" s="97"/>
      <c r="Y1346" s="97"/>
    </row>
    <row r="1347">
      <c r="A1347" s="5"/>
      <c r="B1347" s="64"/>
      <c r="C1347" s="64"/>
      <c r="D1347" s="64"/>
      <c r="E1347" s="64"/>
      <c r="F1347" s="64"/>
      <c r="G1347" s="149"/>
      <c r="H1347" s="150"/>
      <c r="I1347" s="97"/>
      <c r="J1347" s="97"/>
      <c r="K1347" s="97"/>
      <c r="L1347" s="97"/>
      <c r="M1347" s="97"/>
      <c r="N1347" s="97"/>
      <c r="O1347" s="97"/>
      <c r="P1347" s="97"/>
      <c r="Q1347" s="97"/>
      <c r="R1347" s="97"/>
      <c r="S1347" s="97"/>
      <c r="T1347" s="97"/>
      <c r="U1347" s="97"/>
      <c r="V1347" s="97"/>
      <c r="W1347" s="97"/>
      <c r="X1347" s="97"/>
      <c r="Y1347" s="97"/>
    </row>
    <row r="1348">
      <c r="A1348" s="5"/>
      <c r="B1348" s="64"/>
      <c r="C1348" s="64"/>
      <c r="D1348" s="64"/>
      <c r="E1348" s="64"/>
      <c r="F1348" s="64"/>
      <c r="G1348" s="149"/>
      <c r="H1348" s="150"/>
      <c r="I1348" s="97"/>
      <c r="J1348" s="97"/>
      <c r="K1348" s="97"/>
      <c r="L1348" s="97"/>
      <c r="M1348" s="97"/>
      <c r="N1348" s="97"/>
      <c r="O1348" s="97"/>
      <c r="P1348" s="97"/>
      <c r="Q1348" s="97"/>
      <c r="R1348" s="97"/>
      <c r="S1348" s="97"/>
      <c r="T1348" s="97"/>
      <c r="U1348" s="97"/>
      <c r="V1348" s="97"/>
      <c r="W1348" s="97"/>
      <c r="X1348" s="97"/>
      <c r="Y1348" s="97"/>
    </row>
    <row r="1349">
      <c r="A1349" s="5"/>
      <c r="B1349" s="64"/>
      <c r="C1349" s="64"/>
      <c r="D1349" s="64"/>
      <c r="E1349" s="64"/>
      <c r="F1349" s="64"/>
      <c r="G1349" s="149"/>
      <c r="H1349" s="150"/>
      <c r="I1349" s="97"/>
      <c r="J1349" s="97"/>
      <c r="K1349" s="97"/>
      <c r="L1349" s="97"/>
      <c r="M1349" s="97"/>
      <c r="N1349" s="97"/>
      <c r="O1349" s="97"/>
      <c r="P1349" s="97"/>
      <c r="Q1349" s="97"/>
      <c r="R1349" s="97"/>
      <c r="S1349" s="97"/>
      <c r="T1349" s="97"/>
      <c r="U1349" s="97"/>
      <c r="V1349" s="97"/>
      <c r="W1349" s="97"/>
      <c r="X1349" s="97"/>
      <c r="Y1349" s="97"/>
    </row>
    <row r="1350">
      <c r="A1350" s="5"/>
      <c r="B1350" s="64"/>
      <c r="C1350" s="64"/>
      <c r="D1350" s="64"/>
      <c r="E1350" s="64"/>
      <c r="F1350" s="64"/>
      <c r="G1350" s="149"/>
      <c r="H1350" s="150"/>
      <c r="I1350" s="97"/>
      <c r="J1350" s="97"/>
      <c r="K1350" s="97"/>
      <c r="L1350" s="97"/>
      <c r="M1350" s="97"/>
      <c r="N1350" s="97"/>
      <c r="O1350" s="97"/>
      <c r="P1350" s="97"/>
      <c r="Q1350" s="97"/>
      <c r="R1350" s="97"/>
      <c r="S1350" s="97"/>
      <c r="T1350" s="97"/>
      <c r="U1350" s="97"/>
      <c r="V1350" s="97"/>
      <c r="W1350" s="97"/>
      <c r="X1350" s="97"/>
      <c r="Y1350" s="97"/>
    </row>
    <row r="1351">
      <c r="A1351" s="5"/>
      <c r="B1351" s="64"/>
      <c r="C1351" s="64"/>
      <c r="D1351" s="64"/>
      <c r="E1351" s="64"/>
      <c r="F1351" s="64"/>
      <c r="G1351" s="149"/>
      <c r="H1351" s="150"/>
      <c r="I1351" s="97"/>
      <c r="J1351" s="97"/>
      <c r="K1351" s="97"/>
      <c r="L1351" s="97"/>
      <c r="M1351" s="97"/>
      <c r="N1351" s="97"/>
      <c r="O1351" s="97"/>
      <c r="P1351" s="97"/>
      <c r="Q1351" s="97"/>
      <c r="R1351" s="97"/>
      <c r="S1351" s="97"/>
      <c r="T1351" s="97"/>
      <c r="U1351" s="97"/>
      <c r="V1351" s="97"/>
      <c r="W1351" s="97"/>
      <c r="X1351" s="97"/>
      <c r="Y1351" s="97"/>
    </row>
    <row r="1352">
      <c r="A1352" s="5"/>
      <c r="B1352" s="64"/>
      <c r="C1352" s="64"/>
      <c r="D1352" s="64"/>
      <c r="E1352" s="64"/>
      <c r="F1352" s="64"/>
      <c r="G1352" s="149"/>
      <c r="H1352" s="150"/>
      <c r="I1352" s="97"/>
      <c r="J1352" s="97"/>
      <c r="K1352" s="97"/>
      <c r="L1352" s="97"/>
      <c r="M1352" s="97"/>
      <c r="N1352" s="97"/>
      <c r="O1352" s="97"/>
      <c r="P1352" s="97"/>
      <c r="Q1352" s="97"/>
      <c r="R1352" s="97"/>
      <c r="S1352" s="97"/>
      <c r="T1352" s="97"/>
      <c r="U1352" s="97"/>
      <c r="V1352" s="97"/>
      <c r="W1352" s="97"/>
      <c r="X1352" s="97"/>
      <c r="Y1352" s="97"/>
    </row>
    <row r="1353">
      <c r="A1353" s="5"/>
      <c r="B1353" s="64"/>
      <c r="C1353" s="64"/>
      <c r="D1353" s="64"/>
      <c r="E1353" s="64"/>
      <c r="F1353" s="64"/>
      <c r="G1353" s="149"/>
      <c r="H1353" s="150"/>
      <c r="I1353" s="97"/>
      <c r="J1353" s="97"/>
      <c r="K1353" s="97"/>
      <c r="L1353" s="97"/>
      <c r="M1353" s="97"/>
      <c r="N1353" s="97"/>
      <c r="O1353" s="97"/>
      <c r="P1353" s="97"/>
      <c r="Q1353" s="97"/>
      <c r="R1353" s="97"/>
      <c r="S1353" s="97"/>
      <c r="T1353" s="97"/>
      <c r="U1353" s="97"/>
      <c r="V1353" s="97"/>
      <c r="W1353" s="97"/>
      <c r="X1353" s="97"/>
      <c r="Y1353" s="97"/>
    </row>
    <row r="1354">
      <c r="A1354" s="5"/>
      <c r="B1354" s="64"/>
      <c r="C1354" s="64"/>
      <c r="D1354" s="64"/>
      <c r="E1354" s="64"/>
      <c r="F1354" s="64"/>
      <c r="G1354" s="149"/>
      <c r="H1354" s="150"/>
      <c r="I1354" s="97"/>
      <c r="J1354" s="97"/>
      <c r="K1354" s="97"/>
      <c r="L1354" s="97"/>
      <c r="M1354" s="97"/>
      <c r="N1354" s="97"/>
      <c r="O1354" s="97"/>
      <c r="P1354" s="97"/>
      <c r="Q1354" s="97"/>
      <c r="R1354" s="97"/>
      <c r="S1354" s="97"/>
      <c r="T1354" s="97"/>
      <c r="U1354" s="97"/>
      <c r="V1354" s="97"/>
      <c r="W1354" s="97"/>
      <c r="X1354" s="97"/>
      <c r="Y1354" s="97"/>
    </row>
    <row r="1355">
      <c r="A1355" s="5"/>
      <c r="B1355" s="64"/>
      <c r="C1355" s="64"/>
      <c r="D1355" s="64"/>
      <c r="E1355" s="64"/>
      <c r="F1355" s="64"/>
      <c r="G1355" s="149"/>
      <c r="H1355" s="150"/>
      <c r="I1355" s="97"/>
      <c r="J1355" s="97"/>
      <c r="K1355" s="97"/>
      <c r="L1355" s="97"/>
      <c r="M1355" s="97"/>
      <c r="N1355" s="97"/>
      <c r="O1355" s="97"/>
      <c r="P1355" s="97"/>
      <c r="Q1355" s="97"/>
      <c r="R1355" s="97"/>
      <c r="S1355" s="97"/>
      <c r="T1355" s="97"/>
      <c r="U1355" s="97"/>
      <c r="V1355" s="97"/>
      <c r="W1355" s="97"/>
      <c r="X1355" s="97"/>
      <c r="Y1355" s="97"/>
    </row>
    <row r="1356">
      <c r="A1356" s="5"/>
      <c r="B1356" s="64"/>
      <c r="C1356" s="64"/>
      <c r="D1356" s="64"/>
      <c r="E1356" s="64"/>
      <c r="F1356" s="64"/>
      <c r="G1356" s="149"/>
      <c r="H1356" s="150"/>
      <c r="I1356" s="97"/>
      <c r="J1356" s="97"/>
      <c r="K1356" s="97"/>
      <c r="L1356" s="97"/>
      <c r="M1356" s="97"/>
      <c r="N1356" s="97"/>
      <c r="O1356" s="97"/>
      <c r="P1356" s="97"/>
      <c r="Q1356" s="97"/>
      <c r="R1356" s="97"/>
      <c r="S1356" s="97"/>
      <c r="T1356" s="97"/>
      <c r="U1356" s="97"/>
      <c r="V1356" s="97"/>
      <c r="W1356" s="97"/>
      <c r="X1356" s="97"/>
      <c r="Y1356" s="97"/>
    </row>
    <row r="1357">
      <c r="A1357" s="5"/>
      <c r="B1357" s="64"/>
      <c r="C1357" s="64"/>
      <c r="D1357" s="64"/>
      <c r="E1357" s="64"/>
      <c r="F1357" s="64"/>
      <c r="G1357" s="149"/>
      <c r="H1357" s="150"/>
      <c r="I1357" s="97"/>
      <c r="J1357" s="97"/>
      <c r="K1357" s="97"/>
      <c r="L1357" s="97"/>
      <c r="M1357" s="97"/>
      <c r="N1357" s="97"/>
      <c r="O1357" s="97"/>
      <c r="P1357" s="97"/>
      <c r="Q1357" s="97"/>
      <c r="R1357" s="97"/>
      <c r="S1357" s="97"/>
      <c r="T1357" s="97"/>
      <c r="U1357" s="97"/>
      <c r="V1357" s="97"/>
      <c r="W1357" s="97"/>
      <c r="X1357" s="97"/>
      <c r="Y1357" s="97"/>
    </row>
    <row r="1358">
      <c r="A1358" s="5"/>
      <c r="B1358" s="64"/>
      <c r="C1358" s="64"/>
      <c r="D1358" s="64"/>
      <c r="E1358" s="64"/>
      <c r="F1358" s="64"/>
      <c r="G1358" s="149"/>
      <c r="H1358" s="150"/>
      <c r="I1358" s="97"/>
      <c r="J1358" s="97"/>
      <c r="K1358" s="97"/>
      <c r="L1358" s="97"/>
      <c r="M1358" s="97"/>
      <c r="N1358" s="97"/>
      <c r="O1358" s="97"/>
      <c r="P1358" s="97"/>
      <c r="Q1358" s="97"/>
      <c r="R1358" s="97"/>
      <c r="S1358" s="97"/>
      <c r="T1358" s="97"/>
      <c r="U1358" s="97"/>
      <c r="V1358" s="97"/>
      <c r="W1358" s="97"/>
      <c r="X1358" s="97"/>
      <c r="Y1358" s="97"/>
    </row>
    <row r="1359">
      <c r="A1359" s="5"/>
      <c r="B1359" s="64"/>
      <c r="C1359" s="64"/>
      <c r="D1359" s="64"/>
      <c r="E1359" s="64"/>
      <c r="F1359" s="64"/>
      <c r="G1359" s="149"/>
      <c r="H1359" s="150"/>
      <c r="I1359" s="97"/>
      <c r="J1359" s="97"/>
      <c r="K1359" s="97"/>
      <c r="L1359" s="97"/>
      <c r="M1359" s="97"/>
      <c r="N1359" s="97"/>
      <c r="O1359" s="97"/>
      <c r="P1359" s="97"/>
      <c r="Q1359" s="97"/>
      <c r="R1359" s="97"/>
      <c r="S1359" s="97"/>
      <c r="T1359" s="97"/>
      <c r="U1359" s="97"/>
      <c r="V1359" s="97"/>
      <c r="W1359" s="97"/>
      <c r="X1359" s="97"/>
      <c r="Y1359" s="97"/>
    </row>
    <row r="1360">
      <c r="A1360" s="5"/>
      <c r="B1360" s="64"/>
      <c r="C1360" s="64"/>
      <c r="D1360" s="64"/>
      <c r="E1360" s="64"/>
      <c r="F1360" s="64"/>
      <c r="G1360" s="149"/>
      <c r="H1360" s="150"/>
      <c r="I1360" s="97"/>
      <c r="J1360" s="97"/>
      <c r="K1360" s="97"/>
      <c r="L1360" s="97"/>
      <c r="M1360" s="97"/>
      <c r="N1360" s="97"/>
      <c r="O1360" s="97"/>
      <c r="P1360" s="97"/>
      <c r="Q1360" s="97"/>
      <c r="R1360" s="97"/>
      <c r="S1360" s="97"/>
      <c r="T1360" s="97"/>
      <c r="U1360" s="97"/>
      <c r="V1360" s="97"/>
      <c r="W1360" s="97"/>
      <c r="X1360" s="97"/>
      <c r="Y1360" s="97"/>
    </row>
    <row r="1361">
      <c r="A1361" s="5"/>
      <c r="B1361" s="64"/>
      <c r="C1361" s="64"/>
      <c r="D1361" s="64"/>
      <c r="E1361" s="64"/>
      <c r="F1361" s="64"/>
      <c r="G1361" s="149"/>
      <c r="H1361" s="150"/>
      <c r="I1361" s="97"/>
      <c r="J1361" s="97"/>
      <c r="K1361" s="97"/>
      <c r="L1361" s="97"/>
      <c r="M1361" s="97"/>
      <c r="N1361" s="97"/>
      <c r="O1361" s="97"/>
      <c r="P1361" s="97"/>
      <c r="Q1361" s="97"/>
      <c r="R1361" s="97"/>
      <c r="S1361" s="97"/>
      <c r="T1361" s="97"/>
      <c r="U1361" s="97"/>
      <c r="V1361" s="97"/>
      <c r="W1361" s="97"/>
      <c r="X1361" s="97"/>
      <c r="Y1361" s="97"/>
    </row>
    <row r="1362">
      <c r="A1362" s="5"/>
      <c r="B1362" s="64"/>
      <c r="C1362" s="64"/>
      <c r="D1362" s="64"/>
      <c r="E1362" s="64"/>
      <c r="F1362" s="64"/>
      <c r="G1362" s="149"/>
      <c r="H1362" s="150"/>
      <c r="I1362" s="97"/>
      <c r="J1362" s="97"/>
      <c r="K1362" s="97"/>
      <c r="L1362" s="97"/>
      <c r="M1362" s="97"/>
      <c r="N1362" s="97"/>
      <c r="O1362" s="97"/>
      <c r="P1362" s="97"/>
      <c r="Q1362" s="97"/>
      <c r="R1362" s="97"/>
      <c r="S1362" s="97"/>
      <c r="T1362" s="97"/>
      <c r="U1362" s="97"/>
      <c r="V1362" s="97"/>
      <c r="W1362" s="97"/>
      <c r="X1362" s="97"/>
      <c r="Y1362" s="97"/>
    </row>
    <row r="1363">
      <c r="A1363" s="5"/>
      <c r="B1363" s="64"/>
      <c r="C1363" s="64"/>
      <c r="D1363" s="64"/>
      <c r="E1363" s="64"/>
      <c r="F1363" s="64"/>
      <c r="G1363" s="149"/>
      <c r="H1363" s="150"/>
      <c r="I1363" s="97"/>
      <c r="J1363" s="97"/>
      <c r="K1363" s="97"/>
      <c r="L1363" s="97"/>
      <c r="M1363" s="97"/>
      <c r="N1363" s="97"/>
      <c r="O1363" s="97"/>
      <c r="P1363" s="97"/>
      <c r="Q1363" s="97"/>
      <c r="R1363" s="97"/>
      <c r="S1363" s="97"/>
      <c r="T1363" s="97"/>
      <c r="U1363" s="97"/>
      <c r="V1363" s="97"/>
      <c r="W1363" s="97"/>
      <c r="X1363" s="97"/>
      <c r="Y1363" s="97"/>
    </row>
    <row r="1364">
      <c r="A1364" s="5"/>
      <c r="B1364" s="64"/>
      <c r="C1364" s="64"/>
      <c r="D1364" s="64"/>
      <c r="E1364" s="64"/>
      <c r="F1364" s="64"/>
      <c r="G1364" s="149"/>
      <c r="H1364" s="150"/>
      <c r="I1364" s="97"/>
      <c r="J1364" s="97"/>
      <c r="K1364" s="97"/>
      <c r="L1364" s="97"/>
      <c r="M1364" s="97"/>
      <c r="N1364" s="97"/>
      <c r="O1364" s="97"/>
      <c r="P1364" s="97"/>
      <c r="Q1364" s="97"/>
      <c r="R1364" s="97"/>
      <c r="S1364" s="97"/>
      <c r="T1364" s="97"/>
      <c r="U1364" s="97"/>
      <c r="V1364" s="97"/>
      <c r="W1364" s="97"/>
      <c r="X1364" s="97"/>
      <c r="Y1364" s="97"/>
    </row>
    <row r="1365">
      <c r="A1365" s="5"/>
      <c r="B1365" s="64"/>
      <c r="C1365" s="64"/>
      <c r="D1365" s="64"/>
      <c r="E1365" s="64"/>
      <c r="F1365" s="64"/>
      <c r="G1365" s="149"/>
      <c r="H1365" s="150"/>
      <c r="I1365" s="97"/>
      <c r="J1365" s="97"/>
      <c r="K1365" s="97"/>
      <c r="L1365" s="97"/>
      <c r="M1365" s="97"/>
      <c r="N1365" s="97"/>
      <c r="O1365" s="97"/>
      <c r="P1365" s="97"/>
      <c r="Q1365" s="97"/>
      <c r="R1365" s="97"/>
      <c r="S1365" s="97"/>
      <c r="T1365" s="97"/>
      <c r="U1365" s="97"/>
      <c r="V1365" s="97"/>
      <c r="W1365" s="97"/>
      <c r="X1365" s="97"/>
      <c r="Y1365" s="97"/>
    </row>
    <row r="1366">
      <c r="A1366" s="5"/>
      <c r="B1366" s="64"/>
      <c r="C1366" s="64"/>
      <c r="D1366" s="64"/>
      <c r="E1366" s="64"/>
      <c r="F1366" s="64"/>
      <c r="G1366" s="149"/>
      <c r="H1366" s="150"/>
      <c r="I1366" s="97"/>
      <c r="J1366" s="97"/>
      <c r="K1366" s="97"/>
      <c r="L1366" s="97"/>
      <c r="M1366" s="97"/>
      <c r="N1366" s="97"/>
      <c r="O1366" s="97"/>
      <c r="P1366" s="97"/>
      <c r="Q1366" s="97"/>
      <c r="R1366" s="97"/>
      <c r="S1366" s="97"/>
      <c r="T1366" s="97"/>
      <c r="U1366" s="97"/>
      <c r="V1366" s="97"/>
      <c r="W1366" s="97"/>
      <c r="X1366" s="97"/>
      <c r="Y1366" s="97"/>
    </row>
    <row r="1367">
      <c r="A1367" s="5"/>
      <c r="B1367" s="64"/>
      <c r="C1367" s="64"/>
      <c r="D1367" s="64"/>
      <c r="E1367" s="64"/>
      <c r="F1367" s="64"/>
      <c r="G1367" s="149"/>
      <c r="H1367" s="150"/>
      <c r="I1367" s="97"/>
      <c r="J1367" s="97"/>
      <c r="K1367" s="97"/>
      <c r="L1367" s="97"/>
      <c r="M1367" s="97"/>
      <c r="N1367" s="97"/>
      <c r="O1367" s="97"/>
      <c r="P1367" s="97"/>
      <c r="Q1367" s="97"/>
      <c r="R1367" s="97"/>
      <c r="S1367" s="97"/>
      <c r="T1367" s="97"/>
      <c r="U1367" s="97"/>
      <c r="V1367" s="97"/>
      <c r="W1367" s="97"/>
      <c r="X1367" s="97"/>
      <c r="Y1367" s="97"/>
    </row>
    <row r="1368">
      <c r="A1368" s="5"/>
      <c r="B1368" s="64"/>
      <c r="C1368" s="64"/>
      <c r="D1368" s="64"/>
      <c r="E1368" s="64"/>
      <c r="F1368" s="64"/>
      <c r="G1368" s="149"/>
      <c r="H1368" s="150"/>
      <c r="I1368" s="97"/>
      <c r="J1368" s="97"/>
      <c r="K1368" s="97"/>
      <c r="L1368" s="97"/>
      <c r="M1368" s="97"/>
      <c r="N1368" s="97"/>
      <c r="O1368" s="97"/>
      <c r="P1368" s="97"/>
      <c r="Q1368" s="97"/>
      <c r="R1368" s="97"/>
      <c r="S1368" s="97"/>
      <c r="T1368" s="97"/>
      <c r="U1368" s="97"/>
      <c r="V1368" s="97"/>
      <c r="W1368" s="97"/>
      <c r="X1368" s="97"/>
      <c r="Y1368" s="97"/>
    </row>
    <row r="1369">
      <c r="A1369" s="5"/>
      <c r="B1369" s="64"/>
      <c r="C1369" s="64"/>
      <c r="D1369" s="64"/>
      <c r="E1369" s="64"/>
      <c r="F1369" s="64"/>
      <c r="G1369" s="149"/>
      <c r="H1369" s="150"/>
      <c r="I1369" s="97"/>
      <c r="J1369" s="97"/>
      <c r="K1369" s="97"/>
      <c r="L1369" s="97"/>
      <c r="M1369" s="97"/>
      <c r="N1369" s="97"/>
      <c r="O1369" s="97"/>
      <c r="P1369" s="97"/>
      <c r="Q1369" s="97"/>
      <c r="R1369" s="97"/>
      <c r="S1369" s="97"/>
      <c r="T1369" s="97"/>
      <c r="U1369" s="97"/>
      <c r="V1369" s="97"/>
      <c r="W1369" s="97"/>
      <c r="X1369" s="97"/>
      <c r="Y1369" s="97"/>
    </row>
    <row r="1370">
      <c r="A1370" s="5"/>
      <c r="B1370" s="64"/>
      <c r="C1370" s="64"/>
      <c r="D1370" s="64"/>
      <c r="E1370" s="64"/>
      <c r="F1370" s="64"/>
      <c r="G1370" s="149"/>
      <c r="H1370" s="150"/>
      <c r="I1370" s="97"/>
      <c r="J1370" s="97"/>
      <c r="K1370" s="97"/>
      <c r="L1370" s="97"/>
      <c r="M1370" s="97"/>
      <c r="N1370" s="97"/>
      <c r="O1370" s="97"/>
      <c r="P1370" s="97"/>
      <c r="Q1370" s="97"/>
      <c r="R1370" s="97"/>
      <c r="S1370" s="97"/>
      <c r="T1370" s="97"/>
      <c r="U1370" s="97"/>
      <c r="V1370" s="97"/>
      <c r="W1370" s="97"/>
      <c r="X1370" s="97"/>
      <c r="Y1370" s="97"/>
    </row>
    <row r="1371">
      <c r="A1371" s="5"/>
      <c r="B1371" s="64"/>
      <c r="C1371" s="64"/>
      <c r="D1371" s="64"/>
      <c r="E1371" s="64"/>
      <c r="F1371" s="64"/>
      <c r="G1371" s="149"/>
      <c r="H1371" s="150"/>
      <c r="I1371" s="97"/>
      <c r="J1371" s="97"/>
      <c r="K1371" s="97"/>
      <c r="L1371" s="97"/>
      <c r="M1371" s="97"/>
      <c r="N1371" s="97"/>
      <c r="O1371" s="97"/>
      <c r="P1371" s="97"/>
      <c r="Q1371" s="97"/>
      <c r="R1371" s="97"/>
      <c r="S1371" s="97"/>
      <c r="T1371" s="97"/>
      <c r="U1371" s="97"/>
      <c r="V1371" s="97"/>
      <c r="W1371" s="97"/>
      <c r="X1371" s="97"/>
      <c r="Y1371" s="97"/>
    </row>
    <row r="1372">
      <c r="A1372" s="5"/>
      <c r="B1372" s="64"/>
      <c r="C1372" s="64"/>
      <c r="D1372" s="64"/>
      <c r="E1372" s="64"/>
      <c r="F1372" s="64"/>
      <c r="G1372" s="149"/>
      <c r="H1372" s="150"/>
      <c r="I1372" s="97"/>
      <c r="J1372" s="97"/>
      <c r="K1372" s="97"/>
      <c r="L1372" s="97"/>
      <c r="M1372" s="97"/>
      <c r="N1372" s="97"/>
      <c r="O1372" s="97"/>
      <c r="P1372" s="97"/>
      <c r="Q1372" s="97"/>
      <c r="R1372" s="97"/>
      <c r="S1372" s="97"/>
      <c r="T1372" s="97"/>
      <c r="U1372" s="97"/>
      <c r="V1372" s="97"/>
      <c r="W1372" s="97"/>
      <c r="X1372" s="97"/>
      <c r="Y1372" s="97"/>
    </row>
    <row r="1373">
      <c r="A1373" s="5"/>
      <c r="B1373" s="64"/>
      <c r="C1373" s="64"/>
      <c r="D1373" s="64"/>
      <c r="E1373" s="64"/>
      <c r="F1373" s="64"/>
      <c r="G1373" s="149"/>
      <c r="H1373" s="150"/>
      <c r="I1373" s="97"/>
      <c r="J1373" s="97"/>
      <c r="K1373" s="97"/>
      <c r="L1373" s="97"/>
      <c r="M1373" s="97"/>
      <c r="N1373" s="97"/>
      <c r="O1373" s="97"/>
      <c r="P1373" s="97"/>
      <c r="Q1373" s="97"/>
      <c r="R1373" s="97"/>
      <c r="S1373" s="97"/>
      <c r="T1373" s="97"/>
      <c r="U1373" s="97"/>
      <c r="V1373" s="97"/>
      <c r="W1373" s="97"/>
      <c r="X1373" s="97"/>
      <c r="Y1373" s="97"/>
    </row>
    <row r="1374">
      <c r="A1374" s="5"/>
      <c r="B1374" s="64"/>
      <c r="C1374" s="64"/>
      <c r="D1374" s="64"/>
      <c r="E1374" s="64"/>
      <c r="F1374" s="64"/>
      <c r="G1374" s="149"/>
      <c r="H1374" s="150"/>
      <c r="I1374" s="97"/>
      <c r="J1374" s="97"/>
      <c r="K1374" s="97"/>
      <c r="L1374" s="97"/>
      <c r="M1374" s="97"/>
      <c r="N1374" s="97"/>
      <c r="O1374" s="97"/>
      <c r="P1374" s="97"/>
      <c r="Q1374" s="97"/>
      <c r="R1374" s="97"/>
      <c r="S1374" s="97"/>
      <c r="T1374" s="97"/>
      <c r="U1374" s="97"/>
      <c r="V1374" s="97"/>
      <c r="W1374" s="97"/>
      <c r="X1374" s="97"/>
      <c r="Y1374" s="97"/>
    </row>
    <row r="1375">
      <c r="A1375" s="5"/>
      <c r="B1375" s="64"/>
      <c r="C1375" s="64"/>
      <c r="D1375" s="64"/>
      <c r="E1375" s="64"/>
      <c r="F1375" s="64"/>
      <c r="G1375" s="149"/>
      <c r="H1375" s="150"/>
      <c r="I1375" s="97"/>
      <c r="J1375" s="97"/>
      <c r="K1375" s="97"/>
      <c r="L1375" s="97"/>
      <c r="M1375" s="97"/>
      <c r="N1375" s="97"/>
      <c r="O1375" s="97"/>
      <c r="P1375" s="97"/>
      <c r="Q1375" s="97"/>
      <c r="R1375" s="97"/>
      <c r="S1375" s="97"/>
      <c r="T1375" s="97"/>
      <c r="U1375" s="97"/>
      <c r="V1375" s="97"/>
      <c r="W1375" s="97"/>
      <c r="X1375" s="97"/>
      <c r="Y1375" s="97"/>
    </row>
    <row r="1376">
      <c r="A1376" s="5"/>
      <c r="B1376" s="64"/>
      <c r="C1376" s="64"/>
      <c r="D1376" s="64"/>
      <c r="E1376" s="64"/>
      <c r="F1376" s="64"/>
      <c r="G1376" s="149"/>
      <c r="H1376" s="150"/>
      <c r="I1376" s="97"/>
      <c r="J1376" s="97"/>
      <c r="K1376" s="97"/>
      <c r="L1376" s="97"/>
      <c r="M1376" s="97"/>
      <c r="N1376" s="97"/>
      <c r="O1376" s="97"/>
      <c r="P1376" s="97"/>
      <c r="Q1376" s="97"/>
      <c r="R1376" s="97"/>
      <c r="S1376" s="97"/>
      <c r="T1376" s="97"/>
      <c r="U1376" s="97"/>
      <c r="V1376" s="97"/>
      <c r="W1376" s="97"/>
      <c r="X1376" s="97"/>
      <c r="Y1376" s="97"/>
    </row>
    <row r="1377">
      <c r="A1377" s="5"/>
      <c r="B1377" s="64"/>
      <c r="C1377" s="64"/>
      <c r="D1377" s="64"/>
      <c r="E1377" s="64"/>
      <c r="F1377" s="64"/>
      <c r="G1377" s="149"/>
      <c r="H1377" s="150"/>
      <c r="I1377" s="97"/>
      <c r="J1377" s="97"/>
      <c r="K1377" s="97"/>
      <c r="L1377" s="97"/>
      <c r="M1377" s="97"/>
      <c r="N1377" s="97"/>
      <c r="O1377" s="97"/>
      <c r="P1377" s="97"/>
      <c r="Q1377" s="97"/>
      <c r="R1377" s="97"/>
      <c r="S1377" s="97"/>
      <c r="T1377" s="97"/>
      <c r="U1377" s="97"/>
      <c r="V1377" s="97"/>
      <c r="W1377" s="97"/>
      <c r="X1377" s="97"/>
      <c r="Y1377" s="97"/>
    </row>
    <row r="1378">
      <c r="A1378" s="97"/>
      <c r="B1378" s="99"/>
      <c r="C1378" s="99"/>
      <c r="D1378" s="99"/>
      <c r="E1378" s="99"/>
      <c r="F1378" s="99"/>
      <c r="G1378" s="151"/>
      <c r="H1378" s="150"/>
      <c r="I1378" s="97"/>
      <c r="J1378" s="97"/>
      <c r="K1378" s="97"/>
      <c r="L1378" s="97"/>
      <c r="M1378" s="97"/>
      <c r="N1378" s="97"/>
      <c r="O1378" s="97"/>
      <c r="P1378" s="97"/>
      <c r="Q1378" s="97"/>
      <c r="R1378" s="97"/>
      <c r="S1378" s="97"/>
      <c r="T1378" s="97"/>
      <c r="U1378" s="97"/>
      <c r="V1378" s="97"/>
      <c r="W1378" s="97"/>
      <c r="X1378" s="97"/>
      <c r="Y1378" s="97"/>
    </row>
    <row r="1379">
      <c r="A1379" s="97"/>
      <c r="B1379" s="99"/>
      <c r="C1379" s="99"/>
      <c r="D1379" s="99"/>
      <c r="E1379" s="99"/>
      <c r="F1379" s="99"/>
      <c r="G1379" s="151"/>
      <c r="H1379" s="150"/>
      <c r="I1379" s="97"/>
      <c r="J1379" s="97"/>
      <c r="K1379" s="97"/>
      <c r="L1379" s="97"/>
      <c r="M1379" s="97"/>
      <c r="N1379" s="97"/>
      <c r="O1379" s="97"/>
      <c r="P1379" s="97"/>
      <c r="Q1379" s="97"/>
      <c r="R1379" s="97"/>
      <c r="S1379" s="97"/>
      <c r="T1379" s="97"/>
      <c r="U1379" s="97"/>
      <c r="V1379" s="97"/>
      <c r="W1379" s="97"/>
      <c r="X1379" s="97"/>
      <c r="Y1379" s="97"/>
    </row>
    <row r="1380">
      <c r="A1380" s="97"/>
      <c r="B1380" s="99"/>
      <c r="C1380" s="99"/>
      <c r="D1380" s="99"/>
      <c r="E1380" s="99"/>
      <c r="F1380" s="99"/>
      <c r="G1380" s="151"/>
      <c r="H1380" s="150"/>
      <c r="I1380" s="97"/>
      <c r="J1380" s="97"/>
      <c r="K1380" s="97"/>
      <c r="L1380" s="97"/>
      <c r="M1380" s="97"/>
      <c r="N1380" s="97"/>
      <c r="O1380" s="97"/>
      <c r="P1380" s="97"/>
      <c r="Q1380" s="97"/>
      <c r="R1380" s="97"/>
      <c r="S1380" s="97"/>
      <c r="T1380" s="97"/>
      <c r="U1380" s="97"/>
      <c r="V1380" s="97"/>
      <c r="W1380" s="97"/>
      <c r="X1380" s="97"/>
      <c r="Y1380" s="97"/>
    </row>
    <row r="1381">
      <c r="A1381" s="97"/>
      <c r="B1381" s="99"/>
      <c r="C1381" s="99"/>
      <c r="D1381" s="99"/>
      <c r="E1381" s="99"/>
      <c r="F1381" s="99"/>
      <c r="G1381" s="151"/>
      <c r="H1381" s="150"/>
      <c r="I1381" s="97"/>
      <c r="J1381" s="97"/>
      <c r="K1381" s="97"/>
      <c r="L1381" s="97"/>
      <c r="M1381" s="97"/>
      <c r="N1381" s="97"/>
      <c r="O1381" s="97"/>
      <c r="P1381" s="97"/>
      <c r="Q1381" s="97"/>
      <c r="R1381" s="97"/>
      <c r="S1381" s="97"/>
      <c r="T1381" s="97"/>
      <c r="U1381" s="97"/>
      <c r="V1381" s="97"/>
      <c r="W1381" s="97"/>
      <c r="X1381" s="97"/>
      <c r="Y1381" s="97"/>
    </row>
    <row r="1382">
      <c r="A1382" s="97"/>
      <c r="B1382" s="99"/>
      <c r="C1382" s="99"/>
      <c r="D1382" s="99"/>
      <c r="E1382" s="99"/>
      <c r="F1382" s="99"/>
      <c r="G1382" s="151"/>
      <c r="H1382" s="150"/>
      <c r="I1382" s="97"/>
      <c r="J1382" s="97"/>
      <c r="K1382" s="97"/>
      <c r="L1382" s="97"/>
      <c r="M1382" s="97"/>
      <c r="N1382" s="97"/>
      <c r="O1382" s="97"/>
      <c r="P1382" s="97"/>
      <c r="Q1382" s="97"/>
      <c r="R1382" s="97"/>
      <c r="S1382" s="97"/>
      <c r="T1382" s="97"/>
      <c r="U1382" s="97"/>
      <c r="V1382" s="97"/>
      <c r="W1382" s="97"/>
      <c r="X1382" s="97"/>
      <c r="Y1382" s="97"/>
    </row>
    <row r="1383">
      <c r="A1383" s="97"/>
      <c r="B1383" s="99"/>
      <c r="C1383" s="99"/>
      <c r="D1383" s="99"/>
      <c r="E1383" s="99"/>
      <c r="F1383" s="99"/>
      <c r="G1383" s="151"/>
      <c r="H1383" s="150"/>
      <c r="I1383" s="97"/>
      <c r="J1383" s="97"/>
      <c r="K1383" s="97"/>
      <c r="L1383" s="97"/>
      <c r="M1383" s="97"/>
      <c r="N1383" s="97"/>
      <c r="O1383" s="97"/>
      <c r="P1383" s="97"/>
      <c r="Q1383" s="97"/>
      <c r="R1383" s="97"/>
      <c r="S1383" s="97"/>
      <c r="T1383" s="97"/>
      <c r="U1383" s="97"/>
      <c r="V1383" s="97"/>
      <c r="W1383" s="97"/>
      <c r="X1383" s="97"/>
      <c r="Y1383" s="97"/>
    </row>
    <row r="1384">
      <c r="A1384" s="97"/>
      <c r="B1384" s="99"/>
      <c r="C1384" s="99"/>
      <c r="D1384" s="99"/>
      <c r="E1384" s="99"/>
      <c r="F1384" s="99"/>
      <c r="G1384" s="151"/>
      <c r="H1384" s="150"/>
      <c r="I1384" s="97"/>
      <c r="J1384" s="97"/>
      <c r="K1384" s="97"/>
      <c r="L1384" s="97"/>
      <c r="M1384" s="97"/>
      <c r="N1384" s="97"/>
      <c r="O1384" s="97"/>
      <c r="P1384" s="97"/>
      <c r="Q1384" s="97"/>
      <c r="R1384" s="97"/>
      <c r="S1384" s="97"/>
      <c r="T1384" s="97"/>
      <c r="U1384" s="97"/>
      <c r="V1384" s="97"/>
      <c r="W1384" s="97"/>
      <c r="X1384" s="97"/>
      <c r="Y1384" s="97"/>
    </row>
    <row r="1385">
      <c r="A1385" s="97"/>
      <c r="B1385" s="99"/>
      <c r="C1385" s="99"/>
      <c r="D1385" s="99"/>
      <c r="E1385" s="99"/>
      <c r="F1385" s="99"/>
      <c r="G1385" s="151"/>
      <c r="H1385" s="150"/>
      <c r="I1385" s="97"/>
      <c r="J1385" s="97"/>
      <c r="K1385" s="97"/>
      <c r="L1385" s="97"/>
      <c r="M1385" s="97"/>
      <c r="N1385" s="97"/>
      <c r="O1385" s="97"/>
      <c r="P1385" s="97"/>
      <c r="Q1385" s="97"/>
      <c r="R1385" s="97"/>
      <c r="S1385" s="97"/>
      <c r="T1385" s="97"/>
      <c r="U1385" s="97"/>
      <c r="V1385" s="97"/>
      <c r="W1385" s="97"/>
      <c r="X1385" s="97"/>
      <c r="Y1385" s="97"/>
    </row>
  </sheetData>
  <conditionalFormatting sqref="H4:H1385">
    <cfRule type="cellIs" dxfId="1" priority="1" operator="lessThan">
      <formula>"80%"</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0.5"/>
    <col customWidth="1" min="3" max="5" width="5.5"/>
    <col customWidth="1" min="6" max="6" width="5.25"/>
    <col customWidth="1" min="7" max="7" width="5.13"/>
    <col customWidth="1" min="8" max="8" width="6.13"/>
    <col customWidth="1" min="9" max="10" width="6.38"/>
    <col customWidth="1" min="11" max="11" width="3.88"/>
    <col customWidth="1" min="12" max="15" width="5.5"/>
    <col customWidth="1" min="16" max="16" width="4.25"/>
  </cols>
  <sheetData>
    <row r="1">
      <c r="A1" s="152" t="s">
        <v>1</v>
      </c>
      <c r="B1" s="153" t="s">
        <v>44</v>
      </c>
      <c r="C1" s="154" t="s">
        <v>45</v>
      </c>
      <c r="D1" s="154" t="s">
        <v>46</v>
      </c>
      <c r="E1" s="154" t="s">
        <v>47</v>
      </c>
      <c r="F1" s="154" t="s">
        <v>48</v>
      </c>
      <c r="G1" s="154" t="s">
        <v>49</v>
      </c>
      <c r="H1" s="154" t="s">
        <v>50</v>
      </c>
      <c r="I1" s="154" t="s">
        <v>51</v>
      </c>
      <c r="J1" s="155" t="s">
        <v>52</v>
      </c>
      <c r="K1" s="156" t="s">
        <v>53</v>
      </c>
      <c r="L1" s="154" t="s">
        <v>54</v>
      </c>
      <c r="M1" s="154" t="s">
        <v>55</v>
      </c>
      <c r="N1" s="154" t="s">
        <v>56</v>
      </c>
      <c r="O1" s="155" t="s">
        <v>57</v>
      </c>
      <c r="P1" s="155" t="s">
        <v>58</v>
      </c>
      <c r="U1" s="157"/>
    </row>
    <row r="2">
      <c r="A2" s="158">
        <v>46098.0</v>
      </c>
      <c r="B2" s="159" t="str">
        <f>IF(DATOS!E4&lt;&gt;"",DATOS!E4/DATOS!D4,"")</f>
        <v/>
      </c>
      <c r="C2" s="160" t="str">
        <f t="shared" ref="C2:C95" si="1">IF(B2&lt;&gt;"", AVERAGE($B2:B$826),"")</f>
        <v/>
      </c>
      <c r="D2" s="160" t="str">
        <f t="shared" ref="D2:D95" si="2">IF(B2&lt;&gt;"",B2-C2,"")</f>
        <v/>
      </c>
      <c r="E2" s="161" t="str">
        <f t="shared" ref="E2:E95" si="3">IF(B2&lt;&gt;"",TREND($B2:$B$751,$A2:$A$751,A2),"")</f>
        <v/>
      </c>
      <c r="F2" s="161" t="str">
        <f t="shared" ref="F2:F737" si="4">IF(B2&lt;&gt;"",H2 - 2.6*STDEV(B2:B16),"")</f>
        <v/>
      </c>
      <c r="G2" s="161" t="str">
        <f t="shared" ref="G2:G95" si="5">IF(B2&lt;&gt;"",(B2-G3)*2/51+G3,"")</f>
        <v/>
      </c>
      <c r="H2" s="161" t="str">
        <f t="shared" ref="H2:H95" si="6">IF(B2&lt;&gt;"",(B2-H3)*0.125+H3,"")</f>
        <v/>
      </c>
      <c r="I2" s="161" t="str">
        <f t="shared" ref="I2:I95" si="7">IF(B2&lt;&gt;"",(B2-I3)*1/3+I3,"")</f>
        <v/>
      </c>
      <c r="J2" s="162" t="str">
        <f t="shared" ref="J2:J737" si="8">IF(B2&lt;&gt;"",H2 + 2.6*STDEV(B2:B16),"")</f>
        <v/>
      </c>
      <c r="K2" s="163" t="str">
        <f t="shared" ref="K2:K95" si="9">IF(B2&lt;&gt;"",ln(B2)-ln(B3),"")</f>
        <v/>
      </c>
      <c r="L2" s="163" t="str">
        <f t="shared" ref="L2:L95" si="10">IF(B2&lt;&gt;"",SQRT(_xlfn.VAR.S($K2:K$750)),"")</f>
        <v/>
      </c>
      <c r="M2" s="163" t="str">
        <f t="shared" ref="M2:M95" si="11">IF(B2&lt;&gt;"",L2*SQRT(365),"")</f>
        <v/>
      </c>
      <c r="N2" s="163" t="str">
        <f t="shared" ref="N2:N95" si="12">IF(B2&lt;&gt;"",PERCENTILE($K2:K$750,0.05),"")</f>
        <v/>
      </c>
      <c r="O2" s="164" t="str">
        <f t="shared" ref="O2:O95" si="13">IF(B2&lt;&gt;"",PERCENTILE(K2:K31,0.05),"")</f>
        <v/>
      </c>
      <c r="P2" s="164" t="str">
        <f t="shared" ref="P2:P94" si="14">IF(B2&lt;&gt;"",B2/MAX($B2:B$826)-1,"")</f>
        <v/>
      </c>
    </row>
    <row r="3">
      <c r="A3" s="158">
        <v>46097.0</v>
      </c>
      <c r="B3" s="159" t="str">
        <f>IF(DATOS!E5&lt;&gt;"",DATOS!E5/DATOS!D5,"")</f>
        <v/>
      </c>
      <c r="C3" s="160" t="str">
        <f t="shared" si="1"/>
        <v/>
      </c>
      <c r="D3" s="160" t="str">
        <f t="shared" si="2"/>
        <v/>
      </c>
      <c r="E3" s="161" t="str">
        <f t="shared" si="3"/>
        <v/>
      </c>
      <c r="F3" s="161" t="str">
        <f t="shared" si="4"/>
        <v/>
      </c>
      <c r="G3" s="161" t="str">
        <f t="shared" si="5"/>
        <v/>
      </c>
      <c r="H3" s="161" t="str">
        <f t="shared" si="6"/>
        <v/>
      </c>
      <c r="I3" s="161" t="str">
        <f t="shared" si="7"/>
        <v/>
      </c>
      <c r="J3" s="162" t="str">
        <f t="shared" si="8"/>
        <v/>
      </c>
      <c r="K3" s="163" t="str">
        <f t="shared" si="9"/>
        <v/>
      </c>
      <c r="L3" s="163" t="str">
        <f t="shared" si="10"/>
        <v/>
      </c>
      <c r="M3" s="163" t="str">
        <f t="shared" si="11"/>
        <v/>
      </c>
      <c r="N3" s="163" t="str">
        <f t="shared" si="12"/>
        <v/>
      </c>
      <c r="O3" s="164" t="str">
        <f t="shared" si="13"/>
        <v/>
      </c>
      <c r="P3" s="164" t="str">
        <f t="shared" si="14"/>
        <v/>
      </c>
    </row>
    <row r="4">
      <c r="A4" s="158">
        <v>46096.0</v>
      </c>
      <c r="B4" s="159" t="str">
        <f>IF(DATOS!E6&lt;&gt;"",DATOS!E6/DATOS!D6,"")</f>
        <v/>
      </c>
      <c r="C4" s="160" t="str">
        <f t="shared" si="1"/>
        <v/>
      </c>
      <c r="D4" s="160" t="str">
        <f t="shared" si="2"/>
        <v/>
      </c>
      <c r="E4" s="161" t="str">
        <f t="shared" si="3"/>
        <v/>
      </c>
      <c r="F4" s="161" t="str">
        <f t="shared" si="4"/>
        <v/>
      </c>
      <c r="G4" s="161" t="str">
        <f t="shared" si="5"/>
        <v/>
      </c>
      <c r="H4" s="161" t="str">
        <f t="shared" si="6"/>
        <v/>
      </c>
      <c r="I4" s="161" t="str">
        <f t="shared" si="7"/>
        <v/>
      </c>
      <c r="J4" s="162" t="str">
        <f t="shared" si="8"/>
        <v/>
      </c>
      <c r="K4" s="163" t="str">
        <f t="shared" si="9"/>
        <v/>
      </c>
      <c r="L4" s="163" t="str">
        <f t="shared" si="10"/>
        <v/>
      </c>
      <c r="M4" s="163" t="str">
        <f t="shared" si="11"/>
        <v/>
      </c>
      <c r="N4" s="163" t="str">
        <f t="shared" si="12"/>
        <v/>
      </c>
      <c r="O4" s="164" t="str">
        <f t="shared" si="13"/>
        <v/>
      </c>
      <c r="P4" s="164" t="str">
        <f t="shared" si="14"/>
        <v/>
      </c>
    </row>
    <row r="5">
      <c r="A5" s="158">
        <v>46095.0</v>
      </c>
      <c r="B5" s="159" t="str">
        <f>IF(DATOS!E7&lt;&gt;"",DATOS!E7/DATOS!D7,"")</f>
        <v/>
      </c>
      <c r="C5" s="160" t="str">
        <f t="shared" si="1"/>
        <v/>
      </c>
      <c r="D5" s="160" t="str">
        <f t="shared" si="2"/>
        <v/>
      </c>
      <c r="E5" s="161" t="str">
        <f t="shared" si="3"/>
        <v/>
      </c>
      <c r="F5" s="161" t="str">
        <f t="shared" si="4"/>
        <v/>
      </c>
      <c r="G5" s="161" t="str">
        <f t="shared" si="5"/>
        <v/>
      </c>
      <c r="H5" s="161" t="str">
        <f t="shared" si="6"/>
        <v/>
      </c>
      <c r="I5" s="161" t="str">
        <f t="shared" si="7"/>
        <v/>
      </c>
      <c r="J5" s="162" t="str">
        <f t="shared" si="8"/>
        <v/>
      </c>
      <c r="K5" s="163" t="str">
        <f t="shared" si="9"/>
        <v/>
      </c>
      <c r="L5" s="163" t="str">
        <f t="shared" si="10"/>
        <v/>
      </c>
      <c r="M5" s="163" t="str">
        <f t="shared" si="11"/>
        <v/>
      </c>
      <c r="N5" s="163" t="str">
        <f t="shared" si="12"/>
        <v/>
      </c>
      <c r="O5" s="164" t="str">
        <f t="shared" si="13"/>
        <v/>
      </c>
      <c r="P5" s="164" t="str">
        <f t="shared" si="14"/>
        <v/>
      </c>
    </row>
    <row r="6">
      <c r="A6" s="158">
        <v>46094.0</v>
      </c>
      <c r="B6" s="159" t="str">
        <f>IF(DATOS!E8&lt;&gt;"",DATOS!E8/DATOS!D8,"")</f>
        <v/>
      </c>
      <c r="C6" s="160" t="str">
        <f t="shared" si="1"/>
        <v/>
      </c>
      <c r="D6" s="160" t="str">
        <f t="shared" si="2"/>
        <v/>
      </c>
      <c r="E6" s="161" t="str">
        <f t="shared" si="3"/>
        <v/>
      </c>
      <c r="F6" s="161" t="str">
        <f t="shared" si="4"/>
        <v/>
      </c>
      <c r="G6" s="161" t="str">
        <f t="shared" si="5"/>
        <v/>
      </c>
      <c r="H6" s="161" t="str">
        <f t="shared" si="6"/>
        <v/>
      </c>
      <c r="I6" s="161" t="str">
        <f t="shared" si="7"/>
        <v/>
      </c>
      <c r="J6" s="162" t="str">
        <f t="shared" si="8"/>
        <v/>
      </c>
      <c r="K6" s="163" t="str">
        <f t="shared" si="9"/>
        <v/>
      </c>
      <c r="L6" s="163" t="str">
        <f t="shared" si="10"/>
        <v/>
      </c>
      <c r="M6" s="163" t="str">
        <f t="shared" si="11"/>
        <v/>
      </c>
      <c r="N6" s="163" t="str">
        <f t="shared" si="12"/>
        <v/>
      </c>
      <c r="O6" s="164" t="str">
        <f t="shared" si="13"/>
        <v/>
      </c>
      <c r="P6" s="164" t="str">
        <f t="shared" si="14"/>
        <v/>
      </c>
    </row>
    <row r="7">
      <c r="A7" s="158">
        <v>46093.0</v>
      </c>
      <c r="B7" s="159" t="str">
        <f>IF(DATOS!E9&lt;&gt;"",DATOS!E9/DATOS!D9,"")</f>
        <v/>
      </c>
      <c r="C7" s="160" t="str">
        <f t="shared" si="1"/>
        <v/>
      </c>
      <c r="D7" s="160" t="str">
        <f t="shared" si="2"/>
        <v/>
      </c>
      <c r="E7" s="161" t="str">
        <f t="shared" si="3"/>
        <v/>
      </c>
      <c r="F7" s="161" t="str">
        <f t="shared" si="4"/>
        <v/>
      </c>
      <c r="G7" s="161" t="str">
        <f t="shared" si="5"/>
        <v/>
      </c>
      <c r="H7" s="161" t="str">
        <f t="shared" si="6"/>
        <v/>
      </c>
      <c r="I7" s="161" t="str">
        <f t="shared" si="7"/>
        <v/>
      </c>
      <c r="J7" s="162" t="str">
        <f t="shared" si="8"/>
        <v/>
      </c>
      <c r="K7" s="163" t="str">
        <f t="shared" si="9"/>
        <v/>
      </c>
      <c r="L7" s="163" t="str">
        <f t="shared" si="10"/>
        <v/>
      </c>
      <c r="M7" s="163" t="str">
        <f t="shared" si="11"/>
        <v/>
      </c>
      <c r="N7" s="163" t="str">
        <f t="shared" si="12"/>
        <v/>
      </c>
      <c r="O7" s="164" t="str">
        <f t="shared" si="13"/>
        <v/>
      </c>
      <c r="P7" s="164" t="str">
        <f t="shared" si="14"/>
        <v/>
      </c>
    </row>
    <row r="8">
      <c r="A8" s="158">
        <v>46092.0</v>
      </c>
      <c r="B8" s="159" t="str">
        <f>IF(DATOS!E10&lt;&gt;"",DATOS!E10/DATOS!D10,"")</f>
        <v/>
      </c>
      <c r="C8" s="160" t="str">
        <f t="shared" si="1"/>
        <v/>
      </c>
      <c r="D8" s="160" t="str">
        <f t="shared" si="2"/>
        <v/>
      </c>
      <c r="E8" s="161" t="str">
        <f t="shared" si="3"/>
        <v/>
      </c>
      <c r="F8" s="161" t="str">
        <f t="shared" si="4"/>
        <v/>
      </c>
      <c r="G8" s="161" t="str">
        <f t="shared" si="5"/>
        <v/>
      </c>
      <c r="H8" s="161" t="str">
        <f t="shared" si="6"/>
        <v/>
      </c>
      <c r="I8" s="161" t="str">
        <f t="shared" si="7"/>
        <v/>
      </c>
      <c r="J8" s="162" t="str">
        <f t="shared" si="8"/>
        <v/>
      </c>
      <c r="K8" s="163" t="str">
        <f t="shared" si="9"/>
        <v/>
      </c>
      <c r="L8" s="163" t="str">
        <f t="shared" si="10"/>
        <v/>
      </c>
      <c r="M8" s="163" t="str">
        <f t="shared" si="11"/>
        <v/>
      </c>
      <c r="N8" s="163" t="str">
        <f t="shared" si="12"/>
        <v/>
      </c>
      <c r="O8" s="164" t="str">
        <f t="shared" si="13"/>
        <v/>
      </c>
      <c r="P8" s="164" t="str">
        <f t="shared" si="14"/>
        <v/>
      </c>
    </row>
    <row r="9">
      <c r="A9" s="158">
        <v>46091.0</v>
      </c>
      <c r="B9" s="159" t="str">
        <f>IF(DATOS!E11&lt;&gt;"",DATOS!E11/DATOS!D11,"")</f>
        <v/>
      </c>
      <c r="C9" s="160" t="str">
        <f t="shared" si="1"/>
        <v/>
      </c>
      <c r="D9" s="160" t="str">
        <f t="shared" si="2"/>
        <v/>
      </c>
      <c r="E9" s="161" t="str">
        <f t="shared" si="3"/>
        <v/>
      </c>
      <c r="F9" s="161" t="str">
        <f t="shared" si="4"/>
        <v/>
      </c>
      <c r="G9" s="161" t="str">
        <f t="shared" si="5"/>
        <v/>
      </c>
      <c r="H9" s="161" t="str">
        <f t="shared" si="6"/>
        <v/>
      </c>
      <c r="I9" s="161" t="str">
        <f t="shared" si="7"/>
        <v/>
      </c>
      <c r="J9" s="162" t="str">
        <f t="shared" si="8"/>
        <v/>
      </c>
      <c r="K9" s="163" t="str">
        <f t="shared" si="9"/>
        <v/>
      </c>
      <c r="L9" s="163" t="str">
        <f t="shared" si="10"/>
        <v/>
      </c>
      <c r="M9" s="163" t="str">
        <f t="shared" si="11"/>
        <v/>
      </c>
      <c r="N9" s="163" t="str">
        <f t="shared" si="12"/>
        <v/>
      </c>
      <c r="O9" s="164" t="str">
        <f t="shared" si="13"/>
        <v/>
      </c>
      <c r="P9" s="164" t="str">
        <f t="shared" si="14"/>
        <v/>
      </c>
    </row>
    <row r="10">
      <c r="A10" s="158">
        <v>46090.0</v>
      </c>
      <c r="B10" s="159" t="str">
        <f>IF(DATOS!E12&lt;&gt;"",DATOS!E12/DATOS!D12,"")</f>
        <v/>
      </c>
      <c r="C10" s="160" t="str">
        <f t="shared" si="1"/>
        <v/>
      </c>
      <c r="D10" s="160" t="str">
        <f t="shared" si="2"/>
        <v/>
      </c>
      <c r="E10" s="161" t="str">
        <f t="shared" si="3"/>
        <v/>
      </c>
      <c r="F10" s="161" t="str">
        <f t="shared" si="4"/>
        <v/>
      </c>
      <c r="G10" s="161" t="str">
        <f t="shared" si="5"/>
        <v/>
      </c>
      <c r="H10" s="161" t="str">
        <f t="shared" si="6"/>
        <v/>
      </c>
      <c r="I10" s="161" t="str">
        <f t="shared" si="7"/>
        <v/>
      </c>
      <c r="J10" s="162" t="str">
        <f t="shared" si="8"/>
        <v/>
      </c>
      <c r="K10" s="163" t="str">
        <f t="shared" si="9"/>
        <v/>
      </c>
      <c r="L10" s="163" t="str">
        <f t="shared" si="10"/>
        <v/>
      </c>
      <c r="M10" s="163" t="str">
        <f t="shared" si="11"/>
        <v/>
      </c>
      <c r="N10" s="163" t="str">
        <f t="shared" si="12"/>
        <v/>
      </c>
      <c r="O10" s="164" t="str">
        <f t="shared" si="13"/>
        <v/>
      </c>
      <c r="P10" s="164" t="str">
        <f t="shared" si="14"/>
        <v/>
      </c>
    </row>
    <row r="11">
      <c r="A11" s="158">
        <v>46089.0</v>
      </c>
      <c r="B11" s="159">
        <f>IF(DATOS!E13&lt;&gt;"",DATOS!E13/DATOS!D13,"")</f>
        <v>20664.60449</v>
      </c>
      <c r="C11" s="160">
        <f t="shared" si="1"/>
        <v>15221.28899</v>
      </c>
      <c r="D11" s="160">
        <f t="shared" si="2"/>
        <v>5443.315493</v>
      </c>
      <c r="E11" s="161">
        <f t="shared" si="3"/>
        <v>21485.61375</v>
      </c>
      <c r="F11" s="161">
        <f t="shared" si="4"/>
        <v>19692.94433</v>
      </c>
      <c r="G11" s="161">
        <f t="shared" si="5"/>
        <v>21326.78412</v>
      </c>
      <c r="H11" s="161">
        <f t="shared" si="6"/>
        <v>21029.68474</v>
      </c>
      <c r="I11" s="161">
        <f t="shared" si="7"/>
        <v>20714.83506</v>
      </c>
      <c r="J11" s="162">
        <f t="shared" si="8"/>
        <v>22366.42514</v>
      </c>
      <c r="K11" s="163">
        <f t="shared" si="9"/>
        <v>0.0001392488962</v>
      </c>
      <c r="L11" s="163">
        <f t="shared" si="10"/>
        <v>0.008090858971</v>
      </c>
      <c r="M11" s="163">
        <f t="shared" si="11"/>
        <v>0.1545756436</v>
      </c>
      <c r="N11" s="163">
        <f t="shared" si="12"/>
        <v>-0.009165348498</v>
      </c>
      <c r="O11" s="164">
        <f t="shared" si="13"/>
        <v>-0.01548073018</v>
      </c>
      <c r="P11" s="164">
        <f t="shared" si="14"/>
        <v>-0.06415829161</v>
      </c>
    </row>
    <row r="12">
      <c r="A12" s="158">
        <v>46088.0</v>
      </c>
      <c r="B12" s="159">
        <f>IF(DATOS!E14&lt;&gt;"",DATOS!E14/DATOS!D14,"")</f>
        <v>20661.72716</v>
      </c>
      <c r="C12" s="160">
        <f t="shared" si="1"/>
        <v>15214.61008</v>
      </c>
      <c r="D12" s="160">
        <f t="shared" si="2"/>
        <v>5447.117085</v>
      </c>
      <c r="E12" s="161">
        <f t="shared" si="3"/>
        <v>21474.49505</v>
      </c>
      <c r="F12" s="161">
        <f t="shared" si="4"/>
        <v>19694.6585</v>
      </c>
      <c r="G12" s="161">
        <f t="shared" si="5"/>
        <v>21353.81186</v>
      </c>
      <c r="H12" s="161">
        <f t="shared" si="6"/>
        <v>21081.83906</v>
      </c>
      <c r="I12" s="161">
        <f t="shared" si="7"/>
        <v>20739.95034</v>
      </c>
      <c r="J12" s="162">
        <f t="shared" si="8"/>
        <v>22469.01962</v>
      </c>
      <c r="K12" s="163">
        <f t="shared" si="9"/>
        <v>0.0001901324771</v>
      </c>
      <c r="L12" s="163">
        <f t="shared" si="10"/>
        <v>0.008096287384</v>
      </c>
      <c r="M12" s="163">
        <f t="shared" si="11"/>
        <v>0.1546793533</v>
      </c>
      <c r="N12" s="163">
        <f t="shared" si="12"/>
        <v>-0.009174008484</v>
      </c>
      <c r="O12" s="164">
        <f t="shared" si="13"/>
        <v>-0.01548073018</v>
      </c>
      <c r="P12" s="164">
        <f t="shared" si="14"/>
        <v>-0.06428859746</v>
      </c>
    </row>
    <row r="13">
      <c r="A13" s="158">
        <v>46087.0</v>
      </c>
      <c r="B13" s="159">
        <f>IF(DATOS!E15&lt;&gt;"",DATOS!E15/DATOS!D15,"")</f>
        <v>20657.79907</v>
      </c>
      <c r="C13" s="160">
        <f t="shared" si="1"/>
        <v>15207.91829</v>
      </c>
      <c r="D13" s="160">
        <f t="shared" si="2"/>
        <v>5449.880783</v>
      </c>
      <c r="E13" s="161">
        <f t="shared" si="3"/>
        <v>21463.32874</v>
      </c>
      <c r="F13" s="161">
        <f t="shared" si="4"/>
        <v>19744.27218</v>
      </c>
      <c r="G13" s="161">
        <f t="shared" si="5"/>
        <v>21382.06021</v>
      </c>
      <c r="H13" s="161">
        <f t="shared" si="6"/>
        <v>21141.85504</v>
      </c>
      <c r="I13" s="161">
        <f t="shared" si="7"/>
        <v>20779.06193</v>
      </c>
      <c r="J13" s="162">
        <f t="shared" si="8"/>
        <v>22539.4379</v>
      </c>
      <c r="K13" s="163">
        <f t="shared" si="9"/>
        <v>-0.002337328378</v>
      </c>
      <c r="L13" s="163">
        <f t="shared" si="10"/>
        <v>0.008101733209</v>
      </c>
      <c r="M13" s="163">
        <f t="shared" si="11"/>
        <v>0.1547833956</v>
      </c>
      <c r="N13" s="163">
        <f t="shared" si="12"/>
        <v>-0.00918266847</v>
      </c>
      <c r="O13" s="164">
        <f t="shared" si="13"/>
        <v>-0.0154993622</v>
      </c>
      <c r="P13" s="164">
        <f t="shared" si="14"/>
        <v>-0.06446648967</v>
      </c>
    </row>
    <row r="14">
      <c r="A14" s="158">
        <v>46086.0</v>
      </c>
      <c r="B14" s="159">
        <f>IF(DATOS!E16&lt;&gt;"",DATOS!E16/DATOS!D16,"")</f>
        <v>20706.1396</v>
      </c>
      <c r="C14" s="160">
        <f t="shared" si="1"/>
        <v>15201.21487</v>
      </c>
      <c r="D14" s="160">
        <f t="shared" si="2"/>
        <v>5504.924735</v>
      </c>
      <c r="E14" s="161">
        <f t="shared" si="3"/>
        <v>21452.12022</v>
      </c>
      <c r="F14" s="161">
        <f t="shared" si="4"/>
        <v>19867.81595</v>
      </c>
      <c r="G14" s="161">
        <f t="shared" si="5"/>
        <v>21411.62189</v>
      </c>
      <c r="H14" s="161">
        <f t="shared" si="6"/>
        <v>21211.0059</v>
      </c>
      <c r="I14" s="161">
        <f t="shared" si="7"/>
        <v>20839.69336</v>
      </c>
      <c r="J14" s="162">
        <f t="shared" si="8"/>
        <v>22554.19585</v>
      </c>
      <c r="K14" s="163">
        <f t="shared" si="9"/>
        <v>-0.0002282150638</v>
      </c>
      <c r="L14" s="163">
        <f t="shared" si="10"/>
        <v>0.008106342669</v>
      </c>
      <c r="M14" s="163">
        <f t="shared" si="11"/>
        <v>0.1548714592</v>
      </c>
      <c r="N14" s="163">
        <f t="shared" si="12"/>
        <v>-0.009191328456</v>
      </c>
      <c r="O14" s="164">
        <f t="shared" si="13"/>
        <v>-0.0154993622</v>
      </c>
      <c r="P14" s="164">
        <f t="shared" si="14"/>
        <v>-0.0622772832</v>
      </c>
    </row>
    <row r="15">
      <c r="A15" s="158">
        <v>46085.0</v>
      </c>
      <c r="B15" s="159">
        <f>IF(DATOS!E17&lt;&gt;"",DATOS!E17/DATOS!D17,"")</f>
        <v>20710.8656</v>
      </c>
      <c r="C15" s="160">
        <f t="shared" si="1"/>
        <v>15194.4354</v>
      </c>
      <c r="D15" s="160">
        <f t="shared" si="2"/>
        <v>5516.430192</v>
      </c>
      <c r="E15" s="161">
        <f t="shared" si="3"/>
        <v>21440.58554</v>
      </c>
      <c r="F15" s="161">
        <f t="shared" si="4"/>
        <v>20032.05735</v>
      </c>
      <c r="G15" s="161">
        <f t="shared" si="5"/>
        <v>21440.41709</v>
      </c>
      <c r="H15" s="161">
        <f t="shared" si="6"/>
        <v>21283.12965</v>
      </c>
      <c r="I15" s="161">
        <f t="shared" si="7"/>
        <v>20906.47024</v>
      </c>
      <c r="J15" s="162">
        <f t="shared" si="8"/>
        <v>22534.20196</v>
      </c>
      <c r="K15" s="163">
        <f t="shared" si="9"/>
        <v>-0.0001474260125</v>
      </c>
      <c r="L15" s="163">
        <f t="shared" si="10"/>
        <v>0.008111742955</v>
      </c>
      <c r="M15" s="163">
        <f t="shared" si="11"/>
        <v>0.1549746316</v>
      </c>
      <c r="N15" s="163">
        <f t="shared" si="12"/>
        <v>-0.009199988442</v>
      </c>
      <c r="O15" s="164">
        <f t="shared" si="13"/>
        <v>-0.0154993622</v>
      </c>
      <c r="P15" s="164">
        <f t="shared" si="14"/>
        <v>-0.06206325633</v>
      </c>
    </row>
    <row r="16">
      <c r="A16" s="158">
        <v>46084.0</v>
      </c>
      <c r="B16" s="159">
        <f>IF(DATOS!E18&lt;&gt;"",DATOS!E18/DATOS!D18,"")</f>
        <v>20713.91914</v>
      </c>
      <c r="C16" s="160">
        <f t="shared" si="1"/>
        <v>15187.63339</v>
      </c>
      <c r="D16" s="160">
        <f t="shared" si="2"/>
        <v>5526.285747</v>
      </c>
      <c r="E16" s="161">
        <f t="shared" si="3"/>
        <v>21428.95974</v>
      </c>
      <c r="F16" s="161">
        <f t="shared" si="4"/>
        <v>20241.12646</v>
      </c>
      <c r="G16" s="161">
        <f t="shared" si="5"/>
        <v>21470.1947</v>
      </c>
      <c r="H16" s="161">
        <f t="shared" si="6"/>
        <v>21364.88166</v>
      </c>
      <c r="I16" s="161">
        <f t="shared" si="7"/>
        <v>21004.27257</v>
      </c>
      <c r="J16" s="162">
        <f t="shared" si="8"/>
        <v>22488.63686</v>
      </c>
      <c r="K16" s="163">
        <f t="shared" si="9"/>
        <v>-0.001348534148</v>
      </c>
      <c r="L16" s="163">
        <f t="shared" si="10"/>
        <v>0.008117169222</v>
      </c>
      <c r="M16" s="163">
        <f t="shared" si="11"/>
        <v>0.1550783002</v>
      </c>
      <c r="N16" s="163">
        <f t="shared" si="12"/>
        <v>-0.009208648428</v>
      </c>
      <c r="O16" s="164">
        <f t="shared" si="13"/>
        <v>-0.0154993622</v>
      </c>
      <c r="P16" s="164">
        <f t="shared" si="14"/>
        <v>-0.06192496986</v>
      </c>
    </row>
    <row r="17">
      <c r="A17" s="158">
        <v>46083.0</v>
      </c>
      <c r="B17" s="159">
        <f>IF(DATOS!E19&lt;&gt;"",DATOS!E19/DATOS!D19,"")</f>
        <v>20741.87141</v>
      </c>
      <c r="C17" s="160">
        <f t="shared" si="1"/>
        <v>15180.81082</v>
      </c>
      <c r="D17" s="160">
        <f t="shared" si="2"/>
        <v>5561.060593</v>
      </c>
      <c r="E17" s="161">
        <f t="shared" si="3"/>
        <v>21417.25135</v>
      </c>
      <c r="F17" s="161">
        <f t="shared" si="4"/>
        <v>20503.51312</v>
      </c>
      <c r="G17" s="161">
        <f t="shared" si="5"/>
        <v>21501.06309</v>
      </c>
      <c r="H17" s="161">
        <f t="shared" si="6"/>
        <v>21457.87631</v>
      </c>
      <c r="I17" s="161">
        <f t="shared" si="7"/>
        <v>21149.44928</v>
      </c>
      <c r="J17" s="162">
        <f t="shared" si="8"/>
        <v>22412.23949</v>
      </c>
      <c r="K17" s="163">
        <f t="shared" si="9"/>
        <v>-0.0211054339</v>
      </c>
      <c r="L17" s="163">
        <f t="shared" si="10"/>
        <v>0.008122267101</v>
      </c>
      <c r="M17" s="163">
        <f t="shared" si="11"/>
        <v>0.1551756951</v>
      </c>
      <c r="N17" s="163">
        <f t="shared" si="12"/>
        <v>-0.009217308414</v>
      </c>
      <c r="O17" s="164">
        <f t="shared" si="13"/>
        <v>-0.0154993622</v>
      </c>
      <c r="P17" s="164">
        <f t="shared" si="14"/>
        <v>-0.0606590903</v>
      </c>
    </row>
    <row r="18">
      <c r="A18" s="158">
        <v>46082.0</v>
      </c>
      <c r="B18" s="159">
        <f>IF(DATOS!E20&lt;&gt;"",DATOS!E20/DATOS!D20,"")</f>
        <v>21184.2899</v>
      </c>
      <c r="C18" s="160">
        <f t="shared" si="1"/>
        <v>15173.93682</v>
      </c>
      <c r="D18" s="160">
        <f t="shared" si="2"/>
        <v>6010.353077</v>
      </c>
      <c r="E18" s="161">
        <f t="shared" si="3"/>
        <v>21405.32418</v>
      </c>
      <c r="F18" s="161">
        <f t="shared" si="4"/>
        <v>20831.14115</v>
      </c>
      <c r="G18" s="161">
        <f t="shared" si="5"/>
        <v>21532.05051</v>
      </c>
      <c r="H18" s="161">
        <f t="shared" si="6"/>
        <v>21560.16272</v>
      </c>
      <c r="I18" s="161">
        <f t="shared" si="7"/>
        <v>21353.23821</v>
      </c>
      <c r="J18" s="162">
        <f t="shared" si="8"/>
        <v>22289.18429</v>
      </c>
      <c r="K18" s="163">
        <f t="shared" si="9"/>
        <v>-0.0003803876889</v>
      </c>
      <c r="L18" s="163">
        <f t="shared" si="10"/>
        <v>0.008086830586</v>
      </c>
      <c r="M18" s="163">
        <f t="shared" si="11"/>
        <v>0.1544986814</v>
      </c>
      <c r="N18" s="163">
        <f t="shared" si="12"/>
        <v>-0.009069451399</v>
      </c>
      <c r="O18" s="164">
        <f t="shared" si="13"/>
        <v>-0.01403265239</v>
      </c>
      <c r="P18" s="164">
        <f t="shared" si="14"/>
        <v>-0.0406232035</v>
      </c>
    </row>
    <row r="19">
      <c r="A19" s="158">
        <v>46081.0</v>
      </c>
      <c r="B19" s="159">
        <f>IF(DATOS!E21&lt;&gt;"",DATOS!E21/DATOS!D21,"")</f>
        <v>21192.34968</v>
      </c>
      <c r="C19" s="160">
        <f t="shared" si="1"/>
        <v>15166.49827</v>
      </c>
      <c r="D19" s="160">
        <f t="shared" si="2"/>
        <v>6025.851408</v>
      </c>
      <c r="E19" s="161">
        <f t="shared" si="3"/>
        <v>21390.91512</v>
      </c>
      <c r="F19" s="161">
        <f t="shared" si="4"/>
        <v>20970.4093</v>
      </c>
      <c r="G19" s="161">
        <f t="shared" si="5"/>
        <v>21546.24482</v>
      </c>
      <c r="H19" s="161">
        <f t="shared" si="6"/>
        <v>21613.85884</v>
      </c>
      <c r="I19" s="161">
        <f t="shared" si="7"/>
        <v>21437.71237</v>
      </c>
      <c r="J19" s="162">
        <f t="shared" si="8"/>
        <v>22257.30837</v>
      </c>
      <c r="K19" s="163">
        <f t="shared" si="9"/>
        <v>-0.0003802484652</v>
      </c>
      <c r="L19" s="163">
        <f t="shared" si="10"/>
        <v>0.008092206906</v>
      </c>
      <c r="M19" s="163">
        <f t="shared" si="11"/>
        <v>0.1546013959</v>
      </c>
      <c r="N19" s="163">
        <f t="shared" si="12"/>
        <v>-0.009076721158</v>
      </c>
      <c r="O19" s="164">
        <f t="shared" si="13"/>
        <v>-0.01403265239</v>
      </c>
      <c r="P19" s="164">
        <f t="shared" si="14"/>
        <v>-0.04025819897</v>
      </c>
    </row>
    <row r="20">
      <c r="A20" s="158">
        <v>46080.0</v>
      </c>
      <c r="B20" s="159">
        <f>IF(DATOS!E22&lt;&gt;"",DATOS!E22/DATOS!D22,"")</f>
        <v>21200.40957</v>
      </c>
      <c r="C20" s="160">
        <f t="shared" si="1"/>
        <v>15159.03129</v>
      </c>
      <c r="D20" s="160">
        <f t="shared" si="2"/>
        <v>6041.378277</v>
      </c>
      <c r="E20" s="161">
        <f t="shared" si="3"/>
        <v>21376.38245</v>
      </c>
      <c r="F20" s="161">
        <f t="shared" si="4"/>
        <v>21097.23488</v>
      </c>
      <c r="G20" s="161">
        <f t="shared" si="5"/>
        <v>21560.68952</v>
      </c>
      <c r="H20" s="161">
        <f t="shared" si="6"/>
        <v>21674.07443</v>
      </c>
      <c r="I20" s="161">
        <f t="shared" si="7"/>
        <v>21560.39372</v>
      </c>
      <c r="J20" s="162">
        <f t="shared" si="8"/>
        <v>22250.91398</v>
      </c>
      <c r="K20" s="163">
        <f t="shared" si="9"/>
        <v>-0.01400987992</v>
      </c>
      <c r="L20" s="163">
        <f t="shared" si="10"/>
        <v>0.008097593984</v>
      </c>
      <c r="M20" s="163">
        <f t="shared" si="11"/>
        <v>0.1547043158</v>
      </c>
      <c r="N20" s="163">
        <f t="shared" si="12"/>
        <v>-0.009083990918</v>
      </c>
      <c r="O20" s="164">
        <f t="shared" si="13"/>
        <v>-0.01403265239</v>
      </c>
      <c r="P20" s="164">
        <f t="shared" si="14"/>
        <v>-0.03989318923</v>
      </c>
    </row>
    <row r="21">
      <c r="A21" s="158">
        <v>46079.0</v>
      </c>
      <c r="B21" s="159">
        <f>IF(DATOS!E23&lt;&gt;"",DATOS!E23/DATOS!D23,"")</f>
        <v>21499.51508</v>
      </c>
      <c r="C21" s="160">
        <f t="shared" si="1"/>
        <v>15151.53578</v>
      </c>
      <c r="D21" s="160">
        <f t="shared" si="2"/>
        <v>6347.9793</v>
      </c>
      <c r="E21" s="161">
        <f t="shared" si="3"/>
        <v>21361.72542</v>
      </c>
      <c r="F21" s="161">
        <f t="shared" si="4"/>
        <v>21201.45285</v>
      </c>
      <c r="G21" s="161">
        <f t="shared" si="5"/>
        <v>21575.39482</v>
      </c>
      <c r="H21" s="161">
        <f t="shared" si="6"/>
        <v>21741.74084</v>
      </c>
      <c r="I21" s="161">
        <f t="shared" si="7"/>
        <v>21740.38579</v>
      </c>
      <c r="J21" s="162">
        <f t="shared" si="8"/>
        <v>22282.02883</v>
      </c>
      <c r="K21" s="163">
        <f t="shared" si="9"/>
        <v>-0.01668415312</v>
      </c>
      <c r="L21" s="163">
        <f t="shared" si="10"/>
        <v>0.008084108174</v>
      </c>
      <c r="M21" s="163">
        <f t="shared" si="11"/>
        <v>0.1544466698</v>
      </c>
      <c r="N21" s="163">
        <f t="shared" si="12"/>
        <v>-0.0089931532</v>
      </c>
      <c r="O21" s="164">
        <f t="shared" si="13"/>
        <v>-0.01192665613</v>
      </c>
      <c r="P21" s="164">
        <f t="shared" si="14"/>
        <v>-0.02634754322</v>
      </c>
    </row>
    <row r="22">
      <c r="A22" s="158">
        <v>46078.0</v>
      </c>
      <c r="B22" s="159">
        <f>IF(DATOS!E24&lt;&gt;"",DATOS!E24/DATOS!D24,"")</f>
        <v>21861.22531</v>
      </c>
      <c r="C22" s="160">
        <f t="shared" si="1"/>
        <v>15143.6501</v>
      </c>
      <c r="D22" s="160">
        <f t="shared" si="2"/>
        <v>6717.575214</v>
      </c>
      <c r="E22" s="161">
        <f t="shared" si="3"/>
        <v>21345.34848</v>
      </c>
      <c r="F22" s="161">
        <f t="shared" si="4"/>
        <v>21223.42988</v>
      </c>
      <c r="G22" s="161">
        <f t="shared" si="5"/>
        <v>21578.49195</v>
      </c>
      <c r="H22" s="161">
        <f t="shared" si="6"/>
        <v>21776.34452</v>
      </c>
      <c r="I22" s="161">
        <f t="shared" si="7"/>
        <v>21860.82115</v>
      </c>
      <c r="J22" s="162">
        <f t="shared" si="8"/>
        <v>22329.25916</v>
      </c>
      <c r="K22" s="163">
        <f t="shared" si="9"/>
        <v>0.00004875725359</v>
      </c>
      <c r="L22" s="163">
        <f t="shared" si="10"/>
        <v>0.00806306098</v>
      </c>
      <c r="M22" s="163">
        <f t="shared" si="11"/>
        <v>0.1540445637</v>
      </c>
      <c r="N22" s="163">
        <f t="shared" si="12"/>
        <v>-0.008926344796</v>
      </c>
      <c r="O22" s="164">
        <f t="shared" si="13"/>
        <v>-0.008791315884</v>
      </c>
      <c r="P22" s="164">
        <f t="shared" si="14"/>
        <v>-0.009966706323</v>
      </c>
    </row>
    <row r="23">
      <c r="A23" s="158">
        <v>46077.0</v>
      </c>
      <c r="B23" s="159">
        <f>IF(DATOS!E25&lt;&gt;"",DATOS!E25/DATOS!D25,"")</f>
        <v>21860.15944</v>
      </c>
      <c r="C23" s="160">
        <f t="shared" si="1"/>
        <v>15135.2949</v>
      </c>
      <c r="D23" s="160">
        <f t="shared" si="2"/>
        <v>6724.86454</v>
      </c>
      <c r="E23" s="161">
        <f t="shared" si="3"/>
        <v>21326.89751</v>
      </c>
      <c r="F23" s="161">
        <f t="shared" si="4"/>
        <v>21220.6914</v>
      </c>
      <c r="G23" s="161">
        <f t="shared" si="5"/>
        <v>21566.95182</v>
      </c>
      <c r="H23" s="161">
        <f t="shared" si="6"/>
        <v>21764.21869</v>
      </c>
      <c r="I23" s="161">
        <f t="shared" si="7"/>
        <v>21860.61907</v>
      </c>
      <c r="J23" s="162">
        <f t="shared" si="8"/>
        <v>22307.74598</v>
      </c>
      <c r="K23" s="163">
        <f t="shared" si="9"/>
        <v>0.002012446924</v>
      </c>
      <c r="L23" s="163">
        <f t="shared" si="10"/>
        <v>0.008068525122</v>
      </c>
      <c r="M23" s="163">
        <f t="shared" si="11"/>
        <v>0.154148956</v>
      </c>
      <c r="N23" s="163">
        <f t="shared" si="12"/>
        <v>-0.008931924439</v>
      </c>
      <c r="O23" s="164">
        <f t="shared" si="13"/>
        <v>-0.008791315884</v>
      </c>
      <c r="P23" s="164">
        <f t="shared" si="14"/>
        <v>-0.01001497645</v>
      </c>
    </row>
    <row r="24">
      <c r="A24" s="158">
        <v>46076.0</v>
      </c>
      <c r="B24" s="159">
        <f>IF(DATOS!E26&lt;&gt;"",DATOS!E26/DATOS!D26,"")</f>
        <v>21816.21127</v>
      </c>
      <c r="C24" s="160">
        <f t="shared" si="1"/>
        <v>15126.92023</v>
      </c>
      <c r="D24" s="160">
        <f t="shared" si="2"/>
        <v>6689.291041</v>
      </c>
      <c r="E24" s="161">
        <f t="shared" si="3"/>
        <v>21308.35296</v>
      </c>
      <c r="F24" s="161">
        <f t="shared" si="4"/>
        <v>21218.95546</v>
      </c>
      <c r="G24" s="161">
        <f t="shared" si="5"/>
        <v>21554.98416</v>
      </c>
      <c r="H24" s="161">
        <f t="shared" si="6"/>
        <v>21750.51287</v>
      </c>
      <c r="I24" s="161">
        <f t="shared" si="7"/>
        <v>21860.84888</v>
      </c>
      <c r="J24" s="162">
        <f t="shared" si="8"/>
        <v>22282.07029</v>
      </c>
      <c r="K24" s="163">
        <f t="shared" si="9"/>
        <v>-0.006631175291</v>
      </c>
      <c r="L24" s="163">
        <f t="shared" si="10"/>
        <v>0.008073994976</v>
      </c>
      <c r="M24" s="163">
        <f t="shared" si="11"/>
        <v>0.1542534574</v>
      </c>
      <c r="N24" s="163">
        <f t="shared" si="12"/>
        <v>-0.008937504081</v>
      </c>
      <c r="O24" s="164">
        <f t="shared" si="13"/>
        <v>-0.008791315884</v>
      </c>
      <c r="P24" s="164">
        <f t="shared" si="14"/>
        <v>-0.01200526542</v>
      </c>
    </row>
    <row r="25">
      <c r="A25" s="158">
        <v>46075.0</v>
      </c>
      <c r="B25" s="159">
        <f>IF(DATOS!E27&lt;&gt;"",DATOS!E27/DATOS!D27,"")</f>
        <v>21961.35911</v>
      </c>
      <c r="C25" s="160">
        <f t="shared" si="1"/>
        <v>15118.57947</v>
      </c>
      <c r="D25" s="160">
        <f t="shared" si="2"/>
        <v>6842.779643</v>
      </c>
      <c r="E25" s="161">
        <f t="shared" si="3"/>
        <v>21289.95019</v>
      </c>
      <c r="F25" s="161">
        <f t="shared" si="4"/>
        <v>21209.25428</v>
      </c>
      <c r="G25" s="161">
        <f t="shared" si="5"/>
        <v>21544.32183</v>
      </c>
      <c r="H25" s="161">
        <f t="shared" si="6"/>
        <v>21741.12739</v>
      </c>
      <c r="I25" s="161">
        <f t="shared" si="7"/>
        <v>21883.16768</v>
      </c>
      <c r="J25" s="162">
        <f t="shared" si="8"/>
        <v>22273.0005</v>
      </c>
      <c r="K25" s="163">
        <f t="shared" si="9"/>
        <v>-0.000175257886</v>
      </c>
      <c r="L25" s="163">
        <f t="shared" si="10"/>
        <v>0.008074565022</v>
      </c>
      <c r="M25" s="163">
        <f t="shared" si="11"/>
        <v>0.1542643481</v>
      </c>
      <c r="N25" s="163">
        <f t="shared" si="12"/>
        <v>-0.008943083724</v>
      </c>
      <c r="O25" s="164">
        <f t="shared" si="13"/>
        <v>-0.008791315884</v>
      </c>
      <c r="P25" s="164">
        <f t="shared" si="14"/>
        <v>-0.005431928761</v>
      </c>
    </row>
    <row r="26">
      <c r="A26" s="158">
        <v>46074.0</v>
      </c>
      <c r="B26" s="159">
        <f>IF(DATOS!E28&lt;&gt;"",DATOS!E28/DATOS!D28,"")</f>
        <v>21965.20835</v>
      </c>
      <c r="C26" s="160">
        <f t="shared" si="1"/>
        <v>15110.03667</v>
      </c>
      <c r="D26" s="160">
        <f t="shared" si="2"/>
        <v>6855.171678</v>
      </c>
      <c r="E26" s="161">
        <f t="shared" si="3"/>
        <v>21270.64825</v>
      </c>
      <c r="F26" s="161">
        <f t="shared" si="4"/>
        <v>21217.94991</v>
      </c>
      <c r="G26" s="161">
        <f t="shared" si="5"/>
        <v>21527.2999</v>
      </c>
      <c r="H26" s="161">
        <f t="shared" si="6"/>
        <v>21709.66571</v>
      </c>
      <c r="I26" s="161">
        <f t="shared" si="7"/>
        <v>21844.07197</v>
      </c>
      <c r="J26" s="162">
        <f t="shared" si="8"/>
        <v>22201.38151</v>
      </c>
      <c r="K26" s="163">
        <f t="shared" si="9"/>
        <v>-0.0001752325134</v>
      </c>
      <c r="L26" s="163">
        <f t="shared" si="10"/>
        <v>0.008080016436</v>
      </c>
      <c r="M26" s="163">
        <f t="shared" si="11"/>
        <v>0.1543684973</v>
      </c>
      <c r="N26" s="163">
        <f t="shared" si="12"/>
        <v>-0.008948663367</v>
      </c>
      <c r="O26" s="164">
        <f t="shared" si="13"/>
        <v>-0.008791315884</v>
      </c>
      <c r="P26" s="164">
        <f t="shared" si="14"/>
        <v>-0.005257607588</v>
      </c>
    </row>
    <row r="27">
      <c r="A27" s="158">
        <v>46073.0</v>
      </c>
      <c r="B27" s="159">
        <f>IF(DATOS!E29&lt;&gt;"",DATOS!E29/DATOS!D29,"")</f>
        <v>21969.0577</v>
      </c>
      <c r="C27" s="160">
        <f t="shared" si="1"/>
        <v>15101.4677</v>
      </c>
      <c r="D27" s="160">
        <f t="shared" si="2"/>
        <v>6867.589998</v>
      </c>
      <c r="E27" s="161">
        <f t="shared" si="3"/>
        <v>21251.22112</v>
      </c>
      <c r="F27" s="161">
        <f t="shared" si="4"/>
        <v>21240.86747</v>
      </c>
      <c r="G27" s="161">
        <f t="shared" si="5"/>
        <v>21509.42608</v>
      </c>
      <c r="H27" s="161">
        <f t="shared" si="6"/>
        <v>21673.15962</v>
      </c>
      <c r="I27" s="161">
        <f t="shared" si="7"/>
        <v>21783.50378</v>
      </c>
      <c r="J27" s="162">
        <f t="shared" si="8"/>
        <v>22105.45177</v>
      </c>
      <c r="K27" s="163">
        <f t="shared" si="9"/>
        <v>0.00641377127</v>
      </c>
      <c r="L27" s="163">
        <f t="shared" si="10"/>
        <v>0.008085478904</v>
      </c>
      <c r="M27" s="163">
        <f t="shared" si="11"/>
        <v>0.1544728576</v>
      </c>
      <c r="N27" s="163">
        <f t="shared" si="12"/>
        <v>-0.00895424301</v>
      </c>
      <c r="O27" s="164">
        <f t="shared" si="13"/>
        <v>-0.008791315884</v>
      </c>
      <c r="P27" s="164">
        <f t="shared" si="14"/>
        <v>-0.005083281105</v>
      </c>
    </row>
    <row r="28">
      <c r="A28" s="158">
        <v>46072.0</v>
      </c>
      <c r="B28" s="159">
        <f>IF(DATOS!E30&lt;&gt;"",DATOS!E30/DATOS!D30,"")</f>
        <v>21828.60409</v>
      </c>
      <c r="C28" s="160">
        <f t="shared" si="1"/>
        <v>15092.87247</v>
      </c>
      <c r="D28" s="160">
        <f t="shared" si="2"/>
        <v>6735.731619</v>
      </c>
      <c r="E28" s="161">
        <f t="shared" si="3"/>
        <v>21231.66805</v>
      </c>
      <c r="F28" s="161">
        <f t="shared" si="4"/>
        <v>21262.47207</v>
      </c>
      <c r="G28" s="161">
        <f t="shared" si="5"/>
        <v>21490.66561</v>
      </c>
      <c r="H28" s="161">
        <f t="shared" si="6"/>
        <v>21630.88847</v>
      </c>
      <c r="I28" s="161">
        <f t="shared" si="7"/>
        <v>21690.72682</v>
      </c>
      <c r="J28" s="162">
        <f t="shared" si="8"/>
        <v>21999.30486</v>
      </c>
      <c r="K28" s="163">
        <f t="shared" si="9"/>
        <v>0.006973471016</v>
      </c>
      <c r="L28" s="163">
        <f t="shared" si="10"/>
        <v>0.008088588847</v>
      </c>
      <c r="M28" s="163">
        <f t="shared" si="11"/>
        <v>0.1545322729</v>
      </c>
      <c r="N28" s="163">
        <f t="shared" si="12"/>
        <v>-0.008959822652</v>
      </c>
      <c r="O28" s="164">
        <f t="shared" si="13"/>
        <v>-0.008791315884</v>
      </c>
      <c r="P28" s="164">
        <f t="shared" si="14"/>
        <v>-0.01144402938</v>
      </c>
    </row>
    <row r="29">
      <c r="A29" s="158">
        <v>46071.0</v>
      </c>
      <c r="B29" s="159">
        <f>IF(DATOS!E31&lt;&gt;"",DATOS!E31/DATOS!D31,"")</f>
        <v>21676.91248</v>
      </c>
      <c r="C29" s="160">
        <f t="shared" si="1"/>
        <v>15084.43171</v>
      </c>
      <c r="D29" s="160">
        <f t="shared" si="2"/>
        <v>6592.480771</v>
      </c>
      <c r="E29" s="161">
        <f t="shared" si="3"/>
        <v>21212.78659</v>
      </c>
      <c r="F29" s="161">
        <f t="shared" si="4"/>
        <v>21274.80202</v>
      </c>
      <c r="G29" s="161">
        <f t="shared" si="5"/>
        <v>21476.8722</v>
      </c>
      <c r="H29" s="161">
        <f t="shared" si="6"/>
        <v>21602.64338</v>
      </c>
      <c r="I29" s="161">
        <f t="shared" si="7"/>
        <v>21621.78818</v>
      </c>
      <c r="J29" s="162">
        <f t="shared" si="8"/>
        <v>21930.48474</v>
      </c>
      <c r="K29" s="163">
        <f t="shared" si="9"/>
        <v>0.00302099803</v>
      </c>
      <c r="L29" s="163">
        <f t="shared" si="10"/>
        <v>0.008091154195</v>
      </c>
      <c r="M29" s="163">
        <f t="shared" si="11"/>
        <v>0.1545812838</v>
      </c>
      <c r="N29" s="163">
        <f t="shared" si="12"/>
        <v>-0.008965402295</v>
      </c>
      <c r="O29" s="164">
        <f t="shared" si="13"/>
        <v>-0.008791315884</v>
      </c>
      <c r="P29" s="164">
        <f t="shared" si="14"/>
        <v>-0.01831371517</v>
      </c>
    </row>
    <row r="30">
      <c r="A30" s="158">
        <v>46070.0</v>
      </c>
      <c r="B30" s="159">
        <f>IF(DATOS!E32&lt;&gt;"",DATOS!E32/DATOS!D32,"")</f>
        <v>21611.52538</v>
      </c>
      <c r="C30" s="160">
        <f t="shared" si="1"/>
        <v>15076.16009</v>
      </c>
      <c r="D30" s="160">
        <f t="shared" si="2"/>
        <v>6535.365297</v>
      </c>
      <c r="E30" s="161">
        <f t="shared" si="3"/>
        <v>21194.64322</v>
      </c>
      <c r="F30" s="161">
        <f t="shared" si="4"/>
        <v>21251.50949</v>
      </c>
      <c r="G30" s="161">
        <f t="shared" si="5"/>
        <v>21468.70729</v>
      </c>
      <c r="H30" s="161">
        <f t="shared" si="6"/>
        <v>21592.03351</v>
      </c>
      <c r="I30" s="161">
        <f t="shared" si="7"/>
        <v>21594.22603</v>
      </c>
      <c r="J30" s="162">
        <f t="shared" si="8"/>
        <v>21932.55753</v>
      </c>
      <c r="K30" s="163">
        <f t="shared" si="9"/>
        <v>0.0002228922109</v>
      </c>
      <c r="L30" s="163">
        <f t="shared" si="10"/>
        <v>0.008096424188</v>
      </c>
      <c r="M30" s="163">
        <f t="shared" si="11"/>
        <v>0.1546819669</v>
      </c>
      <c r="N30" s="163">
        <f t="shared" si="12"/>
        <v>-0.008970981938</v>
      </c>
      <c r="O30" s="164">
        <f t="shared" si="13"/>
        <v>-0.008791315884</v>
      </c>
      <c r="P30" s="164">
        <f t="shared" si="14"/>
        <v>-0.02127491236</v>
      </c>
    </row>
    <row r="31">
      <c r="A31" s="158">
        <v>46069.0</v>
      </c>
      <c r="B31" s="159">
        <f>IF(DATOS!E33&lt;&gt;"",DATOS!E33/DATOS!D33,"")</f>
        <v>21606.70888</v>
      </c>
      <c r="C31" s="160">
        <f t="shared" si="1"/>
        <v>15067.94983</v>
      </c>
      <c r="D31" s="160">
        <f t="shared" si="2"/>
        <v>6538.759051</v>
      </c>
      <c r="E31" s="161">
        <f t="shared" si="3"/>
        <v>21176.76373</v>
      </c>
      <c r="F31" s="161">
        <f t="shared" si="4"/>
        <v>21229.27775</v>
      </c>
      <c r="G31" s="161">
        <f t="shared" si="5"/>
        <v>21462.87798</v>
      </c>
      <c r="H31" s="161">
        <f t="shared" si="6"/>
        <v>21589.24896</v>
      </c>
      <c r="I31" s="161">
        <f t="shared" si="7"/>
        <v>21585.57636</v>
      </c>
      <c r="J31" s="162">
        <f t="shared" si="8"/>
        <v>21949.22016</v>
      </c>
      <c r="K31" s="163">
        <f t="shared" si="9"/>
        <v>-0.003352502629</v>
      </c>
      <c r="L31" s="163">
        <f t="shared" si="10"/>
        <v>0.008101999527</v>
      </c>
      <c r="M31" s="163">
        <f t="shared" si="11"/>
        <v>0.1547884836</v>
      </c>
      <c r="N31" s="163">
        <f t="shared" si="12"/>
        <v>-0.008972997507</v>
      </c>
      <c r="O31" s="164">
        <f t="shared" si="13"/>
        <v>-0.008791315884</v>
      </c>
      <c r="P31" s="164">
        <f t="shared" si="14"/>
        <v>-0.02149303825</v>
      </c>
    </row>
    <row r="32">
      <c r="A32" s="158">
        <v>46068.0</v>
      </c>
      <c r="B32" s="159">
        <f>IF(DATOS!E34&lt;&gt;"",DATOS!E34/DATOS!D34,"")</f>
        <v>21679.26699</v>
      </c>
      <c r="C32" s="160">
        <f t="shared" si="1"/>
        <v>15059.72498</v>
      </c>
      <c r="D32" s="160">
        <f t="shared" si="2"/>
        <v>6619.542011</v>
      </c>
      <c r="E32" s="161">
        <f t="shared" si="3"/>
        <v>21158.81327</v>
      </c>
      <c r="F32" s="161">
        <f t="shared" si="4"/>
        <v>21159.76057</v>
      </c>
      <c r="G32" s="161">
        <f t="shared" si="5"/>
        <v>21457.00733</v>
      </c>
      <c r="H32" s="161">
        <f t="shared" si="6"/>
        <v>21586.75468</v>
      </c>
      <c r="I32" s="161">
        <f t="shared" si="7"/>
        <v>21575.0101</v>
      </c>
      <c r="J32" s="162">
        <f t="shared" si="8"/>
        <v>22013.74879</v>
      </c>
      <c r="K32" s="163">
        <f t="shared" si="9"/>
        <v>-0.0002299817229</v>
      </c>
      <c r="L32" s="163">
        <f t="shared" si="10"/>
        <v>0.008106002883</v>
      </c>
      <c r="M32" s="163">
        <f t="shared" si="11"/>
        <v>0.1548649676</v>
      </c>
      <c r="N32" s="163">
        <f t="shared" si="12"/>
        <v>-0.008975013076</v>
      </c>
      <c r="O32" s="164">
        <f t="shared" si="13"/>
        <v>-0.008791315884</v>
      </c>
      <c r="P32" s="164">
        <f t="shared" si="14"/>
        <v>-0.01820708609</v>
      </c>
    </row>
    <row r="33">
      <c r="A33" s="158">
        <v>46067.0</v>
      </c>
      <c r="B33" s="159">
        <f>IF(DATOS!E35&lt;&gt;"",DATOS!E35/DATOS!D35,"")</f>
        <v>21684.25339</v>
      </c>
      <c r="C33" s="160">
        <f t="shared" si="1"/>
        <v>15051.38802</v>
      </c>
      <c r="D33" s="160">
        <f t="shared" si="2"/>
        <v>6632.865374</v>
      </c>
      <c r="E33" s="161">
        <f t="shared" si="3"/>
        <v>21140.36095</v>
      </c>
      <c r="F33" s="161">
        <f t="shared" si="4"/>
        <v>21097.6434</v>
      </c>
      <c r="G33" s="161">
        <f t="shared" si="5"/>
        <v>21447.93551</v>
      </c>
      <c r="H33" s="161">
        <f t="shared" si="6"/>
        <v>21573.53864</v>
      </c>
      <c r="I33" s="161">
        <f t="shared" si="7"/>
        <v>21522.88166</v>
      </c>
      <c r="J33" s="162">
        <f t="shared" si="8"/>
        <v>22049.43388</v>
      </c>
      <c r="K33" s="163">
        <f t="shared" si="9"/>
        <v>0.01318250538</v>
      </c>
      <c r="L33" s="163">
        <f t="shared" si="10"/>
        <v>0.008111520066</v>
      </c>
      <c r="M33" s="163">
        <f t="shared" si="11"/>
        <v>0.1549703733</v>
      </c>
      <c r="N33" s="163">
        <f t="shared" si="12"/>
        <v>-0.008977028646</v>
      </c>
      <c r="O33" s="164">
        <f t="shared" si="13"/>
        <v>-0.008791315884</v>
      </c>
      <c r="P33" s="164">
        <f t="shared" si="14"/>
        <v>-0.01798126569</v>
      </c>
    </row>
    <row r="34">
      <c r="A34" s="158">
        <v>46066.0</v>
      </c>
      <c r="B34" s="159">
        <f>IF(DATOS!E36&lt;&gt;"",DATOS!E36/DATOS!D36,"")</f>
        <v>21400.27648</v>
      </c>
      <c r="C34" s="160">
        <f t="shared" si="1"/>
        <v>15043.02375</v>
      </c>
      <c r="D34" s="160">
        <f t="shared" si="2"/>
        <v>6357.252732</v>
      </c>
      <c r="E34" s="161">
        <f t="shared" si="3"/>
        <v>21121.78007</v>
      </c>
      <c r="F34" s="161">
        <f t="shared" si="4"/>
        <v>21035.15428</v>
      </c>
      <c r="G34" s="161">
        <f t="shared" si="5"/>
        <v>21438.28988</v>
      </c>
      <c r="H34" s="161">
        <f t="shared" si="6"/>
        <v>21557.72224</v>
      </c>
      <c r="I34" s="161">
        <f t="shared" si="7"/>
        <v>21442.19579</v>
      </c>
      <c r="J34" s="162">
        <f t="shared" si="8"/>
        <v>22080.2902</v>
      </c>
      <c r="K34" s="163">
        <f t="shared" si="9"/>
        <v>0.005105493305</v>
      </c>
      <c r="L34" s="163">
        <f t="shared" si="10"/>
        <v>0.008104423058</v>
      </c>
      <c r="M34" s="163">
        <f t="shared" si="11"/>
        <v>0.1548347851</v>
      </c>
      <c r="N34" s="163">
        <f t="shared" si="12"/>
        <v>-0.008979044215</v>
      </c>
      <c r="O34" s="164">
        <f t="shared" si="13"/>
        <v>-0.008791315884</v>
      </c>
      <c r="P34" s="164">
        <f t="shared" si="14"/>
        <v>-0.03084177981</v>
      </c>
    </row>
    <row r="35">
      <c r="A35" s="158">
        <v>46065.0</v>
      </c>
      <c r="B35" s="159">
        <f>IF(DATOS!E37&lt;&gt;"",DATOS!E37/DATOS!D37,"")</f>
        <v>21291.29595</v>
      </c>
      <c r="C35" s="160">
        <f t="shared" si="1"/>
        <v>15034.99692</v>
      </c>
      <c r="D35" s="160">
        <f t="shared" si="2"/>
        <v>6256.299035</v>
      </c>
      <c r="E35" s="161">
        <f t="shared" si="3"/>
        <v>21104.6819</v>
      </c>
      <c r="F35" s="161">
        <f t="shared" si="4"/>
        <v>21049.70705</v>
      </c>
      <c r="G35" s="161">
        <f t="shared" si="5"/>
        <v>21439.84145</v>
      </c>
      <c r="H35" s="161">
        <f t="shared" si="6"/>
        <v>21580.21449</v>
      </c>
      <c r="I35" s="161">
        <f t="shared" si="7"/>
        <v>21463.15544</v>
      </c>
      <c r="J35" s="162">
        <f t="shared" si="8"/>
        <v>22110.72194</v>
      </c>
      <c r="K35" s="163">
        <f t="shared" si="9"/>
        <v>-0.006982582494</v>
      </c>
      <c r="L35" s="163">
        <f t="shared" si="10"/>
        <v>0.008108633273</v>
      </c>
      <c r="M35" s="163">
        <f t="shared" si="11"/>
        <v>0.1549152212</v>
      </c>
      <c r="N35" s="163">
        <f t="shared" si="12"/>
        <v>-0.008981059784</v>
      </c>
      <c r="O35" s="164">
        <f t="shared" si="13"/>
        <v>-0.008791315884</v>
      </c>
      <c r="P35" s="164">
        <f t="shared" si="14"/>
        <v>-0.03577720101</v>
      </c>
    </row>
    <row r="36">
      <c r="A36" s="158">
        <v>46064.0</v>
      </c>
      <c r="B36" s="159">
        <f>IF(DATOS!E38&lt;&gt;"",DATOS!E38/DATOS!D38,"")</f>
        <v>21440.48444</v>
      </c>
      <c r="C36" s="160">
        <f t="shared" si="1"/>
        <v>15027.08756</v>
      </c>
      <c r="D36" s="160">
        <f t="shared" si="2"/>
        <v>6413.396873</v>
      </c>
      <c r="E36" s="161">
        <f t="shared" si="3"/>
        <v>21088.09811</v>
      </c>
      <c r="F36" s="161">
        <f t="shared" si="4"/>
        <v>21084.47187</v>
      </c>
      <c r="G36" s="161">
        <f t="shared" si="5"/>
        <v>21445.90453</v>
      </c>
      <c r="H36" s="161">
        <f t="shared" si="6"/>
        <v>21621.48857</v>
      </c>
      <c r="I36" s="161">
        <f t="shared" si="7"/>
        <v>21549.08519</v>
      </c>
      <c r="J36" s="162">
        <f t="shared" si="8"/>
        <v>22158.50527</v>
      </c>
      <c r="K36" s="163">
        <f t="shared" si="9"/>
        <v>-0.009329888232</v>
      </c>
      <c r="L36" s="163">
        <f t="shared" si="10"/>
        <v>0.008108808127</v>
      </c>
      <c r="M36" s="163">
        <f t="shared" si="11"/>
        <v>0.1549185617</v>
      </c>
      <c r="N36" s="163">
        <f t="shared" si="12"/>
        <v>-0.008983075353</v>
      </c>
      <c r="O36" s="164">
        <f t="shared" si="13"/>
        <v>-0.008791315884</v>
      </c>
      <c r="P36" s="164">
        <f t="shared" si="14"/>
        <v>-0.02902087492</v>
      </c>
    </row>
    <row r="37">
      <c r="A37" s="158">
        <v>46063.0</v>
      </c>
      <c r="B37" s="159">
        <f>IF(DATOS!E39&lt;&gt;"",DATOS!E39/DATOS!D39,"")</f>
        <v>21641.45783</v>
      </c>
      <c r="C37" s="160">
        <f t="shared" si="1"/>
        <v>15018.96934</v>
      </c>
      <c r="D37" s="160">
        <f t="shared" si="2"/>
        <v>6622.488493</v>
      </c>
      <c r="E37" s="161">
        <f t="shared" si="3"/>
        <v>21070.58766</v>
      </c>
      <c r="F37" s="161">
        <f t="shared" si="4"/>
        <v>21114.93015</v>
      </c>
      <c r="G37" s="161">
        <f t="shared" si="5"/>
        <v>21446.12576</v>
      </c>
      <c r="H37" s="161">
        <f t="shared" si="6"/>
        <v>21647.3463</v>
      </c>
      <c r="I37" s="161">
        <f t="shared" si="7"/>
        <v>21603.38556</v>
      </c>
      <c r="J37" s="162">
        <f t="shared" si="8"/>
        <v>22179.76246</v>
      </c>
      <c r="K37" s="163">
        <f t="shared" si="9"/>
        <v>0.0003845551665</v>
      </c>
      <c r="L37" s="163">
        <f t="shared" si="10"/>
        <v>0.008105242274</v>
      </c>
      <c r="M37" s="163">
        <f t="shared" si="11"/>
        <v>0.1548504362</v>
      </c>
      <c r="N37" s="163">
        <f t="shared" si="12"/>
        <v>-0.008898446582</v>
      </c>
      <c r="O37" s="164">
        <f t="shared" si="13"/>
        <v>-0.007997952797</v>
      </c>
      <c r="P37" s="164">
        <f t="shared" si="14"/>
        <v>-0.01991935615</v>
      </c>
    </row>
    <row r="38">
      <c r="A38" s="158">
        <v>46062.0</v>
      </c>
      <c r="B38" s="159">
        <f>IF(DATOS!E40&lt;&gt;"",DATOS!E40/DATOS!D40,"")</f>
        <v>21633.1371</v>
      </c>
      <c r="C38" s="160">
        <f t="shared" si="1"/>
        <v>15010.57582</v>
      </c>
      <c r="D38" s="160">
        <f t="shared" si="2"/>
        <v>6622.56128</v>
      </c>
      <c r="E38" s="161">
        <f t="shared" si="3"/>
        <v>21051.85459</v>
      </c>
      <c r="F38" s="161">
        <f t="shared" si="4"/>
        <v>21093.48575</v>
      </c>
      <c r="G38" s="161">
        <f t="shared" si="5"/>
        <v>21438.15302</v>
      </c>
      <c r="H38" s="161">
        <f t="shared" si="6"/>
        <v>21648.18752</v>
      </c>
      <c r="I38" s="161">
        <f t="shared" si="7"/>
        <v>21584.34943</v>
      </c>
      <c r="J38" s="162">
        <f t="shared" si="8"/>
        <v>22202.88928</v>
      </c>
      <c r="K38" s="163">
        <f t="shared" si="9"/>
        <v>0.005122000347</v>
      </c>
      <c r="L38" s="163">
        <f t="shared" si="10"/>
        <v>0.00811089712</v>
      </c>
      <c r="M38" s="163">
        <f t="shared" si="11"/>
        <v>0.1549584719</v>
      </c>
      <c r="N38" s="163">
        <f t="shared" si="12"/>
        <v>-0.008904026225</v>
      </c>
      <c r="O38" s="164">
        <f t="shared" si="13"/>
        <v>-0.007997952797</v>
      </c>
      <c r="P38" s="164">
        <f t="shared" si="14"/>
        <v>-0.02029617877</v>
      </c>
    </row>
    <row r="39">
      <c r="A39" s="158">
        <v>46061.0</v>
      </c>
      <c r="B39" s="159">
        <f>IF(DATOS!E41&lt;&gt;"",DATOS!E41/DATOS!D41,"")</f>
        <v>21522.61545</v>
      </c>
      <c r="C39" s="160">
        <f t="shared" si="1"/>
        <v>15002.17155</v>
      </c>
      <c r="D39" s="160">
        <f t="shared" si="2"/>
        <v>6520.443897</v>
      </c>
      <c r="E39" s="161">
        <f t="shared" si="3"/>
        <v>21033.06535</v>
      </c>
      <c r="F39" s="161">
        <f t="shared" si="4"/>
        <v>21098.59846</v>
      </c>
      <c r="G39" s="161">
        <f t="shared" si="5"/>
        <v>21430.19449</v>
      </c>
      <c r="H39" s="161">
        <f t="shared" si="6"/>
        <v>21650.33758</v>
      </c>
      <c r="I39" s="161">
        <f t="shared" si="7"/>
        <v>21559.95559</v>
      </c>
      <c r="J39" s="162">
        <f t="shared" si="8"/>
        <v>22202.07669</v>
      </c>
      <c r="K39" s="163">
        <f t="shared" si="9"/>
        <v>-0.0002317061971</v>
      </c>
      <c r="L39" s="163">
        <f t="shared" si="10"/>
        <v>0.008115139773</v>
      </c>
      <c r="M39" s="163">
        <f t="shared" si="11"/>
        <v>0.1550395277</v>
      </c>
      <c r="N39" s="163">
        <f t="shared" si="12"/>
        <v>-0.008909605868</v>
      </c>
      <c r="O39" s="164">
        <f t="shared" si="13"/>
        <v>-0.007997952797</v>
      </c>
      <c r="P39" s="164">
        <f t="shared" si="14"/>
        <v>-0.02530139279</v>
      </c>
    </row>
    <row r="40">
      <c r="A40" s="158">
        <v>46060.0</v>
      </c>
      <c r="B40" s="159">
        <f>IF(DATOS!E42&lt;&gt;"",DATOS!E42/DATOS!D42,"")</f>
        <v>21527.60295</v>
      </c>
      <c r="C40" s="160">
        <f t="shared" si="1"/>
        <v>14993.88636</v>
      </c>
      <c r="D40" s="160">
        <f t="shared" si="2"/>
        <v>6533.716588</v>
      </c>
      <c r="E40" s="161">
        <f t="shared" si="3"/>
        <v>21014.79375</v>
      </c>
      <c r="F40" s="161">
        <f t="shared" si="4"/>
        <v>21146.29498</v>
      </c>
      <c r="G40" s="161">
        <f t="shared" si="5"/>
        <v>21426.4222</v>
      </c>
      <c r="H40" s="161">
        <f t="shared" si="6"/>
        <v>21668.58359</v>
      </c>
      <c r="I40" s="161">
        <f t="shared" si="7"/>
        <v>21578.62566</v>
      </c>
      <c r="J40" s="162">
        <f t="shared" si="8"/>
        <v>22190.87221</v>
      </c>
      <c r="K40" s="163">
        <f t="shared" si="9"/>
        <v>-0.0002316580021</v>
      </c>
      <c r="L40" s="163">
        <f t="shared" si="10"/>
        <v>0.008120717584</v>
      </c>
      <c r="M40" s="163">
        <f t="shared" si="11"/>
        <v>0.1551460916</v>
      </c>
      <c r="N40" s="163">
        <f t="shared" si="12"/>
        <v>-0.008915185511</v>
      </c>
      <c r="O40" s="164">
        <f t="shared" si="13"/>
        <v>-0.007997952797</v>
      </c>
      <c r="P40" s="164">
        <f t="shared" si="14"/>
        <v>-0.02507552291</v>
      </c>
    </row>
    <row r="41">
      <c r="A41" s="158">
        <v>46059.0</v>
      </c>
      <c r="B41" s="159">
        <f>IF(DATOS!E43&lt;&gt;"",DATOS!E43/DATOS!D43,"")</f>
        <v>21532.59057</v>
      </c>
      <c r="C41" s="160">
        <f t="shared" si="1"/>
        <v>14985.57375</v>
      </c>
      <c r="D41" s="160">
        <f t="shared" si="2"/>
        <v>6547.016823</v>
      </c>
      <c r="E41" s="161">
        <f t="shared" si="3"/>
        <v>20996.39323</v>
      </c>
      <c r="F41" s="161">
        <f t="shared" si="4"/>
        <v>21204.65605</v>
      </c>
      <c r="G41" s="161">
        <f t="shared" si="5"/>
        <v>21422.29238</v>
      </c>
      <c r="H41" s="161">
        <f t="shared" si="6"/>
        <v>21688.72368</v>
      </c>
      <c r="I41" s="161">
        <f t="shared" si="7"/>
        <v>21604.13701</v>
      </c>
      <c r="J41" s="162">
        <f t="shared" si="8"/>
        <v>22172.79132</v>
      </c>
      <c r="K41" s="163">
        <f t="shared" si="9"/>
        <v>0.007290249933</v>
      </c>
      <c r="L41" s="163">
        <f t="shared" si="10"/>
        <v>0.008126306915</v>
      </c>
      <c r="M41" s="163">
        <f t="shared" si="11"/>
        <v>0.1552528756</v>
      </c>
      <c r="N41" s="163">
        <f t="shared" si="12"/>
        <v>-0.008920765153</v>
      </c>
      <c r="O41" s="164">
        <f t="shared" si="13"/>
        <v>-0.007997952797</v>
      </c>
      <c r="P41" s="164">
        <f t="shared" si="14"/>
        <v>-0.02484964769</v>
      </c>
    </row>
    <row r="42">
      <c r="A42" s="158">
        <v>46058.0</v>
      </c>
      <c r="B42" s="159">
        <f>IF(DATOS!E44&lt;&gt;"",DATOS!E44/DATOS!D44,"")</f>
        <v>21376.18342</v>
      </c>
      <c r="C42" s="160">
        <f t="shared" si="1"/>
        <v>14977.2336</v>
      </c>
      <c r="D42" s="160">
        <f t="shared" si="2"/>
        <v>6398.949821</v>
      </c>
      <c r="E42" s="161">
        <f t="shared" si="3"/>
        <v>20977.86298</v>
      </c>
      <c r="F42" s="161">
        <f t="shared" si="4"/>
        <v>21267.95113</v>
      </c>
      <c r="G42" s="161">
        <f t="shared" si="5"/>
        <v>21417.79041</v>
      </c>
      <c r="H42" s="161">
        <f t="shared" si="6"/>
        <v>21711.02842</v>
      </c>
      <c r="I42" s="161">
        <f t="shared" si="7"/>
        <v>21639.91024</v>
      </c>
      <c r="J42" s="162">
        <f t="shared" si="8"/>
        <v>22154.1057</v>
      </c>
      <c r="K42" s="163">
        <f t="shared" si="9"/>
        <v>-0.01405128441</v>
      </c>
      <c r="L42" s="163">
        <f t="shared" si="10"/>
        <v>0.008128622764</v>
      </c>
      <c r="M42" s="163">
        <f t="shared" si="11"/>
        <v>0.1552971199</v>
      </c>
      <c r="N42" s="163">
        <f t="shared" si="12"/>
        <v>-0.008926344796</v>
      </c>
      <c r="O42" s="164">
        <f t="shared" si="13"/>
        <v>-0.007997952797</v>
      </c>
      <c r="P42" s="164">
        <f t="shared" si="14"/>
        <v>-0.03193288682</v>
      </c>
    </row>
    <row r="43">
      <c r="A43" s="158">
        <v>46057.0</v>
      </c>
      <c r="B43" s="159">
        <f>IF(DATOS!E45&lt;&gt;"",DATOS!E45/DATOS!D45,"")</f>
        <v>21678.66641</v>
      </c>
      <c r="C43" s="160">
        <f t="shared" si="1"/>
        <v>14969.07167</v>
      </c>
      <c r="D43" s="160">
        <f t="shared" si="2"/>
        <v>6709.594741</v>
      </c>
      <c r="E43" s="161">
        <f t="shared" si="3"/>
        <v>20960.11273</v>
      </c>
      <c r="F43" s="161">
        <f t="shared" si="4"/>
        <v>21457.82083</v>
      </c>
      <c r="G43" s="161">
        <f t="shared" si="5"/>
        <v>21419.48865</v>
      </c>
      <c r="H43" s="161">
        <f t="shared" si="6"/>
        <v>21758.86342</v>
      </c>
      <c r="I43" s="161">
        <f t="shared" si="7"/>
        <v>21771.77365</v>
      </c>
      <c r="J43" s="162">
        <f t="shared" si="8"/>
        <v>22059.906</v>
      </c>
      <c r="K43" s="163">
        <f t="shared" si="9"/>
        <v>-0.002604551979</v>
      </c>
      <c r="L43" s="163">
        <f t="shared" si="10"/>
        <v>0.008114595307</v>
      </c>
      <c r="M43" s="163">
        <f t="shared" si="11"/>
        <v>0.1550291257</v>
      </c>
      <c r="N43" s="163">
        <f t="shared" si="12"/>
        <v>-0.008843287278</v>
      </c>
      <c r="O43" s="164">
        <f t="shared" si="13"/>
        <v>-0.007350351755</v>
      </c>
      <c r="P43" s="164">
        <f t="shared" si="14"/>
        <v>-0.01823428439</v>
      </c>
    </row>
    <row r="44">
      <c r="A44" s="158">
        <v>46056.0</v>
      </c>
      <c r="B44" s="159">
        <f>IF(DATOS!E46&lt;&gt;"",DATOS!E46/DATOS!D46,"")</f>
        <v>21735.20322</v>
      </c>
      <c r="C44" s="160">
        <f t="shared" si="1"/>
        <v>14960.50259</v>
      </c>
      <c r="D44" s="160">
        <f t="shared" si="2"/>
        <v>6774.700635</v>
      </c>
      <c r="E44" s="161">
        <f t="shared" si="3"/>
        <v>20940.55483</v>
      </c>
      <c r="F44" s="161">
        <f t="shared" si="4"/>
        <v>21453.83629</v>
      </c>
      <c r="G44" s="161">
        <f t="shared" si="5"/>
        <v>21408.90997</v>
      </c>
      <c r="H44" s="161">
        <f t="shared" si="6"/>
        <v>21770.32013</v>
      </c>
      <c r="I44" s="161">
        <f t="shared" si="7"/>
        <v>21818.32726</v>
      </c>
      <c r="J44" s="162">
        <f t="shared" si="8"/>
        <v>22086.80397</v>
      </c>
      <c r="K44" s="163">
        <f t="shared" si="9"/>
        <v>-0.00007461187863</v>
      </c>
      <c r="L44" s="163">
        <f t="shared" si="10"/>
        <v>0.008119185474</v>
      </c>
      <c r="M44" s="163">
        <f t="shared" si="11"/>
        <v>0.1551168207</v>
      </c>
      <c r="N44" s="163">
        <f t="shared" si="12"/>
        <v>-0.008845587536</v>
      </c>
      <c r="O44" s="164">
        <f t="shared" si="13"/>
        <v>-0.007350351755</v>
      </c>
      <c r="P44" s="164">
        <f t="shared" si="14"/>
        <v>-0.01567389166</v>
      </c>
    </row>
    <row r="45">
      <c r="A45" s="158">
        <v>46055.0</v>
      </c>
      <c r="B45" s="159">
        <f>IF(DATOS!E47&lt;&gt;"",DATOS!E47/DATOS!D47,"")</f>
        <v>21736.82499</v>
      </c>
      <c r="C45" s="160">
        <f t="shared" si="1"/>
        <v>14951.83929</v>
      </c>
      <c r="D45" s="160">
        <f t="shared" si="2"/>
        <v>6784.9857</v>
      </c>
      <c r="E45" s="161">
        <f t="shared" si="3"/>
        <v>20920.56928</v>
      </c>
      <c r="F45" s="161">
        <f t="shared" si="4"/>
        <v>21383.93393</v>
      </c>
      <c r="G45" s="161">
        <f t="shared" si="5"/>
        <v>21395.59188</v>
      </c>
      <c r="H45" s="161">
        <f t="shared" si="6"/>
        <v>21775.33683</v>
      </c>
      <c r="I45" s="161">
        <f t="shared" si="7"/>
        <v>21859.88928</v>
      </c>
      <c r="J45" s="162">
        <f t="shared" si="8"/>
        <v>22166.73973</v>
      </c>
      <c r="K45" s="163">
        <f t="shared" si="9"/>
        <v>-0.007832820803</v>
      </c>
      <c r="L45" s="163">
        <f t="shared" si="10"/>
        <v>0.008124833803</v>
      </c>
      <c r="M45" s="163">
        <f t="shared" si="11"/>
        <v>0.1552247319</v>
      </c>
      <c r="N45" s="163">
        <f t="shared" si="12"/>
        <v>-0.008847887794</v>
      </c>
      <c r="O45" s="164">
        <f t="shared" si="13"/>
        <v>-0.007350351755</v>
      </c>
      <c r="P45" s="164">
        <f t="shared" si="14"/>
        <v>-0.0156004465</v>
      </c>
    </row>
    <row r="46">
      <c r="A46" s="158">
        <v>46054.0</v>
      </c>
      <c r="B46" s="159">
        <f>IF(DATOS!E48&lt;&gt;"",DATOS!E48/DATOS!D48,"")</f>
        <v>21907.7542</v>
      </c>
      <c r="C46" s="160">
        <f t="shared" si="1"/>
        <v>14943.15172</v>
      </c>
      <c r="D46" s="160">
        <f t="shared" si="2"/>
        <v>6964.602472</v>
      </c>
      <c r="E46" s="161">
        <f t="shared" si="3"/>
        <v>20900.4645</v>
      </c>
      <c r="F46" s="161">
        <f t="shared" si="4"/>
        <v>21261.05367</v>
      </c>
      <c r="G46" s="161">
        <f t="shared" si="5"/>
        <v>21381.664</v>
      </c>
      <c r="H46" s="161">
        <f t="shared" si="6"/>
        <v>21780.83852</v>
      </c>
      <c r="I46" s="161">
        <f t="shared" si="7"/>
        <v>21921.42143</v>
      </c>
      <c r="J46" s="162">
        <f t="shared" si="8"/>
        <v>22300.62338</v>
      </c>
      <c r="K46" s="163">
        <f t="shared" si="9"/>
        <v>-0.000001516380328</v>
      </c>
      <c r="L46" s="163">
        <f t="shared" si="10"/>
        <v>0.008123715569</v>
      </c>
      <c r="M46" s="163">
        <f t="shared" si="11"/>
        <v>0.155203368</v>
      </c>
      <c r="N46" s="163">
        <f t="shared" si="12"/>
        <v>-0.008850188052</v>
      </c>
      <c r="O46" s="164">
        <f t="shared" si="13"/>
        <v>-0.004650919986</v>
      </c>
      <c r="P46" s="164">
        <f t="shared" si="14"/>
        <v>-0.00785954423</v>
      </c>
      <c r="U46" s="165">
        <f t="shared" ref="U46:U686" si="15">(B46-H46)/STDEV(B46:B60)</f>
        <v>0.6348410162</v>
      </c>
    </row>
    <row r="47">
      <c r="A47" s="158">
        <v>46053.0</v>
      </c>
      <c r="B47" s="159">
        <f>IF(DATOS!E49&lt;&gt;"",DATOS!E49/DATOS!D49,"")</f>
        <v>21907.78742</v>
      </c>
      <c r="C47" s="160">
        <f t="shared" si="1"/>
        <v>14934.22275</v>
      </c>
      <c r="D47" s="160">
        <f t="shared" si="2"/>
        <v>6973.56467</v>
      </c>
      <c r="E47" s="161">
        <f t="shared" si="3"/>
        <v>20879.27912</v>
      </c>
      <c r="F47" s="161">
        <f t="shared" si="4"/>
        <v>21151.23874</v>
      </c>
      <c r="G47" s="161">
        <f t="shared" si="5"/>
        <v>21360.19093</v>
      </c>
      <c r="H47" s="161">
        <f t="shared" si="6"/>
        <v>21762.70771</v>
      </c>
      <c r="I47" s="161">
        <f t="shared" si="7"/>
        <v>21928.25505</v>
      </c>
      <c r="J47" s="162">
        <f t="shared" si="8"/>
        <v>22374.17669</v>
      </c>
      <c r="K47" s="163">
        <f t="shared" si="9"/>
        <v>-0.0009596340935</v>
      </c>
      <c r="L47" s="163">
        <f t="shared" si="10"/>
        <v>0.008129394414</v>
      </c>
      <c r="M47" s="163">
        <f t="shared" si="11"/>
        <v>0.1553118622</v>
      </c>
      <c r="N47" s="163">
        <f t="shared" si="12"/>
        <v>-0.00885248831</v>
      </c>
      <c r="O47" s="164">
        <f t="shared" si="13"/>
        <v>-0.004650919986</v>
      </c>
      <c r="P47" s="164">
        <f t="shared" si="14"/>
        <v>-0.007858039767</v>
      </c>
      <c r="U47" s="165">
        <f t="shared" si="15"/>
        <v>0.6168869433</v>
      </c>
    </row>
    <row r="48">
      <c r="A48" s="158">
        <v>46052.0</v>
      </c>
      <c r="B48" s="159">
        <f>IF(DATOS!E50&lt;&gt;"",DATOS!E50/DATOS!D50,"")</f>
        <v>21928.82097</v>
      </c>
      <c r="C48" s="160">
        <f t="shared" si="1"/>
        <v>14925.2708</v>
      </c>
      <c r="D48" s="160">
        <f t="shared" si="2"/>
        <v>7003.550164</v>
      </c>
      <c r="E48" s="161">
        <f t="shared" si="3"/>
        <v>20857.97723</v>
      </c>
      <c r="F48" s="161">
        <f t="shared" si="4"/>
        <v>21069.68009</v>
      </c>
      <c r="G48" s="161">
        <f t="shared" si="5"/>
        <v>21337.84005</v>
      </c>
      <c r="H48" s="161">
        <f t="shared" si="6"/>
        <v>21741.98204</v>
      </c>
      <c r="I48" s="161">
        <f t="shared" si="7"/>
        <v>21938.48887</v>
      </c>
      <c r="J48" s="162">
        <f t="shared" si="8"/>
        <v>22414.284</v>
      </c>
      <c r="K48" s="163">
        <f t="shared" si="9"/>
        <v>0.001203618024</v>
      </c>
      <c r="L48" s="163">
        <f t="shared" si="10"/>
        <v>0.008134827661</v>
      </c>
      <c r="M48" s="163">
        <f t="shared" si="11"/>
        <v>0.1554156643</v>
      </c>
      <c r="N48" s="163">
        <f t="shared" si="12"/>
        <v>-0.008854788568</v>
      </c>
      <c r="O48" s="164">
        <f t="shared" si="13"/>
        <v>-0.004650919986</v>
      </c>
      <c r="P48" s="164">
        <f t="shared" si="14"/>
        <v>-0.00690548954</v>
      </c>
      <c r="U48" s="165">
        <f t="shared" si="15"/>
        <v>0.7225640199</v>
      </c>
    </row>
    <row r="49">
      <c r="A49" s="158">
        <v>46051.0</v>
      </c>
      <c r="B49" s="159">
        <f>IF(DATOS!E51&lt;&gt;"",DATOS!E51/DATOS!D51,"")</f>
        <v>21902.44292</v>
      </c>
      <c r="C49" s="160">
        <f t="shared" si="1"/>
        <v>14916.26881</v>
      </c>
      <c r="D49" s="160">
        <f t="shared" si="2"/>
        <v>6986.174111</v>
      </c>
      <c r="E49" s="161">
        <f t="shared" si="3"/>
        <v>20836.43862</v>
      </c>
      <c r="F49" s="161">
        <f t="shared" si="4"/>
        <v>20931.05283</v>
      </c>
      <c r="G49" s="161">
        <f t="shared" si="5"/>
        <v>21313.71838</v>
      </c>
      <c r="H49" s="161">
        <f t="shared" si="6"/>
        <v>21715.29077</v>
      </c>
      <c r="I49" s="161">
        <f t="shared" si="7"/>
        <v>21943.32282</v>
      </c>
      <c r="J49" s="162">
        <f t="shared" si="8"/>
        <v>22499.5287</v>
      </c>
      <c r="K49" s="163">
        <f t="shared" si="9"/>
        <v>-0.008133060792</v>
      </c>
      <c r="L49" s="163">
        <f t="shared" si="10"/>
        <v>0.008140625958</v>
      </c>
      <c r="M49" s="163">
        <f t="shared" si="11"/>
        <v>0.1555264406</v>
      </c>
      <c r="N49" s="163">
        <f t="shared" si="12"/>
        <v>-0.008857088826</v>
      </c>
      <c r="O49" s="164">
        <f t="shared" si="13"/>
        <v>-0.004650919986</v>
      </c>
      <c r="P49" s="164">
        <f t="shared" si="14"/>
        <v>-0.008100076934</v>
      </c>
      <c r="U49" s="165">
        <f t="shared" si="15"/>
        <v>0.6204693434</v>
      </c>
    </row>
    <row r="50">
      <c r="A50" s="158">
        <v>46050.0</v>
      </c>
      <c r="B50" s="159">
        <f>IF(DATOS!E52&lt;&gt;"",DATOS!E52/DATOS!D52,"")</f>
        <v>22081.30317</v>
      </c>
      <c r="C50" s="160">
        <f t="shared" si="1"/>
        <v>14907.27759</v>
      </c>
      <c r="D50" s="160">
        <f t="shared" si="2"/>
        <v>7174.02558</v>
      </c>
      <c r="E50" s="161">
        <f t="shared" si="3"/>
        <v>20814.93192</v>
      </c>
      <c r="F50" s="161">
        <f t="shared" si="4"/>
        <v>20799.86647</v>
      </c>
      <c r="G50" s="161">
        <f t="shared" si="5"/>
        <v>21289.68881</v>
      </c>
      <c r="H50" s="161">
        <f t="shared" si="6"/>
        <v>21688.55474</v>
      </c>
      <c r="I50" s="161">
        <f t="shared" si="7"/>
        <v>21963.76278</v>
      </c>
      <c r="J50" s="162">
        <f t="shared" si="8"/>
        <v>22577.24302</v>
      </c>
      <c r="K50" s="163">
        <f t="shared" si="9"/>
        <v>0.004413646144</v>
      </c>
      <c r="L50" s="163">
        <f t="shared" si="10"/>
        <v>0.008139022955</v>
      </c>
      <c r="M50" s="163">
        <f t="shared" si="11"/>
        <v>0.1554958152</v>
      </c>
      <c r="N50" s="163">
        <f t="shared" si="12"/>
        <v>-0.008859389083</v>
      </c>
      <c r="O50" s="164">
        <f t="shared" si="13"/>
        <v>-0.004650919986</v>
      </c>
      <c r="P50" s="164">
        <f t="shared" si="14"/>
        <v>0</v>
      </c>
      <c r="U50" s="165">
        <f t="shared" si="15"/>
        <v>1.149048479</v>
      </c>
    </row>
    <row r="51">
      <c r="A51" s="158">
        <v>46049.0</v>
      </c>
      <c r="B51" s="159">
        <f>IF(DATOS!E53&lt;&gt;"",DATOS!E53/DATOS!D53,"")</f>
        <v>21984.05887</v>
      </c>
      <c r="C51" s="160">
        <f t="shared" si="1"/>
        <v>14898.03272</v>
      </c>
      <c r="D51" s="160">
        <f t="shared" si="2"/>
        <v>7086.026159</v>
      </c>
      <c r="E51" s="161">
        <f t="shared" si="3"/>
        <v>20792.28624</v>
      </c>
      <c r="F51" s="161">
        <f t="shared" si="4"/>
        <v>20713.4987</v>
      </c>
      <c r="G51" s="161">
        <f t="shared" si="5"/>
        <v>21257.37802</v>
      </c>
      <c r="H51" s="161">
        <f t="shared" si="6"/>
        <v>21632.44783</v>
      </c>
      <c r="I51" s="161">
        <f t="shared" si="7"/>
        <v>21904.99258</v>
      </c>
      <c r="J51" s="162">
        <f t="shared" si="8"/>
        <v>22551.39695</v>
      </c>
      <c r="K51" s="163">
        <f t="shared" si="9"/>
        <v>-0.0007905842056</v>
      </c>
      <c r="L51" s="163">
        <f t="shared" si="10"/>
        <v>0.008143858223</v>
      </c>
      <c r="M51" s="163">
        <f t="shared" si="11"/>
        <v>0.1555881929</v>
      </c>
      <c r="N51" s="163">
        <f t="shared" si="12"/>
        <v>-0.008864968726</v>
      </c>
      <c r="O51" s="164">
        <f t="shared" si="13"/>
        <v>-0.004650919986</v>
      </c>
      <c r="P51" s="164">
        <f t="shared" si="14"/>
        <v>-0.0007902717763</v>
      </c>
      <c r="U51" s="165">
        <f t="shared" si="15"/>
        <v>0.9948197358</v>
      </c>
    </row>
    <row r="52">
      <c r="A52" s="158">
        <v>46048.0</v>
      </c>
      <c r="B52" s="159">
        <f>IF(DATOS!E54&lt;&gt;"",DATOS!E54/DATOS!D54,"")</f>
        <v>22001.446</v>
      </c>
      <c r="C52" s="160">
        <f t="shared" si="1"/>
        <v>14888.88946</v>
      </c>
      <c r="D52" s="160">
        <f t="shared" si="2"/>
        <v>7112.55654</v>
      </c>
      <c r="E52" s="161">
        <f t="shared" si="3"/>
        <v>20770.07199</v>
      </c>
      <c r="F52" s="161">
        <f t="shared" si="4"/>
        <v>20657.56548</v>
      </c>
      <c r="G52" s="161">
        <f t="shared" si="5"/>
        <v>21227.71757</v>
      </c>
      <c r="H52" s="161">
        <f t="shared" si="6"/>
        <v>21582.21768</v>
      </c>
      <c r="I52" s="161">
        <f t="shared" si="7"/>
        <v>21865.45943</v>
      </c>
      <c r="J52" s="162">
        <f t="shared" si="8"/>
        <v>22506.86987</v>
      </c>
      <c r="K52" s="163">
        <f t="shared" si="9"/>
        <v>0.00534960807</v>
      </c>
      <c r="L52" s="163">
        <f t="shared" si="10"/>
        <v>0.008149387372</v>
      </c>
      <c r="M52" s="163">
        <f t="shared" si="11"/>
        <v>0.1556938271</v>
      </c>
      <c r="N52" s="163">
        <f t="shared" si="12"/>
        <v>-0.008870548369</v>
      </c>
      <c r="O52" s="164">
        <f t="shared" si="13"/>
        <v>-0.004650919986</v>
      </c>
      <c r="P52" s="164">
        <f t="shared" si="14"/>
        <v>0</v>
      </c>
      <c r="U52" s="165">
        <f t="shared" si="15"/>
        <v>1.178814731</v>
      </c>
    </row>
    <row r="53">
      <c r="A53" s="158">
        <v>46047.0</v>
      </c>
      <c r="B53" s="159">
        <f>IF(DATOS!E55&lt;&gt;"",DATOS!E55/DATOS!D55,"")</f>
        <v>21884.06114</v>
      </c>
      <c r="C53" s="160">
        <f t="shared" si="1"/>
        <v>14879.70011</v>
      </c>
      <c r="D53" s="160">
        <f t="shared" si="2"/>
        <v>7004.361038</v>
      </c>
      <c r="E53" s="161">
        <f t="shared" si="3"/>
        <v>20747.636</v>
      </c>
      <c r="F53" s="161">
        <f t="shared" si="4"/>
        <v>20627.72263</v>
      </c>
      <c r="G53" s="161">
        <f t="shared" si="5"/>
        <v>21196.13682</v>
      </c>
      <c r="H53" s="161">
        <f t="shared" si="6"/>
        <v>21522.32792</v>
      </c>
      <c r="I53" s="161">
        <f t="shared" si="7"/>
        <v>21797.46615</v>
      </c>
      <c r="J53" s="162">
        <f t="shared" si="8"/>
        <v>22416.9332</v>
      </c>
      <c r="K53" s="163">
        <f t="shared" si="9"/>
        <v>0.00030677002</v>
      </c>
      <c r="L53" s="163">
        <f t="shared" si="10"/>
        <v>0.00815361462</v>
      </c>
      <c r="M53" s="163">
        <f t="shared" si="11"/>
        <v>0.1557745886</v>
      </c>
      <c r="N53" s="163">
        <f t="shared" si="12"/>
        <v>-0.008876128012</v>
      </c>
      <c r="O53" s="164">
        <f t="shared" si="13"/>
        <v>-0.004650919986</v>
      </c>
      <c r="P53" s="164">
        <f t="shared" si="14"/>
        <v>0</v>
      </c>
      <c r="U53" s="165">
        <f t="shared" si="15"/>
        <v>1.051308784</v>
      </c>
    </row>
    <row r="54">
      <c r="A54" s="158">
        <v>46046.0</v>
      </c>
      <c r="B54" s="159">
        <f>IF(DATOS!E56&lt;&gt;"",DATOS!E56/DATOS!D56,"")</f>
        <v>21877.3488</v>
      </c>
      <c r="C54" s="160">
        <f t="shared" si="1"/>
        <v>14870.63884</v>
      </c>
      <c r="D54" s="160">
        <f t="shared" si="2"/>
        <v>7006.709963</v>
      </c>
      <c r="E54" s="161">
        <f t="shared" si="3"/>
        <v>20725.74917</v>
      </c>
      <c r="F54" s="161">
        <f t="shared" si="4"/>
        <v>20603.32729</v>
      </c>
      <c r="G54" s="161">
        <f t="shared" si="5"/>
        <v>21168.05828</v>
      </c>
      <c r="H54" s="161">
        <f t="shared" si="6"/>
        <v>21470.65174</v>
      </c>
      <c r="I54" s="161">
        <f t="shared" si="7"/>
        <v>21754.16865</v>
      </c>
      <c r="J54" s="162">
        <f t="shared" si="8"/>
        <v>22337.97619</v>
      </c>
      <c r="K54" s="163">
        <f t="shared" si="9"/>
        <v>0.0001863339039</v>
      </c>
      <c r="L54" s="163">
        <f t="shared" si="10"/>
        <v>0.008159420023</v>
      </c>
      <c r="M54" s="163">
        <f t="shared" si="11"/>
        <v>0.1558855007</v>
      </c>
      <c r="N54" s="163">
        <f t="shared" si="12"/>
        <v>-0.008881707654</v>
      </c>
      <c r="O54" s="164">
        <f t="shared" si="13"/>
        <v>-0.004650919986</v>
      </c>
      <c r="P54" s="164">
        <f t="shared" si="14"/>
        <v>0</v>
      </c>
      <c r="U54" s="165">
        <f t="shared" si="15"/>
        <v>1.219165848</v>
      </c>
    </row>
    <row r="55">
      <c r="A55" s="158">
        <v>46045.0</v>
      </c>
      <c r="B55" s="159">
        <f>IF(DATOS!E57&lt;&gt;"",DATOS!E57/DATOS!D57,"")</f>
        <v>21873.27269</v>
      </c>
      <c r="C55" s="160">
        <f t="shared" si="1"/>
        <v>14861.56279</v>
      </c>
      <c r="D55" s="160">
        <f t="shared" si="2"/>
        <v>7011.7099</v>
      </c>
      <c r="E55" s="161">
        <f t="shared" si="3"/>
        <v>20703.77993</v>
      </c>
      <c r="F55" s="161">
        <f t="shared" si="4"/>
        <v>20598.71607</v>
      </c>
      <c r="G55" s="161">
        <f t="shared" si="5"/>
        <v>21139.10764</v>
      </c>
      <c r="H55" s="161">
        <f t="shared" si="6"/>
        <v>21412.55216</v>
      </c>
      <c r="I55" s="161">
        <f t="shared" si="7"/>
        <v>21692.57858</v>
      </c>
      <c r="J55" s="162">
        <f t="shared" si="8"/>
        <v>22226.38826</v>
      </c>
      <c r="K55" s="163">
        <f t="shared" si="9"/>
        <v>0.006822855389</v>
      </c>
      <c r="L55" s="163">
        <f t="shared" si="10"/>
        <v>0.008165220539</v>
      </c>
      <c r="M55" s="163">
        <f t="shared" si="11"/>
        <v>0.1559963194</v>
      </c>
      <c r="N55" s="163">
        <f t="shared" si="12"/>
        <v>-0.008887287297</v>
      </c>
      <c r="O55" s="164">
        <f t="shared" si="13"/>
        <v>-0.004650919986</v>
      </c>
      <c r="P55" s="164">
        <f t="shared" si="14"/>
        <v>0</v>
      </c>
      <c r="U55" s="165">
        <f t="shared" si="15"/>
        <v>1.47188528</v>
      </c>
    </row>
    <row r="56">
      <c r="A56" s="158">
        <v>46044.0</v>
      </c>
      <c r="B56" s="159">
        <f>IF(DATOS!E58&lt;&gt;"",DATOS!E58/DATOS!D58,"")</f>
        <v>21724.54247</v>
      </c>
      <c r="C56" s="160">
        <f t="shared" si="1"/>
        <v>14852.46848</v>
      </c>
      <c r="D56" s="160">
        <f t="shared" si="2"/>
        <v>6872.073989</v>
      </c>
      <c r="E56" s="161">
        <f t="shared" si="3"/>
        <v>20681.71261</v>
      </c>
      <c r="F56" s="161">
        <f t="shared" si="4"/>
        <v>20614.10477</v>
      </c>
      <c r="G56" s="161">
        <f t="shared" si="5"/>
        <v>21109.14172</v>
      </c>
      <c r="H56" s="161">
        <f t="shared" si="6"/>
        <v>21346.73494</v>
      </c>
      <c r="I56" s="161">
        <f t="shared" si="7"/>
        <v>21602.23152</v>
      </c>
      <c r="J56" s="162">
        <f t="shared" si="8"/>
        <v>22079.36512</v>
      </c>
      <c r="K56" s="163">
        <f t="shared" si="9"/>
        <v>-0.001708444065</v>
      </c>
      <c r="L56" s="163">
        <f t="shared" si="10"/>
        <v>0.008168170188</v>
      </c>
      <c r="M56" s="163">
        <f t="shared" si="11"/>
        <v>0.1560526723</v>
      </c>
      <c r="N56" s="163">
        <f t="shared" si="12"/>
        <v>-0.00889286694</v>
      </c>
      <c r="O56" s="164">
        <f t="shared" si="13"/>
        <v>-0.004650919986</v>
      </c>
      <c r="P56" s="164">
        <f t="shared" si="14"/>
        <v>-0.001706985506</v>
      </c>
      <c r="U56" s="165">
        <f t="shared" si="15"/>
        <v>1.340785032</v>
      </c>
    </row>
    <row r="57">
      <c r="A57" s="158">
        <v>46043.0</v>
      </c>
      <c r="B57" s="159">
        <f>IF(DATOS!E59&lt;&gt;"",DATOS!E59/DATOS!D59,"")</f>
        <v>21761.68936</v>
      </c>
      <c r="C57" s="160">
        <f t="shared" si="1"/>
        <v>14843.54371</v>
      </c>
      <c r="D57" s="160">
        <f t="shared" si="2"/>
        <v>6918.145649</v>
      </c>
      <c r="E57" s="161">
        <f t="shared" si="3"/>
        <v>20660.37912</v>
      </c>
      <c r="F57" s="161">
        <f t="shared" si="4"/>
        <v>20620.11032</v>
      </c>
      <c r="G57" s="161">
        <f t="shared" si="5"/>
        <v>21084.02333</v>
      </c>
      <c r="H57" s="161">
        <f t="shared" si="6"/>
        <v>21292.76244</v>
      </c>
      <c r="I57" s="161">
        <f t="shared" si="7"/>
        <v>21541.07605</v>
      </c>
      <c r="J57" s="162">
        <f t="shared" si="8"/>
        <v>21965.41456</v>
      </c>
      <c r="K57" s="163">
        <f t="shared" si="9"/>
        <v>0.006003451453</v>
      </c>
      <c r="L57" s="163">
        <f t="shared" si="10"/>
        <v>0.008173386983</v>
      </c>
      <c r="M57" s="163">
        <f t="shared" si="11"/>
        <v>0.156152339</v>
      </c>
      <c r="N57" s="163">
        <f t="shared" si="12"/>
        <v>-0.008898446582</v>
      </c>
      <c r="O57" s="164">
        <f t="shared" si="13"/>
        <v>-0.004650919986</v>
      </c>
      <c r="P57" s="164">
        <f t="shared" si="14"/>
        <v>0</v>
      </c>
      <c r="U57" s="165">
        <f t="shared" si="15"/>
        <v>1.812541668</v>
      </c>
    </row>
    <row r="58">
      <c r="A58" s="158">
        <v>46042.0</v>
      </c>
      <c r="B58" s="159">
        <f>IF(DATOS!E60&lt;&gt;"",DATOS!E60/DATOS!D60,"")</f>
        <v>21631.43549</v>
      </c>
      <c r="C58" s="160">
        <f t="shared" si="1"/>
        <v>14834.54742</v>
      </c>
      <c r="D58" s="160">
        <f t="shared" si="2"/>
        <v>6796.888069</v>
      </c>
      <c r="E58" s="161">
        <f t="shared" si="3"/>
        <v>20638.71288</v>
      </c>
      <c r="F58" s="161">
        <f t="shared" si="4"/>
        <v>20671.77437</v>
      </c>
      <c r="G58" s="161">
        <f t="shared" si="5"/>
        <v>21056.36349</v>
      </c>
      <c r="H58" s="161">
        <f t="shared" si="6"/>
        <v>21225.77288</v>
      </c>
      <c r="I58" s="161">
        <f t="shared" si="7"/>
        <v>21430.76939</v>
      </c>
      <c r="J58" s="162">
        <f t="shared" si="8"/>
        <v>21779.77139</v>
      </c>
      <c r="K58" s="163">
        <f t="shared" si="9"/>
        <v>0.00598065257</v>
      </c>
      <c r="L58" s="163">
        <f t="shared" si="10"/>
        <v>0.008177126255</v>
      </c>
      <c r="M58" s="163">
        <f t="shared" si="11"/>
        <v>0.1562237777</v>
      </c>
      <c r="N58" s="163">
        <f t="shared" si="12"/>
        <v>-0.008904026225</v>
      </c>
      <c r="O58" s="164">
        <f t="shared" si="13"/>
        <v>-0.004650919986</v>
      </c>
      <c r="P58" s="164">
        <f t="shared" si="14"/>
        <v>0</v>
      </c>
      <c r="U58" s="165">
        <f t="shared" si="15"/>
        <v>1.903836859</v>
      </c>
    </row>
    <row r="59">
      <c r="A59" s="158">
        <v>46041.0</v>
      </c>
      <c r="B59" s="159">
        <f>IF(DATOS!E61&lt;&gt;"",DATOS!E61/DATOS!D61,"")</f>
        <v>21502.45148</v>
      </c>
      <c r="C59" s="160">
        <f t="shared" si="1"/>
        <v>14825.69731</v>
      </c>
      <c r="D59" s="160">
        <f t="shared" si="2"/>
        <v>6676.754172</v>
      </c>
      <c r="E59" s="161">
        <f t="shared" si="3"/>
        <v>20617.678</v>
      </c>
      <c r="F59" s="161">
        <f t="shared" si="4"/>
        <v>20732.70529</v>
      </c>
      <c r="G59" s="161">
        <f t="shared" si="5"/>
        <v>21032.89116</v>
      </c>
      <c r="H59" s="161">
        <f t="shared" si="6"/>
        <v>21167.82108</v>
      </c>
      <c r="I59" s="161">
        <f t="shared" si="7"/>
        <v>21330.43634</v>
      </c>
      <c r="J59" s="162">
        <f t="shared" si="8"/>
        <v>21602.93686</v>
      </c>
      <c r="K59" s="163">
        <f t="shared" si="9"/>
        <v>0.00796310227</v>
      </c>
      <c r="L59" s="163">
        <f t="shared" si="10"/>
        <v>0.008180888329</v>
      </c>
      <c r="M59" s="163">
        <f t="shared" si="11"/>
        <v>0.1562956521</v>
      </c>
      <c r="N59" s="163">
        <f t="shared" si="12"/>
        <v>-0.008909605868</v>
      </c>
      <c r="O59" s="164">
        <f t="shared" si="13"/>
        <v>-0.004650919986</v>
      </c>
      <c r="P59" s="164">
        <f t="shared" si="14"/>
        <v>0</v>
      </c>
      <c r="U59" s="165">
        <f t="shared" si="15"/>
        <v>1.999557523</v>
      </c>
    </row>
    <row r="60">
      <c r="A60" s="158">
        <v>46040.0</v>
      </c>
      <c r="B60" s="159">
        <f>IF(DATOS!E62&lt;&gt;"",DATOS!E62/DATOS!D62,"")</f>
        <v>21331.9052</v>
      </c>
      <c r="C60" s="160">
        <f t="shared" si="1"/>
        <v>14816.99228</v>
      </c>
      <c r="D60" s="160">
        <f t="shared" si="2"/>
        <v>6514.912917</v>
      </c>
      <c r="E60" s="161">
        <f t="shared" si="3"/>
        <v>20597.27124</v>
      </c>
      <c r="F60" s="161">
        <f t="shared" si="4"/>
        <v>20746.61493</v>
      </c>
      <c r="G60" s="161">
        <f t="shared" si="5"/>
        <v>21013.72543</v>
      </c>
      <c r="H60" s="161">
        <f t="shared" si="6"/>
        <v>21120.01673</v>
      </c>
      <c r="I60" s="161">
        <f t="shared" si="7"/>
        <v>21244.42877</v>
      </c>
      <c r="J60" s="162">
        <f t="shared" si="8"/>
        <v>21493.41854</v>
      </c>
      <c r="K60" s="163">
        <f t="shared" si="9"/>
        <v>0.0003284678552</v>
      </c>
      <c r="L60" s="163">
        <f t="shared" si="10"/>
        <v>0.008182568945</v>
      </c>
      <c r="M60" s="163">
        <f t="shared" si="11"/>
        <v>0.1563277602</v>
      </c>
      <c r="N60" s="163">
        <f t="shared" si="12"/>
        <v>-0.008915185511</v>
      </c>
      <c r="O60" s="164">
        <f t="shared" si="13"/>
        <v>-0.004650919986</v>
      </c>
      <c r="P60" s="164">
        <f t="shared" si="14"/>
        <v>-0.006775397107</v>
      </c>
      <c r="U60" s="165">
        <f t="shared" si="15"/>
        <v>1.475381205</v>
      </c>
    </row>
    <row r="61">
      <c r="A61" s="158">
        <v>46039.0</v>
      </c>
      <c r="B61" s="159">
        <f>IF(DATOS!E63&lt;&gt;"",DATOS!E63/DATOS!D63,"")</f>
        <v>21324.89951</v>
      </c>
      <c r="C61" s="160">
        <f t="shared" si="1"/>
        <v>14808.48717</v>
      </c>
      <c r="D61" s="160">
        <f t="shared" si="2"/>
        <v>6516.41233</v>
      </c>
      <c r="E61" s="161">
        <f t="shared" si="3"/>
        <v>20577.73729</v>
      </c>
      <c r="F61" s="161">
        <f t="shared" si="4"/>
        <v>20736.10884</v>
      </c>
      <c r="G61" s="161">
        <f t="shared" si="5"/>
        <v>21000.7385</v>
      </c>
      <c r="H61" s="161">
        <f t="shared" si="6"/>
        <v>21089.74695</v>
      </c>
      <c r="I61" s="161">
        <f t="shared" si="7"/>
        <v>21200.69056</v>
      </c>
      <c r="J61" s="162">
        <f t="shared" si="8"/>
        <v>21443.38507</v>
      </c>
      <c r="K61" s="163">
        <f t="shared" si="9"/>
        <v>-0.000440268342</v>
      </c>
      <c r="L61" s="163">
        <f t="shared" si="10"/>
        <v>0.008188460693</v>
      </c>
      <c r="M61" s="163">
        <f t="shared" si="11"/>
        <v>0.1564403219</v>
      </c>
      <c r="N61" s="163">
        <f t="shared" si="12"/>
        <v>-0.008920765153</v>
      </c>
      <c r="O61" s="164">
        <f t="shared" si="13"/>
        <v>-0.006158613049</v>
      </c>
      <c r="P61" s="164">
        <f t="shared" si="14"/>
        <v>-0.007101585888</v>
      </c>
      <c r="U61" s="165">
        <f t="shared" si="15"/>
        <v>1.728876534</v>
      </c>
    </row>
    <row r="62">
      <c r="A62" s="158">
        <v>46038.0</v>
      </c>
      <c r="B62" s="159">
        <f>IF(DATOS!E64&lt;&gt;"",DATOS!E64/DATOS!D64,"")</f>
        <v>21334.29025</v>
      </c>
      <c r="C62" s="160">
        <f t="shared" si="1"/>
        <v>14799.96899</v>
      </c>
      <c r="D62" s="160">
        <f t="shared" si="2"/>
        <v>6534.321262</v>
      </c>
      <c r="E62" s="161">
        <f t="shared" si="3"/>
        <v>20558.1338</v>
      </c>
      <c r="F62" s="161">
        <f t="shared" si="4"/>
        <v>20742.32751</v>
      </c>
      <c r="G62" s="161">
        <f t="shared" si="5"/>
        <v>20987.50744</v>
      </c>
      <c r="H62" s="161">
        <f t="shared" si="6"/>
        <v>21056.15373</v>
      </c>
      <c r="I62" s="161">
        <f t="shared" si="7"/>
        <v>21138.58609</v>
      </c>
      <c r="J62" s="162">
        <f t="shared" si="8"/>
        <v>21369.97995</v>
      </c>
      <c r="K62" s="163">
        <f t="shared" si="9"/>
        <v>0.01122937743</v>
      </c>
      <c r="L62" s="163">
        <f t="shared" si="10"/>
        <v>0.008194216298</v>
      </c>
      <c r="M62" s="163">
        <f t="shared" si="11"/>
        <v>0.1565502826</v>
      </c>
      <c r="N62" s="163">
        <f t="shared" si="12"/>
        <v>-0.008926344796</v>
      </c>
      <c r="O62" s="164">
        <f t="shared" si="13"/>
        <v>-0.007731200544</v>
      </c>
      <c r="P62" s="164">
        <f t="shared" si="14"/>
        <v>-0.006664347906</v>
      </c>
      <c r="U62" s="165">
        <f t="shared" si="15"/>
        <v>2.304316545</v>
      </c>
    </row>
    <row r="63">
      <c r="A63" s="158">
        <v>46037.0</v>
      </c>
      <c r="B63" s="159">
        <f>IF(DATOS!E65&lt;&gt;"",DATOS!E65/DATOS!D65,"")</f>
        <v>21096.05955</v>
      </c>
      <c r="C63" s="160">
        <f t="shared" si="1"/>
        <v>14791.41621</v>
      </c>
      <c r="D63" s="160">
        <f t="shared" si="2"/>
        <v>6304.643335</v>
      </c>
      <c r="E63" s="161">
        <f t="shared" si="3"/>
        <v>20538.36513</v>
      </c>
      <c r="F63" s="161">
        <f t="shared" si="4"/>
        <v>20746.87324</v>
      </c>
      <c r="G63" s="161">
        <f t="shared" si="5"/>
        <v>20973.35304</v>
      </c>
      <c r="H63" s="161">
        <f t="shared" si="6"/>
        <v>21016.41994</v>
      </c>
      <c r="I63" s="161">
        <f t="shared" si="7"/>
        <v>21040.734</v>
      </c>
      <c r="J63" s="162">
        <f t="shared" si="8"/>
        <v>21285.96665</v>
      </c>
      <c r="K63" s="163">
        <f t="shared" si="9"/>
        <v>0.00417728862</v>
      </c>
      <c r="L63" s="163">
        <f t="shared" si="10"/>
        <v>0.008190938272</v>
      </c>
      <c r="M63" s="163">
        <f t="shared" si="11"/>
        <v>0.156487656</v>
      </c>
      <c r="N63" s="163">
        <f t="shared" si="12"/>
        <v>-0.008931924439</v>
      </c>
      <c r="O63" s="164">
        <f t="shared" si="13"/>
        <v>-0.007731200544</v>
      </c>
      <c r="P63" s="164">
        <f t="shared" si="14"/>
        <v>-0.01775649336</v>
      </c>
      <c r="U63" s="165">
        <f t="shared" si="15"/>
        <v>0.7681895706</v>
      </c>
    </row>
    <row r="64">
      <c r="A64" s="158">
        <v>46036.0</v>
      </c>
      <c r="B64" s="159">
        <f>IF(DATOS!E66&lt;&gt;"",DATOS!E66/DATOS!D66,"")</f>
        <v>21008.11902</v>
      </c>
      <c r="C64" s="160">
        <f t="shared" si="1"/>
        <v>14783.15325</v>
      </c>
      <c r="D64" s="160">
        <f t="shared" si="2"/>
        <v>6224.965777</v>
      </c>
      <c r="E64" s="161">
        <f t="shared" si="3"/>
        <v>20519.86985</v>
      </c>
      <c r="F64" s="161">
        <f t="shared" si="4"/>
        <v>20693.95664</v>
      </c>
      <c r="G64" s="161">
        <f t="shared" si="5"/>
        <v>20968.34461</v>
      </c>
      <c r="H64" s="161">
        <f t="shared" si="6"/>
        <v>21005.04286</v>
      </c>
      <c r="I64" s="161">
        <f t="shared" si="7"/>
        <v>21013.07123</v>
      </c>
      <c r="J64" s="162">
        <f t="shared" si="8"/>
        <v>21316.12908</v>
      </c>
      <c r="K64" s="163">
        <f t="shared" si="9"/>
        <v>0.0005055106811</v>
      </c>
      <c r="L64" s="163">
        <f t="shared" si="10"/>
        <v>0.008196019421</v>
      </c>
      <c r="M64" s="163">
        <f t="shared" si="11"/>
        <v>0.1565847312</v>
      </c>
      <c r="N64" s="163">
        <f t="shared" si="12"/>
        <v>-0.008937504081</v>
      </c>
      <c r="O64" s="164">
        <f t="shared" si="13"/>
        <v>-0.008792584243</v>
      </c>
      <c r="P64" s="164">
        <f t="shared" si="14"/>
        <v>-0.02185104995</v>
      </c>
      <c r="U64" s="165">
        <f t="shared" si="15"/>
        <v>0.0257100039</v>
      </c>
    </row>
    <row r="65">
      <c r="A65" s="158">
        <v>46035.0</v>
      </c>
      <c r="B65" s="159">
        <f>IF(DATOS!E67&lt;&gt;"",DATOS!E67/DATOS!D67,"")</f>
        <v>20997.50188</v>
      </c>
      <c r="C65" s="160">
        <f t="shared" si="1"/>
        <v>14774.984</v>
      </c>
      <c r="D65" s="160">
        <f t="shared" si="2"/>
        <v>6222.517878</v>
      </c>
      <c r="E65" s="161">
        <f t="shared" si="3"/>
        <v>20501.78128</v>
      </c>
      <c r="F65" s="161">
        <f t="shared" si="4"/>
        <v>20655.12777</v>
      </c>
      <c r="G65" s="161">
        <f t="shared" si="5"/>
        <v>20966.72117</v>
      </c>
      <c r="H65" s="161">
        <f t="shared" si="6"/>
        <v>21004.60341</v>
      </c>
      <c r="I65" s="161">
        <f t="shared" si="7"/>
        <v>21015.54733</v>
      </c>
      <c r="J65" s="162">
        <f t="shared" si="8"/>
        <v>21354.07904</v>
      </c>
      <c r="K65" s="163">
        <f t="shared" si="9"/>
        <v>-0.002072339857</v>
      </c>
      <c r="L65" s="163">
        <f t="shared" si="10"/>
        <v>0.008201976405</v>
      </c>
      <c r="M65" s="163">
        <f t="shared" si="11"/>
        <v>0.1566985392</v>
      </c>
      <c r="N65" s="163">
        <f t="shared" si="12"/>
        <v>-0.008943083724</v>
      </c>
      <c r="O65" s="164">
        <f t="shared" si="13"/>
        <v>-0.008792584243</v>
      </c>
      <c r="P65" s="164">
        <f t="shared" si="14"/>
        <v>-0.02234538974</v>
      </c>
      <c r="U65" s="165">
        <f t="shared" si="15"/>
        <v>-0.05283336313</v>
      </c>
    </row>
    <row r="66">
      <c r="A66" s="158">
        <v>46034.0</v>
      </c>
      <c r="B66" s="159">
        <f>IF(DATOS!E68&lt;&gt;"",DATOS!E68/DATOS!D68,"")</f>
        <v>21041.06096</v>
      </c>
      <c r="C66" s="160">
        <f t="shared" si="1"/>
        <v>14766.80723</v>
      </c>
      <c r="D66" s="160">
        <f t="shared" si="2"/>
        <v>6274.253722</v>
      </c>
      <c r="E66" s="161">
        <f t="shared" si="3"/>
        <v>20483.65121</v>
      </c>
      <c r="F66" s="161">
        <f t="shared" si="4"/>
        <v>20589.71231</v>
      </c>
      <c r="G66" s="161">
        <f t="shared" si="5"/>
        <v>20965.46481</v>
      </c>
      <c r="H66" s="161">
        <f t="shared" si="6"/>
        <v>21005.61791</v>
      </c>
      <c r="I66" s="161">
        <f t="shared" si="7"/>
        <v>21024.57006</v>
      </c>
      <c r="J66" s="162">
        <f t="shared" si="8"/>
        <v>21421.52351</v>
      </c>
      <c r="K66" s="163">
        <f t="shared" si="9"/>
        <v>0.0001940147393</v>
      </c>
      <c r="L66" s="163">
        <f t="shared" si="10"/>
        <v>0.008207118052</v>
      </c>
      <c r="M66" s="163">
        <f t="shared" si="11"/>
        <v>0.1567967702</v>
      </c>
      <c r="N66" s="163">
        <f t="shared" si="12"/>
        <v>-0.008948663367</v>
      </c>
      <c r="O66" s="164">
        <f t="shared" si="13"/>
        <v>-0.008792584243</v>
      </c>
      <c r="P66" s="164">
        <f t="shared" si="14"/>
        <v>-0.02031725636</v>
      </c>
      <c r="U66" s="165">
        <f t="shared" si="15"/>
        <v>0.2215693239</v>
      </c>
    </row>
    <row r="67">
      <c r="A67" s="158">
        <v>46033.0</v>
      </c>
      <c r="B67" s="159">
        <f>IF(DATOS!E69&lt;&gt;"",DATOS!E69/DATOS!D69,"")</f>
        <v>21036.97908</v>
      </c>
      <c r="C67" s="160">
        <f t="shared" si="1"/>
        <v>14758.55164</v>
      </c>
      <c r="D67" s="160">
        <f t="shared" si="2"/>
        <v>6278.427439</v>
      </c>
      <c r="E67" s="161">
        <f t="shared" si="3"/>
        <v>20465.16303</v>
      </c>
      <c r="F67" s="161">
        <f t="shared" si="4"/>
        <v>20561.59149</v>
      </c>
      <c r="G67" s="161">
        <f t="shared" si="5"/>
        <v>20962.37926</v>
      </c>
      <c r="H67" s="161">
        <f t="shared" si="6"/>
        <v>21000.55462</v>
      </c>
      <c r="I67" s="161">
        <f t="shared" si="7"/>
        <v>21016.32461</v>
      </c>
      <c r="J67" s="162">
        <f t="shared" si="8"/>
        <v>21439.51774</v>
      </c>
      <c r="K67" s="163">
        <f t="shared" si="9"/>
        <v>0.0001940466828</v>
      </c>
      <c r="L67" s="163">
        <f t="shared" si="10"/>
        <v>0.008213062738</v>
      </c>
      <c r="M67" s="163">
        <f t="shared" si="11"/>
        <v>0.1569103433</v>
      </c>
      <c r="N67" s="163">
        <f t="shared" si="12"/>
        <v>-0.00895424301</v>
      </c>
      <c r="O67" s="164">
        <f t="shared" si="13"/>
        <v>-0.008792584243</v>
      </c>
      <c r="P67" s="164">
        <f t="shared" si="14"/>
        <v>-0.02050731081</v>
      </c>
      <c r="U67" s="165">
        <f t="shared" si="15"/>
        <v>0.2157438479</v>
      </c>
    </row>
    <row r="68">
      <c r="A68" s="158">
        <v>46032.0</v>
      </c>
      <c r="B68" s="159">
        <f>IF(DATOS!E70&lt;&gt;"",DATOS!E70/DATOS!D70,"")</f>
        <v>21032.89732</v>
      </c>
      <c r="C68" s="160">
        <f t="shared" si="1"/>
        <v>14750.27966</v>
      </c>
      <c r="D68" s="160">
        <f t="shared" si="2"/>
        <v>6282.617652</v>
      </c>
      <c r="E68" s="161">
        <f t="shared" si="3"/>
        <v>20446.59298</v>
      </c>
      <c r="F68" s="161">
        <f t="shared" si="4"/>
        <v>20535.90122</v>
      </c>
      <c r="G68" s="161">
        <f t="shared" si="5"/>
        <v>20959.33437</v>
      </c>
      <c r="H68" s="161">
        <f t="shared" si="6"/>
        <v>20995.35112</v>
      </c>
      <c r="I68" s="161">
        <f t="shared" si="7"/>
        <v>21005.99738</v>
      </c>
      <c r="J68" s="162">
        <f t="shared" si="8"/>
        <v>21454.80103</v>
      </c>
      <c r="K68" s="163">
        <f t="shared" si="9"/>
        <v>0.0001940786387</v>
      </c>
      <c r="L68" s="163">
        <f t="shared" si="10"/>
        <v>0.008219020364</v>
      </c>
      <c r="M68" s="163">
        <f t="shared" si="11"/>
        <v>0.1570241636</v>
      </c>
      <c r="N68" s="163">
        <f t="shared" si="12"/>
        <v>-0.008959822652</v>
      </c>
      <c r="O68" s="164">
        <f t="shared" si="13"/>
        <v>-0.008792584243</v>
      </c>
      <c r="P68" s="164">
        <f t="shared" si="14"/>
        <v>-0.02069735968</v>
      </c>
      <c r="U68" s="165">
        <f t="shared" si="15"/>
        <v>0.2124717014</v>
      </c>
    </row>
    <row r="69">
      <c r="A69" s="158">
        <v>46031.0</v>
      </c>
      <c r="B69" s="159">
        <f>IF(DATOS!E71&lt;&gt;"",DATOS!E71/DATOS!D71,"")</f>
        <v>21028.81568</v>
      </c>
      <c r="C69" s="160">
        <f t="shared" si="1"/>
        <v>14741.99125</v>
      </c>
      <c r="D69" s="160">
        <f t="shared" si="2"/>
        <v>6286.824426</v>
      </c>
      <c r="E69" s="161">
        <f t="shared" si="3"/>
        <v>20427.94052</v>
      </c>
      <c r="F69" s="161">
        <f t="shared" si="4"/>
        <v>20512.3458</v>
      </c>
      <c r="G69" s="161">
        <f t="shared" si="5"/>
        <v>20956.3318</v>
      </c>
      <c r="H69" s="161">
        <f t="shared" si="6"/>
        <v>20989.98738</v>
      </c>
      <c r="I69" s="161">
        <f t="shared" si="7"/>
        <v>20992.54742</v>
      </c>
      <c r="J69" s="162">
        <f t="shared" si="8"/>
        <v>21467.62897</v>
      </c>
      <c r="K69" s="163">
        <f t="shared" si="9"/>
        <v>0.001655119498</v>
      </c>
      <c r="L69" s="163">
        <f t="shared" si="10"/>
        <v>0.008224990976</v>
      </c>
      <c r="M69" s="163">
        <f t="shared" si="11"/>
        <v>0.157138232</v>
      </c>
      <c r="N69" s="163">
        <f t="shared" si="12"/>
        <v>-0.008965402295</v>
      </c>
      <c r="O69" s="164">
        <f t="shared" si="13"/>
        <v>-0.008792584243</v>
      </c>
      <c r="P69" s="164">
        <f t="shared" si="14"/>
        <v>-0.02088740296</v>
      </c>
      <c r="U69" s="165">
        <f t="shared" si="15"/>
        <v>0.2113584147</v>
      </c>
    </row>
    <row r="70">
      <c r="A70" s="158">
        <v>46030.0</v>
      </c>
      <c r="B70" s="159">
        <f>IF(DATOS!E72&lt;&gt;"",DATOS!E72/DATOS!D72,"")</f>
        <v>20994.03926</v>
      </c>
      <c r="C70" s="160">
        <f t="shared" si="1"/>
        <v>14733.68633</v>
      </c>
      <c r="D70" s="160">
        <f t="shared" si="2"/>
        <v>6260.35293</v>
      </c>
      <c r="E70" s="161">
        <f t="shared" si="3"/>
        <v>20409.20512</v>
      </c>
      <c r="F70" s="161">
        <f t="shared" si="4"/>
        <v>20492.86299</v>
      </c>
      <c r="G70" s="161">
        <f t="shared" si="5"/>
        <v>20953.37327</v>
      </c>
      <c r="H70" s="161">
        <f t="shared" si="6"/>
        <v>20984.44048</v>
      </c>
      <c r="I70" s="161">
        <f t="shared" si="7"/>
        <v>20974.41329</v>
      </c>
      <c r="J70" s="162">
        <f t="shared" si="8"/>
        <v>21476.01797</v>
      </c>
      <c r="K70" s="163">
        <f t="shared" si="9"/>
        <v>0.001192263401</v>
      </c>
      <c r="L70" s="163">
        <f t="shared" si="10"/>
        <v>0.008231001138</v>
      </c>
      <c r="M70" s="163">
        <f t="shared" si="11"/>
        <v>0.1572530559</v>
      </c>
      <c r="N70" s="163">
        <f t="shared" si="12"/>
        <v>-0.008970981938</v>
      </c>
      <c r="O70" s="164">
        <f t="shared" si="13"/>
        <v>-0.008792584243</v>
      </c>
      <c r="P70" s="164">
        <f t="shared" si="14"/>
        <v>-0.02250661095</v>
      </c>
      <c r="U70" s="165">
        <f t="shared" si="15"/>
        <v>0.05076885597</v>
      </c>
    </row>
    <row r="71">
      <c r="A71" s="158">
        <v>46029.0</v>
      </c>
      <c r="B71" s="159">
        <f>IF(DATOS!E73&lt;&gt;"",DATOS!E73/DATOS!D73,"")</f>
        <v>20969.02375</v>
      </c>
      <c r="C71" s="160">
        <f t="shared" si="1"/>
        <v>14725.40544</v>
      </c>
      <c r="D71" s="160">
        <f t="shared" si="2"/>
        <v>6243.618311</v>
      </c>
      <c r="E71" s="161">
        <f t="shared" si="3"/>
        <v>20390.56653</v>
      </c>
      <c r="F71" s="161">
        <f t="shared" si="4"/>
        <v>20479.34313</v>
      </c>
      <c r="G71" s="161">
        <f t="shared" si="5"/>
        <v>20951.71343</v>
      </c>
      <c r="H71" s="161">
        <f t="shared" si="6"/>
        <v>20983.06923</v>
      </c>
      <c r="I71" s="161">
        <f t="shared" si="7"/>
        <v>20964.6003</v>
      </c>
      <c r="J71" s="162">
        <f t="shared" si="8"/>
        <v>21486.79533</v>
      </c>
      <c r="K71" s="163">
        <f t="shared" si="9"/>
        <v>-0.00095840374</v>
      </c>
      <c r="L71" s="163">
        <f t="shared" si="10"/>
        <v>0.008237057527</v>
      </c>
      <c r="M71" s="163">
        <f t="shared" si="11"/>
        <v>0.1573687631</v>
      </c>
      <c r="N71" s="163">
        <f t="shared" si="12"/>
        <v>-0.008972997507</v>
      </c>
      <c r="O71" s="164">
        <f t="shared" si="13"/>
        <v>-0.008792584243</v>
      </c>
      <c r="P71" s="164">
        <f t="shared" si="14"/>
        <v>-0.02367134607</v>
      </c>
      <c r="U71" s="165">
        <f t="shared" si="15"/>
        <v>-0.07249621579</v>
      </c>
    </row>
    <row r="72">
      <c r="A72" s="158">
        <v>46028.0</v>
      </c>
      <c r="B72" s="159">
        <f>IF(DATOS!E74&lt;&gt;"",DATOS!E74/DATOS!D74,"")</f>
        <v>20989.13018</v>
      </c>
      <c r="C72" s="160">
        <f t="shared" si="1"/>
        <v>14717.13575</v>
      </c>
      <c r="D72" s="160">
        <f t="shared" si="2"/>
        <v>6271.994429</v>
      </c>
      <c r="E72" s="161">
        <f t="shared" si="3"/>
        <v>20371.96798</v>
      </c>
      <c r="F72" s="161">
        <f t="shared" si="4"/>
        <v>20470.63247</v>
      </c>
      <c r="G72" s="161">
        <f t="shared" si="5"/>
        <v>20951.00689</v>
      </c>
      <c r="H72" s="161">
        <f t="shared" si="6"/>
        <v>20985.07572</v>
      </c>
      <c r="I72" s="161">
        <f t="shared" si="7"/>
        <v>20962.38857</v>
      </c>
      <c r="J72" s="162">
        <f t="shared" si="8"/>
        <v>21499.51898</v>
      </c>
      <c r="K72" s="163">
        <f t="shared" si="9"/>
        <v>-0.006760667364</v>
      </c>
      <c r="L72" s="163">
        <f t="shared" si="10"/>
        <v>0.008242777391</v>
      </c>
      <c r="M72" s="163">
        <f t="shared" si="11"/>
        <v>0.1574780409</v>
      </c>
      <c r="N72" s="163">
        <f t="shared" si="12"/>
        <v>-0.008975013076</v>
      </c>
      <c r="O72" s="164">
        <f t="shared" si="13"/>
        <v>-0.008792584243</v>
      </c>
      <c r="P72" s="164">
        <f t="shared" si="14"/>
        <v>-0.02273518049</v>
      </c>
      <c r="U72" s="165">
        <f t="shared" si="15"/>
        <v>0.02049123223</v>
      </c>
    </row>
    <row r="73">
      <c r="A73" s="158">
        <v>46027.0</v>
      </c>
      <c r="B73" s="159">
        <f>IF(DATOS!E75&lt;&gt;"",DATOS!E75/DATOS!D75,"")</f>
        <v>21131.51146</v>
      </c>
      <c r="C73" s="160">
        <f t="shared" si="1"/>
        <v>14708.81745</v>
      </c>
      <c r="D73" s="160">
        <f t="shared" si="2"/>
        <v>6422.694005</v>
      </c>
      <c r="E73" s="161">
        <f t="shared" si="3"/>
        <v>20353.14392</v>
      </c>
      <c r="F73" s="161">
        <f t="shared" si="4"/>
        <v>20469.30286</v>
      </c>
      <c r="G73" s="161">
        <f t="shared" si="5"/>
        <v>20949.45084</v>
      </c>
      <c r="H73" s="161">
        <f t="shared" si="6"/>
        <v>20984.49652</v>
      </c>
      <c r="I73" s="161">
        <f t="shared" si="7"/>
        <v>20949.01777</v>
      </c>
      <c r="J73" s="162">
        <f t="shared" si="8"/>
        <v>21499.69018</v>
      </c>
      <c r="K73" s="163">
        <f t="shared" si="9"/>
        <v>0.01306807633</v>
      </c>
      <c r="L73" s="163">
        <f t="shared" si="10"/>
        <v>0.008243421919</v>
      </c>
      <c r="M73" s="163">
        <f t="shared" si="11"/>
        <v>0.1574903546</v>
      </c>
      <c r="N73" s="163">
        <f t="shared" si="12"/>
        <v>-0.008977028646</v>
      </c>
      <c r="O73" s="164">
        <f t="shared" si="13"/>
        <v>-0.008792584243</v>
      </c>
      <c r="P73" s="164">
        <f t="shared" si="14"/>
        <v>-0.01610583397</v>
      </c>
      <c r="R73" s="166"/>
      <c r="U73" s="165">
        <f t="shared" si="15"/>
        <v>0.7419323575</v>
      </c>
    </row>
    <row r="74">
      <c r="A74" s="158">
        <v>46026.0</v>
      </c>
      <c r="B74" s="159">
        <f>IF(DATOS!E76&lt;&gt;"",DATOS!E76/DATOS!D76,"")</f>
        <v>20857.15978</v>
      </c>
      <c r="C74" s="160">
        <f t="shared" si="1"/>
        <v>14700.28798</v>
      </c>
      <c r="D74" s="160">
        <f t="shared" si="2"/>
        <v>6156.871803</v>
      </c>
      <c r="E74" s="161">
        <f t="shared" si="3"/>
        <v>20333.37148</v>
      </c>
      <c r="F74" s="161">
        <f t="shared" si="4"/>
        <v>20455.90044</v>
      </c>
      <c r="G74" s="161">
        <f t="shared" si="5"/>
        <v>20942.01979</v>
      </c>
      <c r="H74" s="161">
        <f t="shared" si="6"/>
        <v>20963.49438</v>
      </c>
      <c r="I74" s="161">
        <f t="shared" si="7"/>
        <v>20857.77093</v>
      </c>
      <c r="J74" s="162">
        <f t="shared" si="8"/>
        <v>21471.08832</v>
      </c>
      <c r="K74" s="163">
        <f t="shared" si="9"/>
        <v>0.00009446027221</v>
      </c>
      <c r="L74" s="163">
        <f t="shared" si="10"/>
        <v>0.008236514517</v>
      </c>
      <c r="M74" s="163">
        <f t="shared" si="11"/>
        <v>0.1573583889</v>
      </c>
      <c r="N74" s="163">
        <f t="shared" si="12"/>
        <v>-0.008979044215</v>
      </c>
      <c r="O74" s="164">
        <f t="shared" si="13"/>
        <v>-0.008792584243</v>
      </c>
      <c r="P74" s="164">
        <f t="shared" si="14"/>
        <v>-0.02887979072</v>
      </c>
      <c r="U74" s="165">
        <f t="shared" si="15"/>
        <v>-0.5446675785</v>
      </c>
    </row>
    <row r="75">
      <c r="A75" s="158">
        <v>46025.0</v>
      </c>
      <c r="B75" s="159">
        <f>IF(DATOS!E77&lt;&gt;"",DATOS!E77/DATOS!D77,"")</f>
        <v>20855.1897</v>
      </c>
      <c r="C75" s="160">
        <f t="shared" si="1"/>
        <v>14692.10065</v>
      </c>
      <c r="D75" s="160">
        <f t="shared" si="2"/>
        <v>6163.089053</v>
      </c>
      <c r="E75" s="161">
        <f t="shared" si="3"/>
        <v>20315.10659</v>
      </c>
      <c r="F75" s="161">
        <f t="shared" si="4"/>
        <v>20480.85564</v>
      </c>
      <c r="G75" s="161">
        <f t="shared" si="5"/>
        <v>20945.48347</v>
      </c>
      <c r="H75" s="161">
        <f t="shared" si="6"/>
        <v>20978.68504</v>
      </c>
      <c r="I75" s="161">
        <f t="shared" si="7"/>
        <v>20858.07651</v>
      </c>
      <c r="J75" s="162">
        <f t="shared" si="8"/>
        <v>21476.51444</v>
      </c>
      <c r="K75" s="163">
        <f t="shared" si="9"/>
        <v>0.00009446390656</v>
      </c>
      <c r="L75" s="163">
        <f t="shared" si="10"/>
        <v>0.008242536031</v>
      </c>
      <c r="M75" s="163">
        <f t="shared" si="11"/>
        <v>0.1574734298</v>
      </c>
      <c r="N75" s="163">
        <f t="shared" si="12"/>
        <v>-0.008981059784</v>
      </c>
      <c r="O75" s="164">
        <f t="shared" si="13"/>
        <v>-0.008792584243</v>
      </c>
      <c r="P75" s="164">
        <f t="shared" si="14"/>
        <v>-0.02897151867</v>
      </c>
      <c r="U75" s="165">
        <f t="shared" si="15"/>
        <v>-0.6449757194</v>
      </c>
    </row>
    <row r="76">
      <c r="A76" s="158">
        <v>46024.0</v>
      </c>
      <c r="B76" s="159">
        <f>IF(DATOS!E78&lt;&gt;"",DATOS!E78/DATOS!D78,"")</f>
        <v>20853.21973</v>
      </c>
      <c r="C76" s="160">
        <f t="shared" si="1"/>
        <v>14683.89414</v>
      </c>
      <c r="D76" s="160">
        <f t="shared" si="2"/>
        <v>6169.325593</v>
      </c>
      <c r="E76" s="161">
        <f t="shared" si="3"/>
        <v>20296.74757</v>
      </c>
      <c r="F76" s="161">
        <f t="shared" si="4"/>
        <v>20509.06376</v>
      </c>
      <c r="G76" s="161">
        <f t="shared" si="5"/>
        <v>20949.16893</v>
      </c>
      <c r="H76" s="161">
        <f t="shared" si="6"/>
        <v>20996.32723</v>
      </c>
      <c r="I76" s="161">
        <f t="shared" si="7"/>
        <v>20859.51991</v>
      </c>
      <c r="J76" s="162">
        <f t="shared" si="8"/>
        <v>21483.5907</v>
      </c>
      <c r="K76" s="163">
        <f t="shared" si="9"/>
        <v>0.005066545109</v>
      </c>
      <c r="L76" s="163">
        <f t="shared" si="10"/>
        <v>0.008248570769</v>
      </c>
      <c r="M76" s="163">
        <f t="shared" si="11"/>
        <v>0.1575887233</v>
      </c>
      <c r="N76" s="163">
        <f t="shared" si="12"/>
        <v>-0.008983075353</v>
      </c>
      <c r="O76" s="164">
        <f t="shared" si="13"/>
        <v>-0.008792584243</v>
      </c>
      <c r="P76" s="164">
        <f t="shared" si="14"/>
        <v>-0.02906324148</v>
      </c>
      <c r="U76" s="165">
        <f t="shared" si="15"/>
        <v>-0.7636104928</v>
      </c>
    </row>
    <row r="77">
      <c r="A77" s="158">
        <v>46023.0</v>
      </c>
      <c r="B77" s="159">
        <f>IF(DATOS!E79&lt;&gt;"",DATOS!E79/DATOS!D79,"")</f>
        <v>20747.83315</v>
      </c>
      <c r="C77" s="160">
        <f t="shared" si="1"/>
        <v>14675.66837</v>
      </c>
      <c r="D77" s="160">
        <f t="shared" si="2"/>
        <v>6072.164781</v>
      </c>
      <c r="E77" s="161">
        <f t="shared" si="3"/>
        <v>20278.2938</v>
      </c>
      <c r="F77" s="161">
        <f t="shared" si="4"/>
        <v>20542.17186</v>
      </c>
      <c r="G77" s="161">
        <f t="shared" si="5"/>
        <v>20953.08522</v>
      </c>
      <c r="H77" s="161">
        <f t="shared" si="6"/>
        <v>21016.77116</v>
      </c>
      <c r="I77" s="161">
        <f t="shared" si="7"/>
        <v>20862.67</v>
      </c>
      <c r="J77" s="162">
        <f t="shared" si="8"/>
        <v>21491.37045</v>
      </c>
      <c r="K77" s="163">
        <f t="shared" si="9"/>
        <v>0.002183986605</v>
      </c>
      <c r="L77" s="163">
        <f t="shared" si="10"/>
        <v>0.008253223751</v>
      </c>
      <c r="M77" s="163">
        <f t="shared" si="11"/>
        <v>0.1576776184</v>
      </c>
      <c r="N77" s="163">
        <f t="shared" si="12"/>
        <v>-0.008985090923</v>
      </c>
      <c r="O77" s="164">
        <f t="shared" si="13"/>
        <v>-0.008792584243</v>
      </c>
      <c r="P77" s="164">
        <f t="shared" si="14"/>
        <v>-0.03397009547</v>
      </c>
      <c r="U77" s="165">
        <f t="shared" si="15"/>
        <v>-1.473324601</v>
      </c>
    </row>
    <row r="78">
      <c r="A78" s="158">
        <v>46022.0</v>
      </c>
      <c r="B78" s="159">
        <f>IF(DATOS!E80&lt;&gt;"",DATOS!E80/DATOS!D80,"")</f>
        <v>20702.56961</v>
      </c>
      <c r="C78" s="160">
        <f t="shared" si="1"/>
        <v>14667.56134</v>
      </c>
      <c r="D78" s="160">
        <f t="shared" si="2"/>
        <v>6035.008265</v>
      </c>
      <c r="E78" s="161">
        <f t="shared" si="3"/>
        <v>20260.35839</v>
      </c>
      <c r="F78" s="161">
        <f t="shared" si="4"/>
        <v>20603.71366</v>
      </c>
      <c r="G78" s="161">
        <f t="shared" si="5"/>
        <v>20961.46285</v>
      </c>
      <c r="H78" s="161">
        <f t="shared" si="6"/>
        <v>21055.19087</v>
      </c>
      <c r="I78" s="161">
        <f t="shared" si="7"/>
        <v>20920.08842</v>
      </c>
      <c r="J78" s="162">
        <f t="shared" si="8"/>
        <v>21506.66809</v>
      </c>
      <c r="K78" s="163">
        <f t="shared" si="9"/>
        <v>0.0001165450571</v>
      </c>
      <c r="L78" s="163">
        <f t="shared" si="10"/>
        <v>0.00825923966</v>
      </c>
      <c r="M78" s="163">
        <f t="shared" si="11"/>
        <v>0.1577925522</v>
      </c>
      <c r="N78" s="163">
        <f t="shared" si="12"/>
        <v>-0.008987106492</v>
      </c>
      <c r="O78" s="164">
        <f t="shared" si="13"/>
        <v>-0.008792584243</v>
      </c>
      <c r="P78" s="164">
        <f t="shared" si="14"/>
        <v>-0.03607758963</v>
      </c>
      <c r="U78" s="165">
        <f t="shared" si="15"/>
        <v>-2.030701118</v>
      </c>
    </row>
    <row r="79">
      <c r="A79" s="158">
        <v>46021.0</v>
      </c>
      <c r="B79" s="159">
        <f>IF(DATOS!E81&lt;&gt;"",DATOS!E81/DATOS!D81,"")</f>
        <v>20700.15697</v>
      </c>
      <c r="C79" s="160">
        <f t="shared" si="1"/>
        <v>14659.49315</v>
      </c>
      <c r="D79" s="160">
        <f t="shared" si="2"/>
        <v>6040.663817</v>
      </c>
      <c r="E79" s="161">
        <f t="shared" si="3"/>
        <v>20242.58748</v>
      </c>
      <c r="F79" s="161">
        <f t="shared" si="4"/>
        <v>20731.30897</v>
      </c>
      <c r="G79" s="161">
        <f t="shared" si="5"/>
        <v>20972.02993</v>
      </c>
      <c r="H79" s="161">
        <f t="shared" si="6"/>
        <v>21105.56534</v>
      </c>
      <c r="I79" s="161">
        <f t="shared" si="7"/>
        <v>21028.84782</v>
      </c>
      <c r="J79" s="162">
        <f t="shared" si="8"/>
        <v>21479.82171</v>
      </c>
      <c r="K79" s="163">
        <f t="shared" si="9"/>
        <v>-0.02706403545</v>
      </c>
      <c r="L79" s="163">
        <f t="shared" si="10"/>
        <v>0.008265318663</v>
      </c>
      <c r="M79" s="163">
        <f t="shared" si="11"/>
        <v>0.1579086913</v>
      </c>
      <c r="N79" s="163">
        <f t="shared" si="12"/>
        <v>-0.008989122061</v>
      </c>
      <c r="O79" s="164">
        <f t="shared" si="13"/>
        <v>-0.008792584243</v>
      </c>
      <c r="P79" s="164">
        <f t="shared" si="14"/>
        <v>-0.03618992348</v>
      </c>
      <c r="U79" s="165">
        <f t="shared" si="15"/>
        <v>-2.816416391</v>
      </c>
    </row>
    <row r="80">
      <c r="A80" s="158">
        <v>46020.0</v>
      </c>
      <c r="B80" s="159">
        <f>IF(DATOS!E82&lt;&gt;"",DATOS!E82/DATOS!D82,"")</f>
        <v>21268.03664</v>
      </c>
      <c r="C80" s="160">
        <f t="shared" si="1"/>
        <v>14651.40658</v>
      </c>
      <c r="D80" s="160">
        <f t="shared" si="2"/>
        <v>6616.630059</v>
      </c>
      <c r="E80" s="161">
        <f t="shared" si="3"/>
        <v>20224.72711</v>
      </c>
      <c r="F80" s="161">
        <f t="shared" si="4"/>
        <v>20869.68773</v>
      </c>
      <c r="G80" s="161">
        <f t="shared" si="5"/>
        <v>20983.12678</v>
      </c>
      <c r="H80" s="161">
        <f t="shared" si="6"/>
        <v>21163.48082</v>
      </c>
      <c r="I80" s="161">
        <f t="shared" si="7"/>
        <v>21193.19325</v>
      </c>
      <c r="J80" s="162">
        <f t="shared" si="8"/>
        <v>21457.27392</v>
      </c>
      <c r="K80" s="163">
        <f t="shared" si="9"/>
        <v>0.004500309572</v>
      </c>
      <c r="L80" s="163">
        <f t="shared" si="10"/>
        <v>0.008199920504</v>
      </c>
      <c r="M80" s="163">
        <f t="shared" si="11"/>
        <v>0.1566592613</v>
      </c>
      <c r="N80" s="163">
        <f t="shared" si="12"/>
        <v>-0.008915185511</v>
      </c>
      <c r="O80" s="164">
        <f t="shared" si="13"/>
        <v>-0.007533012467</v>
      </c>
      <c r="P80" s="164">
        <f t="shared" si="14"/>
        <v>-0.009749150275</v>
      </c>
      <c r="U80" s="165">
        <f t="shared" si="15"/>
        <v>0.9252944962</v>
      </c>
    </row>
    <row r="81">
      <c r="A81" s="158">
        <v>46019.0</v>
      </c>
      <c r="B81" s="159">
        <f>IF(DATOS!E83&lt;&gt;"",DATOS!E83/DATOS!D83,"")</f>
        <v>21172.53894</v>
      </c>
      <c r="C81" s="160">
        <f t="shared" si="1"/>
        <v>14642.53711</v>
      </c>
      <c r="D81" s="160">
        <f t="shared" si="2"/>
        <v>6530.001833</v>
      </c>
      <c r="E81" s="161">
        <f t="shared" si="3"/>
        <v>20203.37703</v>
      </c>
      <c r="F81" s="161">
        <f t="shared" si="4"/>
        <v>20803.93526</v>
      </c>
      <c r="G81" s="161">
        <f t="shared" si="5"/>
        <v>20971.49781</v>
      </c>
      <c r="H81" s="161">
        <f t="shared" si="6"/>
        <v>21148.54428</v>
      </c>
      <c r="I81" s="161">
        <f t="shared" si="7"/>
        <v>21155.77155</v>
      </c>
      <c r="J81" s="162">
        <f t="shared" si="8"/>
        <v>21493.15329</v>
      </c>
      <c r="K81" s="163">
        <f t="shared" si="9"/>
        <v>0.0001149306106</v>
      </c>
      <c r="L81" s="163">
        <f t="shared" si="10"/>
        <v>0.00820496689</v>
      </c>
      <c r="M81" s="163">
        <f t="shared" si="11"/>
        <v>0.1567556723</v>
      </c>
      <c r="N81" s="163">
        <f t="shared" si="12"/>
        <v>-0.008920765153</v>
      </c>
      <c r="O81" s="164">
        <f t="shared" si="13"/>
        <v>-0.007533012467</v>
      </c>
      <c r="P81" s="164">
        <f t="shared" si="14"/>
        <v>-0.01419557301</v>
      </c>
      <c r="U81" s="165">
        <f t="shared" si="15"/>
        <v>0.1810345201</v>
      </c>
    </row>
    <row r="82">
      <c r="A82" s="158">
        <v>46018.0</v>
      </c>
      <c r="B82" s="159">
        <f>IF(DATOS!E84&lt;&gt;"",DATOS!E84/DATOS!D84,"")</f>
        <v>21170.10571</v>
      </c>
      <c r="C82" s="160">
        <f t="shared" si="1"/>
        <v>14633.772</v>
      </c>
      <c r="D82" s="160">
        <f t="shared" si="2"/>
        <v>6536.333703</v>
      </c>
      <c r="E82" s="161">
        <f t="shared" si="3"/>
        <v>20182.47426</v>
      </c>
      <c r="F82" s="161">
        <f t="shared" si="4"/>
        <v>20752.50082</v>
      </c>
      <c r="G82" s="161">
        <f t="shared" si="5"/>
        <v>20963.29205</v>
      </c>
      <c r="H82" s="161">
        <f t="shared" si="6"/>
        <v>21145.11647</v>
      </c>
      <c r="I82" s="161">
        <f t="shared" si="7"/>
        <v>21147.38786</v>
      </c>
      <c r="J82" s="162">
        <f t="shared" si="8"/>
        <v>21537.73212</v>
      </c>
      <c r="K82" s="163">
        <f t="shared" si="9"/>
        <v>0.0001149379994</v>
      </c>
      <c r="L82" s="163">
        <f t="shared" si="10"/>
        <v>0.008211025426</v>
      </c>
      <c r="M82" s="163">
        <f t="shared" si="11"/>
        <v>0.1568714205</v>
      </c>
      <c r="N82" s="163">
        <f t="shared" si="12"/>
        <v>-0.008926344796</v>
      </c>
      <c r="O82" s="164">
        <f t="shared" si="13"/>
        <v>-0.007533012467</v>
      </c>
      <c r="P82" s="164">
        <f t="shared" si="14"/>
        <v>-0.0143088656</v>
      </c>
      <c r="U82" s="165">
        <f t="shared" si="15"/>
        <v>0.1654850637</v>
      </c>
    </row>
    <row r="83">
      <c r="A83" s="158">
        <v>46017.0</v>
      </c>
      <c r="B83" s="159">
        <f>IF(DATOS!E85&lt;&gt;"",DATOS!E85/DATOS!D85,"")</f>
        <v>21167.6726</v>
      </c>
      <c r="C83" s="160">
        <f t="shared" si="1"/>
        <v>14624.98661</v>
      </c>
      <c r="D83" s="160">
        <f t="shared" si="2"/>
        <v>6542.685988</v>
      </c>
      <c r="E83" s="161">
        <f t="shared" si="3"/>
        <v>20161.46538</v>
      </c>
      <c r="F83" s="161">
        <f t="shared" si="4"/>
        <v>20711.80313</v>
      </c>
      <c r="G83" s="161">
        <f t="shared" si="5"/>
        <v>20954.85067</v>
      </c>
      <c r="H83" s="161">
        <f t="shared" si="6"/>
        <v>21141.54658</v>
      </c>
      <c r="I83" s="161">
        <f t="shared" si="7"/>
        <v>21136.02894</v>
      </c>
      <c r="J83" s="162">
        <f t="shared" si="8"/>
        <v>21571.29003</v>
      </c>
      <c r="K83" s="163">
        <f t="shared" si="9"/>
        <v>0.0007051345349</v>
      </c>
      <c r="L83" s="163">
        <f t="shared" si="10"/>
        <v>0.008217097401</v>
      </c>
      <c r="M83" s="163">
        <f t="shared" si="11"/>
        <v>0.1569874254</v>
      </c>
      <c r="N83" s="163">
        <f t="shared" si="12"/>
        <v>-0.008931924439</v>
      </c>
      <c r="O83" s="164">
        <f t="shared" si="13"/>
        <v>-0.007533012467</v>
      </c>
      <c r="P83" s="164">
        <f t="shared" si="14"/>
        <v>-0.01442215246</v>
      </c>
      <c r="U83" s="165">
        <f t="shared" si="15"/>
        <v>0.158065604</v>
      </c>
    </row>
    <row r="84">
      <c r="A84" s="158">
        <v>46016.0</v>
      </c>
      <c r="B84" s="159">
        <f>IF(DATOS!E86&lt;&gt;"",DATOS!E86/DATOS!D86,"")</f>
        <v>21152.7518</v>
      </c>
      <c r="C84" s="160">
        <f t="shared" si="1"/>
        <v>14616.18084</v>
      </c>
      <c r="D84" s="160">
        <f t="shared" si="2"/>
        <v>6536.570961</v>
      </c>
      <c r="E84" s="161">
        <f t="shared" si="3"/>
        <v>20140.34969</v>
      </c>
      <c r="F84" s="161">
        <f t="shared" si="4"/>
        <v>20684.98035</v>
      </c>
      <c r="G84" s="161">
        <f t="shared" si="5"/>
        <v>20946.16406</v>
      </c>
      <c r="H84" s="161">
        <f t="shared" si="6"/>
        <v>21137.81429</v>
      </c>
      <c r="I84" s="161">
        <f t="shared" si="7"/>
        <v>21120.20711</v>
      </c>
      <c r="J84" s="162">
        <f t="shared" si="8"/>
        <v>21590.64823</v>
      </c>
      <c r="K84" s="163">
        <f t="shared" si="9"/>
        <v>0.0003424718412</v>
      </c>
      <c r="L84" s="163">
        <f t="shared" si="10"/>
        <v>0.008223252733</v>
      </c>
      <c r="M84" s="163">
        <f t="shared" si="11"/>
        <v>0.1571050229</v>
      </c>
      <c r="N84" s="163">
        <f t="shared" si="12"/>
        <v>-0.008937504081</v>
      </c>
      <c r="O84" s="164">
        <f t="shared" si="13"/>
        <v>-0.007533012467</v>
      </c>
      <c r="P84" s="164">
        <f t="shared" si="14"/>
        <v>-0.01511687247</v>
      </c>
      <c r="U84" s="165">
        <f t="shared" si="15"/>
        <v>0.08576552395</v>
      </c>
    </row>
    <row r="85">
      <c r="A85" s="158">
        <v>46015.0</v>
      </c>
      <c r="B85" s="159">
        <f>IF(DATOS!E87&lt;&gt;"",DATOS!E87/DATOS!D87,"")</f>
        <v>21145.50882</v>
      </c>
      <c r="C85" s="160">
        <f t="shared" si="1"/>
        <v>14607.37145</v>
      </c>
      <c r="D85" s="160">
        <f t="shared" si="2"/>
        <v>6538.137374</v>
      </c>
      <c r="E85" s="161">
        <f t="shared" si="3"/>
        <v>20119.20136</v>
      </c>
      <c r="F85" s="161">
        <f t="shared" si="4"/>
        <v>20678.53093</v>
      </c>
      <c r="G85" s="161">
        <f t="shared" si="5"/>
        <v>20937.73191</v>
      </c>
      <c r="H85" s="161">
        <f t="shared" si="6"/>
        <v>21135.68036</v>
      </c>
      <c r="I85" s="161">
        <f t="shared" si="7"/>
        <v>21103.93476</v>
      </c>
      <c r="J85" s="162">
        <f t="shared" si="8"/>
        <v>21592.82978</v>
      </c>
      <c r="K85" s="163">
        <f t="shared" si="9"/>
        <v>-0.0002776131787</v>
      </c>
      <c r="L85" s="163">
        <f t="shared" si="10"/>
        <v>0.008229386469</v>
      </c>
      <c r="M85" s="163">
        <f t="shared" si="11"/>
        <v>0.1572222077</v>
      </c>
      <c r="N85" s="163">
        <f t="shared" si="12"/>
        <v>-0.008943083724</v>
      </c>
      <c r="O85" s="164">
        <f t="shared" si="13"/>
        <v>-0.007533012467</v>
      </c>
      <c r="P85" s="164">
        <f t="shared" si="14"/>
        <v>-0.01545410946</v>
      </c>
      <c r="U85" s="165">
        <f t="shared" si="15"/>
        <v>0.0558985901</v>
      </c>
    </row>
    <row r="86">
      <c r="A86" s="158">
        <v>46014.0</v>
      </c>
      <c r="B86" s="159">
        <f>IF(DATOS!E88&lt;&gt;"",DATOS!E88/DATOS!D88,"")</f>
        <v>21151.37991</v>
      </c>
      <c r="C86" s="160">
        <f t="shared" si="1"/>
        <v>14598.54805</v>
      </c>
      <c r="D86" s="160">
        <f t="shared" si="2"/>
        <v>6552.831859</v>
      </c>
      <c r="E86" s="161">
        <f t="shared" si="3"/>
        <v>20097.97408</v>
      </c>
      <c r="F86" s="161">
        <f t="shared" si="4"/>
        <v>20679.14079</v>
      </c>
      <c r="G86" s="161">
        <f t="shared" si="5"/>
        <v>20929.25122</v>
      </c>
      <c r="H86" s="161">
        <f t="shared" si="6"/>
        <v>21134.27629</v>
      </c>
      <c r="I86" s="161">
        <f t="shared" si="7"/>
        <v>21083.14773</v>
      </c>
      <c r="J86" s="162">
        <f t="shared" si="8"/>
        <v>21589.41179</v>
      </c>
      <c r="K86" s="163">
        <f t="shared" si="9"/>
        <v>0.004809757974</v>
      </c>
      <c r="L86" s="163">
        <f t="shared" si="10"/>
        <v>0.008235417365</v>
      </c>
      <c r="M86" s="163">
        <f t="shared" si="11"/>
        <v>0.1573374278</v>
      </c>
      <c r="N86" s="163">
        <f t="shared" si="12"/>
        <v>-0.008948663367</v>
      </c>
      <c r="O86" s="164">
        <f t="shared" si="13"/>
        <v>-0.008792584243</v>
      </c>
      <c r="P86" s="164">
        <f t="shared" si="14"/>
        <v>-0.0151807486</v>
      </c>
      <c r="U86" s="165">
        <f t="shared" si="15"/>
        <v>0.09770586242</v>
      </c>
    </row>
    <row r="87">
      <c r="A87" s="158">
        <v>46013.0</v>
      </c>
      <c r="B87" s="159">
        <f>IF(DATOS!E89&lt;&gt;"",DATOS!E89/DATOS!D89,"")</f>
        <v>21049.89115</v>
      </c>
      <c r="C87" s="160">
        <f t="shared" si="1"/>
        <v>14589.69287</v>
      </c>
      <c r="D87" s="160">
        <f t="shared" si="2"/>
        <v>6460.198282</v>
      </c>
      <c r="E87" s="161">
        <f t="shared" si="3"/>
        <v>20076.58844</v>
      </c>
      <c r="F87" s="161">
        <f t="shared" si="4"/>
        <v>20671.15484</v>
      </c>
      <c r="G87" s="161">
        <f t="shared" si="5"/>
        <v>20920.18474</v>
      </c>
      <c r="H87" s="161">
        <f t="shared" si="6"/>
        <v>21131.83292</v>
      </c>
      <c r="I87" s="161">
        <f t="shared" si="7"/>
        <v>21049.03164</v>
      </c>
      <c r="J87" s="162">
        <f t="shared" si="8"/>
        <v>21592.51099</v>
      </c>
      <c r="K87" s="163">
        <f t="shared" si="9"/>
        <v>0.002996470514</v>
      </c>
      <c r="L87" s="163">
        <f t="shared" si="10"/>
        <v>0.008240337789</v>
      </c>
      <c r="M87" s="163">
        <f t="shared" si="11"/>
        <v>0.1574314324</v>
      </c>
      <c r="N87" s="163">
        <f t="shared" si="12"/>
        <v>-0.00895424301</v>
      </c>
      <c r="O87" s="164">
        <f t="shared" si="13"/>
        <v>-0.008792584243</v>
      </c>
      <c r="P87" s="164">
        <f t="shared" si="14"/>
        <v>-0.0199061178</v>
      </c>
      <c r="U87" s="165">
        <f t="shared" si="15"/>
        <v>-0.4624673798</v>
      </c>
    </row>
    <row r="88">
      <c r="A88" s="158">
        <v>46012.0</v>
      </c>
      <c r="B88" s="159">
        <f>IF(DATOS!E90&lt;&gt;"",DATOS!E90/DATOS!D90,"")</f>
        <v>20986.91018</v>
      </c>
      <c r="C88" s="160">
        <f t="shared" si="1"/>
        <v>14580.95106</v>
      </c>
      <c r="D88" s="160">
        <f t="shared" si="2"/>
        <v>6405.959123</v>
      </c>
      <c r="E88" s="161">
        <f t="shared" si="3"/>
        <v>20055.69011</v>
      </c>
      <c r="F88" s="161">
        <f t="shared" si="4"/>
        <v>20688.44505</v>
      </c>
      <c r="G88" s="161">
        <f t="shared" si="5"/>
        <v>20914.89061</v>
      </c>
      <c r="H88" s="161">
        <f t="shared" si="6"/>
        <v>21143.53888</v>
      </c>
      <c r="I88" s="161">
        <f t="shared" si="7"/>
        <v>21048.60188</v>
      </c>
      <c r="J88" s="162">
        <f t="shared" si="8"/>
        <v>21598.63271</v>
      </c>
      <c r="K88" s="163">
        <f t="shared" si="9"/>
        <v>0.0006213345631</v>
      </c>
      <c r="L88" s="163">
        <f t="shared" si="10"/>
        <v>0.008246213641</v>
      </c>
      <c r="M88" s="163">
        <f t="shared" si="11"/>
        <v>0.1575436904</v>
      </c>
      <c r="N88" s="163">
        <f t="shared" si="12"/>
        <v>-0.008959822652</v>
      </c>
      <c r="O88" s="164">
        <f t="shared" si="13"/>
        <v>-0.008792584243</v>
      </c>
      <c r="P88" s="164">
        <f t="shared" si="14"/>
        <v>-0.02283854456</v>
      </c>
      <c r="U88" s="165">
        <f t="shared" si="15"/>
        <v>-0.8948366077</v>
      </c>
    </row>
    <row r="89">
      <c r="A89" s="158">
        <v>46011.0</v>
      </c>
      <c r="B89" s="159">
        <f>IF(DATOS!E91&lt;&gt;"",DATOS!E91/DATOS!D91,"")</f>
        <v>20973.87434</v>
      </c>
      <c r="C89" s="160">
        <f t="shared" si="1"/>
        <v>14572.2709</v>
      </c>
      <c r="D89" s="160">
        <f t="shared" si="2"/>
        <v>6401.603442</v>
      </c>
      <c r="E89" s="161">
        <f t="shared" si="3"/>
        <v>20035.0501</v>
      </c>
      <c r="F89" s="161">
        <f t="shared" si="4"/>
        <v>20729.35179</v>
      </c>
      <c r="G89" s="161">
        <f t="shared" si="5"/>
        <v>20911.95103</v>
      </c>
      <c r="H89" s="161">
        <f t="shared" si="6"/>
        <v>21165.91441</v>
      </c>
      <c r="I89" s="161">
        <f t="shared" si="7"/>
        <v>21079.44773</v>
      </c>
      <c r="J89" s="162">
        <f t="shared" si="8"/>
        <v>21602.47703</v>
      </c>
      <c r="K89" s="163">
        <f t="shared" si="9"/>
        <v>0.0006217151466</v>
      </c>
      <c r="L89" s="163">
        <f t="shared" si="10"/>
        <v>0.008252431903</v>
      </c>
      <c r="M89" s="163">
        <f t="shared" si="11"/>
        <v>0.1576624901</v>
      </c>
      <c r="N89" s="163">
        <f t="shared" si="12"/>
        <v>-0.008965402295</v>
      </c>
      <c r="O89" s="164">
        <f t="shared" si="13"/>
        <v>-0.008792584243</v>
      </c>
      <c r="P89" s="164">
        <f t="shared" si="14"/>
        <v>-0.02344550017</v>
      </c>
      <c r="U89" s="165">
        <f t="shared" si="15"/>
        <v>-1.143717216</v>
      </c>
    </row>
    <row r="90">
      <c r="A90" s="158">
        <v>46010.0</v>
      </c>
      <c r="B90" s="159">
        <f>IF(DATOS!E92&lt;&gt;"",DATOS!E92/DATOS!D92,"")</f>
        <v>20960.83862</v>
      </c>
      <c r="C90" s="160">
        <f t="shared" si="1"/>
        <v>14563.58487</v>
      </c>
      <c r="D90" s="160">
        <f t="shared" si="2"/>
        <v>6397.253748</v>
      </c>
      <c r="E90" s="161">
        <f t="shared" si="3"/>
        <v>20014.36839</v>
      </c>
      <c r="F90" s="161">
        <f t="shared" si="4"/>
        <v>20779.54863</v>
      </c>
      <c r="G90" s="161">
        <f t="shared" si="5"/>
        <v>20909.42355</v>
      </c>
      <c r="H90" s="161">
        <f t="shared" si="6"/>
        <v>21193.34871</v>
      </c>
      <c r="I90" s="161">
        <f t="shared" si="7"/>
        <v>21132.23442</v>
      </c>
      <c r="J90" s="162">
        <f t="shared" si="8"/>
        <v>21607.14878</v>
      </c>
      <c r="K90" s="163">
        <f t="shared" si="9"/>
        <v>-0.005422768886</v>
      </c>
      <c r="L90" s="163">
        <f t="shared" si="10"/>
        <v>0.008258664283</v>
      </c>
      <c r="M90" s="163">
        <f t="shared" si="11"/>
        <v>0.1577815596</v>
      </c>
      <c r="N90" s="163">
        <f t="shared" si="12"/>
        <v>-0.008970981938</v>
      </c>
      <c r="O90" s="164">
        <f t="shared" si="13"/>
        <v>-0.01106056232</v>
      </c>
      <c r="P90" s="164">
        <f t="shared" si="14"/>
        <v>-0.0240524502</v>
      </c>
      <c r="U90" s="165">
        <f t="shared" si="15"/>
        <v>-1.460913768</v>
      </c>
    </row>
    <row r="91">
      <c r="A91" s="158">
        <v>46009.0</v>
      </c>
      <c r="B91" s="159">
        <f>IF(DATOS!E93&lt;&gt;"",DATOS!E93/DATOS!D93,"")</f>
        <v>21074.81315</v>
      </c>
      <c r="C91" s="160">
        <f t="shared" si="1"/>
        <v>14554.89295</v>
      </c>
      <c r="D91" s="160">
        <f t="shared" si="2"/>
        <v>6519.920202</v>
      </c>
      <c r="E91" s="161">
        <f t="shared" si="3"/>
        <v>19993.64469</v>
      </c>
      <c r="F91" s="161">
        <f t="shared" si="4"/>
        <v>20858.35343</v>
      </c>
      <c r="G91" s="161">
        <f t="shared" si="5"/>
        <v>20907.32497</v>
      </c>
      <c r="H91" s="161">
        <f t="shared" si="6"/>
        <v>21226.56443</v>
      </c>
      <c r="I91" s="161">
        <f t="shared" si="7"/>
        <v>21217.93232</v>
      </c>
      <c r="J91" s="162">
        <f t="shared" si="8"/>
        <v>21594.77543</v>
      </c>
      <c r="K91" s="163">
        <f t="shared" si="9"/>
        <v>-0.008525273146</v>
      </c>
      <c r="L91" s="163">
        <f t="shared" si="10"/>
        <v>0.00826107063</v>
      </c>
      <c r="M91" s="163">
        <f t="shared" si="11"/>
        <v>0.1578275328</v>
      </c>
      <c r="N91" s="163">
        <f t="shared" si="12"/>
        <v>-0.008972997507</v>
      </c>
      <c r="O91" s="164">
        <f t="shared" si="13"/>
        <v>-0.01106056232</v>
      </c>
      <c r="P91" s="164">
        <f t="shared" si="14"/>
        <v>-0.01874573665</v>
      </c>
      <c r="U91" s="165">
        <f t="shared" si="15"/>
        <v>-1.071541407</v>
      </c>
    </row>
    <row r="92">
      <c r="A92" s="158">
        <v>46008.0</v>
      </c>
      <c r="B92" s="159">
        <f>IF(DATOS!E94&lt;&gt;"",DATOS!E94/DATOS!D94,"")</f>
        <v>21255.24973</v>
      </c>
      <c r="C92" s="160">
        <f t="shared" si="1"/>
        <v>14546.02231</v>
      </c>
      <c r="D92" s="160">
        <f t="shared" si="2"/>
        <v>6709.227423</v>
      </c>
      <c r="E92" s="161">
        <f t="shared" si="3"/>
        <v>19972.10899</v>
      </c>
      <c r="F92" s="161">
        <f t="shared" si="4"/>
        <v>20898.6128</v>
      </c>
      <c r="G92" s="161">
        <f t="shared" si="5"/>
        <v>20900.48872</v>
      </c>
      <c r="H92" s="161">
        <f t="shared" si="6"/>
        <v>21248.24319</v>
      </c>
      <c r="I92" s="161">
        <f t="shared" si="7"/>
        <v>21289.4919</v>
      </c>
      <c r="J92" s="162">
        <f t="shared" si="8"/>
        <v>21597.87358</v>
      </c>
      <c r="K92" s="163">
        <f t="shared" si="9"/>
        <v>0.003963715873</v>
      </c>
      <c r="L92" s="163">
        <f t="shared" si="10"/>
        <v>0.008258877465</v>
      </c>
      <c r="M92" s="163">
        <f t="shared" si="11"/>
        <v>0.1577856324</v>
      </c>
      <c r="N92" s="163">
        <f t="shared" si="12"/>
        <v>-0.008975013076</v>
      </c>
      <c r="O92" s="164">
        <f t="shared" si="13"/>
        <v>-0.01106056232</v>
      </c>
      <c r="P92" s="164">
        <f t="shared" si="14"/>
        <v>-0.01034451556</v>
      </c>
      <c r="U92" s="165">
        <f t="shared" si="15"/>
        <v>0.05210363709</v>
      </c>
    </row>
    <row r="93">
      <c r="A93" s="158">
        <v>46007.0</v>
      </c>
      <c r="B93" s="159">
        <f>IF(DATOS!E95&lt;&gt;"",DATOS!E95/DATOS!D95,"")</f>
        <v>21171.16671</v>
      </c>
      <c r="C93" s="160">
        <f t="shared" si="1"/>
        <v>14536.88167</v>
      </c>
      <c r="D93" s="160">
        <f t="shared" si="2"/>
        <v>6634.28504</v>
      </c>
      <c r="E93" s="161">
        <f t="shared" si="3"/>
        <v>19949.35232</v>
      </c>
      <c r="F93" s="161">
        <f t="shared" si="4"/>
        <v>20897.03244</v>
      </c>
      <c r="G93" s="161">
        <f t="shared" si="5"/>
        <v>20886.00868</v>
      </c>
      <c r="H93" s="161">
        <f t="shared" si="6"/>
        <v>21247.24225</v>
      </c>
      <c r="I93" s="161">
        <f t="shared" si="7"/>
        <v>21306.61299</v>
      </c>
      <c r="J93" s="162">
        <f t="shared" si="8"/>
        <v>21597.45206</v>
      </c>
      <c r="K93" s="163">
        <f t="shared" si="9"/>
        <v>-0.009011293323</v>
      </c>
      <c r="L93" s="163">
        <f t="shared" si="10"/>
        <v>0.008264392467</v>
      </c>
      <c r="M93" s="163">
        <f t="shared" si="11"/>
        <v>0.1578909964</v>
      </c>
      <c r="N93" s="163">
        <f t="shared" si="12"/>
        <v>-0.008977028646</v>
      </c>
      <c r="O93" s="164">
        <f t="shared" si="13"/>
        <v>-0.01106056232</v>
      </c>
      <c r="P93" s="164">
        <f t="shared" si="14"/>
        <v>-0.01425946472</v>
      </c>
      <c r="U93" s="165">
        <f t="shared" si="15"/>
        <v>-0.5647940213</v>
      </c>
    </row>
    <row r="94">
      <c r="A94" s="158">
        <v>46006.0</v>
      </c>
      <c r="B94" s="159">
        <f>IF(DATOS!E96&lt;&gt;"",DATOS!E96/DATOS!D96,"")</f>
        <v>21362.80848</v>
      </c>
      <c r="C94" s="160">
        <f t="shared" si="1"/>
        <v>14527.83081</v>
      </c>
      <c r="D94" s="160">
        <f t="shared" si="2"/>
        <v>6834.977672</v>
      </c>
      <c r="E94" s="161">
        <f t="shared" si="3"/>
        <v>19926.97438</v>
      </c>
      <c r="F94" s="161">
        <f t="shared" si="4"/>
        <v>20898.46199</v>
      </c>
      <c r="G94" s="161">
        <f t="shared" si="5"/>
        <v>20874.36958</v>
      </c>
      <c r="H94" s="161">
        <f t="shared" si="6"/>
        <v>21258.11019</v>
      </c>
      <c r="I94" s="161">
        <f t="shared" si="7"/>
        <v>21374.33613</v>
      </c>
      <c r="J94" s="162">
        <f t="shared" si="8"/>
        <v>21617.75839</v>
      </c>
      <c r="K94" s="163">
        <f t="shared" si="9"/>
        <v>-0.003176762786</v>
      </c>
      <c r="L94" s="163">
        <f t="shared" si="10"/>
        <v>0.008261296562</v>
      </c>
      <c r="M94" s="163">
        <f t="shared" si="11"/>
        <v>0.1578318492</v>
      </c>
      <c r="N94" s="163">
        <f t="shared" si="12"/>
        <v>-0.008881707654</v>
      </c>
      <c r="O94" s="164">
        <f t="shared" si="13"/>
        <v>-0.009849592561</v>
      </c>
      <c r="P94" s="164">
        <f t="shared" si="14"/>
        <v>-0.005336524377</v>
      </c>
      <c r="U94" s="165">
        <f t="shared" si="15"/>
        <v>0.756893977</v>
      </c>
    </row>
    <row r="95">
      <c r="A95" s="158">
        <v>46005.0</v>
      </c>
      <c r="B95" s="159">
        <f>DATOS!E97/DATOS!D97</f>
        <v>21430.78096</v>
      </c>
      <c r="C95" s="160">
        <f t="shared" si="1"/>
        <v>14518.4934</v>
      </c>
      <c r="D95" s="160">
        <f t="shared" si="2"/>
        <v>6912.287558</v>
      </c>
      <c r="E95" s="161">
        <f t="shared" si="3"/>
        <v>19903.29908</v>
      </c>
      <c r="F95" s="161">
        <f t="shared" si="4"/>
        <v>20851.86303</v>
      </c>
      <c r="G95" s="161">
        <f t="shared" si="5"/>
        <v>20854.4333</v>
      </c>
      <c r="H95" s="161">
        <f t="shared" si="6"/>
        <v>21243.15329</v>
      </c>
      <c r="I95" s="161">
        <f t="shared" si="7"/>
        <v>21380.09995</v>
      </c>
      <c r="J95" s="162">
        <f t="shared" si="8"/>
        <v>21634.44355</v>
      </c>
      <c r="K95" s="163">
        <f t="shared" si="9"/>
        <v>0.0001241307979</v>
      </c>
      <c r="L95" s="163">
        <f t="shared" si="10"/>
        <v>0.008265917568</v>
      </c>
      <c r="M95" s="163">
        <f t="shared" si="11"/>
        <v>0.1579201334</v>
      </c>
      <c r="N95" s="163">
        <f t="shared" si="12"/>
        <v>-0.008887287297</v>
      </c>
      <c r="O95" s="164">
        <f t="shared" si="13"/>
        <v>-0.009849592561</v>
      </c>
      <c r="P95" s="164">
        <f t="shared" ref="P95:P724" si="16">-IF(B95&lt;&gt;"",B95/MAX($B95:B$826)-1,"")</f>
        <v>0.00217169016</v>
      </c>
      <c r="U95" s="165">
        <f t="shared" si="15"/>
        <v>1.24672655</v>
      </c>
    </row>
    <row r="96">
      <c r="A96" s="158">
        <v>46004.0</v>
      </c>
      <c r="B96" s="159">
        <f>DATOS!E98/DATOS!D98</f>
        <v>21428.12091</v>
      </c>
      <c r="C96" s="160">
        <f t="shared" ref="C96:C826" si="17">AVERAGE($B96:B$826)</f>
        <v>14509.03747</v>
      </c>
      <c r="D96" s="160">
        <f t="shared" ref="D96:D751" si="18">B96-C96</f>
        <v>6919.083437</v>
      </c>
      <c r="E96" s="161">
        <f t="shared" ref="E96:E751" si="19">TREND($B96:$B$751,$A96:$A$751,A96)</f>
        <v>19879.07161</v>
      </c>
      <c r="F96" s="161">
        <f t="shared" si="4"/>
        <v>20822.10099</v>
      </c>
      <c r="G96" s="161">
        <f t="shared" ref="G96:G696" si="20">(B96-G97)*2/51+G97</f>
        <v>20830.9089</v>
      </c>
      <c r="H96" s="161">
        <f t="shared" ref="H96:H717" si="21">(B96-H97)*0.125+H97</f>
        <v>21216.34934</v>
      </c>
      <c r="I96" s="161">
        <f t="shared" ref="I96:I717" si="22">(B96-I97)*1/3+I97</f>
        <v>21354.75944</v>
      </c>
      <c r="J96" s="162">
        <f t="shared" si="8"/>
        <v>21610.59768</v>
      </c>
      <c r="K96" s="163">
        <f t="shared" ref="K96:K717" si="23">ln(B96)-ln(B97)</f>
        <v>0.0001241406269</v>
      </c>
      <c r="L96" s="163">
        <f t="shared" ref="L96:L749" si="24">SQRT(_xlfn.VAR.S($K96:K$750))</f>
        <v>0.008272147311</v>
      </c>
      <c r="M96" s="163">
        <f t="shared" ref="M96:M750" si="25">L96*SQRT(365)</f>
        <v>0.1580391525</v>
      </c>
      <c r="N96" s="163">
        <f t="shared" ref="N96:N750" si="26">PERCENTILE($K96:K$750,0.05)</f>
        <v>-0.00889286694</v>
      </c>
      <c r="O96" s="164">
        <f t="shared" ref="O96:O554" si="27">PERCENTILE(K96:K125, 0.05)
</f>
        <v>-0.009849592561</v>
      </c>
      <c r="P96" s="164">
        <f t="shared" si="16"/>
        <v>0.002295543697</v>
      </c>
      <c r="U96" s="165">
        <f t="shared" si="15"/>
        <v>1.396597067</v>
      </c>
    </row>
    <row r="97">
      <c r="A97" s="158">
        <v>46003.0</v>
      </c>
      <c r="B97" s="159">
        <f>DATOS!E99/DATOS!D99</f>
        <v>21425.46097</v>
      </c>
      <c r="C97" s="160">
        <f t="shared" si="17"/>
        <v>14499.55927</v>
      </c>
      <c r="D97" s="160">
        <f t="shared" si="18"/>
        <v>6925.901698</v>
      </c>
      <c r="E97" s="161">
        <f t="shared" si="19"/>
        <v>19854.71954</v>
      </c>
      <c r="F97" s="161">
        <f t="shared" si="4"/>
        <v>20803.8528</v>
      </c>
      <c r="G97" s="161">
        <f t="shared" si="20"/>
        <v>20806.5329</v>
      </c>
      <c r="H97" s="161">
        <f t="shared" si="21"/>
        <v>21186.09625</v>
      </c>
      <c r="I97" s="161">
        <f t="shared" si="22"/>
        <v>21318.07871</v>
      </c>
      <c r="J97" s="162">
        <f t="shared" si="8"/>
        <v>21568.33971</v>
      </c>
      <c r="K97" s="163">
        <f t="shared" si="23"/>
        <v>0.001339499896</v>
      </c>
      <c r="L97" s="163">
        <f t="shared" si="24"/>
        <v>0.008278391159</v>
      </c>
      <c r="M97" s="163">
        <f t="shared" si="25"/>
        <v>0.158158441</v>
      </c>
      <c r="N97" s="163">
        <f t="shared" si="26"/>
        <v>-0.008898446582</v>
      </c>
      <c r="O97" s="164">
        <f t="shared" si="27"/>
        <v>-0.009849592561</v>
      </c>
      <c r="P97" s="164">
        <f t="shared" si="16"/>
        <v>0.002419391667</v>
      </c>
      <c r="U97" s="165">
        <f t="shared" si="15"/>
        <v>1.628146308</v>
      </c>
    </row>
    <row r="98">
      <c r="A98" s="158">
        <v>46002.0</v>
      </c>
      <c r="B98" s="159">
        <f>DATOS!E100/DATOS!D100</f>
        <v>21396.78078</v>
      </c>
      <c r="C98" s="160">
        <f t="shared" si="17"/>
        <v>14490.05872</v>
      </c>
      <c r="D98" s="160">
        <f t="shared" si="18"/>
        <v>6906.722059</v>
      </c>
      <c r="E98" s="161">
        <f t="shared" si="19"/>
        <v>19830.24203</v>
      </c>
      <c r="F98" s="161">
        <f t="shared" si="4"/>
        <v>20757.82138</v>
      </c>
      <c r="G98" s="161">
        <f t="shared" si="20"/>
        <v>20781.27053</v>
      </c>
      <c r="H98" s="161">
        <f t="shared" si="21"/>
        <v>21151.90129</v>
      </c>
      <c r="I98" s="161">
        <f t="shared" si="22"/>
        <v>21264.38758</v>
      </c>
      <c r="J98" s="162">
        <f t="shared" si="8"/>
        <v>21545.9812</v>
      </c>
      <c r="K98" s="163">
        <f t="shared" si="23"/>
        <v>0.004250060231</v>
      </c>
      <c r="L98" s="163">
        <f t="shared" si="24"/>
        <v>0.008284731804</v>
      </c>
      <c r="M98" s="163">
        <f t="shared" si="25"/>
        <v>0.1582795789</v>
      </c>
      <c r="N98" s="163">
        <f t="shared" si="26"/>
        <v>-0.008904026225</v>
      </c>
      <c r="O98" s="164">
        <f t="shared" si="27"/>
        <v>-0.009849592561</v>
      </c>
      <c r="P98" s="164">
        <f t="shared" si="16"/>
        <v>0.003754756227</v>
      </c>
      <c r="U98" s="165">
        <f t="shared" si="15"/>
        <v>1.615628343</v>
      </c>
    </row>
    <row r="99">
      <c r="A99" s="158">
        <v>46001.0</v>
      </c>
      <c r="B99" s="159">
        <f>DATOS!E101/DATOS!D101</f>
        <v>21306.03615</v>
      </c>
      <c r="C99" s="160">
        <f t="shared" si="17"/>
        <v>14480.57147</v>
      </c>
      <c r="D99" s="160">
        <f t="shared" si="18"/>
        <v>6825.464679</v>
      </c>
      <c r="E99" s="161">
        <f t="shared" si="19"/>
        <v>19805.79762</v>
      </c>
      <c r="F99" s="161">
        <f t="shared" si="4"/>
        <v>20728.89298</v>
      </c>
      <c r="G99" s="161">
        <f t="shared" si="20"/>
        <v>20756.14766</v>
      </c>
      <c r="H99" s="161">
        <f t="shared" si="21"/>
        <v>21116.91851</v>
      </c>
      <c r="I99" s="161">
        <f t="shared" si="22"/>
        <v>21198.19098</v>
      </c>
      <c r="J99" s="162">
        <f t="shared" si="8"/>
        <v>21504.94404</v>
      </c>
      <c r="K99" s="163">
        <f t="shared" si="23"/>
        <v>0.003457397372</v>
      </c>
      <c r="L99" s="163">
        <f t="shared" si="24"/>
        <v>0.008290170709</v>
      </c>
      <c r="M99" s="163">
        <f t="shared" si="25"/>
        <v>0.158383489</v>
      </c>
      <c r="N99" s="163">
        <f t="shared" si="26"/>
        <v>-0.008909605868</v>
      </c>
      <c r="O99" s="164">
        <f t="shared" si="27"/>
        <v>-0.009849592561</v>
      </c>
      <c r="P99" s="164">
        <f t="shared" si="16"/>
        <v>0.007979873656</v>
      </c>
      <c r="U99" s="165">
        <f t="shared" si="15"/>
        <v>1.267199745</v>
      </c>
    </row>
    <row r="100">
      <c r="A100" s="158">
        <v>46000.0</v>
      </c>
      <c r="B100" s="159">
        <f>DATOS!E102/DATOS!D102</f>
        <v>21232.49991</v>
      </c>
      <c r="C100" s="160">
        <f t="shared" si="17"/>
        <v>14471.18293</v>
      </c>
      <c r="D100" s="160">
        <f t="shared" si="18"/>
        <v>6761.316976</v>
      </c>
      <c r="E100" s="161">
        <f t="shared" si="19"/>
        <v>19781.76732</v>
      </c>
      <c r="F100" s="161">
        <f t="shared" si="4"/>
        <v>20691.2733</v>
      </c>
      <c r="G100" s="161">
        <f t="shared" si="20"/>
        <v>20733.70324</v>
      </c>
      <c r="H100" s="161">
        <f t="shared" si="21"/>
        <v>21089.9017</v>
      </c>
      <c r="I100" s="161">
        <f t="shared" si="22"/>
        <v>21144.2684</v>
      </c>
      <c r="J100" s="162">
        <f t="shared" si="8"/>
        <v>21488.5301</v>
      </c>
      <c r="K100" s="163">
        <f t="shared" si="23"/>
        <v>0.00660115594</v>
      </c>
      <c r="L100" s="163">
        <f t="shared" si="24"/>
        <v>0.008296026329</v>
      </c>
      <c r="M100" s="163">
        <f t="shared" si="25"/>
        <v>0.1584953605</v>
      </c>
      <c r="N100" s="163">
        <f t="shared" si="26"/>
        <v>-0.008915185511</v>
      </c>
      <c r="O100" s="164">
        <f t="shared" si="27"/>
        <v>-0.009849592561</v>
      </c>
      <c r="P100" s="164">
        <f t="shared" si="16"/>
        <v>0.01140375916</v>
      </c>
      <c r="U100" s="165">
        <f t="shared" si="15"/>
        <v>0.9300775665</v>
      </c>
    </row>
    <row r="101">
      <c r="A101" s="158">
        <v>45999.0</v>
      </c>
      <c r="B101" s="159">
        <f>DATOS!E103/DATOS!D103</f>
        <v>21092.80246</v>
      </c>
      <c r="C101" s="160">
        <f t="shared" si="17"/>
        <v>14461.86982</v>
      </c>
      <c r="D101" s="160">
        <f t="shared" si="18"/>
        <v>6630.932631</v>
      </c>
      <c r="E101" s="161">
        <f t="shared" si="19"/>
        <v>19758.04827</v>
      </c>
      <c r="F101" s="161">
        <f t="shared" si="4"/>
        <v>20567.35675</v>
      </c>
      <c r="G101" s="161">
        <f t="shared" si="20"/>
        <v>20713.34419</v>
      </c>
      <c r="H101" s="161">
        <f t="shared" si="21"/>
        <v>21069.53053</v>
      </c>
      <c r="I101" s="161">
        <f t="shared" si="22"/>
        <v>21100.15265</v>
      </c>
      <c r="J101" s="162">
        <f t="shared" si="8"/>
        <v>21571.70432</v>
      </c>
      <c r="K101" s="163">
        <f t="shared" si="23"/>
        <v>0.0002745646405</v>
      </c>
      <c r="L101" s="163">
        <f t="shared" si="24"/>
        <v>0.008299591729</v>
      </c>
      <c r="M101" s="163">
        <f t="shared" si="25"/>
        <v>0.1585634773</v>
      </c>
      <c r="N101" s="163">
        <f t="shared" si="26"/>
        <v>-0.008920765153</v>
      </c>
      <c r="O101" s="164">
        <f t="shared" si="27"/>
        <v>-0.009849592561</v>
      </c>
      <c r="P101" s="164">
        <f t="shared" si="16"/>
        <v>0.01790814525</v>
      </c>
      <c r="U101" s="165">
        <f t="shared" si="15"/>
        <v>0.1204901639</v>
      </c>
    </row>
    <row r="102">
      <c r="A102" s="158">
        <v>45998.0</v>
      </c>
      <c r="B102" s="159">
        <f>DATOS!E104/DATOS!D104</f>
        <v>21087.01191</v>
      </c>
      <c r="C102" s="160">
        <f t="shared" si="17"/>
        <v>14452.72371</v>
      </c>
      <c r="D102" s="160">
        <f t="shared" si="18"/>
        <v>6634.288202</v>
      </c>
      <c r="E102" s="161">
        <f t="shared" si="19"/>
        <v>19735.0498</v>
      </c>
      <c r="F102" s="161">
        <f t="shared" si="4"/>
        <v>20566.27527</v>
      </c>
      <c r="G102" s="161">
        <f t="shared" si="20"/>
        <v>20697.8561</v>
      </c>
      <c r="H102" s="161">
        <f t="shared" si="21"/>
        <v>21066.20597</v>
      </c>
      <c r="I102" s="161">
        <f t="shared" si="22"/>
        <v>21103.82775</v>
      </c>
      <c r="J102" s="162">
        <f t="shared" si="8"/>
        <v>21566.13667</v>
      </c>
      <c r="K102" s="163">
        <f t="shared" si="23"/>
        <v>0.0002746339368</v>
      </c>
      <c r="L102" s="163">
        <f t="shared" si="24"/>
        <v>0.008305932723</v>
      </c>
      <c r="M102" s="163">
        <f t="shared" si="25"/>
        <v>0.1586846219</v>
      </c>
      <c r="N102" s="163">
        <f t="shared" si="26"/>
        <v>-0.008926344796</v>
      </c>
      <c r="O102" s="164">
        <f t="shared" si="27"/>
        <v>-0.009849592561</v>
      </c>
      <c r="P102" s="164">
        <f t="shared" si="16"/>
        <v>0.01817775593</v>
      </c>
      <c r="U102" s="165">
        <f t="shared" si="15"/>
        <v>0.1082058936</v>
      </c>
    </row>
    <row r="103">
      <c r="A103" s="158">
        <v>45997.0</v>
      </c>
      <c r="B103" s="159">
        <f>DATOS!E105/DATOS!D105</f>
        <v>21081.2215</v>
      </c>
      <c r="C103" s="160">
        <f t="shared" si="17"/>
        <v>14443.56033</v>
      </c>
      <c r="D103" s="160">
        <f t="shared" si="18"/>
        <v>6637.66117</v>
      </c>
      <c r="E103" s="161">
        <f t="shared" si="19"/>
        <v>19711.95159</v>
      </c>
      <c r="F103" s="161">
        <f t="shared" si="4"/>
        <v>20566.9972</v>
      </c>
      <c r="G103" s="161">
        <f t="shared" si="20"/>
        <v>20681.97218</v>
      </c>
      <c r="H103" s="161">
        <f t="shared" si="21"/>
        <v>21063.23369</v>
      </c>
      <c r="I103" s="161">
        <f t="shared" si="22"/>
        <v>21112.23566</v>
      </c>
      <c r="J103" s="162">
        <f t="shared" si="8"/>
        <v>21559.47019</v>
      </c>
      <c r="K103" s="163">
        <f t="shared" si="23"/>
        <v>0.0002747032707</v>
      </c>
      <c r="L103" s="163">
        <f t="shared" si="24"/>
        <v>0.008312288282</v>
      </c>
      <c r="M103" s="163">
        <f t="shared" si="25"/>
        <v>0.1588060446</v>
      </c>
      <c r="N103" s="163">
        <f t="shared" si="26"/>
        <v>-0.008931924439</v>
      </c>
      <c r="O103" s="164">
        <f t="shared" si="27"/>
        <v>-0.009849592561</v>
      </c>
      <c r="P103" s="164">
        <f t="shared" si="16"/>
        <v>0.01844736062</v>
      </c>
      <c r="U103" s="165">
        <f t="shared" si="15"/>
        <v>0.09424597593</v>
      </c>
    </row>
    <row r="104">
      <c r="A104" s="158">
        <v>45996.0</v>
      </c>
      <c r="B104" s="159">
        <f>DATOS!E106/DATOS!D106</f>
        <v>21075.43121</v>
      </c>
      <c r="C104" s="160">
        <f t="shared" si="17"/>
        <v>14434.37961</v>
      </c>
      <c r="D104" s="160">
        <f t="shared" si="18"/>
        <v>6641.051606</v>
      </c>
      <c r="E104" s="161">
        <f t="shared" si="19"/>
        <v>19688.75297</v>
      </c>
      <c r="F104" s="161">
        <f t="shared" si="4"/>
        <v>20569.16362</v>
      </c>
      <c r="G104" s="161">
        <f t="shared" si="20"/>
        <v>20665.67629</v>
      </c>
      <c r="H104" s="161">
        <f t="shared" si="21"/>
        <v>21060.66401</v>
      </c>
      <c r="I104" s="161">
        <f t="shared" si="22"/>
        <v>21127.74274</v>
      </c>
      <c r="J104" s="162">
        <f t="shared" si="8"/>
        <v>21552.1644</v>
      </c>
      <c r="K104" s="163">
        <f t="shared" si="23"/>
        <v>-0.006320249415</v>
      </c>
      <c r="L104" s="163">
        <f t="shared" si="24"/>
        <v>0.008318658461</v>
      </c>
      <c r="M104" s="163">
        <f t="shared" si="25"/>
        <v>0.1589277468</v>
      </c>
      <c r="N104" s="163">
        <f t="shared" si="26"/>
        <v>-0.008937504081</v>
      </c>
      <c r="O104" s="164">
        <f t="shared" si="27"/>
        <v>-0.009849592561</v>
      </c>
      <c r="P104" s="164">
        <f t="shared" si="16"/>
        <v>0.01871695931</v>
      </c>
      <c r="U104" s="165">
        <f t="shared" si="15"/>
        <v>0.07811740682</v>
      </c>
    </row>
    <row r="105">
      <c r="A105" s="158">
        <v>45995.0</v>
      </c>
      <c r="B105" s="159">
        <f>DATOS!E107/DATOS!D107</f>
        <v>21209.05502</v>
      </c>
      <c r="C105" s="160">
        <f t="shared" si="17"/>
        <v>14425.18148</v>
      </c>
      <c r="D105" s="160">
        <f t="shared" si="18"/>
        <v>6783.873543</v>
      </c>
      <c r="E105" s="161">
        <f t="shared" si="19"/>
        <v>19665.45326</v>
      </c>
      <c r="F105" s="161">
        <f t="shared" si="4"/>
        <v>20572.62096</v>
      </c>
      <c r="G105" s="161">
        <f t="shared" si="20"/>
        <v>20648.9516</v>
      </c>
      <c r="H105" s="161">
        <f t="shared" si="21"/>
        <v>21058.55441</v>
      </c>
      <c r="I105" s="161">
        <f t="shared" si="22"/>
        <v>21153.89851</v>
      </c>
      <c r="J105" s="162">
        <f t="shared" si="8"/>
        <v>21544.48785</v>
      </c>
      <c r="K105" s="163">
        <f t="shared" si="23"/>
        <v>0.0002302674185</v>
      </c>
      <c r="L105" s="163">
        <f t="shared" si="24"/>
        <v>0.008319988868</v>
      </c>
      <c r="M105" s="163">
        <f t="shared" si="25"/>
        <v>0.1589531641</v>
      </c>
      <c r="N105" s="163">
        <f t="shared" si="26"/>
        <v>-0.008943083724</v>
      </c>
      <c r="O105" s="164">
        <f t="shared" si="27"/>
        <v>-0.009733916163</v>
      </c>
      <c r="P105" s="164">
        <f t="shared" si="16"/>
        <v>0.01249536544</v>
      </c>
      <c r="U105" s="165">
        <f t="shared" si="15"/>
        <v>0.8052575861</v>
      </c>
    </row>
    <row r="106">
      <c r="A106" s="158">
        <v>45994.0</v>
      </c>
      <c r="B106" s="159">
        <f>DATOS!E108/DATOS!D108</f>
        <v>21204.17183</v>
      </c>
      <c r="C106" s="160">
        <f t="shared" si="17"/>
        <v>14415.7725</v>
      </c>
      <c r="D106" s="160">
        <f t="shared" si="18"/>
        <v>6788.399329</v>
      </c>
      <c r="E106" s="161">
        <f t="shared" si="19"/>
        <v>19641.18853</v>
      </c>
      <c r="F106" s="161">
        <f t="shared" si="4"/>
        <v>20544.67674</v>
      </c>
      <c r="G106" s="161">
        <f t="shared" si="20"/>
        <v>20626.09024</v>
      </c>
      <c r="H106" s="161">
        <f t="shared" si="21"/>
        <v>21037.05432</v>
      </c>
      <c r="I106" s="161">
        <f t="shared" si="22"/>
        <v>21126.32026</v>
      </c>
      <c r="J106" s="162">
        <f t="shared" si="8"/>
        <v>21529.4319</v>
      </c>
      <c r="K106" s="163">
        <f t="shared" si="23"/>
        <v>-0.003600318376</v>
      </c>
      <c r="L106" s="163">
        <f t="shared" si="24"/>
        <v>0.008326375915</v>
      </c>
      <c r="M106" s="163">
        <f t="shared" si="25"/>
        <v>0.1590751885</v>
      </c>
      <c r="N106" s="163">
        <f t="shared" si="26"/>
        <v>-0.008948663367</v>
      </c>
      <c r="O106" s="164">
        <f t="shared" si="27"/>
        <v>-0.009733916163</v>
      </c>
      <c r="P106" s="164">
        <f t="shared" si="16"/>
        <v>0.01272272941</v>
      </c>
      <c r="U106" s="165">
        <f t="shared" si="15"/>
        <v>0.8824640551</v>
      </c>
    </row>
    <row r="107">
      <c r="A107" s="158">
        <v>45993.0</v>
      </c>
      <c r="B107" s="159">
        <f>DATOS!E109/DATOS!D109</f>
        <v>21280.65119</v>
      </c>
      <c r="C107" s="160">
        <f t="shared" si="17"/>
        <v>14406.34416</v>
      </c>
      <c r="D107" s="160">
        <f t="shared" si="18"/>
        <v>6874.307024</v>
      </c>
      <c r="E107" s="161">
        <f t="shared" si="19"/>
        <v>19616.81101</v>
      </c>
      <c r="F107" s="161">
        <f t="shared" si="4"/>
        <v>20474.27271</v>
      </c>
      <c r="G107" s="161">
        <f t="shared" si="20"/>
        <v>20602.49507</v>
      </c>
      <c r="H107" s="161">
        <f t="shared" si="21"/>
        <v>21013.18039</v>
      </c>
      <c r="I107" s="161">
        <f t="shared" si="22"/>
        <v>21087.39447</v>
      </c>
      <c r="J107" s="162">
        <f t="shared" si="8"/>
        <v>21552.08807</v>
      </c>
      <c r="K107" s="163">
        <f t="shared" si="23"/>
        <v>0.008130216894</v>
      </c>
      <c r="L107" s="163">
        <f t="shared" si="24"/>
        <v>0.008330784847</v>
      </c>
      <c r="M107" s="163">
        <f t="shared" si="25"/>
        <v>0.159159421</v>
      </c>
      <c r="N107" s="163">
        <f t="shared" si="26"/>
        <v>-0.00895424301</v>
      </c>
      <c r="O107" s="164">
        <f t="shared" si="27"/>
        <v>-0.009733916163</v>
      </c>
      <c r="P107" s="164">
        <f t="shared" si="16"/>
        <v>0.009161810533</v>
      </c>
      <c r="U107" s="165">
        <f t="shared" si="15"/>
        <v>1.290432676</v>
      </c>
    </row>
    <row r="108">
      <c r="A108" s="158">
        <v>45992.0</v>
      </c>
      <c r="B108" s="159">
        <f>DATOS!E110/DATOS!D110</f>
        <v>21108.33631</v>
      </c>
      <c r="C108" s="160">
        <f t="shared" si="17"/>
        <v>14396.78324</v>
      </c>
      <c r="D108" s="160">
        <f t="shared" si="18"/>
        <v>6711.553069</v>
      </c>
      <c r="E108" s="161">
        <f t="shared" si="19"/>
        <v>19591.81457</v>
      </c>
      <c r="F108" s="161">
        <f t="shared" si="4"/>
        <v>20393.07343</v>
      </c>
      <c r="G108" s="161">
        <f t="shared" si="20"/>
        <v>20574.81523</v>
      </c>
      <c r="H108" s="161">
        <f t="shared" si="21"/>
        <v>20974.97028</v>
      </c>
      <c r="I108" s="161">
        <f t="shared" si="22"/>
        <v>20990.76611</v>
      </c>
      <c r="J108" s="162">
        <f t="shared" si="8"/>
        <v>21556.86712</v>
      </c>
      <c r="K108" s="163">
        <f t="shared" si="23"/>
        <v>0.00612557722</v>
      </c>
      <c r="L108" s="163">
        <f t="shared" si="24"/>
        <v>0.008332651811</v>
      </c>
      <c r="M108" s="163">
        <f t="shared" si="25"/>
        <v>0.1591950893</v>
      </c>
      <c r="N108" s="163">
        <f t="shared" si="26"/>
        <v>-0.008959822652</v>
      </c>
      <c r="O108" s="164">
        <f t="shared" si="27"/>
        <v>-0.009733916163</v>
      </c>
      <c r="P108" s="164">
        <f t="shared" si="16"/>
        <v>0.01718488107</v>
      </c>
      <c r="U108" s="165">
        <f t="shared" si="15"/>
        <v>0.5958988835</v>
      </c>
    </row>
    <row r="109">
      <c r="A109" s="158">
        <v>45991.0</v>
      </c>
      <c r="B109" s="159">
        <f>DATOS!E111/DATOS!D111</f>
        <v>20979.43078</v>
      </c>
      <c r="C109" s="160">
        <f t="shared" si="17"/>
        <v>14387.43567</v>
      </c>
      <c r="D109" s="160">
        <f t="shared" si="18"/>
        <v>6591.995106</v>
      </c>
      <c r="E109" s="161">
        <f t="shared" si="19"/>
        <v>19567.74261</v>
      </c>
      <c r="F109" s="161">
        <f t="shared" si="4"/>
        <v>20303.36893</v>
      </c>
      <c r="G109" s="161">
        <f t="shared" si="20"/>
        <v>20553.03886</v>
      </c>
      <c r="H109" s="161">
        <f t="shared" si="21"/>
        <v>20955.91799</v>
      </c>
      <c r="I109" s="161">
        <f t="shared" si="22"/>
        <v>20931.98102</v>
      </c>
      <c r="J109" s="162">
        <f t="shared" si="8"/>
        <v>21608.46704</v>
      </c>
      <c r="K109" s="163">
        <f t="shared" si="23"/>
        <v>0.0002952667433</v>
      </c>
      <c r="L109" s="163">
        <f t="shared" si="24"/>
        <v>0.008336777032</v>
      </c>
      <c r="M109" s="163">
        <f t="shared" si="25"/>
        <v>0.1592739016</v>
      </c>
      <c r="N109" s="163">
        <f t="shared" si="26"/>
        <v>-0.008965402295</v>
      </c>
      <c r="O109" s="164">
        <f t="shared" si="27"/>
        <v>-0.009733916163</v>
      </c>
      <c r="P109" s="164">
        <f t="shared" si="16"/>
        <v>0.02318678963</v>
      </c>
      <c r="U109" s="165">
        <f t="shared" si="15"/>
        <v>0.09368376839</v>
      </c>
    </row>
    <row r="110">
      <c r="A110" s="158">
        <v>45990.0</v>
      </c>
      <c r="B110" s="159">
        <f>DATOS!E112/DATOS!D112</f>
        <v>20973.23716</v>
      </c>
      <c r="C110" s="160">
        <f t="shared" si="17"/>
        <v>14378.24181</v>
      </c>
      <c r="D110" s="160">
        <f t="shared" si="18"/>
        <v>6594.995349</v>
      </c>
      <c r="E110" s="161">
        <f t="shared" si="19"/>
        <v>19544.33117</v>
      </c>
      <c r="F110" s="161">
        <f t="shared" si="4"/>
        <v>20234.84944</v>
      </c>
      <c r="G110" s="161">
        <f t="shared" si="20"/>
        <v>20535.63511</v>
      </c>
      <c r="H110" s="161">
        <f t="shared" si="21"/>
        <v>20952.55902</v>
      </c>
      <c r="I110" s="161">
        <f t="shared" si="22"/>
        <v>20908.25613</v>
      </c>
      <c r="J110" s="162">
        <f t="shared" si="8"/>
        <v>21670.2686</v>
      </c>
      <c r="K110" s="163">
        <f t="shared" si="23"/>
        <v>0.0002953475905</v>
      </c>
      <c r="L110" s="163">
        <f t="shared" si="24"/>
        <v>0.00834322891</v>
      </c>
      <c r="M110" s="163">
        <f t="shared" si="25"/>
        <v>0.1593971645</v>
      </c>
      <c r="N110" s="163">
        <f t="shared" si="26"/>
        <v>-0.008970981938</v>
      </c>
      <c r="O110" s="164">
        <f t="shared" si="27"/>
        <v>-0.009733916163</v>
      </c>
      <c r="P110" s="164">
        <f t="shared" si="16"/>
        <v>0.02347516751</v>
      </c>
      <c r="U110" s="165">
        <f t="shared" si="15"/>
        <v>0.07490938222</v>
      </c>
    </row>
    <row r="111">
      <c r="A111" s="158">
        <v>45989.0</v>
      </c>
      <c r="B111" s="159">
        <f>DATOS!E113/DATOS!D113</f>
        <v>20967.04368</v>
      </c>
      <c r="C111" s="160">
        <f t="shared" si="17"/>
        <v>14369.03093</v>
      </c>
      <c r="D111" s="160">
        <f t="shared" si="18"/>
        <v>6598.012755</v>
      </c>
      <c r="E111" s="161">
        <f t="shared" si="19"/>
        <v>19520.81915</v>
      </c>
      <c r="F111" s="161">
        <f t="shared" si="4"/>
        <v>20177.08285</v>
      </c>
      <c r="G111" s="161">
        <f t="shared" si="20"/>
        <v>20517.7738</v>
      </c>
      <c r="H111" s="161">
        <f t="shared" si="21"/>
        <v>20949.60499</v>
      </c>
      <c r="I111" s="161">
        <f t="shared" si="22"/>
        <v>20875.76562</v>
      </c>
      <c r="J111" s="162">
        <f t="shared" si="8"/>
        <v>21722.12714</v>
      </c>
      <c r="K111" s="163">
        <f t="shared" si="23"/>
        <v>0.006779574462</v>
      </c>
      <c r="L111" s="163">
        <f t="shared" si="24"/>
        <v>0.008349695802</v>
      </c>
      <c r="M111" s="163">
        <f t="shared" si="25"/>
        <v>0.1595207143</v>
      </c>
      <c r="N111" s="163">
        <f t="shared" si="26"/>
        <v>-0.008980267266</v>
      </c>
      <c r="O111" s="164">
        <f t="shared" si="27"/>
        <v>-0.009733916163</v>
      </c>
      <c r="P111" s="164">
        <f t="shared" si="16"/>
        <v>0.02376353918</v>
      </c>
      <c r="U111" s="165">
        <f t="shared" si="15"/>
        <v>0.05869163386</v>
      </c>
    </row>
    <row r="112">
      <c r="A112" s="158">
        <v>45988.0</v>
      </c>
      <c r="B112" s="159">
        <f>DATOS!E114/DATOS!D114</f>
        <v>20825.37681</v>
      </c>
      <c r="C112" s="160">
        <f t="shared" si="17"/>
        <v>14359.80294</v>
      </c>
      <c r="D112" s="160">
        <f t="shared" si="18"/>
        <v>6465.573875</v>
      </c>
      <c r="E112" s="161">
        <f t="shared" si="19"/>
        <v>19497.20585</v>
      </c>
      <c r="F112" s="161">
        <f t="shared" si="4"/>
        <v>20172.25808</v>
      </c>
      <c r="G112" s="161">
        <f t="shared" si="20"/>
        <v>20499.43626</v>
      </c>
      <c r="H112" s="161">
        <f t="shared" si="21"/>
        <v>20947.11375</v>
      </c>
      <c r="I112" s="161">
        <f t="shared" si="22"/>
        <v>20830.12659</v>
      </c>
      <c r="J112" s="162">
        <f t="shared" si="8"/>
        <v>21721.96943</v>
      </c>
      <c r="K112" s="163">
        <f t="shared" si="23"/>
        <v>0.00002892360102</v>
      </c>
      <c r="L112" s="163">
        <f t="shared" si="24"/>
        <v>0.008353194312</v>
      </c>
      <c r="M112" s="163">
        <f t="shared" si="25"/>
        <v>0.1595875533</v>
      </c>
      <c r="N112" s="163">
        <f t="shared" si="26"/>
        <v>-0.008989552595</v>
      </c>
      <c r="O112" s="164">
        <f t="shared" si="27"/>
        <v>-0.009733916163</v>
      </c>
      <c r="P112" s="164">
        <f t="shared" si="16"/>
        <v>0.03035962238</v>
      </c>
      <c r="U112" s="165">
        <f t="shared" si="15"/>
        <v>-0.4084838789</v>
      </c>
    </row>
    <row r="113">
      <c r="A113" s="158">
        <v>45987.0</v>
      </c>
      <c r="B113" s="159">
        <f>DATOS!E115/DATOS!D115</f>
        <v>20824.77447</v>
      </c>
      <c r="C113" s="160">
        <f t="shared" si="17"/>
        <v>14350.74751</v>
      </c>
      <c r="D113" s="160">
        <f t="shared" si="18"/>
        <v>6474.026964</v>
      </c>
      <c r="E113" s="161">
        <f t="shared" si="19"/>
        <v>19474.33861</v>
      </c>
      <c r="F113" s="161">
        <f t="shared" si="4"/>
        <v>20204.61037</v>
      </c>
      <c r="G113" s="161">
        <f t="shared" si="20"/>
        <v>20486.13256</v>
      </c>
      <c r="H113" s="161">
        <f t="shared" si="21"/>
        <v>20964.50475</v>
      </c>
      <c r="I113" s="161">
        <f t="shared" si="22"/>
        <v>20832.50148</v>
      </c>
      <c r="J113" s="162">
        <f t="shared" si="8"/>
        <v>21724.39912</v>
      </c>
      <c r="K113" s="163">
        <f t="shared" si="23"/>
        <v>0.001557346133</v>
      </c>
      <c r="L113" s="163">
        <f t="shared" si="24"/>
        <v>0.008359644538</v>
      </c>
      <c r="M113" s="163">
        <f t="shared" si="25"/>
        <v>0.1597107846</v>
      </c>
      <c r="N113" s="163">
        <f t="shared" si="26"/>
        <v>-0.008998837924</v>
      </c>
      <c r="O113" s="164">
        <f t="shared" si="27"/>
        <v>-0.009733916163</v>
      </c>
      <c r="P113" s="164">
        <f t="shared" si="16"/>
        <v>0.03038766746</v>
      </c>
      <c r="U113" s="165">
        <f t="shared" si="15"/>
        <v>-0.4780910561</v>
      </c>
    </row>
    <row r="114">
      <c r="A114" s="158">
        <v>45986.0</v>
      </c>
      <c r="B114" s="159">
        <f>DATOS!E116/DATOS!D116</f>
        <v>20792.36833</v>
      </c>
      <c r="C114" s="160">
        <f t="shared" si="17"/>
        <v>14341.66753</v>
      </c>
      <c r="D114" s="160">
        <f t="shared" si="18"/>
        <v>6450.700804</v>
      </c>
      <c r="E114" s="161">
        <f t="shared" si="19"/>
        <v>19451.3383</v>
      </c>
      <c r="F114" s="161">
        <f t="shared" si="4"/>
        <v>20251.57907</v>
      </c>
      <c r="G114" s="161">
        <f t="shared" si="20"/>
        <v>20472.31044</v>
      </c>
      <c r="H114" s="161">
        <f t="shared" si="21"/>
        <v>20984.46621</v>
      </c>
      <c r="I114" s="161">
        <f t="shared" si="22"/>
        <v>20836.36499</v>
      </c>
      <c r="J114" s="162">
        <f t="shared" si="8"/>
        <v>21717.35336</v>
      </c>
      <c r="K114" s="163">
        <f t="shared" si="23"/>
        <v>0.0122054422</v>
      </c>
      <c r="L114" s="163">
        <f t="shared" si="24"/>
        <v>0.008366192696</v>
      </c>
      <c r="M114" s="163">
        <f t="shared" si="25"/>
        <v>0.159835887</v>
      </c>
      <c r="N114" s="163">
        <f t="shared" si="26"/>
        <v>-0.009008123253</v>
      </c>
      <c r="O114" s="164">
        <f t="shared" si="27"/>
        <v>-0.009733916163</v>
      </c>
      <c r="P114" s="164">
        <f t="shared" si="16"/>
        <v>0.03189651428</v>
      </c>
      <c r="U114" s="165">
        <f t="shared" si="15"/>
        <v>-0.6814889416</v>
      </c>
    </row>
    <row r="115">
      <c r="A115" s="158">
        <v>45985.0</v>
      </c>
      <c r="B115" s="159">
        <f>DATOS!E117/DATOS!D117</f>
        <v>20540.13075</v>
      </c>
      <c r="C115" s="160">
        <f t="shared" si="17"/>
        <v>14332.60756</v>
      </c>
      <c r="D115" s="160">
        <f t="shared" si="18"/>
        <v>6207.523194</v>
      </c>
      <c r="E115" s="161">
        <f t="shared" si="19"/>
        <v>19428.4037</v>
      </c>
      <c r="F115" s="161">
        <f t="shared" si="4"/>
        <v>20324.30636</v>
      </c>
      <c r="G115" s="161">
        <f t="shared" si="20"/>
        <v>20459.24685</v>
      </c>
      <c r="H115" s="161">
        <f t="shared" si="21"/>
        <v>21011.90877</v>
      </c>
      <c r="I115" s="161">
        <f t="shared" si="22"/>
        <v>20858.36331</v>
      </c>
      <c r="J115" s="162">
        <f t="shared" si="8"/>
        <v>21699.51117</v>
      </c>
      <c r="K115" s="163">
        <f t="shared" si="23"/>
        <v>-0.01882889074</v>
      </c>
      <c r="L115" s="163">
        <f t="shared" si="24"/>
        <v>0.008361112645</v>
      </c>
      <c r="M115" s="163">
        <f t="shared" si="25"/>
        <v>0.1597388328</v>
      </c>
      <c r="N115" s="163">
        <f t="shared" si="26"/>
        <v>-0.009017408581</v>
      </c>
      <c r="O115" s="164">
        <f t="shared" si="27"/>
        <v>-0.009733916163</v>
      </c>
      <c r="P115" s="164">
        <f t="shared" si="16"/>
        <v>0.04364082735</v>
      </c>
      <c r="U115" s="165">
        <f t="shared" si="15"/>
        <v>-1.783912957</v>
      </c>
    </row>
    <row r="116">
      <c r="A116" s="158">
        <v>45984.0</v>
      </c>
      <c r="B116" s="159">
        <f>DATOS!E118/DATOS!D118</f>
        <v>20930.5426</v>
      </c>
      <c r="C116" s="160">
        <f t="shared" si="17"/>
        <v>14323.87686</v>
      </c>
      <c r="D116" s="160">
        <f t="shared" si="18"/>
        <v>6606.665743</v>
      </c>
      <c r="E116" s="161">
        <f t="shared" si="19"/>
        <v>19406.91787</v>
      </c>
      <c r="F116" s="161">
        <f t="shared" si="4"/>
        <v>20568.99221</v>
      </c>
      <c r="G116" s="161">
        <f t="shared" si="20"/>
        <v>20455.94547</v>
      </c>
      <c r="H116" s="161">
        <f t="shared" si="21"/>
        <v>21079.30563</v>
      </c>
      <c r="I116" s="161">
        <f t="shared" si="22"/>
        <v>21017.47959</v>
      </c>
      <c r="J116" s="162">
        <f t="shared" si="8"/>
        <v>21589.61905</v>
      </c>
      <c r="K116" s="163">
        <f t="shared" si="23"/>
        <v>-0.0003593023832</v>
      </c>
      <c r="L116" s="163">
        <f t="shared" si="24"/>
        <v>0.008330267488</v>
      </c>
      <c r="M116" s="163">
        <f t="shared" si="25"/>
        <v>0.1591495369</v>
      </c>
      <c r="N116" s="163">
        <f t="shared" si="26"/>
        <v>-0.00889286694</v>
      </c>
      <c r="O116" s="164">
        <f t="shared" si="27"/>
        <v>-0.004555697944</v>
      </c>
      <c r="P116" s="164">
        <f t="shared" si="16"/>
        <v>0.02546304831</v>
      </c>
      <c r="U116" s="165">
        <f t="shared" si="15"/>
        <v>-0.7579339281</v>
      </c>
    </row>
    <row r="117">
      <c r="A117" s="158">
        <v>45983.0</v>
      </c>
      <c r="B117" s="159">
        <f>DATOS!E119/DATOS!D119</f>
        <v>20938.06435</v>
      </c>
      <c r="C117" s="160">
        <f t="shared" si="17"/>
        <v>14314.5717</v>
      </c>
      <c r="D117" s="160">
        <f t="shared" si="18"/>
        <v>6623.492651</v>
      </c>
      <c r="E117" s="161">
        <f t="shared" si="19"/>
        <v>19382.84292</v>
      </c>
      <c r="F117" s="161">
        <f t="shared" si="4"/>
        <v>20634.98947</v>
      </c>
      <c r="G117" s="161">
        <f t="shared" si="20"/>
        <v>20436.57416</v>
      </c>
      <c r="H117" s="161">
        <f t="shared" si="21"/>
        <v>21100.55749</v>
      </c>
      <c r="I117" s="161">
        <f t="shared" si="22"/>
        <v>21060.94808</v>
      </c>
      <c r="J117" s="162">
        <f t="shared" si="8"/>
        <v>21566.12551</v>
      </c>
      <c r="K117" s="163">
        <f t="shared" si="23"/>
        <v>-0.0003076440372</v>
      </c>
      <c r="L117" s="163">
        <f t="shared" si="24"/>
        <v>0.00833664428</v>
      </c>
      <c r="M117" s="163">
        <f t="shared" si="25"/>
        <v>0.1592713653</v>
      </c>
      <c r="N117" s="163">
        <f t="shared" si="26"/>
        <v>-0.008898446582</v>
      </c>
      <c r="O117" s="164">
        <f t="shared" si="27"/>
        <v>-0.004555697944</v>
      </c>
      <c r="P117" s="164">
        <f t="shared" si="16"/>
        <v>0.02511283194</v>
      </c>
      <c r="U117" s="165">
        <f t="shared" si="15"/>
        <v>-0.9074552717</v>
      </c>
    </row>
    <row r="118">
      <c r="A118" s="158">
        <v>45982.0</v>
      </c>
      <c r="B118" s="159">
        <f>DATOS!E120/DATOS!D120</f>
        <v>20944.50681</v>
      </c>
      <c r="C118" s="160">
        <f t="shared" si="17"/>
        <v>14305.22968</v>
      </c>
      <c r="D118" s="160">
        <f t="shared" si="18"/>
        <v>6639.277133</v>
      </c>
      <c r="E118" s="161">
        <f t="shared" si="19"/>
        <v>19358.57619</v>
      </c>
      <c r="F118" s="161">
        <f t="shared" si="4"/>
        <v>20709.73925</v>
      </c>
      <c r="G118" s="161">
        <f t="shared" si="20"/>
        <v>20416.10517</v>
      </c>
      <c r="H118" s="161">
        <f t="shared" si="21"/>
        <v>21123.77079</v>
      </c>
      <c r="I118" s="161">
        <f t="shared" si="22"/>
        <v>21122.38995</v>
      </c>
      <c r="J118" s="162">
        <f t="shared" si="8"/>
        <v>21537.80234</v>
      </c>
      <c r="K118" s="163">
        <f t="shared" si="23"/>
        <v>-0.001018961624</v>
      </c>
      <c r="L118" s="163">
        <f t="shared" si="24"/>
        <v>0.008343049755</v>
      </c>
      <c r="M118" s="163">
        <f t="shared" si="25"/>
        <v>0.1593937418</v>
      </c>
      <c r="N118" s="163">
        <f t="shared" si="26"/>
        <v>-0.008904026225</v>
      </c>
      <c r="O118" s="164">
        <f t="shared" si="27"/>
        <v>-0.004555697944</v>
      </c>
      <c r="P118" s="164">
        <f t="shared" si="16"/>
        <v>0.02481286758</v>
      </c>
      <c r="U118" s="165">
        <f t="shared" si="15"/>
        <v>-1.125726657</v>
      </c>
    </row>
    <row r="119">
      <c r="A119" s="158">
        <v>45981.0</v>
      </c>
      <c r="B119" s="159">
        <f>DATOS!E121/DATOS!D121</f>
        <v>20965.85934</v>
      </c>
      <c r="C119" s="160">
        <f t="shared" si="17"/>
        <v>14295.85217</v>
      </c>
      <c r="D119" s="160">
        <f t="shared" si="18"/>
        <v>6670.007168</v>
      </c>
      <c r="E119" s="161">
        <f t="shared" si="19"/>
        <v>19334.12316</v>
      </c>
      <c r="F119" s="161">
        <f t="shared" si="4"/>
        <v>20774.52658</v>
      </c>
      <c r="G119" s="161">
        <f t="shared" si="20"/>
        <v>20394.53776</v>
      </c>
      <c r="H119" s="161">
        <f t="shared" si="21"/>
        <v>21149.37993</v>
      </c>
      <c r="I119" s="161">
        <f t="shared" si="22"/>
        <v>21211.33152</v>
      </c>
      <c r="J119" s="162">
        <f t="shared" si="8"/>
        <v>21524.23329</v>
      </c>
      <c r="K119" s="163">
        <f t="shared" si="23"/>
        <v>-0.01273723695</v>
      </c>
      <c r="L119" s="163">
        <f t="shared" si="24"/>
        <v>0.008349231672</v>
      </c>
      <c r="M119" s="163">
        <f t="shared" si="25"/>
        <v>0.1595118471</v>
      </c>
      <c r="N119" s="163">
        <f t="shared" si="26"/>
        <v>-0.008909605868</v>
      </c>
      <c r="O119" s="164">
        <f t="shared" si="27"/>
        <v>-0.004555697944</v>
      </c>
      <c r="P119" s="164">
        <f t="shared" si="16"/>
        <v>0.02381868288</v>
      </c>
      <c r="U119" s="165">
        <f t="shared" si="15"/>
        <v>-1.272907232</v>
      </c>
    </row>
    <row r="120">
      <c r="A120" s="158">
        <v>45980.0</v>
      </c>
      <c r="B120" s="159">
        <f>DATOS!E122/DATOS!D122</f>
        <v>21234.61442</v>
      </c>
      <c r="C120" s="160">
        <f t="shared" si="17"/>
        <v>14286.41793</v>
      </c>
      <c r="D120" s="160">
        <f t="shared" si="18"/>
        <v>6948.196491</v>
      </c>
      <c r="E120" s="161">
        <f t="shared" si="19"/>
        <v>19309.38814</v>
      </c>
      <c r="F120" s="161">
        <f t="shared" si="4"/>
        <v>20802.91813</v>
      </c>
      <c r="G120" s="161">
        <f t="shared" si="20"/>
        <v>20371.21851</v>
      </c>
      <c r="H120" s="161">
        <f t="shared" si="21"/>
        <v>21175.59716</v>
      </c>
      <c r="I120" s="161">
        <f t="shared" si="22"/>
        <v>21334.06761</v>
      </c>
      <c r="J120" s="162">
        <f t="shared" si="8"/>
        <v>21548.27619</v>
      </c>
      <c r="K120" s="163">
        <f t="shared" si="23"/>
        <v>-0.006063190753</v>
      </c>
      <c r="L120" s="163">
        <f t="shared" si="24"/>
        <v>0.008337614155</v>
      </c>
      <c r="M120" s="163">
        <f t="shared" si="25"/>
        <v>0.1592898948</v>
      </c>
      <c r="N120" s="163">
        <f t="shared" si="26"/>
        <v>-0.008836386505</v>
      </c>
      <c r="O120" s="164">
        <f t="shared" si="27"/>
        <v>-0.002609436135</v>
      </c>
      <c r="P120" s="164">
        <f t="shared" si="16"/>
        <v>0.0113053064</v>
      </c>
      <c r="U120" s="165">
        <f t="shared" si="15"/>
        <v>0.4117346709</v>
      </c>
    </row>
    <row r="121">
      <c r="A121" s="158">
        <v>45979.0</v>
      </c>
      <c r="B121" s="159">
        <f>DATOS!E123/DATOS!D123</f>
        <v>21363.75504</v>
      </c>
      <c r="C121" s="160">
        <f t="shared" si="17"/>
        <v>14276.57629</v>
      </c>
      <c r="D121" s="160">
        <f t="shared" si="18"/>
        <v>7087.178754</v>
      </c>
      <c r="E121" s="161">
        <f t="shared" si="19"/>
        <v>19282.80083</v>
      </c>
      <c r="F121" s="161">
        <f t="shared" si="4"/>
        <v>20578.2114</v>
      </c>
      <c r="G121" s="161">
        <f t="shared" si="20"/>
        <v>20335.97786</v>
      </c>
      <c r="H121" s="161">
        <f t="shared" si="21"/>
        <v>21167.16612</v>
      </c>
      <c r="I121" s="161">
        <f t="shared" si="22"/>
        <v>21383.79421</v>
      </c>
      <c r="J121" s="162">
        <f t="shared" si="8"/>
        <v>21756.12084</v>
      </c>
      <c r="K121" s="163">
        <f t="shared" si="23"/>
        <v>-0.002482605405</v>
      </c>
      <c r="L121" s="163">
        <f t="shared" si="24"/>
        <v>0.00833930839</v>
      </c>
      <c r="M121" s="163">
        <f t="shared" si="25"/>
        <v>0.1593222631</v>
      </c>
      <c r="N121" s="163">
        <f t="shared" si="26"/>
        <v>-0.008838686763</v>
      </c>
      <c r="O121" s="164">
        <f t="shared" si="27"/>
        <v>-0.002073373029</v>
      </c>
      <c r="P121" s="164">
        <f t="shared" si="16"/>
        <v>0.005292451751</v>
      </c>
      <c r="U121" s="165">
        <f t="shared" si="15"/>
        <v>0.8678616243</v>
      </c>
    </row>
    <row r="122">
      <c r="A122" s="158">
        <v>45978.0</v>
      </c>
      <c r="B122" s="159">
        <f>DATOS!E124/DATOS!D124</f>
        <v>21416.85871</v>
      </c>
      <c r="C122" s="160">
        <f t="shared" si="17"/>
        <v>14266.52356</v>
      </c>
      <c r="D122" s="160">
        <f t="shared" si="18"/>
        <v>7150.335154</v>
      </c>
      <c r="E122" s="161">
        <f t="shared" si="19"/>
        <v>19255.23446</v>
      </c>
      <c r="F122" s="161">
        <f t="shared" si="4"/>
        <v>20394.24447</v>
      </c>
      <c r="G122" s="161">
        <f t="shared" si="20"/>
        <v>20294.02777</v>
      </c>
      <c r="H122" s="161">
        <f t="shared" si="21"/>
        <v>21139.08199</v>
      </c>
      <c r="I122" s="161">
        <f t="shared" si="22"/>
        <v>21393.8138</v>
      </c>
      <c r="J122" s="162">
        <f t="shared" si="8"/>
        <v>21883.91951</v>
      </c>
      <c r="K122" s="163">
        <f t="shared" si="23"/>
        <v>-0.000942448958</v>
      </c>
      <c r="L122" s="163">
        <f t="shared" si="24"/>
        <v>0.008344694212</v>
      </c>
      <c r="M122" s="163">
        <f t="shared" si="25"/>
        <v>0.1594251591</v>
      </c>
      <c r="N122" s="163">
        <f t="shared" si="26"/>
        <v>-0.008840987021</v>
      </c>
      <c r="O122" s="164">
        <f t="shared" si="27"/>
        <v>-0.0012893621</v>
      </c>
      <c r="P122" s="164">
        <f t="shared" si="16"/>
        <v>0.002819917522</v>
      </c>
      <c r="U122" s="165">
        <f t="shared" si="15"/>
        <v>0.9696335757</v>
      </c>
    </row>
    <row r="123">
      <c r="A123" s="158">
        <v>45977.0</v>
      </c>
      <c r="B123" s="159">
        <f>DATOS!E125/DATOS!D125</f>
        <v>21437.05252</v>
      </c>
      <c r="C123" s="160">
        <f t="shared" si="17"/>
        <v>14256.36683</v>
      </c>
      <c r="D123" s="160">
        <f t="shared" si="18"/>
        <v>7180.68569</v>
      </c>
      <c r="E123" s="161">
        <f t="shared" si="19"/>
        <v>19227.16559</v>
      </c>
      <c r="F123" s="161">
        <f t="shared" si="4"/>
        <v>20259.39069</v>
      </c>
      <c r="G123" s="161">
        <f t="shared" si="20"/>
        <v>20248.19793</v>
      </c>
      <c r="H123" s="161">
        <f t="shared" si="21"/>
        <v>21099.3996</v>
      </c>
      <c r="I123" s="161">
        <f t="shared" si="22"/>
        <v>21382.29134</v>
      </c>
      <c r="J123" s="162">
        <f t="shared" si="8"/>
        <v>21939.40852</v>
      </c>
      <c r="K123" s="163">
        <f t="shared" si="23"/>
        <v>-0.0009412994802</v>
      </c>
      <c r="L123" s="163">
        <f t="shared" si="24"/>
        <v>0.008350930635</v>
      </c>
      <c r="M123" s="163">
        <f t="shared" si="25"/>
        <v>0.1595443058</v>
      </c>
      <c r="N123" s="163">
        <f t="shared" si="26"/>
        <v>-0.008843287278</v>
      </c>
      <c r="O123" s="164">
        <f t="shared" si="27"/>
        <v>-0.001288844835</v>
      </c>
      <c r="P123" s="164">
        <f t="shared" si="16"/>
        <v>0.001879683201</v>
      </c>
      <c r="U123" s="165">
        <f t="shared" si="15"/>
        <v>1.045105082</v>
      </c>
    </row>
    <row r="124">
      <c r="A124" s="158">
        <v>45976.0</v>
      </c>
      <c r="B124" s="159">
        <f>DATOS!E126/DATOS!D126</f>
        <v>21457.24071</v>
      </c>
      <c r="C124" s="160">
        <f t="shared" si="17"/>
        <v>14246.15248</v>
      </c>
      <c r="D124" s="160">
        <f t="shared" si="18"/>
        <v>7211.088223</v>
      </c>
      <c r="E124" s="161">
        <f t="shared" si="19"/>
        <v>19198.80026</v>
      </c>
      <c r="F124" s="161">
        <f t="shared" si="4"/>
        <v>20156.88515</v>
      </c>
      <c r="G124" s="161">
        <f t="shared" si="20"/>
        <v>20199.67326</v>
      </c>
      <c r="H124" s="161">
        <f t="shared" si="21"/>
        <v>21051.16347</v>
      </c>
      <c r="I124" s="161">
        <f t="shared" si="22"/>
        <v>21354.91075</v>
      </c>
      <c r="J124" s="162">
        <f t="shared" si="8"/>
        <v>21945.4418</v>
      </c>
      <c r="K124" s="163">
        <f t="shared" si="23"/>
        <v>-0.0009401525419</v>
      </c>
      <c r="L124" s="163">
        <f t="shared" si="24"/>
        <v>0.00835718144</v>
      </c>
      <c r="M124" s="163">
        <f t="shared" si="25"/>
        <v>0.1596637272</v>
      </c>
      <c r="N124" s="163">
        <f t="shared" si="26"/>
        <v>-0.008845587536</v>
      </c>
      <c r="O124" s="164">
        <f t="shared" si="27"/>
        <v>-0.001288328712</v>
      </c>
      <c r="P124" s="164">
        <f t="shared" si="16"/>
        <v>0.0009397107369</v>
      </c>
      <c r="U124" s="165">
        <f t="shared" si="15"/>
        <v>1.180617691</v>
      </c>
    </row>
    <row r="125">
      <c r="A125" s="158">
        <v>45975.0</v>
      </c>
      <c r="B125" s="159">
        <f>DATOS!E127/DATOS!D127</f>
        <v>21477.42327</v>
      </c>
      <c r="C125" s="160">
        <f t="shared" si="17"/>
        <v>14235.88028</v>
      </c>
      <c r="D125" s="160">
        <f t="shared" si="18"/>
        <v>7241.542994</v>
      </c>
      <c r="E125" s="161">
        <f t="shared" si="19"/>
        <v>19170.1364</v>
      </c>
      <c r="F125" s="161">
        <f t="shared" si="4"/>
        <v>20080.96458</v>
      </c>
      <c r="G125" s="161">
        <f t="shared" si="20"/>
        <v>20148.34397</v>
      </c>
      <c r="H125" s="161">
        <f t="shared" si="21"/>
        <v>20993.15244</v>
      </c>
      <c r="I125" s="161">
        <f t="shared" si="22"/>
        <v>21303.74577</v>
      </c>
      <c r="J125" s="162">
        <f t="shared" si="8"/>
        <v>21905.3403</v>
      </c>
      <c r="K125" s="163">
        <f t="shared" si="23"/>
        <v>0.01169215791</v>
      </c>
      <c r="L125" s="163">
        <f t="shared" si="24"/>
        <v>0.00836344668</v>
      </c>
      <c r="M125" s="163">
        <f t="shared" si="25"/>
        <v>0.1597834245</v>
      </c>
      <c r="N125" s="163">
        <f t="shared" si="26"/>
        <v>-0.008847887794</v>
      </c>
      <c r="O125" s="164">
        <f t="shared" si="27"/>
        <v>-0.001149465792</v>
      </c>
      <c r="P125" s="164">
        <f t="shared" si="16"/>
        <v>0</v>
      </c>
      <c r="U125" s="165">
        <f t="shared" si="15"/>
        <v>1.38031235</v>
      </c>
    </row>
    <row r="126">
      <c r="A126" s="158">
        <v>45974.0</v>
      </c>
      <c r="B126" s="159">
        <f>DATOS!E128/DATOS!D128</f>
        <v>21227.76819</v>
      </c>
      <c r="C126" s="160">
        <f t="shared" si="17"/>
        <v>14225.54997</v>
      </c>
      <c r="D126" s="160">
        <f t="shared" si="18"/>
        <v>7002.218221</v>
      </c>
      <c r="E126" s="161">
        <f t="shared" si="19"/>
        <v>19141.17192</v>
      </c>
      <c r="F126" s="161">
        <f t="shared" si="4"/>
        <v>20020.38915</v>
      </c>
      <c r="G126" s="161">
        <f t="shared" si="20"/>
        <v>20094.09584</v>
      </c>
      <c r="H126" s="161">
        <f t="shared" si="21"/>
        <v>20923.97089</v>
      </c>
      <c r="I126" s="161">
        <f t="shared" si="22"/>
        <v>21216.90702</v>
      </c>
      <c r="J126" s="162">
        <f t="shared" si="8"/>
        <v>21827.55263</v>
      </c>
      <c r="K126" s="163">
        <f t="shared" si="23"/>
        <v>-0.002713206732</v>
      </c>
      <c r="L126" s="163">
        <f t="shared" si="24"/>
        <v>0.00835948555</v>
      </c>
      <c r="M126" s="163">
        <f t="shared" si="25"/>
        <v>0.1597077472</v>
      </c>
      <c r="N126" s="163">
        <f t="shared" si="26"/>
        <v>-0.008850188052</v>
      </c>
      <c r="O126" s="164">
        <f t="shared" si="27"/>
        <v>-0.001149465792</v>
      </c>
      <c r="P126" s="164">
        <f t="shared" si="16"/>
        <v>0.002709529313</v>
      </c>
      <c r="U126" s="165">
        <f t="shared" si="15"/>
        <v>0.8741577618</v>
      </c>
    </row>
    <row r="127">
      <c r="A127" s="158">
        <v>45973.0</v>
      </c>
      <c r="B127" s="159">
        <f>DATOS!E129/DATOS!D129</f>
        <v>21285.44172</v>
      </c>
      <c r="C127" s="160">
        <f t="shared" si="17"/>
        <v>14215.5468</v>
      </c>
      <c r="D127" s="160">
        <f t="shared" si="18"/>
        <v>7069.894918</v>
      </c>
      <c r="E127" s="161">
        <f t="shared" si="19"/>
        <v>19113.63167</v>
      </c>
      <c r="F127" s="161">
        <f t="shared" si="4"/>
        <v>19963.58654</v>
      </c>
      <c r="G127" s="161">
        <f t="shared" si="20"/>
        <v>20047.8235</v>
      </c>
      <c r="H127" s="161">
        <f t="shared" si="21"/>
        <v>20880.57127</v>
      </c>
      <c r="I127" s="161">
        <f t="shared" si="22"/>
        <v>21211.47643</v>
      </c>
      <c r="J127" s="162">
        <f t="shared" si="8"/>
        <v>21797.55601</v>
      </c>
      <c r="K127" s="163">
        <f t="shared" si="23"/>
        <v>0.001461536062</v>
      </c>
      <c r="L127" s="163">
        <f t="shared" si="24"/>
        <v>0.008364769152</v>
      </c>
      <c r="M127" s="163">
        <f t="shared" si="25"/>
        <v>0.1598086903</v>
      </c>
      <c r="N127" s="163">
        <f t="shared" si="26"/>
        <v>-0.00885248831</v>
      </c>
      <c r="O127" s="164">
        <f t="shared" si="27"/>
        <v>-0.0003204531712</v>
      </c>
      <c r="P127" s="164">
        <f t="shared" si="16"/>
        <v>0</v>
      </c>
      <c r="U127" s="165">
        <f t="shared" si="15"/>
        <v>1.147961497</v>
      </c>
    </row>
    <row r="128">
      <c r="A128" s="158">
        <v>45972.0</v>
      </c>
      <c r="B128" s="159">
        <f>DATOS!E130/DATOS!D130</f>
        <v>21254.355</v>
      </c>
      <c r="C128" s="160">
        <f t="shared" si="17"/>
        <v>14205.43251</v>
      </c>
      <c r="D128" s="160">
        <f t="shared" si="18"/>
        <v>7048.922499</v>
      </c>
      <c r="E128" s="161">
        <f t="shared" si="19"/>
        <v>19085.55587</v>
      </c>
      <c r="F128" s="161">
        <f t="shared" si="4"/>
        <v>19902.93288</v>
      </c>
      <c r="G128" s="161">
        <f t="shared" si="20"/>
        <v>19997.30847</v>
      </c>
      <c r="H128" s="161">
        <f t="shared" si="21"/>
        <v>20822.73264</v>
      </c>
      <c r="I128" s="161">
        <f t="shared" si="22"/>
        <v>21174.49379</v>
      </c>
      <c r="J128" s="162">
        <f t="shared" si="8"/>
        <v>21742.5324</v>
      </c>
      <c r="K128" s="163">
        <f t="shared" si="23"/>
        <v>0.000339317947</v>
      </c>
      <c r="L128" s="163">
        <f t="shared" si="24"/>
        <v>0.008371480652</v>
      </c>
      <c r="M128" s="163">
        <f t="shared" si="25"/>
        <v>0.1599369133</v>
      </c>
      <c r="N128" s="163">
        <f t="shared" si="26"/>
        <v>-0.008854788568</v>
      </c>
      <c r="O128" s="164">
        <f t="shared" si="27"/>
        <v>-0.0003204531712</v>
      </c>
      <c r="P128" s="164">
        <f t="shared" si="16"/>
        <v>0</v>
      </c>
      <c r="U128" s="165">
        <f t="shared" si="15"/>
        <v>1.220067891</v>
      </c>
    </row>
    <row r="129">
      <c r="A129" s="158">
        <v>45971.0</v>
      </c>
      <c r="B129" s="159">
        <f>DATOS!E131/DATOS!D131</f>
        <v>21247.14424</v>
      </c>
      <c r="C129" s="160">
        <f t="shared" si="17"/>
        <v>14195.33376</v>
      </c>
      <c r="D129" s="160">
        <f t="shared" si="18"/>
        <v>7051.810481</v>
      </c>
      <c r="E129" s="161">
        <f t="shared" si="19"/>
        <v>19057.51058</v>
      </c>
      <c r="F129" s="161">
        <f t="shared" si="4"/>
        <v>19844.41705</v>
      </c>
      <c r="G129" s="161">
        <f t="shared" si="20"/>
        <v>19946.00045</v>
      </c>
      <c r="H129" s="161">
        <f t="shared" si="21"/>
        <v>20761.0723</v>
      </c>
      <c r="I129" s="161">
        <f t="shared" si="22"/>
        <v>21134.56318</v>
      </c>
      <c r="J129" s="162">
        <f t="shared" si="8"/>
        <v>21677.72755</v>
      </c>
      <c r="K129" s="163">
        <f t="shared" si="23"/>
        <v>0.002269539237</v>
      </c>
      <c r="L129" s="163">
        <f t="shared" si="24"/>
        <v>0.008378156501</v>
      </c>
      <c r="M129" s="163">
        <f t="shared" si="25"/>
        <v>0.1600644552</v>
      </c>
      <c r="N129" s="163">
        <f t="shared" si="26"/>
        <v>-0.008857088826</v>
      </c>
      <c r="O129" s="164">
        <f t="shared" si="27"/>
        <v>-0.0003204531712</v>
      </c>
      <c r="P129" s="164">
        <f t="shared" si="16"/>
        <v>0</v>
      </c>
      <c r="U129" s="165">
        <f t="shared" si="15"/>
        <v>1.378693959</v>
      </c>
    </row>
    <row r="130">
      <c r="A130" s="158">
        <v>45970.0</v>
      </c>
      <c r="B130" s="159">
        <f>DATOS!E132/DATOS!D132</f>
        <v>21198.97769</v>
      </c>
      <c r="C130" s="160">
        <f t="shared" si="17"/>
        <v>14185.21639</v>
      </c>
      <c r="D130" s="160">
        <f t="shared" si="18"/>
        <v>7013.761307</v>
      </c>
      <c r="E130" s="161">
        <f t="shared" si="19"/>
        <v>19029.3425</v>
      </c>
      <c r="F130" s="161">
        <f t="shared" si="4"/>
        <v>19761.49187</v>
      </c>
      <c r="G130" s="161">
        <f t="shared" si="20"/>
        <v>19892.89254</v>
      </c>
      <c r="H130" s="161">
        <f t="shared" si="21"/>
        <v>20691.63345</v>
      </c>
      <c r="I130" s="161">
        <f t="shared" si="22"/>
        <v>21078.27264</v>
      </c>
      <c r="J130" s="162">
        <f t="shared" si="8"/>
        <v>21621.77504</v>
      </c>
      <c r="K130" s="163">
        <f t="shared" si="23"/>
        <v>0.0002827698868</v>
      </c>
      <c r="L130" s="163">
        <f t="shared" si="24"/>
        <v>0.008384787802</v>
      </c>
      <c r="M130" s="163">
        <f t="shared" si="25"/>
        <v>0.160191146</v>
      </c>
      <c r="N130" s="163">
        <f t="shared" si="26"/>
        <v>-0.008859389083</v>
      </c>
      <c r="O130" s="164">
        <f t="shared" si="27"/>
        <v>-0.0003204531712</v>
      </c>
      <c r="P130" s="164">
        <f t="shared" si="16"/>
        <v>0</v>
      </c>
      <c r="U130" s="165">
        <f t="shared" si="15"/>
        <v>1.418165847</v>
      </c>
    </row>
    <row r="131">
      <c r="A131" s="158">
        <v>45969.0</v>
      </c>
      <c r="B131" s="167">
        <f>DATOS!E133/DATOS!D133</f>
        <v>21192.98411</v>
      </c>
      <c r="C131" s="160">
        <f t="shared" si="17"/>
        <v>14175.13914</v>
      </c>
      <c r="D131" s="160">
        <f t="shared" si="18"/>
        <v>7017.844965</v>
      </c>
      <c r="E131" s="161">
        <f t="shared" si="19"/>
        <v>19001.31456</v>
      </c>
      <c r="F131" s="161">
        <f t="shared" si="4"/>
        <v>19703.20754</v>
      </c>
      <c r="G131" s="161">
        <f t="shared" si="20"/>
        <v>19839.58294</v>
      </c>
      <c r="H131" s="161">
        <f t="shared" si="21"/>
        <v>20619.1557</v>
      </c>
      <c r="I131" s="161">
        <f t="shared" si="22"/>
        <v>21017.92012</v>
      </c>
      <c r="J131" s="162">
        <f t="shared" si="8"/>
        <v>21535.10387</v>
      </c>
      <c r="K131" s="163">
        <f t="shared" si="23"/>
        <v>0.0002828094016</v>
      </c>
      <c r="L131" s="163">
        <f t="shared" si="24"/>
        <v>0.008391487101</v>
      </c>
      <c r="M131" s="163">
        <f t="shared" si="25"/>
        <v>0.160319136</v>
      </c>
      <c r="N131" s="163">
        <f t="shared" si="26"/>
        <v>-0.008864968726</v>
      </c>
      <c r="O131" s="164">
        <f t="shared" si="27"/>
        <v>-0.001149465792</v>
      </c>
      <c r="P131" s="164">
        <f t="shared" si="16"/>
        <v>0</v>
      </c>
      <c r="U131" s="168">
        <f t="shared" si="15"/>
        <v>1.628862761</v>
      </c>
    </row>
    <row r="132">
      <c r="A132" s="158">
        <v>45968.0</v>
      </c>
      <c r="B132" s="167">
        <f>DATOS!E134/DATOS!D134</f>
        <v>21186.99138</v>
      </c>
      <c r="C132" s="160">
        <f t="shared" si="17"/>
        <v>14165.04153</v>
      </c>
      <c r="D132" s="160">
        <f t="shared" si="18"/>
        <v>7021.949856</v>
      </c>
      <c r="E132" s="161">
        <f t="shared" si="19"/>
        <v>18973.15575</v>
      </c>
      <c r="F132" s="161">
        <f t="shared" si="4"/>
        <v>19675.73602</v>
      </c>
      <c r="G132" s="161">
        <f t="shared" si="20"/>
        <v>19784.34207</v>
      </c>
      <c r="H132" s="161">
        <f t="shared" si="21"/>
        <v>20537.18022</v>
      </c>
      <c r="I132" s="161">
        <f t="shared" si="22"/>
        <v>20930.38812</v>
      </c>
      <c r="J132" s="162">
        <f t="shared" si="8"/>
        <v>21398.62441</v>
      </c>
      <c r="K132" s="163">
        <f t="shared" si="23"/>
        <v>0.005576201538</v>
      </c>
      <c r="L132" s="163">
        <f t="shared" si="24"/>
        <v>0.008398202487</v>
      </c>
      <c r="M132" s="163">
        <f t="shared" si="25"/>
        <v>0.1604474332</v>
      </c>
      <c r="N132" s="163">
        <f t="shared" si="26"/>
        <v>-0.008870548369</v>
      </c>
      <c r="O132" s="164">
        <f t="shared" si="27"/>
        <v>-0.001149465792</v>
      </c>
      <c r="P132" s="164">
        <f t="shared" si="16"/>
        <v>0</v>
      </c>
      <c r="U132" s="168">
        <f t="shared" si="15"/>
        <v>1.96125186</v>
      </c>
    </row>
    <row r="133">
      <c r="A133" s="158">
        <v>45967.0</v>
      </c>
      <c r="B133" s="167">
        <f>DATOS!E135/DATOS!D135</f>
        <v>21069.17723</v>
      </c>
      <c r="C133" s="160">
        <f t="shared" si="17"/>
        <v>14154.92344</v>
      </c>
      <c r="D133" s="160">
        <f t="shared" si="18"/>
        <v>6914.253789</v>
      </c>
      <c r="E133" s="161">
        <f t="shared" si="19"/>
        <v>18944.86511</v>
      </c>
      <c r="F133" s="161">
        <f t="shared" si="4"/>
        <v>19634.46265</v>
      </c>
      <c r="G133" s="161">
        <f t="shared" si="20"/>
        <v>19727.09108</v>
      </c>
      <c r="H133" s="161">
        <f t="shared" si="21"/>
        <v>20444.35005</v>
      </c>
      <c r="I133" s="161">
        <f t="shared" si="22"/>
        <v>20802.08649</v>
      </c>
      <c r="J133" s="162">
        <f t="shared" si="8"/>
        <v>21254.23745</v>
      </c>
      <c r="K133" s="163">
        <f t="shared" si="23"/>
        <v>0.00464756121</v>
      </c>
      <c r="L133" s="163">
        <f t="shared" si="24"/>
        <v>0.008403106888</v>
      </c>
      <c r="M133" s="163">
        <f t="shared" si="25"/>
        <v>0.1605411317</v>
      </c>
      <c r="N133" s="163">
        <f t="shared" si="26"/>
        <v>-0.008876128012</v>
      </c>
      <c r="O133" s="164">
        <f t="shared" si="27"/>
        <v>-0.001149465792</v>
      </c>
      <c r="P133" s="164">
        <f t="shared" si="16"/>
        <v>0</v>
      </c>
      <c r="U133" s="168">
        <f t="shared" si="15"/>
        <v>2.005896955</v>
      </c>
    </row>
    <row r="134">
      <c r="A134" s="158">
        <v>45966.0</v>
      </c>
      <c r="B134" s="167">
        <f>DATOS!E136/DATOS!D136</f>
        <v>20971.48413</v>
      </c>
      <c r="C134" s="160">
        <f t="shared" si="17"/>
        <v>14144.94616</v>
      </c>
      <c r="D134" s="160">
        <f t="shared" si="18"/>
        <v>6826.537969</v>
      </c>
      <c r="E134" s="161">
        <f t="shared" si="19"/>
        <v>18917.16549</v>
      </c>
      <c r="F134" s="161">
        <f t="shared" si="4"/>
        <v>19574.389</v>
      </c>
      <c r="G134" s="161">
        <f t="shared" si="20"/>
        <v>19672.31206</v>
      </c>
      <c r="H134" s="161">
        <f t="shared" si="21"/>
        <v>20355.08902</v>
      </c>
      <c r="I134" s="161">
        <f t="shared" si="22"/>
        <v>20668.54112</v>
      </c>
      <c r="J134" s="162">
        <f t="shared" si="8"/>
        <v>21135.78905</v>
      </c>
      <c r="K134" s="163">
        <f t="shared" si="23"/>
        <v>0.01834842437</v>
      </c>
      <c r="L134" s="163">
        <f t="shared" si="24"/>
        <v>0.008408732272</v>
      </c>
      <c r="M134" s="163">
        <f t="shared" si="25"/>
        <v>0.1606486045</v>
      </c>
      <c r="N134" s="163">
        <f t="shared" si="26"/>
        <v>-0.008881707654</v>
      </c>
      <c r="O134" s="164">
        <f t="shared" si="27"/>
        <v>-0.001149465792</v>
      </c>
      <c r="P134" s="164">
        <f t="shared" si="16"/>
        <v>0</v>
      </c>
      <c r="U134" s="168">
        <f t="shared" si="15"/>
        <v>2.052808025</v>
      </c>
    </row>
    <row r="135">
      <c r="A135" s="158">
        <v>45965.0</v>
      </c>
      <c r="B135" s="167">
        <f>DATOS!E137/DATOS!D137</f>
        <v>20590.19913</v>
      </c>
      <c r="C135" s="160">
        <f t="shared" si="17"/>
        <v>14135.08122</v>
      </c>
      <c r="D135" s="160">
        <f t="shared" si="18"/>
        <v>6455.117905</v>
      </c>
      <c r="E135" s="161">
        <f t="shared" si="19"/>
        <v>18889.93078</v>
      </c>
      <c r="F135" s="161">
        <f t="shared" si="4"/>
        <v>19477.73635</v>
      </c>
      <c r="G135" s="161">
        <f t="shared" si="20"/>
        <v>19619.28462</v>
      </c>
      <c r="H135" s="161">
        <f t="shared" si="21"/>
        <v>20267.03258</v>
      </c>
      <c r="I135" s="161">
        <f t="shared" si="22"/>
        <v>20517.06961</v>
      </c>
      <c r="J135" s="162">
        <f t="shared" si="8"/>
        <v>21056.32881</v>
      </c>
      <c r="K135" s="163">
        <f t="shared" si="23"/>
        <v>0.003417978772</v>
      </c>
      <c r="L135" s="163">
        <f t="shared" si="24"/>
        <v>0.008386827682</v>
      </c>
      <c r="M135" s="163">
        <f t="shared" si="25"/>
        <v>0.1602301179</v>
      </c>
      <c r="N135" s="163">
        <f t="shared" si="26"/>
        <v>-0.008887287297</v>
      </c>
      <c r="O135" s="164">
        <f t="shared" si="27"/>
        <v>-0.001272053265</v>
      </c>
      <c r="P135" s="164">
        <f t="shared" si="16"/>
        <v>0</v>
      </c>
      <c r="U135" s="168">
        <f t="shared" si="15"/>
        <v>1.064534453</v>
      </c>
    </row>
    <row r="136">
      <c r="A136" s="158">
        <v>45964.0</v>
      </c>
      <c r="B136" s="167">
        <f>DATOS!E138/DATOS!D138</f>
        <v>20519.9424</v>
      </c>
      <c r="C136" s="160">
        <f t="shared" si="17"/>
        <v>14125.73952</v>
      </c>
      <c r="D136" s="160">
        <f t="shared" si="18"/>
        <v>6394.202882</v>
      </c>
      <c r="E136" s="161">
        <f t="shared" si="19"/>
        <v>18865.00591</v>
      </c>
      <c r="F136" s="161">
        <f t="shared" si="4"/>
        <v>19360.86917</v>
      </c>
      <c r="G136" s="161">
        <f t="shared" si="20"/>
        <v>19579.65546</v>
      </c>
      <c r="H136" s="161">
        <f t="shared" si="21"/>
        <v>20220.86593</v>
      </c>
      <c r="I136" s="161">
        <f t="shared" si="22"/>
        <v>20480.50485</v>
      </c>
      <c r="J136" s="162">
        <f t="shared" si="8"/>
        <v>21080.86269</v>
      </c>
      <c r="K136" s="163">
        <f t="shared" si="23"/>
        <v>0.0002634932798</v>
      </c>
      <c r="L136" s="163">
        <f t="shared" si="24"/>
        <v>0.00839313322</v>
      </c>
      <c r="M136" s="163">
        <f t="shared" si="25"/>
        <v>0.160350585</v>
      </c>
      <c r="N136" s="163">
        <f t="shared" si="26"/>
        <v>-0.00889286694</v>
      </c>
      <c r="O136" s="164">
        <f t="shared" si="27"/>
        <v>-0.001272053265</v>
      </c>
      <c r="P136" s="164">
        <f t="shared" si="16"/>
        <v>0</v>
      </c>
      <c r="U136" s="168">
        <f t="shared" si="15"/>
        <v>0.9041880935</v>
      </c>
    </row>
    <row r="137">
      <c r="A137" s="158">
        <v>45963.0</v>
      </c>
      <c r="B137" s="167">
        <f>DATOS!E139/DATOS!D139</f>
        <v>20514.53625</v>
      </c>
      <c r="C137" s="160">
        <f t="shared" si="17"/>
        <v>14116.47256</v>
      </c>
      <c r="D137" s="160">
        <f t="shared" si="18"/>
        <v>6398.063688</v>
      </c>
      <c r="E137" s="161">
        <f t="shared" si="19"/>
        <v>18840.38485</v>
      </c>
      <c r="F137" s="161">
        <f t="shared" si="4"/>
        <v>19273.8991</v>
      </c>
      <c r="G137" s="161">
        <f t="shared" si="20"/>
        <v>19541.2764</v>
      </c>
      <c r="H137" s="161">
        <f t="shared" si="21"/>
        <v>20178.14072</v>
      </c>
      <c r="I137" s="161">
        <f t="shared" si="22"/>
        <v>20460.78607</v>
      </c>
      <c r="J137" s="162">
        <f t="shared" si="8"/>
        <v>21082.38234</v>
      </c>
      <c r="K137" s="163">
        <f t="shared" si="23"/>
        <v>0.0002919976094</v>
      </c>
      <c r="L137" s="163">
        <f t="shared" si="24"/>
        <v>0.008399908647</v>
      </c>
      <c r="M137" s="163">
        <f t="shared" si="25"/>
        <v>0.1604800294</v>
      </c>
      <c r="N137" s="163">
        <f t="shared" si="26"/>
        <v>-0.008898446582</v>
      </c>
      <c r="O137" s="164">
        <f t="shared" si="27"/>
        <v>-0.001272053265</v>
      </c>
      <c r="P137" s="164">
        <f t="shared" si="16"/>
        <v>0</v>
      </c>
      <c r="U137" s="168">
        <f t="shared" si="15"/>
        <v>0.9672507399</v>
      </c>
    </row>
    <row r="138">
      <c r="A138" s="158">
        <v>45962.0</v>
      </c>
      <c r="B138" s="167">
        <f>DATOS!E140/DATOS!D140</f>
        <v>20508.54693</v>
      </c>
      <c r="C138" s="160">
        <f t="shared" si="17"/>
        <v>14107.18655</v>
      </c>
      <c r="D138" s="160">
        <f t="shared" si="18"/>
        <v>6401.360381</v>
      </c>
      <c r="E138" s="161">
        <f t="shared" si="19"/>
        <v>18815.64738</v>
      </c>
      <c r="F138" s="161">
        <f t="shared" si="4"/>
        <v>19208.67737</v>
      </c>
      <c r="G138" s="161">
        <f t="shared" si="20"/>
        <v>19501.55151</v>
      </c>
      <c r="H138" s="161">
        <f t="shared" si="21"/>
        <v>20130.08422</v>
      </c>
      <c r="I138" s="161">
        <f t="shared" si="22"/>
        <v>20433.91099</v>
      </c>
      <c r="J138" s="162">
        <f t="shared" si="8"/>
        <v>21051.49106</v>
      </c>
      <c r="K138" s="163">
        <f t="shared" si="23"/>
        <v>0.0002920455887</v>
      </c>
      <c r="L138" s="163">
        <f t="shared" si="24"/>
        <v>0.008406705066</v>
      </c>
      <c r="M138" s="163">
        <f t="shared" si="25"/>
        <v>0.1606098748</v>
      </c>
      <c r="N138" s="163">
        <f t="shared" si="26"/>
        <v>-0.008904026225</v>
      </c>
      <c r="O138" s="164">
        <f t="shared" si="27"/>
        <v>-0.001272053265</v>
      </c>
      <c r="P138" s="164">
        <f t="shared" si="16"/>
        <v>0</v>
      </c>
      <c r="U138" s="168">
        <f t="shared" si="15"/>
        <v>1.067935463</v>
      </c>
    </row>
    <row r="139">
      <c r="A139" s="158">
        <v>45961.0</v>
      </c>
      <c r="B139" s="167">
        <f>DATOS!E141/DATOS!D141</f>
        <v>20502.55837</v>
      </c>
      <c r="C139" s="160">
        <f t="shared" si="17"/>
        <v>14097.88224</v>
      </c>
      <c r="D139" s="160">
        <f t="shared" si="18"/>
        <v>6404.676128</v>
      </c>
      <c r="E139" s="161">
        <f t="shared" si="19"/>
        <v>18790.79647</v>
      </c>
      <c r="F139" s="161">
        <f t="shared" si="4"/>
        <v>19162.80965</v>
      </c>
      <c r="G139" s="161">
        <f t="shared" si="20"/>
        <v>19460.44966</v>
      </c>
      <c r="H139" s="161">
        <f t="shared" si="21"/>
        <v>20076.01811</v>
      </c>
      <c r="I139" s="161">
        <f t="shared" si="22"/>
        <v>20396.59301</v>
      </c>
      <c r="J139" s="162">
        <f t="shared" si="8"/>
        <v>20989.22658</v>
      </c>
      <c r="K139" s="163">
        <f t="shared" si="23"/>
        <v>0.002462867568</v>
      </c>
      <c r="L139" s="163">
        <f t="shared" si="24"/>
        <v>0.008413518015</v>
      </c>
      <c r="M139" s="163">
        <f t="shared" si="25"/>
        <v>0.160740036</v>
      </c>
      <c r="N139" s="163">
        <f t="shared" si="26"/>
        <v>-0.008909605868</v>
      </c>
      <c r="O139" s="164">
        <f t="shared" si="27"/>
        <v>-0.001898431633</v>
      </c>
      <c r="P139" s="164">
        <f t="shared" si="16"/>
        <v>0</v>
      </c>
      <c r="U139" s="168">
        <f t="shared" si="15"/>
        <v>1.214404709</v>
      </c>
    </row>
    <row r="140">
      <c r="A140" s="158">
        <v>45960.0</v>
      </c>
      <c r="B140" s="167">
        <f>DATOS!E142/DATOS!D142</f>
        <v>20452.12541</v>
      </c>
      <c r="C140" s="160">
        <f t="shared" si="17"/>
        <v>14088.55957</v>
      </c>
      <c r="D140" s="160">
        <f t="shared" si="18"/>
        <v>6363.565845</v>
      </c>
      <c r="E140" s="161">
        <f t="shared" si="19"/>
        <v>18765.83131</v>
      </c>
      <c r="F140" s="161">
        <f t="shared" si="4"/>
        <v>19105.39568</v>
      </c>
      <c r="G140" s="161">
        <f t="shared" si="20"/>
        <v>19417.91461</v>
      </c>
      <c r="H140" s="161">
        <f t="shared" si="21"/>
        <v>20015.08379</v>
      </c>
      <c r="I140" s="161">
        <f t="shared" si="22"/>
        <v>20343.61034</v>
      </c>
      <c r="J140" s="162">
        <f t="shared" si="8"/>
        <v>20924.7719</v>
      </c>
      <c r="K140" s="163">
        <f t="shared" si="23"/>
        <v>-0.001573200124</v>
      </c>
      <c r="L140" s="163">
        <f t="shared" si="24"/>
        <v>0.008420230943</v>
      </c>
      <c r="M140" s="163">
        <f t="shared" si="25"/>
        <v>0.1608682863</v>
      </c>
      <c r="N140" s="163">
        <f t="shared" si="26"/>
        <v>-0.008915185511</v>
      </c>
      <c r="O140" s="164">
        <f t="shared" si="27"/>
        <v>-0.002342731874</v>
      </c>
      <c r="P140" s="164">
        <f t="shared" si="16"/>
        <v>0.001571963294</v>
      </c>
      <c r="U140" s="168">
        <f t="shared" si="15"/>
        <v>1.249118467</v>
      </c>
    </row>
    <row r="141">
      <c r="A141" s="158">
        <v>45959.0</v>
      </c>
      <c r="B141" s="167">
        <f>DATOS!E143/DATOS!D143</f>
        <v>20484.32602</v>
      </c>
      <c r="C141" s="160">
        <f t="shared" si="17"/>
        <v>14079.28323</v>
      </c>
      <c r="D141" s="160">
        <f t="shared" si="18"/>
        <v>6405.042788</v>
      </c>
      <c r="E141" s="161">
        <f t="shared" si="19"/>
        <v>18741.04202</v>
      </c>
      <c r="F141" s="161">
        <f t="shared" si="4"/>
        <v>19051.32096</v>
      </c>
      <c r="G141" s="161">
        <f t="shared" si="20"/>
        <v>19375.70192</v>
      </c>
      <c r="H141" s="161">
        <f t="shared" si="21"/>
        <v>19952.64927</v>
      </c>
      <c r="I141" s="161">
        <f t="shared" si="22"/>
        <v>20289.3528</v>
      </c>
      <c r="J141" s="162">
        <f t="shared" si="8"/>
        <v>20853.97759</v>
      </c>
      <c r="K141" s="163">
        <f t="shared" si="23"/>
        <v>0.005475543626</v>
      </c>
      <c r="L141" s="163">
        <f t="shared" si="24"/>
        <v>0.008426444017</v>
      </c>
      <c r="M141" s="163">
        <f t="shared" si="25"/>
        <v>0.1609869869</v>
      </c>
      <c r="N141" s="163">
        <f t="shared" si="26"/>
        <v>-0.008920765153</v>
      </c>
      <c r="O141" s="164">
        <f t="shared" si="27"/>
        <v>-0.002342731874</v>
      </c>
      <c r="P141" s="164">
        <f t="shared" si="16"/>
        <v>0</v>
      </c>
      <c r="U141" s="168">
        <f t="shared" si="15"/>
        <v>1.533691464</v>
      </c>
    </row>
    <row r="142">
      <c r="A142" s="158">
        <v>45958.0</v>
      </c>
      <c r="B142" s="167">
        <f>DATOS!E144/DATOS!D144</f>
        <v>20372.46972</v>
      </c>
      <c r="C142" s="160">
        <f t="shared" si="17"/>
        <v>14069.93281</v>
      </c>
      <c r="D142" s="160">
        <f t="shared" si="18"/>
        <v>6302.536912</v>
      </c>
      <c r="E142" s="161">
        <f t="shared" si="19"/>
        <v>18715.88808</v>
      </c>
      <c r="F142" s="161">
        <f t="shared" si="4"/>
        <v>19024.8546</v>
      </c>
      <c r="G142" s="161">
        <f t="shared" si="20"/>
        <v>19330.45196</v>
      </c>
      <c r="H142" s="161">
        <f t="shared" si="21"/>
        <v>19876.69545</v>
      </c>
      <c r="I142" s="161">
        <f t="shared" si="22"/>
        <v>20191.86618</v>
      </c>
      <c r="J142" s="162">
        <f t="shared" si="8"/>
        <v>20728.53631</v>
      </c>
      <c r="K142" s="163">
        <f t="shared" si="23"/>
        <v>0.00338539555</v>
      </c>
      <c r="L142" s="163">
        <f t="shared" si="24"/>
        <v>0.00843150415</v>
      </c>
      <c r="M142" s="163">
        <f t="shared" si="25"/>
        <v>0.1610836606</v>
      </c>
      <c r="N142" s="163">
        <f t="shared" si="26"/>
        <v>-0.008926344796</v>
      </c>
      <c r="O142" s="164">
        <f t="shared" si="27"/>
        <v>-0.002342731874</v>
      </c>
      <c r="P142" s="164">
        <f t="shared" si="16"/>
        <v>0</v>
      </c>
      <c r="U142" s="168">
        <f t="shared" si="15"/>
        <v>1.51320882</v>
      </c>
    </row>
    <row r="143">
      <c r="A143" s="158">
        <v>45957.0</v>
      </c>
      <c r="B143" s="167">
        <f>DATOS!E145/DATOS!D145</f>
        <v>20303.61746</v>
      </c>
      <c r="C143" s="160">
        <f t="shared" si="17"/>
        <v>14060.71857</v>
      </c>
      <c r="D143" s="160">
        <f t="shared" si="18"/>
        <v>6242.89889</v>
      </c>
      <c r="E143" s="161">
        <f t="shared" si="19"/>
        <v>18691.313</v>
      </c>
      <c r="F143" s="161">
        <f t="shared" si="4"/>
        <v>18997.27936</v>
      </c>
      <c r="G143" s="161">
        <f t="shared" si="20"/>
        <v>19287.92062</v>
      </c>
      <c r="H143" s="161">
        <f t="shared" si="21"/>
        <v>19805.87056</v>
      </c>
      <c r="I143" s="161">
        <f t="shared" si="22"/>
        <v>20101.56442</v>
      </c>
      <c r="J143" s="162">
        <f t="shared" si="8"/>
        <v>20614.46176</v>
      </c>
      <c r="K143" s="163">
        <f t="shared" si="23"/>
        <v>0.009393051669</v>
      </c>
      <c r="L143" s="163">
        <f t="shared" si="24"/>
        <v>0.008437934461</v>
      </c>
      <c r="M143" s="163">
        <f t="shared" si="25"/>
        <v>0.1612065115</v>
      </c>
      <c r="N143" s="163">
        <f t="shared" si="26"/>
        <v>-0.008931924439</v>
      </c>
      <c r="O143" s="164">
        <f t="shared" si="27"/>
        <v>-0.002342731874</v>
      </c>
      <c r="P143" s="164">
        <f t="shared" si="16"/>
        <v>0</v>
      </c>
      <c r="U143" s="168">
        <f t="shared" si="15"/>
        <v>1.60048978</v>
      </c>
    </row>
    <row r="144">
      <c r="A144" s="158">
        <v>45956.0</v>
      </c>
      <c r="B144" s="167">
        <f>DATOS!E146/DATOS!D146</f>
        <v>20113.79742</v>
      </c>
      <c r="C144" s="160">
        <f t="shared" si="17"/>
        <v>14051.57816</v>
      </c>
      <c r="D144" s="160">
        <f t="shared" si="18"/>
        <v>6062.219261</v>
      </c>
      <c r="E144" s="161">
        <f t="shared" si="19"/>
        <v>18667.03817</v>
      </c>
      <c r="F144" s="161">
        <f t="shared" si="4"/>
        <v>18990.09211</v>
      </c>
      <c r="G144" s="161">
        <f t="shared" si="20"/>
        <v>19246.46361</v>
      </c>
      <c r="H144" s="161">
        <f t="shared" si="21"/>
        <v>19734.76386</v>
      </c>
      <c r="I144" s="161">
        <f t="shared" si="22"/>
        <v>20000.53789</v>
      </c>
      <c r="J144" s="162">
        <f t="shared" si="8"/>
        <v>20479.4356</v>
      </c>
      <c r="K144" s="163">
        <f t="shared" si="23"/>
        <v>0.0002362716471</v>
      </c>
      <c r="L144" s="163">
        <f t="shared" si="24"/>
        <v>0.008438149369</v>
      </c>
      <c r="M144" s="163">
        <f t="shared" si="25"/>
        <v>0.1612106173</v>
      </c>
      <c r="N144" s="163">
        <f t="shared" si="26"/>
        <v>-0.008937504081</v>
      </c>
      <c r="O144" s="164">
        <f t="shared" si="27"/>
        <v>-0.002342731874</v>
      </c>
      <c r="P144" s="164">
        <f t="shared" si="16"/>
        <v>0</v>
      </c>
      <c r="U144" s="168">
        <f t="shared" si="15"/>
        <v>1.323384807</v>
      </c>
    </row>
    <row r="145">
      <c r="A145" s="158">
        <v>45955.0</v>
      </c>
      <c r="B145" s="167">
        <f>DATOS!E147/DATOS!D147</f>
        <v>20109.04567</v>
      </c>
      <c r="C145" s="160">
        <f t="shared" si="17"/>
        <v>14042.68928</v>
      </c>
      <c r="D145" s="160">
        <f t="shared" si="18"/>
        <v>6066.356387</v>
      </c>
      <c r="E145" s="161">
        <f t="shared" si="19"/>
        <v>18643.86298</v>
      </c>
      <c r="F145" s="161">
        <f t="shared" si="4"/>
        <v>18971.91059</v>
      </c>
      <c r="G145" s="161">
        <f t="shared" si="20"/>
        <v>19211.06223</v>
      </c>
      <c r="H145" s="161">
        <f t="shared" si="21"/>
        <v>19680.61621</v>
      </c>
      <c r="I145" s="161">
        <f t="shared" si="22"/>
        <v>19943.90813</v>
      </c>
      <c r="J145" s="162">
        <f t="shared" si="8"/>
        <v>20389.32182</v>
      </c>
      <c r="K145" s="163">
        <f t="shared" si="23"/>
        <v>0.0002362920834</v>
      </c>
      <c r="L145" s="163">
        <f t="shared" si="24"/>
        <v>0.008445050464</v>
      </c>
      <c r="M145" s="163">
        <f t="shared" si="25"/>
        <v>0.1613424626</v>
      </c>
      <c r="N145" s="163">
        <f t="shared" si="26"/>
        <v>-0.008943083724</v>
      </c>
      <c r="O145" s="164">
        <f t="shared" si="27"/>
        <v>-0.002342731874</v>
      </c>
      <c r="P145" s="164">
        <f t="shared" si="16"/>
        <v>0</v>
      </c>
      <c r="U145" s="168">
        <f t="shared" si="15"/>
        <v>1.571762052</v>
      </c>
    </row>
    <row r="146">
      <c r="A146" s="158">
        <v>45954.0</v>
      </c>
      <c r="B146" s="167">
        <f>DATOS!E148/DATOS!D148</f>
        <v>20104.29462</v>
      </c>
      <c r="C146" s="160">
        <f t="shared" si="17"/>
        <v>14033.78127</v>
      </c>
      <c r="D146" s="160">
        <f t="shared" si="18"/>
        <v>6070.513352</v>
      </c>
      <c r="E146" s="161">
        <f t="shared" si="19"/>
        <v>18620.57405</v>
      </c>
      <c r="F146" s="161">
        <f t="shared" si="4"/>
        <v>18979.05017</v>
      </c>
      <c r="G146" s="161">
        <f t="shared" si="20"/>
        <v>19174.40984</v>
      </c>
      <c r="H146" s="161">
        <f t="shared" si="21"/>
        <v>19619.412</v>
      </c>
      <c r="I146" s="161">
        <f t="shared" si="22"/>
        <v>19861.33936</v>
      </c>
      <c r="J146" s="162">
        <f t="shared" si="8"/>
        <v>20259.77383</v>
      </c>
      <c r="K146" s="163">
        <f t="shared" si="23"/>
        <v>0.009830943537</v>
      </c>
      <c r="L146" s="163">
        <f t="shared" si="24"/>
        <v>0.00845196852</v>
      </c>
      <c r="M146" s="163">
        <f t="shared" si="25"/>
        <v>0.1614746318</v>
      </c>
      <c r="N146" s="163">
        <f t="shared" si="26"/>
        <v>-0.008948663367</v>
      </c>
      <c r="O146" s="164">
        <f t="shared" si="27"/>
        <v>-0.002342731874</v>
      </c>
      <c r="P146" s="164">
        <f t="shared" si="16"/>
        <v>0</v>
      </c>
      <c r="U146" s="168">
        <f t="shared" si="15"/>
        <v>1.968722616</v>
      </c>
    </row>
    <row r="147">
      <c r="A147" s="158">
        <v>45953.0</v>
      </c>
      <c r="B147" s="167">
        <f>DATOS!E149/DATOS!D149</f>
        <v>19907.61877</v>
      </c>
      <c r="C147" s="160">
        <f t="shared" si="17"/>
        <v>14024.85404</v>
      </c>
      <c r="D147" s="160">
        <f t="shared" si="18"/>
        <v>5882.764731</v>
      </c>
      <c r="E147" s="161">
        <f t="shared" si="19"/>
        <v>18597.17054</v>
      </c>
      <c r="F147" s="161">
        <f t="shared" si="4"/>
        <v>19034.88573</v>
      </c>
      <c r="G147" s="161">
        <f t="shared" si="20"/>
        <v>19136.45536</v>
      </c>
      <c r="H147" s="161">
        <f t="shared" si="21"/>
        <v>19550.14305</v>
      </c>
      <c r="I147" s="161">
        <f t="shared" si="22"/>
        <v>19739.86173</v>
      </c>
      <c r="J147" s="162">
        <f t="shared" si="8"/>
        <v>20065.40038</v>
      </c>
      <c r="K147" s="163">
        <f t="shared" si="23"/>
        <v>0.005894605725</v>
      </c>
      <c r="L147" s="163">
        <f t="shared" si="24"/>
        <v>0.008451455478</v>
      </c>
      <c r="M147" s="163">
        <f t="shared" si="25"/>
        <v>0.1614648302</v>
      </c>
      <c r="N147" s="163">
        <f t="shared" si="26"/>
        <v>-0.00895424301</v>
      </c>
      <c r="O147" s="164">
        <f t="shared" si="27"/>
        <v>-0.002342731874</v>
      </c>
      <c r="P147" s="164">
        <f t="shared" si="16"/>
        <v>0</v>
      </c>
      <c r="U147" s="168">
        <f t="shared" si="15"/>
        <v>1.8038305</v>
      </c>
    </row>
    <row r="148">
      <c r="A148" s="158">
        <v>45952.0</v>
      </c>
      <c r="B148" s="167">
        <f>DATOS!E150/DATOS!D150</f>
        <v>19790.61639</v>
      </c>
      <c r="C148" s="160">
        <f t="shared" si="17"/>
        <v>14016.19018</v>
      </c>
      <c r="D148" s="160">
        <f t="shared" si="18"/>
        <v>5774.426213</v>
      </c>
      <c r="E148" s="161">
        <f t="shared" si="19"/>
        <v>18574.92266</v>
      </c>
      <c r="F148" s="161">
        <f t="shared" si="4"/>
        <v>19051.33269</v>
      </c>
      <c r="G148" s="161">
        <f t="shared" si="20"/>
        <v>19104.9793</v>
      </c>
      <c r="H148" s="161">
        <f t="shared" si="21"/>
        <v>19499.07509</v>
      </c>
      <c r="I148" s="161">
        <f t="shared" si="22"/>
        <v>19655.98321</v>
      </c>
      <c r="J148" s="162">
        <f t="shared" si="8"/>
        <v>19946.81749</v>
      </c>
      <c r="K148" s="163">
        <f t="shared" si="23"/>
        <v>0.00881466244</v>
      </c>
      <c r="L148" s="163">
        <f t="shared" si="24"/>
        <v>0.008456180267</v>
      </c>
      <c r="M148" s="163">
        <f t="shared" si="25"/>
        <v>0.1615550972</v>
      </c>
      <c r="N148" s="163">
        <f t="shared" si="26"/>
        <v>-0.008959822652</v>
      </c>
      <c r="O148" s="164">
        <f t="shared" si="27"/>
        <v>-0.002342731874</v>
      </c>
      <c r="P148" s="164">
        <f t="shared" si="16"/>
        <v>0</v>
      </c>
      <c r="U148" s="168">
        <f t="shared" si="15"/>
        <v>1.692954206</v>
      </c>
    </row>
    <row r="149">
      <c r="A149" s="158">
        <v>45951.0</v>
      </c>
      <c r="B149" s="167">
        <f>DATOS!E151/DATOS!D151</f>
        <v>19616.93538</v>
      </c>
      <c r="C149" s="160">
        <f t="shared" si="17"/>
        <v>14007.67332</v>
      </c>
      <c r="D149" s="160">
        <f t="shared" si="18"/>
        <v>5609.262058</v>
      </c>
      <c r="E149" s="161">
        <f t="shared" si="19"/>
        <v>18553.31053</v>
      </c>
      <c r="F149" s="161">
        <f t="shared" si="4"/>
        <v>19059.41736</v>
      </c>
      <c r="G149" s="161">
        <f t="shared" si="20"/>
        <v>19076.99411</v>
      </c>
      <c r="H149" s="161">
        <f t="shared" si="21"/>
        <v>19457.42633</v>
      </c>
      <c r="I149" s="161">
        <f t="shared" si="22"/>
        <v>19588.66661</v>
      </c>
      <c r="J149" s="162">
        <f t="shared" si="8"/>
        <v>19855.43531</v>
      </c>
      <c r="K149" s="163">
        <f t="shared" si="23"/>
        <v>0.00005979862311</v>
      </c>
      <c r="L149" s="163">
        <f t="shared" si="24"/>
        <v>0.008457288946</v>
      </c>
      <c r="M149" s="163">
        <f t="shared" si="25"/>
        <v>0.1615762784</v>
      </c>
      <c r="N149" s="163">
        <f t="shared" si="26"/>
        <v>-0.008965402295</v>
      </c>
      <c r="O149" s="164">
        <f t="shared" si="27"/>
        <v>-0.002342731874</v>
      </c>
      <c r="P149" s="164">
        <f t="shared" si="16"/>
        <v>0.0005716062234</v>
      </c>
      <c r="U149" s="168">
        <f t="shared" si="15"/>
        <v>1.041995396</v>
      </c>
    </row>
    <row r="150">
      <c r="A150" s="158">
        <v>45950.0</v>
      </c>
      <c r="B150" s="167">
        <f>DATOS!E152/DATOS!D152</f>
        <v>19615.76235</v>
      </c>
      <c r="C150" s="160">
        <f t="shared" si="17"/>
        <v>13999.38785</v>
      </c>
      <c r="D150" s="160">
        <f t="shared" si="18"/>
        <v>5616.374495</v>
      </c>
      <c r="E150" s="161">
        <f t="shared" si="19"/>
        <v>18532.71552</v>
      </c>
      <c r="F150" s="161">
        <f t="shared" si="4"/>
        <v>19036.70097</v>
      </c>
      <c r="G150" s="161">
        <f t="shared" si="20"/>
        <v>19054.9557</v>
      </c>
      <c r="H150" s="161">
        <f t="shared" si="21"/>
        <v>19434.63933</v>
      </c>
      <c r="I150" s="161">
        <f t="shared" si="22"/>
        <v>19574.53223</v>
      </c>
      <c r="J150" s="162">
        <f t="shared" si="8"/>
        <v>19832.57768</v>
      </c>
      <c r="K150" s="163">
        <f t="shared" si="23"/>
        <v>-0.0006315682756</v>
      </c>
      <c r="L150" s="163">
        <f t="shared" si="24"/>
        <v>0.008464237653</v>
      </c>
      <c r="M150" s="163">
        <f t="shared" si="25"/>
        <v>0.1617090333</v>
      </c>
      <c r="N150" s="163">
        <f t="shared" si="26"/>
        <v>-0.008970981938</v>
      </c>
      <c r="O150" s="164">
        <f t="shared" si="27"/>
        <v>-0.002342731874</v>
      </c>
      <c r="P150" s="164">
        <f t="shared" si="16"/>
        <v>0.0006313688783</v>
      </c>
      <c r="U150" s="168">
        <f t="shared" si="15"/>
        <v>1.183399026</v>
      </c>
    </row>
    <row r="151">
      <c r="A151" s="158">
        <v>45949.0</v>
      </c>
      <c r="B151" s="167">
        <f>DATOS!E153/DATOS!D153</f>
        <v>19628.15496</v>
      </c>
      <c r="C151" s="160">
        <f t="shared" si="17"/>
        <v>13991.07961</v>
      </c>
      <c r="D151" s="160">
        <f t="shared" si="18"/>
        <v>5637.075348</v>
      </c>
      <c r="E151" s="161">
        <f t="shared" si="19"/>
        <v>18511.99712</v>
      </c>
      <c r="F151" s="161">
        <f t="shared" si="4"/>
        <v>19027.84125</v>
      </c>
      <c r="G151" s="161">
        <f t="shared" si="20"/>
        <v>19032.06563</v>
      </c>
      <c r="H151" s="161">
        <f t="shared" si="21"/>
        <v>19408.76461</v>
      </c>
      <c r="I151" s="161">
        <f t="shared" si="22"/>
        <v>19553.91717</v>
      </c>
      <c r="J151" s="162">
        <f t="shared" si="8"/>
        <v>19789.68796</v>
      </c>
      <c r="K151" s="163">
        <f t="shared" si="23"/>
        <v>0.0002550089132</v>
      </c>
      <c r="L151" s="163">
        <f t="shared" si="24"/>
        <v>0.008471021385</v>
      </c>
      <c r="M151" s="163">
        <f t="shared" si="25"/>
        <v>0.1618386363</v>
      </c>
      <c r="N151" s="163">
        <f t="shared" si="26"/>
        <v>-0.008980267266</v>
      </c>
      <c r="O151" s="164">
        <f t="shared" si="27"/>
        <v>-0.002342731874</v>
      </c>
      <c r="P151" s="164">
        <f t="shared" si="16"/>
        <v>0</v>
      </c>
      <c r="U151" s="168">
        <f t="shared" si="15"/>
        <v>1.497453211</v>
      </c>
    </row>
    <row r="152">
      <c r="A152" s="158">
        <v>45948.0</v>
      </c>
      <c r="B152" s="167">
        <f>DATOS!E154/DATOS!D154</f>
        <v>19623.15024</v>
      </c>
      <c r="C152" s="160">
        <f t="shared" si="17"/>
        <v>13982.72839</v>
      </c>
      <c r="D152" s="160">
        <f t="shared" si="18"/>
        <v>5640.421854</v>
      </c>
      <c r="E152" s="161">
        <f t="shared" si="19"/>
        <v>18491.06399</v>
      </c>
      <c r="F152" s="161">
        <f t="shared" si="4"/>
        <v>19031.60357</v>
      </c>
      <c r="G152" s="161">
        <f t="shared" si="20"/>
        <v>19007.73545</v>
      </c>
      <c r="H152" s="161">
        <f t="shared" si="21"/>
        <v>19377.42313</v>
      </c>
      <c r="I152" s="161">
        <f t="shared" si="22"/>
        <v>19516.79827</v>
      </c>
      <c r="J152" s="162">
        <f t="shared" si="8"/>
        <v>19723.24269</v>
      </c>
      <c r="K152" s="163">
        <f t="shared" si="23"/>
        <v>0.0002550358431</v>
      </c>
      <c r="L152" s="163">
        <f t="shared" si="24"/>
        <v>0.008478038567</v>
      </c>
      <c r="M152" s="163">
        <f t="shared" si="25"/>
        <v>0.1619726994</v>
      </c>
      <c r="N152" s="163">
        <f t="shared" si="26"/>
        <v>-0.008989552595</v>
      </c>
      <c r="O152" s="164">
        <f t="shared" si="27"/>
        <v>-0.002342731874</v>
      </c>
      <c r="P152" s="164">
        <f t="shared" si="16"/>
        <v>0</v>
      </c>
      <c r="U152" s="168">
        <f t="shared" si="15"/>
        <v>1.847467725</v>
      </c>
    </row>
    <row r="153">
      <c r="A153" s="158">
        <v>45947.0</v>
      </c>
      <c r="B153" s="167">
        <f>DATOS!E155/DATOS!D155</f>
        <v>19618.14627</v>
      </c>
      <c r="C153" s="160">
        <f t="shared" si="17"/>
        <v>13974.35981</v>
      </c>
      <c r="D153" s="160">
        <f t="shared" si="18"/>
        <v>5643.786464</v>
      </c>
      <c r="E153" s="161">
        <f t="shared" si="19"/>
        <v>18470.03071</v>
      </c>
      <c r="F153" s="161">
        <f t="shared" si="4"/>
        <v>19050.08058</v>
      </c>
      <c r="G153" s="161">
        <f t="shared" si="20"/>
        <v>18982.61648</v>
      </c>
      <c r="H153" s="161">
        <f t="shared" si="21"/>
        <v>19342.31926</v>
      </c>
      <c r="I153" s="161">
        <f t="shared" si="22"/>
        <v>19463.62229</v>
      </c>
      <c r="J153" s="162">
        <f t="shared" si="8"/>
        <v>19634.55793</v>
      </c>
      <c r="K153" s="163">
        <f t="shared" si="23"/>
        <v>0.007366837885</v>
      </c>
      <c r="L153" s="163">
        <f t="shared" si="24"/>
        <v>0.00848507322</v>
      </c>
      <c r="M153" s="163">
        <f t="shared" si="25"/>
        <v>0.1621070962</v>
      </c>
      <c r="N153" s="163">
        <f t="shared" si="26"/>
        <v>-0.008998837924</v>
      </c>
      <c r="O153" s="164">
        <f t="shared" si="27"/>
        <v>-0.002342731874</v>
      </c>
      <c r="P153" s="164">
        <f t="shared" si="16"/>
        <v>0</v>
      </c>
      <c r="U153" s="168">
        <f t="shared" si="15"/>
        <v>2.453988111</v>
      </c>
    </row>
    <row r="154">
      <c r="A154" s="158">
        <v>45946.0</v>
      </c>
      <c r="B154" s="167">
        <f>DATOS!E156/DATOS!D156</f>
        <v>19474.1536</v>
      </c>
      <c r="C154" s="160">
        <f t="shared" si="17"/>
        <v>13965.97379</v>
      </c>
      <c r="D154" s="160">
        <f t="shared" si="18"/>
        <v>5508.17981</v>
      </c>
      <c r="E154" s="161">
        <f t="shared" si="19"/>
        <v>18448.89653</v>
      </c>
      <c r="F154" s="161">
        <f t="shared" si="4"/>
        <v>19084.49635</v>
      </c>
      <c r="G154" s="161">
        <f t="shared" si="20"/>
        <v>18956.67649</v>
      </c>
      <c r="H154" s="161">
        <f t="shared" si="21"/>
        <v>19302.9154</v>
      </c>
      <c r="I154" s="161">
        <f t="shared" si="22"/>
        <v>19386.3603</v>
      </c>
      <c r="J154" s="162">
        <f t="shared" si="8"/>
        <v>19521.33445</v>
      </c>
      <c r="K154" s="163">
        <f t="shared" si="23"/>
        <v>0.003657717422</v>
      </c>
      <c r="L154" s="163">
        <f t="shared" si="24"/>
        <v>0.008488244257</v>
      </c>
      <c r="M154" s="163">
        <f t="shared" si="25"/>
        <v>0.1621676788</v>
      </c>
      <c r="N154" s="163">
        <f t="shared" si="26"/>
        <v>-0.009008123253</v>
      </c>
      <c r="O154" s="164">
        <f t="shared" si="27"/>
        <v>-0.002384979067</v>
      </c>
      <c r="P154" s="164">
        <f t="shared" si="16"/>
        <v>0</v>
      </c>
      <c r="U154" s="168">
        <f t="shared" si="15"/>
        <v>2.038372255</v>
      </c>
    </row>
    <row r="155">
      <c r="A155" s="158">
        <v>45945.0</v>
      </c>
      <c r="B155" s="167">
        <f>DATOS!E157/DATOS!D157</f>
        <v>19403.05277</v>
      </c>
      <c r="C155" s="160">
        <f t="shared" si="17"/>
        <v>13957.7771</v>
      </c>
      <c r="D155" s="160">
        <f t="shared" si="18"/>
        <v>5445.275668</v>
      </c>
      <c r="E155" s="161">
        <f t="shared" si="19"/>
        <v>18428.59195</v>
      </c>
      <c r="F155" s="161">
        <f t="shared" si="4"/>
        <v>19099.23362</v>
      </c>
      <c r="G155" s="161">
        <f t="shared" si="20"/>
        <v>18935.55497</v>
      </c>
      <c r="H155" s="161">
        <f t="shared" si="21"/>
        <v>19278.4528</v>
      </c>
      <c r="I155" s="161">
        <f t="shared" si="22"/>
        <v>19342.46365</v>
      </c>
      <c r="J155" s="162">
        <f t="shared" si="8"/>
        <v>19457.67198</v>
      </c>
      <c r="K155" s="163">
        <f t="shared" si="23"/>
        <v>0.002489944701</v>
      </c>
      <c r="L155" s="163">
        <f t="shared" si="24"/>
        <v>0.00849469706</v>
      </c>
      <c r="M155" s="163">
        <f t="shared" si="25"/>
        <v>0.1622909595</v>
      </c>
      <c r="N155" s="163">
        <f t="shared" si="26"/>
        <v>-0.009017408581</v>
      </c>
      <c r="O155" s="164">
        <f t="shared" si="27"/>
        <v>-0.002384979067</v>
      </c>
      <c r="P155" s="164">
        <f t="shared" si="16"/>
        <v>0</v>
      </c>
      <c r="U155" s="168">
        <f t="shared" si="15"/>
        <v>1.807618526</v>
      </c>
    </row>
    <row r="156">
      <c r="A156" s="158">
        <v>45944.0</v>
      </c>
      <c r="B156" s="167">
        <f>DATOS!E158/DATOS!D158</f>
        <v>19354.80034</v>
      </c>
      <c r="C156" s="160">
        <f t="shared" si="17"/>
        <v>13949.66193</v>
      </c>
      <c r="D156" s="160">
        <f t="shared" si="18"/>
        <v>5405.138402</v>
      </c>
      <c r="E156" s="161">
        <f t="shared" si="19"/>
        <v>18408.63405</v>
      </c>
      <c r="F156" s="161">
        <f t="shared" si="4"/>
        <v>19110.31619</v>
      </c>
      <c r="G156" s="161">
        <f t="shared" si="20"/>
        <v>18916.47343</v>
      </c>
      <c r="H156" s="161">
        <f t="shared" si="21"/>
        <v>19260.6528</v>
      </c>
      <c r="I156" s="161">
        <f t="shared" si="22"/>
        <v>19312.16909</v>
      </c>
      <c r="J156" s="162">
        <f t="shared" si="8"/>
        <v>19410.98942</v>
      </c>
      <c r="K156" s="163">
        <f t="shared" si="23"/>
        <v>0.0028703815</v>
      </c>
      <c r="L156" s="163">
        <f t="shared" si="24"/>
        <v>0.008501635711</v>
      </c>
      <c r="M156" s="163">
        <f t="shared" si="25"/>
        <v>0.1624235222</v>
      </c>
      <c r="N156" s="163">
        <f t="shared" si="26"/>
        <v>-0.00902669391</v>
      </c>
      <c r="O156" s="164">
        <f t="shared" si="27"/>
        <v>-0.002384979067</v>
      </c>
      <c r="P156" s="164">
        <f t="shared" si="16"/>
        <v>0</v>
      </c>
      <c r="U156" s="168">
        <f t="shared" si="15"/>
        <v>1.628236671</v>
      </c>
    </row>
    <row r="157">
      <c r="A157" s="158">
        <v>45943.0</v>
      </c>
      <c r="B157" s="167">
        <f>DATOS!E159/DATOS!D159</f>
        <v>19299.32433</v>
      </c>
      <c r="C157" s="160">
        <f t="shared" si="17"/>
        <v>13941.59456</v>
      </c>
      <c r="D157" s="160">
        <f t="shared" si="18"/>
        <v>5357.729769</v>
      </c>
      <c r="E157" s="161">
        <f t="shared" si="19"/>
        <v>18388.87186</v>
      </c>
      <c r="F157" s="161">
        <f t="shared" si="4"/>
        <v>19114.84642</v>
      </c>
      <c r="G157" s="161">
        <f t="shared" si="20"/>
        <v>18898.58254</v>
      </c>
      <c r="H157" s="161">
        <f t="shared" si="21"/>
        <v>19247.20316</v>
      </c>
      <c r="I157" s="161">
        <f t="shared" si="22"/>
        <v>19290.85347</v>
      </c>
      <c r="J157" s="162">
        <f t="shared" si="8"/>
        <v>19379.5599</v>
      </c>
      <c r="K157" s="163">
        <f t="shared" si="23"/>
        <v>0.0002478666344</v>
      </c>
      <c r="L157" s="163">
        <f t="shared" si="24"/>
        <v>0.008508467244</v>
      </c>
      <c r="M157" s="163">
        <f t="shared" si="25"/>
        <v>0.1625540385</v>
      </c>
      <c r="N157" s="163">
        <f t="shared" si="26"/>
        <v>-0.009035979239</v>
      </c>
      <c r="O157" s="164">
        <f t="shared" si="27"/>
        <v>-0.002384979067</v>
      </c>
      <c r="P157" s="164">
        <f t="shared" si="16"/>
        <v>0.002585199434</v>
      </c>
      <c r="U157" s="168">
        <f t="shared" si="15"/>
        <v>1.023862163</v>
      </c>
    </row>
    <row r="158">
      <c r="A158" s="158">
        <v>45942.0</v>
      </c>
      <c r="B158" s="167">
        <f>DATOS!E160/DATOS!D160</f>
        <v>19294.54127</v>
      </c>
      <c r="C158" s="160">
        <f t="shared" si="17"/>
        <v>13933.586</v>
      </c>
      <c r="D158" s="160">
        <f t="shared" si="18"/>
        <v>5360.955268</v>
      </c>
      <c r="E158" s="161">
        <f t="shared" si="19"/>
        <v>18369.35552</v>
      </c>
      <c r="F158" s="161">
        <f t="shared" si="4"/>
        <v>19112.35393</v>
      </c>
      <c r="G158" s="161">
        <f t="shared" si="20"/>
        <v>18882.22573</v>
      </c>
      <c r="H158" s="161">
        <f t="shared" si="21"/>
        <v>19239.75727</v>
      </c>
      <c r="I158" s="161">
        <f t="shared" si="22"/>
        <v>19286.61804</v>
      </c>
      <c r="J158" s="162">
        <f t="shared" si="8"/>
        <v>19367.16062</v>
      </c>
      <c r="K158" s="163">
        <f t="shared" si="23"/>
        <v>0.0002478948744</v>
      </c>
      <c r="L158" s="163">
        <f t="shared" si="24"/>
        <v>0.008515589086</v>
      </c>
      <c r="M158" s="163">
        <f t="shared" si="25"/>
        <v>0.162690101</v>
      </c>
      <c r="N158" s="163">
        <f t="shared" si="26"/>
        <v>-0.009045264567</v>
      </c>
      <c r="O158" s="164">
        <f t="shared" si="27"/>
        <v>-0.002384979067</v>
      </c>
      <c r="P158" s="164">
        <f t="shared" si="16"/>
        <v>0.002832394647</v>
      </c>
      <c r="U158" s="168">
        <f t="shared" si="15"/>
        <v>1.118011292</v>
      </c>
    </row>
    <row r="159">
      <c r="A159" s="158">
        <v>45941.0</v>
      </c>
      <c r="B159" s="167">
        <f>DATOS!E161/DATOS!D161</f>
        <v>19289.75884</v>
      </c>
      <c r="C159" s="160">
        <f t="shared" si="17"/>
        <v>13925.56062</v>
      </c>
      <c r="D159" s="160">
        <f t="shared" si="18"/>
        <v>5364.198225</v>
      </c>
      <c r="E159" s="161">
        <f t="shared" si="19"/>
        <v>18349.74497</v>
      </c>
      <c r="F159" s="161">
        <f t="shared" si="4"/>
        <v>19109.31894</v>
      </c>
      <c r="G159" s="161">
        <f t="shared" si="20"/>
        <v>18865.39652</v>
      </c>
      <c r="H159" s="161">
        <f t="shared" si="21"/>
        <v>19231.93099</v>
      </c>
      <c r="I159" s="161">
        <f t="shared" si="22"/>
        <v>19282.65643</v>
      </c>
      <c r="J159" s="162">
        <f t="shared" si="8"/>
        <v>19354.54304</v>
      </c>
      <c r="K159" s="163">
        <f t="shared" si="23"/>
        <v>0.000247926511</v>
      </c>
      <c r="L159" s="163">
        <f t="shared" si="24"/>
        <v>0.008522728844</v>
      </c>
      <c r="M159" s="163">
        <f t="shared" si="25"/>
        <v>0.1628265059</v>
      </c>
      <c r="N159" s="163">
        <f t="shared" si="26"/>
        <v>-0.009054549896</v>
      </c>
      <c r="O159" s="164">
        <f t="shared" si="27"/>
        <v>-0.002384979067</v>
      </c>
      <c r="P159" s="164">
        <f t="shared" si="16"/>
        <v>0.003079556749</v>
      </c>
      <c r="U159" s="168">
        <f t="shared" si="15"/>
        <v>1.22624498</v>
      </c>
    </row>
    <row r="160">
      <c r="A160" s="158">
        <v>45940.0</v>
      </c>
      <c r="B160" s="167">
        <f>DATOS!E162/DATOS!D162</f>
        <v>19284.97699</v>
      </c>
      <c r="C160" s="160">
        <f t="shared" si="17"/>
        <v>13917.51834</v>
      </c>
      <c r="D160" s="160">
        <f t="shared" si="18"/>
        <v>5367.458651</v>
      </c>
      <c r="E160" s="161">
        <f t="shared" si="19"/>
        <v>18330.0395</v>
      </c>
      <c r="F160" s="161">
        <f t="shared" si="4"/>
        <v>19105.64885</v>
      </c>
      <c r="G160" s="161">
        <f t="shared" si="20"/>
        <v>18848.07561</v>
      </c>
      <c r="H160" s="161">
        <f t="shared" si="21"/>
        <v>19223.66987</v>
      </c>
      <c r="I160" s="161">
        <f t="shared" si="22"/>
        <v>19279.10523</v>
      </c>
      <c r="J160" s="162">
        <f t="shared" si="8"/>
        <v>19341.69088</v>
      </c>
      <c r="K160" s="163">
        <f t="shared" si="23"/>
        <v>-0.003332234852</v>
      </c>
      <c r="L160" s="163">
        <f t="shared" si="24"/>
        <v>0.008529886595</v>
      </c>
      <c r="M160" s="163">
        <f t="shared" si="25"/>
        <v>0.1629632546</v>
      </c>
      <c r="N160" s="163">
        <f t="shared" si="26"/>
        <v>-0.009063835225</v>
      </c>
      <c r="O160" s="164">
        <f t="shared" si="27"/>
        <v>-0.002952569151</v>
      </c>
      <c r="P160" s="164">
        <f t="shared" si="16"/>
        <v>0.003326689119</v>
      </c>
      <c r="U160" s="168">
        <f t="shared" si="15"/>
        <v>1.350594391</v>
      </c>
    </row>
    <row r="161">
      <c r="A161" s="158">
        <v>45939.0</v>
      </c>
      <c r="B161" s="167">
        <f>DATOS!E163/DATOS!D163</f>
        <v>19349.34625</v>
      </c>
      <c r="C161" s="160">
        <f t="shared" si="17"/>
        <v>13909.45909</v>
      </c>
      <c r="D161" s="160">
        <f t="shared" si="18"/>
        <v>5439.887158</v>
      </c>
      <c r="E161" s="161">
        <f t="shared" si="19"/>
        <v>18310.2384</v>
      </c>
      <c r="F161" s="161">
        <f t="shared" si="4"/>
        <v>19102.44231</v>
      </c>
      <c r="G161" s="161">
        <f t="shared" si="20"/>
        <v>18830.2429</v>
      </c>
      <c r="H161" s="161">
        <f t="shared" si="21"/>
        <v>19214.91171</v>
      </c>
      <c r="I161" s="161">
        <f t="shared" si="22"/>
        <v>19276.16935</v>
      </c>
      <c r="J161" s="162">
        <f t="shared" si="8"/>
        <v>19327.3811</v>
      </c>
      <c r="K161" s="163">
        <f t="shared" si="23"/>
        <v>0.004301441727</v>
      </c>
      <c r="L161" s="163">
        <f t="shared" si="24"/>
        <v>0.008535222345</v>
      </c>
      <c r="M161" s="163">
        <f t="shared" si="25"/>
        <v>0.1630651939</v>
      </c>
      <c r="N161" s="163">
        <f t="shared" si="26"/>
        <v>-0.009073120553</v>
      </c>
      <c r="O161" s="164">
        <f t="shared" si="27"/>
        <v>-0.002384979067</v>
      </c>
      <c r="P161" s="164">
        <f t="shared" si="16"/>
        <v>0</v>
      </c>
      <c r="U161" s="168">
        <f t="shared" si="15"/>
        <v>3.10777709</v>
      </c>
    </row>
    <row r="162">
      <c r="A162" s="158">
        <v>45938.0</v>
      </c>
      <c r="B162" s="167">
        <f>DATOS!E164/DATOS!D164</f>
        <v>19266.29491</v>
      </c>
      <c r="C162" s="160">
        <f t="shared" si="17"/>
        <v>13901.27881</v>
      </c>
      <c r="D162" s="160">
        <f t="shared" si="18"/>
        <v>5365.016103</v>
      </c>
      <c r="E162" s="161">
        <f t="shared" si="19"/>
        <v>18289.87212</v>
      </c>
      <c r="F162" s="161">
        <f t="shared" si="4"/>
        <v>19118.26269</v>
      </c>
      <c r="G162" s="161">
        <f t="shared" si="20"/>
        <v>18809.05501</v>
      </c>
      <c r="H162" s="161">
        <f t="shared" si="21"/>
        <v>19195.70677</v>
      </c>
      <c r="I162" s="161">
        <f t="shared" si="22"/>
        <v>19239.5809</v>
      </c>
      <c r="J162" s="162">
        <f t="shared" si="8"/>
        <v>19273.15086</v>
      </c>
      <c r="K162" s="163">
        <f t="shared" si="23"/>
        <v>0.0003783000098</v>
      </c>
      <c r="L162" s="163">
        <f t="shared" si="24"/>
        <v>0.008541419635</v>
      </c>
      <c r="M162" s="163">
        <f t="shared" si="25"/>
        <v>0.163183593</v>
      </c>
      <c r="N162" s="163">
        <f t="shared" si="26"/>
        <v>-0.009082405882</v>
      </c>
      <c r="O162" s="164">
        <f t="shared" si="27"/>
        <v>-0.002384979067</v>
      </c>
      <c r="P162" s="164">
        <f t="shared" si="16"/>
        <v>0</v>
      </c>
      <c r="U162" s="168">
        <f t="shared" si="15"/>
        <v>2.369828113</v>
      </c>
    </row>
    <row r="163">
      <c r="A163" s="158">
        <v>45937.0</v>
      </c>
      <c r="B163" s="167">
        <f>DATOS!E165/DATOS!D165</f>
        <v>19259.00785</v>
      </c>
      <c r="C163" s="160">
        <f t="shared" si="17"/>
        <v>13893.19897</v>
      </c>
      <c r="D163" s="160">
        <f t="shared" si="18"/>
        <v>5365.808885</v>
      </c>
      <c r="E163" s="161">
        <f t="shared" si="19"/>
        <v>18269.93754</v>
      </c>
      <c r="F163" s="161">
        <f t="shared" si="4"/>
        <v>19112.29596</v>
      </c>
      <c r="G163" s="161">
        <f t="shared" si="20"/>
        <v>18790.39216</v>
      </c>
      <c r="H163" s="161">
        <f t="shared" si="21"/>
        <v>19185.62275</v>
      </c>
      <c r="I163" s="161">
        <f t="shared" si="22"/>
        <v>19226.22389</v>
      </c>
      <c r="J163" s="162">
        <f t="shared" si="8"/>
        <v>19258.94954</v>
      </c>
      <c r="K163" s="163">
        <f t="shared" si="23"/>
        <v>0.00274091664</v>
      </c>
      <c r="L163" s="163">
        <f t="shared" si="24"/>
        <v>0.008548648397</v>
      </c>
      <c r="M163" s="163">
        <f t="shared" si="25"/>
        <v>0.1633216983</v>
      </c>
      <c r="N163" s="163">
        <f t="shared" si="26"/>
        <v>-0.009091691211</v>
      </c>
      <c r="O163" s="164">
        <f t="shared" si="27"/>
        <v>-0.002384979067</v>
      </c>
      <c r="P163" s="164">
        <f t="shared" si="16"/>
        <v>0</v>
      </c>
      <c r="U163" s="168">
        <f t="shared" si="15"/>
        <v>2.602067578</v>
      </c>
    </row>
    <row r="164">
      <c r="A164" s="158">
        <v>45936.0</v>
      </c>
      <c r="B164" s="167">
        <f>DATOS!E166/DATOS!D166</f>
        <v>19206.29279</v>
      </c>
      <c r="C164" s="160">
        <f t="shared" si="17"/>
        <v>13885.10574</v>
      </c>
      <c r="D164" s="160">
        <f t="shared" si="18"/>
        <v>5321.187053</v>
      </c>
      <c r="E164" s="161">
        <f t="shared" si="19"/>
        <v>18249.92255</v>
      </c>
      <c r="F164" s="161">
        <f t="shared" si="4"/>
        <v>19105.80028</v>
      </c>
      <c r="G164" s="161">
        <f t="shared" si="20"/>
        <v>18771.26499</v>
      </c>
      <c r="H164" s="161">
        <f t="shared" si="21"/>
        <v>19175.13917</v>
      </c>
      <c r="I164" s="161">
        <f t="shared" si="22"/>
        <v>19209.8319</v>
      </c>
      <c r="J164" s="162">
        <f t="shared" si="8"/>
        <v>19244.47805</v>
      </c>
      <c r="K164" s="163">
        <f t="shared" si="23"/>
        <v>-0.0009039848816</v>
      </c>
      <c r="L164" s="163">
        <f t="shared" si="24"/>
        <v>0.008555650534</v>
      </c>
      <c r="M164" s="163">
        <f t="shared" si="25"/>
        <v>0.1634554739</v>
      </c>
      <c r="N164" s="163">
        <f t="shared" si="26"/>
        <v>-0.00910097654</v>
      </c>
      <c r="O164" s="164">
        <f t="shared" si="27"/>
        <v>-0.002384979067</v>
      </c>
      <c r="P164" s="164">
        <f t="shared" si="16"/>
        <v>0.002611139484</v>
      </c>
      <c r="U164" s="168">
        <f t="shared" si="15"/>
        <v>1.168167535</v>
      </c>
    </row>
    <row r="165">
      <c r="A165" s="158">
        <v>45935.0</v>
      </c>
      <c r="B165" s="167">
        <f>DATOS!E167/DATOS!D167</f>
        <v>19223.66284</v>
      </c>
      <c r="C165" s="160">
        <f t="shared" si="17"/>
        <v>13877.06769</v>
      </c>
      <c r="D165" s="160">
        <f t="shared" si="18"/>
        <v>5346.595148</v>
      </c>
      <c r="E165" s="161">
        <f t="shared" si="19"/>
        <v>18230.13613</v>
      </c>
      <c r="F165" s="161">
        <f t="shared" si="4"/>
        <v>19064.28817</v>
      </c>
      <c r="G165" s="161">
        <f t="shared" si="20"/>
        <v>18753.50875</v>
      </c>
      <c r="H165" s="161">
        <f t="shared" si="21"/>
        <v>19170.68865</v>
      </c>
      <c r="I165" s="161">
        <f t="shared" si="22"/>
        <v>19211.60146</v>
      </c>
      <c r="J165" s="162">
        <f t="shared" si="8"/>
        <v>19277.08913</v>
      </c>
      <c r="K165" s="163">
        <f t="shared" si="23"/>
        <v>0.0004114804493</v>
      </c>
      <c r="L165" s="163">
        <f t="shared" si="24"/>
        <v>0.008562582985</v>
      </c>
      <c r="M165" s="163">
        <f t="shared" si="25"/>
        <v>0.1635879182</v>
      </c>
      <c r="N165" s="163">
        <f t="shared" si="26"/>
        <v>-0.009110261868</v>
      </c>
      <c r="O165" s="164">
        <f t="shared" si="27"/>
        <v>-0.002384979067</v>
      </c>
      <c r="P165" s="164">
        <f t="shared" si="16"/>
        <v>0.001709107382</v>
      </c>
      <c r="U165" s="168">
        <f t="shared" si="15"/>
        <v>1.294476379</v>
      </c>
    </row>
    <row r="166">
      <c r="A166" s="158">
        <v>45934.0</v>
      </c>
      <c r="B166" s="167">
        <f>DATOS!E168/DATOS!D168</f>
        <v>19215.75431</v>
      </c>
      <c r="C166" s="160">
        <f t="shared" si="17"/>
        <v>13868.97905</v>
      </c>
      <c r="D166" s="160">
        <f t="shared" si="18"/>
        <v>5346.77526</v>
      </c>
      <c r="E166" s="161">
        <f t="shared" si="19"/>
        <v>18210.10164</v>
      </c>
      <c r="F166" s="161">
        <f t="shared" si="4"/>
        <v>19030.18161</v>
      </c>
      <c r="G166" s="161">
        <f t="shared" si="20"/>
        <v>18734.31879</v>
      </c>
      <c r="H166" s="161">
        <f t="shared" si="21"/>
        <v>19163.12091</v>
      </c>
      <c r="I166" s="161">
        <f t="shared" si="22"/>
        <v>19205.57077</v>
      </c>
      <c r="J166" s="162">
        <f t="shared" si="8"/>
        <v>19296.06021</v>
      </c>
      <c r="K166" s="163">
        <f t="shared" si="23"/>
        <v>0.0004013531376</v>
      </c>
      <c r="L166" s="163">
        <f t="shared" si="24"/>
        <v>0.008569871172</v>
      </c>
      <c r="M166" s="163">
        <f t="shared" si="25"/>
        <v>0.1637271588</v>
      </c>
      <c r="N166" s="163">
        <f t="shared" si="26"/>
        <v>-0.009119547197</v>
      </c>
      <c r="O166" s="164">
        <f t="shared" si="27"/>
        <v>-0.002384979067</v>
      </c>
      <c r="P166" s="164">
        <f t="shared" si="16"/>
        <v>0.002119800066</v>
      </c>
      <c r="U166" s="168">
        <f t="shared" si="15"/>
        <v>1.029393476</v>
      </c>
    </row>
    <row r="167">
      <c r="A167" s="158">
        <v>45933.0</v>
      </c>
      <c r="B167" s="167">
        <f>DATOS!E169/DATOS!D169</f>
        <v>19208.04355</v>
      </c>
      <c r="C167" s="160">
        <f t="shared" si="17"/>
        <v>13860.87787</v>
      </c>
      <c r="D167" s="160">
        <f t="shared" si="18"/>
        <v>5347.165679</v>
      </c>
      <c r="E167" s="161">
        <f t="shared" si="19"/>
        <v>18189.99003</v>
      </c>
      <c r="F167" s="161">
        <f t="shared" si="4"/>
        <v>18992.67431</v>
      </c>
      <c r="G167" s="161">
        <f t="shared" si="20"/>
        <v>18714.66836</v>
      </c>
      <c r="H167" s="161">
        <f t="shared" si="21"/>
        <v>19155.60185</v>
      </c>
      <c r="I167" s="161">
        <f t="shared" si="22"/>
        <v>19200.47899</v>
      </c>
      <c r="J167" s="162">
        <f t="shared" si="8"/>
        <v>19318.52939</v>
      </c>
      <c r="K167" s="163">
        <f t="shared" si="23"/>
        <v>0.002993635522</v>
      </c>
      <c r="L167" s="163">
        <f t="shared" si="24"/>
        <v>0.00857717671</v>
      </c>
      <c r="M167" s="163">
        <f t="shared" si="25"/>
        <v>0.163866731</v>
      </c>
      <c r="N167" s="163">
        <f t="shared" si="26"/>
        <v>-0.009128832526</v>
      </c>
      <c r="O167" s="164">
        <f t="shared" si="27"/>
        <v>-0.002384979067</v>
      </c>
      <c r="P167" s="164">
        <f t="shared" si="16"/>
        <v>0.002520222054</v>
      </c>
      <c r="U167" s="168">
        <f t="shared" si="15"/>
        <v>0.8368654756</v>
      </c>
    </row>
    <row r="168">
      <c r="A168" s="158">
        <v>45932.0</v>
      </c>
      <c r="B168" s="167">
        <f>DATOS!E170/DATOS!D170</f>
        <v>19150.62766</v>
      </c>
      <c r="C168" s="160">
        <f t="shared" si="17"/>
        <v>13852.76381</v>
      </c>
      <c r="D168" s="160">
        <f t="shared" si="18"/>
        <v>5297.863841</v>
      </c>
      <c r="E168" s="161">
        <f t="shared" si="19"/>
        <v>18169.79937</v>
      </c>
      <c r="F168" s="161">
        <f t="shared" si="4"/>
        <v>18950.99536</v>
      </c>
      <c r="G168" s="161">
        <f t="shared" si="20"/>
        <v>18694.5306</v>
      </c>
      <c r="H168" s="161">
        <f t="shared" si="21"/>
        <v>19148.11018</v>
      </c>
      <c r="I168" s="161">
        <f t="shared" si="22"/>
        <v>19196.69671</v>
      </c>
      <c r="J168" s="162">
        <f t="shared" si="8"/>
        <v>19345.22499</v>
      </c>
      <c r="K168" s="163">
        <f t="shared" si="23"/>
        <v>-0.00216453014</v>
      </c>
      <c r="L168" s="163">
        <f t="shared" si="24"/>
        <v>0.008584160867</v>
      </c>
      <c r="M168" s="163">
        <f t="shared" si="25"/>
        <v>0.1640001631</v>
      </c>
      <c r="N168" s="163">
        <f t="shared" si="26"/>
        <v>-0.009138117854</v>
      </c>
      <c r="O168" s="164">
        <f t="shared" si="27"/>
        <v>-0.003092412704</v>
      </c>
      <c r="P168" s="164">
        <f t="shared" si="16"/>
        <v>0.005501847772</v>
      </c>
      <c r="U168" s="168">
        <f t="shared" si="15"/>
        <v>0.03320626416</v>
      </c>
    </row>
    <row r="169">
      <c r="A169" s="158">
        <v>45931.0</v>
      </c>
      <c r="B169" s="167">
        <f>DATOS!E171/DATOS!D171</f>
        <v>19192.12466</v>
      </c>
      <c r="C169" s="160">
        <f t="shared" si="17"/>
        <v>13844.71235</v>
      </c>
      <c r="D169" s="160">
        <f t="shared" si="18"/>
        <v>5347.412312</v>
      </c>
      <c r="E169" s="161">
        <f t="shared" si="19"/>
        <v>18149.87009</v>
      </c>
      <c r="F169" s="161">
        <f t="shared" si="4"/>
        <v>18917.89481</v>
      </c>
      <c r="G169" s="161">
        <f t="shared" si="20"/>
        <v>18675.91439</v>
      </c>
      <c r="H169" s="161">
        <f t="shared" si="21"/>
        <v>19147.75054</v>
      </c>
      <c r="I169" s="161">
        <f t="shared" si="22"/>
        <v>19219.73124</v>
      </c>
      <c r="J169" s="162">
        <f t="shared" si="8"/>
        <v>19377.60626</v>
      </c>
      <c r="K169" s="163">
        <f t="shared" si="23"/>
        <v>-0.002488533293</v>
      </c>
      <c r="L169" s="163">
        <f t="shared" si="24"/>
        <v>0.008590514777</v>
      </c>
      <c r="M169" s="163">
        <f t="shared" si="25"/>
        <v>0.1641215544</v>
      </c>
      <c r="N169" s="163">
        <f t="shared" si="26"/>
        <v>-0.009147403183</v>
      </c>
      <c r="O169" s="164">
        <f t="shared" si="27"/>
        <v>-0.003092412704</v>
      </c>
      <c r="P169" s="164">
        <f t="shared" si="16"/>
        <v>0.00334689516</v>
      </c>
      <c r="U169" s="168">
        <f t="shared" si="15"/>
        <v>0.5019353858</v>
      </c>
    </row>
    <row r="170">
      <c r="A170" s="158">
        <v>45930.0</v>
      </c>
      <c r="B170" s="167">
        <f>DATOS!E172/DATOS!D172</f>
        <v>19239.94438</v>
      </c>
      <c r="C170" s="160">
        <f t="shared" si="17"/>
        <v>13836.57321</v>
      </c>
      <c r="D170" s="160">
        <f t="shared" si="18"/>
        <v>5403.371164</v>
      </c>
      <c r="E170" s="161">
        <f t="shared" si="19"/>
        <v>18129.52443</v>
      </c>
      <c r="F170" s="161">
        <f t="shared" si="4"/>
        <v>18898.00707</v>
      </c>
      <c r="G170" s="161">
        <f t="shared" si="20"/>
        <v>18654.84458</v>
      </c>
      <c r="H170" s="161">
        <f t="shared" si="21"/>
        <v>19141.41138</v>
      </c>
      <c r="I170" s="161">
        <f t="shared" si="22"/>
        <v>19233.53454</v>
      </c>
      <c r="J170" s="162">
        <f t="shared" si="8"/>
        <v>19384.81568</v>
      </c>
      <c r="K170" s="163">
        <f t="shared" si="23"/>
        <v>-0.0006174471728</v>
      </c>
      <c r="L170" s="163">
        <f t="shared" si="24"/>
        <v>0.008596662843</v>
      </c>
      <c r="M170" s="163">
        <f t="shared" si="25"/>
        <v>0.164239013</v>
      </c>
      <c r="N170" s="163">
        <f t="shared" si="26"/>
        <v>-0.009156688512</v>
      </c>
      <c r="O170" s="164">
        <f t="shared" si="27"/>
        <v>-0.00377418053</v>
      </c>
      <c r="P170" s="164">
        <f t="shared" si="16"/>
        <v>0.0008636021293</v>
      </c>
      <c r="U170" s="168">
        <f t="shared" si="15"/>
        <v>1.052511392</v>
      </c>
    </row>
    <row r="171">
      <c r="A171" s="158">
        <v>45929.0</v>
      </c>
      <c r="B171" s="167">
        <f>DATOS!E173/DATOS!D173</f>
        <v>19251.82769</v>
      </c>
      <c r="C171" s="160">
        <f t="shared" si="17"/>
        <v>13828.33637</v>
      </c>
      <c r="D171" s="160">
        <f t="shared" si="18"/>
        <v>5423.491328</v>
      </c>
      <c r="E171" s="161">
        <f t="shared" si="19"/>
        <v>18108.71563</v>
      </c>
      <c r="F171" s="161">
        <f t="shared" si="4"/>
        <v>18882.93168</v>
      </c>
      <c r="G171" s="161">
        <f t="shared" si="20"/>
        <v>18630.96296</v>
      </c>
      <c r="H171" s="161">
        <f t="shared" si="21"/>
        <v>19127.33523</v>
      </c>
      <c r="I171" s="161">
        <f t="shared" si="22"/>
        <v>19230.32961</v>
      </c>
      <c r="J171" s="162">
        <f t="shared" si="8"/>
        <v>19371.73879</v>
      </c>
      <c r="K171" s="163">
        <f t="shared" si="23"/>
        <v>0.0008083762142</v>
      </c>
      <c r="L171" s="163">
        <f t="shared" si="24"/>
        <v>0.008603803347</v>
      </c>
      <c r="M171" s="163">
        <f t="shared" si="25"/>
        <v>0.1643754321</v>
      </c>
      <c r="N171" s="163">
        <f t="shared" si="26"/>
        <v>-0.009171699313</v>
      </c>
      <c r="O171" s="164">
        <f t="shared" si="27"/>
        <v>-0.00377418053</v>
      </c>
      <c r="P171" s="164">
        <f t="shared" si="16"/>
        <v>0.0002464976901</v>
      </c>
      <c r="U171" s="168">
        <f t="shared" si="15"/>
        <v>1.324368647</v>
      </c>
    </row>
    <row r="172">
      <c r="A172" s="158">
        <v>45928.0</v>
      </c>
      <c r="B172" s="167">
        <f>DATOS!E174/DATOS!D174</f>
        <v>19236.27126</v>
      </c>
      <c r="C172" s="160">
        <f t="shared" si="17"/>
        <v>13820.05623</v>
      </c>
      <c r="D172" s="160">
        <f t="shared" si="18"/>
        <v>5416.215037</v>
      </c>
      <c r="E172" s="161">
        <f t="shared" si="19"/>
        <v>18087.68796</v>
      </c>
      <c r="F172" s="161">
        <f t="shared" si="4"/>
        <v>18861.61815</v>
      </c>
      <c r="G172" s="161">
        <f t="shared" si="20"/>
        <v>18605.62154</v>
      </c>
      <c r="H172" s="161">
        <f t="shared" si="21"/>
        <v>19109.55059</v>
      </c>
      <c r="I172" s="161">
        <f t="shared" si="22"/>
        <v>19219.58057</v>
      </c>
      <c r="J172" s="162">
        <f t="shared" si="8"/>
        <v>19357.48304</v>
      </c>
      <c r="K172" s="163">
        <f t="shared" si="23"/>
        <v>0.0005062986422</v>
      </c>
      <c r="L172" s="163">
        <f t="shared" si="24"/>
        <v>0.008611236783</v>
      </c>
      <c r="M172" s="163">
        <f t="shared" si="25"/>
        <v>0.1645174477</v>
      </c>
      <c r="N172" s="163">
        <f t="shared" si="26"/>
        <v>-0.009186710115</v>
      </c>
      <c r="O172" s="164">
        <f t="shared" si="27"/>
        <v>-0.00377418053</v>
      </c>
      <c r="P172" s="164">
        <f t="shared" si="16"/>
        <v>0.001054348074</v>
      </c>
      <c r="U172" s="168">
        <f t="shared" si="15"/>
        <v>1.328885149</v>
      </c>
    </row>
    <row r="173">
      <c r="A173" s="158">
        <v>45927.0</v>
      </c>
      <c r="B173" s="167">
        <f>DATOS!E175/DATOS!D175</f>
        <v>19226.53443</v>
      </c>
      <c r="C173" s="160">
        <f t="shared" si="17"/>
        <v>13811.77455</v>
      </c>
      <c r="D173" s="160">
        <f t="shared" si="18"/>
        <v>5414.759878</v>
      </c>
      <c r="E173" s="161">
        <f t="shared" si="19"/>
        <v>18066.6293</v>
      </c>
      <c r="F173" s="161">
        <f t="shared" si="4"/>
        <v>18830.45931</v>
      </c>
      <c r="G173" s="161">
        <f t="shared" si="20"/>
        <v>18579.88074</v>
      </c>
      <c r="H173" s="161">
        <f t="shared" si="21"/>
        <v>19091.44764</v>
      </c>
      <c r="I173" s="161">
        <f t="shared" si="22"/>
        <v>19211.23523</v>
      </c>
      <c r="J173" s="162">
        <f t="shared" si="8"/>
        <v>19352.43598</v>
      </c>
      <c r="K173" s="163">
        <f t="shared" si="23"/>
        <v>0.0005065101158</v>
      </c>
      <c r="L173" s="163">
        <f t="shared" si="24"/>
        <v>0.008618665339</v>
      </c>
      <c r="M173" s="163">
        <f t="shared" si="25"/>
        <v>0.1646593701</v>
      </c>
      <c r="N173" s="163">
        <f t="shared" si="26"/>
        <v>-0.009201720916</v>
      </c>
      <c r="O173" s="164">
        <f t="shared" si="27"/>
        <v>-0.00377418053</v>
      </c>
      <c r="P173" s="164">
        <f t="shared" si="16"/>
        <v>0.001559984889</v>
      </c>
      <c r="U173" s="168">
        <f t="shared" si="15"/>
        <v>1.345752301</v>
      </c>
    </row>
    <row r="174">
      <c r="A174" s="158">
        <v>45926.0</v>
      </c>
      <c r="B174" s="167">
        <f>DATOS!E176/DATOS!D176</f>
        <v>19216.79846</v>
      </c>
      <c r="C174" s="160">
        <f t="shared" si="17"/>
        <v>13803.48242</v>
      </c>
      <c r="D174" s="160">
        <f t="shared" si="18"/>
        <v>5413.316038</v>
      </c>
      <c r="E174" s="161">
        <f t="shared" si="19"/>
        <v>18045.49915</v>
      </c>
      <c r="F174" s="161">
        <f t="shared" si="4"/>
        <v>18795.39794</v>
      </c>
      <c r="G174" s="161">
        <f t="shared" si="20"/>
        <v>18553.48671</v>
      </c>
      <c r="H174" s="161">
        <f t="shared" si="21"/>
        <v>19072.14953</v>
      </c>
      <c r="I174" s="161">
        <f t="shared" si="22"/>
        <v>19203.58563</v>
      </c>
      <c r="J174" s="162">
        <f t="shared" si="8"/>
        <v>19348.90111</v>
      </c>
      <c r="K174" s="163">
        <f t="shared" si="23"/>
        <v>-0.0009243693612</v>
      </c>
      <c r="L174" s="163">
        <f t="shared" si="24"/>
        <v>0.008626113178</v>
      </c>
      <c r="M174" s="163">
        <f t="shared" si="25"/>
        <v>0.1648016609</v>
      </c>
      <c r="N174" s="163">
        <f t="shared" si="26"/>
        <v>-0.009216731718</v>
      </c>
      <c r="O174" s="164">
        <f t="shared" si="27"/>
        <v>-0.00377418053</v>
      </c>
      <c r="P174" s="164">
        <f t="shared" si="16"/>
        <v>0.002065576802</v>
      </c>
      <c r="U174" s="168">
        <f t="shared" si="15"/>
        <v>1.358934329</v>
      </c>
    </row>
    <row r="175">
      <c r="A175" s="158">
        <v>45925.0</v>
      </c>
      <c r="B175" s="167">
        <f>DATOS!E177/DATOS!D177</f>
        <v>19234.57009</v>
      </c>
      <c r="C175" s="160">
        <f t="shared" si="17"/>
        <v>13795.17979</v>
      </c>
      <c r="D175" s="160">
        <f t="shared" si="18"/>
        <v>5439.390303</v>
      </c>
      <c r="E175" s="161">
        <f t="shared" si="19"/>
        <v>18024.29697</v>
      </c>
      <c r="F175" s="161">
        <f t="shared" si="4"/>
        <v>18769.66012</v>
      </c>
      <c r="G175" s="161">
        <f t="shared" si="20"/>
        <v>18526.41276</v>
      </c>
      <c r="H175" s="161">
        <f t="shared" si="21"/>
        <v>19051.4854</v>
      </c>
      <c r="I175" s="161">
        <f t="shared" si="22"/>
        <v>19196.97921</v>
      </c>
      <c r="J175" s="162">
        <f t="shared" si="8"/>
        <v>19333.31067</v>
      </c>
      <c r="K175" s="163">
        <f t="shared" si="23"/>
        <v>-0.001143343687</v>
      </c>
      <c r="L175" s="163">
        <f t="shared" si="24"/>
        <v>0.008633214949</v>
      </c>
      <c r="M175" s="163">
        <f t="shared" si="25"/>
        <v>0.16493734</v>
      </c>
      <c r="N175" s="163">
        <f t="shared" si="26"/>
        <v>-0.009231742519</v>
      </c>
      <c r="O175" s="164">
        <f t="shared" si="27"/>
        <v>-0.00377418053</v>
      </c>
      <c r="P175" s="164">
        <f t="shared" si="16"/>
        <v>0.001142690318</v>
      </c>
      <c r="U175" s="168">
        <f t="shared" si="15"/>
        <v>1.689061499</v>
      </c>
    </row>
    <row r="176">
      <c r="A176" s="158">
        <v>45924.0</v>
      </c>
      <c r="B176" s="167">
        <f>DATOS!E178/DATOS!D178</f>
        <v>19256.5744</v>
      </c>
      <c r="C176" s="160">
        <f t="shared" si="17"/>
        <v>13786.82435</v>
      </c>
      <c r="D176" s="160">
        <f t="shared" si="18"/>
        <v>5469.750042</v>
      </c>
      <c r="E176" s="161">
        <f t="shared" si="19"/>
        <v>18002.83118</v>
      </c>
      <c r="F176" s="161">
        <f t="shared" si="4"/>
        <v>18765.2012</v>
      </c>
      <c r="G176" s="161">
        <f t="shared" si="20"/>
        <v>18497.50838</v>
      </c>
      <c r="H176" s="161">
        <f t="shared" si="21"/>
        <v>19025.33044</v>
      </c>
      <c r="I176" s="161">
        <f t="shared" si="22"/>
        <v>19178.18377</v>
      </c>
      <c r="J176" s="162">
        <f t="shared" si="8"/>
        <v>19285.45967</v>
      </c>
      <c r="K176" s="163">
        <f t="shared" si="23"/>
        <v>0.002948610198</v>
      </c>
      <c r="L176" s="163">
        <f t="shared" si="24"/>
        <v>0.008640241608</v>
      </c>
      <c r="M176" s="163">
        <f t="shared" si="25"/>
        <v>0.1650715842</v>
      </c>
      <c r="N176" s="163">
        <f t="shared" si="26"/>
        <v>-0.009246753321</v>
      </c>
      <c r="O176" s="164">
        <f t="shared" si="27"/>
        <v>-0.00377418053</v>
      </c>
      <c r="P176" s="164">
        <f t="shared" si="16"/>
        <v>0</v>
      </c>
      <c r="U176" s="168">
        <f t="shared" si="15"/>
        <v>2.311290719</v>
      </c>
    </row>
    <row r="177">
      <c r="A177" s="158">
        <v>45923.0</v>
      </c>
      <c r="B177" s="167">
        <f>DATOS!E179/DATOS!D179</f>
        <v>19199.87789</v>
      </c>
      <c r="C177" s="160">
        <f t="shared" si="17"/>
        <v>13778.40935</v>
      </c>
      <c r="D177" s="160">
        <f t="shared" si="18"/>
        <v>5421.468539</v>
      </c>
      <c r="E177" s="161">
        <f t="shared" si="19"/>
        <v>17981.07031</v>
      </c>
      <c r="F177" s="161">
        <f t="shared" si="4"/>
        <v>18758.97959</v>
      </c>
      <c r="G177" s="161">
        <f t="shared" si="20"/>
        <v>18466.52609</v>
      </c>
      <c r="H177" s="161">
        <f t="shared" si="21"/>
        <v>18992.29559</v>
      </c>
      <c r="I177" s="161">
        <f t="shared" si="22"/>
        <v>19138.98845</v>
      </c>
      <c r="J177" s="162">
        <f t="shared" si="8"/>
        <v>19225.61158</v>
      </c>
      <c r="K177" s="163">
        <f t="shared" si="23"/>
        <v>0.0000444159803</v>
      </c>
      <c r="L177" s="163">
        <f t="shared" si="24"/>
        <v>0.008647418729</v>
      </c>
      <c r="M177" s="163">
        <f t="shared" si="25"/>
        <v>0.1652087029</v>
      </c>
      <c r="N177" s="163">
        <f t="shared" si="26"/>
        <v>-0.009261764122</v>
      </c>
      <c r="O177" s="164">
        <f t="shared" si="27"/>
        <v>-0.00377418053</v>
      </c>
      <c r="P177" s="164">
        <f t="shared" si="16"/>
        <v>0</v>
      </c>
      <c r="U177" s="168">
        <f t="shared" si="15"/>
        <v>2.31323189</v>
      </c>
    </row>
    <row r="178">
      <c r="A178" s="158">
        <v>45922.0</v>
      </c>
      <c r="B178" s="167">
        <f>DATOS!E180/DATOS!D180</f>
        <v>19199.02513</v>
      </c>
      <c r="C178" s="160">
        <f t="shared" si="17"/>
        <v>13770.05578</v>
      </c>
      <c r="D178" s="160">
        <f t="shared" si="18"/>
        <v>5428.969349</v>
      </c>
      <c r="E178" s="161">
        <f t="shared" si="19"/>
        <v>17959.56048</v>
      </c>
      <c r="F178" s="161">
        <f t="shared" si="4"/>
        <v>18707.11668</v>
      </c>
      <c r="G178" s="161">
        <f t="shared" si="20"/>
        <v>18436.59336</v>
      </c>
      <c r="H178" s="161">
        <f t="shared" si="21"/>
        <v>18962.64097</v>
      </c>
      <c r="I178" s="161">
        <f t="shared" si="22"/>
        <v>19108.54373</v>
      </c>
      <c r="J178" s="162">
        <f t="shared" si="8"/>
        <v>19218.16527</v>
      </c>
      <c r="K178" s="163">
        <f t="shared" si="23"/>
        <v>0.005318297095</v>
      </c>
      <c r="L178" s="163">
        <f t="shared" si="24"/>
        <v>0.008654869889</v>
      </c>
      <c r="M178" s="163">
        <f t="shared" si="25"/>
        <v>0.1653510571</v>
      </c>
      <c r="N178" s="163">
        <f t="shared" si="26"/>
        <v>-0.009276774923</v>
      </c>
      <c r="O178" s="164">
        <f t="shared" si="27"/>
        <v>-0.00377418053</v>
      </c>
      <c r="P178" s="164">
        <f t="shared" si="16"/>
        <v>0</v>
      </c>
      <c r="U178" s="168">
        <f t="shared" si="15"/>
        <v>2.405246101</v>
      </c>
    </row>
    <row r="179">
      <c r="A179" s="158">
        <v>45921.0</v>
      </c>
      <c r="B179" s="167">
        <f>DATOS!E181/DATOS!D181</f>
        <v>19097.19005</v>
      </c>
      <c r="C179" s="160">
        <f t="shared" si="17"/>
        <v>13761.67774</v>
      </c>
      <c r="D179" s="160">
        <f t="shared" si="18"/>
        <v>5335.512304</v>
      </c>
      <c r="E179" s="161">
        <f t="shared" si="19"/>
        <v>17937.91386</v>
      </c>
      <c r="F179" s="161">
        <f t="shared" si="4"/>
        <v>18623.93519</v>
      </c>
      <c r="G179" s="161">
        <f t="shared" si="20"/>
        <v>18405.4737</v>
      </c>
      <c r="H179" s="161">
        <f t="shared" si="21"/>
        <v>18928.87181</v>
      </c>
      <c r="I179" s="161">
        <f t="shared" si="22"/>
        <v>19063.30303</v>
      </c>
      <c r="J179" s="162">
        <f t="shared" si="8"/>
        <v>19233.80842</v>
      </c>
      <c r="K179" s="163">
        <f t="shared" si="23"/>
        <v>0.0004126194865</v>
      </c>
      <c r="L179" s="163">
        <f t="shared" si="24"/>
        <v>0.008660610891</v>
      </c>
      <c r="M179" s="163">
        <f t="shared" si="25"/>
        <v>0.1654607387</v>
      </c>
      <c r="N179" s="163">
        <f t="shared" si="26"/>
        <v>-0.009291785725</v>
      </c>
      <c r="O179" s="164">
        <f t="shared" si="27"/>
        <v>-0.00377418053</v>
      </c>
      <c r="P179" s="164">
        <f t="shared" si="16"/>
        <v>0</v>
      </c>
      <c r="U179" s="168">
        <f t="shared" si="15"/>
        <v>1.43514226</v>
      </c>
    </row>
    <row r="180">
      <c r="A180" s="158">
        <v>45920.0</v>
      </c>
      <c r="B180" s="167">
        <f>DATOS!E182/DATOS!D182</f>
        <v>19089.3118</v>
      </c>
      <c r="C180" s="160">
        <f t="shared" si="17"/>
        <v>13753.4312</v>
      </c>
      <c r="D180" s="160">
        <f t="shared" si="18"/>
        <v>5335.880598</v>
      </c>
      <c r="E180" s="161">
        <f t="shared" si="19"/>
        <v>17916.83557</v>
      </c>
      <c r="F180" s="161">
        <f t="shared" si="4"/>
        <v>18523.68124</v>
      </c>
      <c r="G180" s="161">
        <f t="shared" si="20"/>
        <v>18377.24038</v>
      </c>
      <c r="H180" s="161">
        <f t="shared" si="21"/>
        <v>18904.82634</v>
      </c>
      <c r="I180" s="161">
        <f t="shared" si="22"/>
        <v>19046.35952</v>
      </c>
      <c r="J180" s="162">
        <f t="shared" si="8"/>
        <v>19285.97144</v>
      </c>
      <c r="K180" s="163">
        <f t="shared" si="23"/>
        <v>0.0016046644</v>
      </c>
      <c r="L180" s="163">
        <f t="shared" si="24"/>
        <v>0.008668162767</v>
      </c>
      <c r="M180" s="163">
        <f t="shared" si="25"/>
        <v>0.1656050171</v>
      </c>
      <c r="N180" s="163">
        <f t="shared" si="26"/>
        <v>-0.009306796526</v>
      </c>
      <c r="O180" s="164">
        <f t="shared" si="27"/>
        <v>-0.00377418053</v>
      </c>
      <c r="P180" s="164">
        <f t="shared" si="16"/>
        <v>0</v>
      </c>
      <c r="U180" s="168">
        <f t="shared" si="15"/>
        <v>1.258476585</v>
      </c>
    </row>
    <row r="181">
      <c r="A181" s="158">
        <v>45919.0</v>
      </c>
      <c r="B181" s="167">
        <f>DATOS!E183/DATOS!D183</f>
        <v>19058.70442</v>
      </c>
      <c r="C181" s="160">
        <f t="shared" si="17"/>
        <v>13745.17132</v>
      </c>
      <c r="D181" s="160">
        <f t="shared" si="18"/>
        <v>5313.5331</v>
      </c>
      <c r="E181" s="161">
        <f t="shared" si="19"/>
        <v>17895.6719</v>
      </c>
      <c r="F181" s="161">
        <f t="shared" si="4"/>
        <v>18438.21221</v>
      </c>
      <c r="G181" s="161">
        <f t="shared" si="20"/>
        <v>18348.17624</v>
      </c>
      <c r="H181" s="161">
        <f t="shared" si="21"/>
        <v>18878.47128</v>
      </c>
      <c r="I181" s="161">
        <f t="shared" si="22"/>
        <v>19024.88338</v>
      </c>
      <c r="J181" s="162">
        <f t="shared" si="8"/>
        <v>19318.73034</v>
      </c>
      <c r="K181" s="163">
        <f t="shared" si="23"/>
        <v>0.00187986242</v>
      </c>
      <c r="L181" s="163">
        <f t="shared" si="24"/>
        <v>0.008675745899</v>
      </c>
      <c r="M181" s="163">
        <f t="shared" si="25"/>
        <v>0.1657498927</v>
      </c>
      <c r="N181" s="163">
        <f t="shared" si="26"/>
        <v>-0.009321807328</v>
      </c>
      <c r="O181" s="164">
        <f t="shared" si="27"/>
        <v>-0.00377418053</v>
      </c>
      <c r="P181" s="164">
        <f t="shared" si="16"/>
        <v>0.00002415567585</v>
      </c>
      <c r="U181" s="168">
        <f t="shared" si="15"/>
        <v>1.064387347</v>
      </c>
    </row>
    <row r="182">
      <c r="A182" s="158">
        <v>45918.0</v>
      </c>
      <c r="B182" s="167">
        <f>DATOS!E184/DATOS!D184</f>
        <v>19022.91034</v>
      </c>
      <c r="C182" s="160">
        <f t="shared" si="17"/>
        <v>13736.93329</v>
      </c>
      <c r="D182" s="160">
        <f t="shared" si="18"/>
        <v>5285.977048</v>
      </c>
      <c r="E182" s="161">
        <f t="shared" si="19"/>
        <v>17874.58171</v>
      </c>
      <c r="F182" s="161">
        <f t="shared" si="4"/>
        <v>18332.18963</v>
      </c>
      <c r="G182" s="161">
        <f t="shared" si="20"/>
        <v>18319.17509</v>
      </c>
      <c r="H182" s="161">
        <f t="shared" si="21"/>
        <v>18852.72369</v>
      </c>
      <c r="I182" s="161">
        <f t="shared" si="22"/>
        <v>19007.97286</v>
      </c>
      <c r="J182" s="162">
        <f t="shared" si="8"/>
        <v>19373.25774</v>
      </c>
      <c r="K182" s="163">
        <f t="shared" si="23"/>
        <v>0.001123839035</v>
      </c>
      <c r="L182" s="163">
        <f t="shared" si="24"/>
        <v>0.008683310557</v>
      </c>
      <c r="M182" s="163">
        <f t="shared" si="25"/>
        <v>0.1658944153</v>
      </c>
      <c r="N182" s="163">
        <f t="shared" si="26"/>
        <v>-0.009336818129</v>
      </c>
      <c r="O182" s="164">
        <f t="shared" si="27"/>
        <v>-0.00377418053</v>
      </c>
      <c r="P182" s="164">
        <f t="shared" si="16"/>
        <v>0.001902206894</v>
      </c>
      <c r="U182" s="168">
        <f t="shared" si="15"/>
        <v>0.8500602118</v>
      </c>
    </row>
    <row r="183">
      <c r="A183" s="158">
        <v>45917.0</v>
      </c>
      <c r="B183" s="167">
        <f>DATOS!E185/DATOS!D185</f>
        <v>19001.54366</v>
      </c>
      <c r="C183" s="160">
        <f t="shared" si="17"/>
        <v>13728.72525</v>
      </c>
      <c r="D183" s="160">
        <f t="shared" si="18"/>
        <v>5272.818406</v>
      </c>
      <c r="E183" s="161">
        <f t="shared" si="19"/>
        <v>17853.60206</v>
      </c>
      <c r="F183" s="161">
        <f t="shared" si="4"/>
        <v>18191.64543</v>
      </c>
      <c r="G183" s="161">
        <f t="shared" si="20"/>
        <v>18290.4512</v>
      </c>
      <c r="H183" s="161">
        <f t="shared" si="21"/>
        <v>18828.41131</v>
      </c>
      <c r="I183" s="161">
        <f t="shared" si="22"/>
        <v>19000.50413</v>
      </c>
      <c r="J183" s="162">
        <f t="shared" si="8"/>
        <v>19465.17718</v>
      </c>
      <c r="K183" s="163">
        <f t="shared" si="23"/>
        <v>-0.00225841279</v>
      </c>
      <c r="L183" s="163">
        <f t="shared" si="24"/>
        <v>0.008690963923</v>
      </c>
      <c r="M183" s="163">
        <f t="shared" si="25"/>
        <v>0.1660406326</v>
      </c>
      <c r="N183" s="163">
        <f t="shared" si="26"/>
        <v>-0.009351828931</v>
      </c>
      <c r="O183" s="164">
        <f t="shared" si="27"/>
        <v>-0.00377418053</v>
      </c>
      <c r="P183" s="164">
        <f t="shared" si="16"/>
        <v>0.003023278085</v>
      </c>
      <c r="U183" s="168">
        <f t="shared" si="15"/>
        <v>0.7069224699</v>
      </c>
    </row>
    <row r="184">
      <c r="A184" s="158">
        <v>45916.0</v>
      </c>
      <c r="B184" s="167">
        <f>DATOS!E186/DATOS!D186</f>
        <v>19044.50548</v>
      </c>
      <c r="C184" s="160">
        <f t="shared" si="17"/>
        <v>13720.52491</v>
      </c>
      <c r="D184" s="160">
        <f t="shared" si="18"/>
        <v>5323.980569</v>
      </c>
      <c r="E184" s="161">
        <f t="shared" si="19"/>
        <v>17832.63224</v>
      </c>
      <c r="F184" s="161">
        <f t="shared" si="4"/>
        <v>18112.63529</v>
      </c>
      <c r="G184" s="161">
        <f t="shared" si="20"/>
        <v>18261.42702</v>
      </c>
      <c r="H184" s="161">
        <f t="shared" si="21"/>
        <v>18803.67812</v>
      </c>
      <c r="I184" s="161">
        <f t="shared" si="22"/>
        <v>18999.98436</v>
      </c>
      <c r="J184" s="162">
        <f t="shared" si="8"/>
        <v>19494.72094</v>
      </c>
      <c r="K184" s="163">
        <f t="shared" si="23"/>
        <v>-0.0007694446319</v>
      </c>
      <c r="L184" s="163">
        <f t="shared" si="24"/>
        <v>0.008697522089</v>
      </c>
      <c r="M184" s="163">
        <f t="shared" si="25"/>
        <v>0.1661659262</v>
      </c>
      <c r="N184" s="163">
        <f t="shared" si="26"/>
        <v>-0.009366839732</v>
      </c>
      <c r="O184" s="164">
        <f t="shared" si="27"/>
        <v>-0.00377418053</v>
      </c>
      <c r="P184" s="164">
        <f t="shared" si="16"/>
        <v>0.0007691486853</v>
      </c>
      <c r="U184" s="168">
        <f t="shared" si="15"/>
        <v>0.906096013</v>
      </c>
    </row>
    <row r="185">
      <c r="A185" s="158">
        <v>45915.0</v>
      </c>
      <c r="B185" s="167">
        <f>DATOS!E187/DATOS!D187</f>
        <v>19059.16481</v>
      </c>
      <c r="C185" s="160">
        <f t="shared" si="17"/>
        <v>13712.2321</v>
      </c>
      <c r="D185" s="160">
        <f t="shared" si="18"/>
        <v>5346.932706</v>
      </c>
      <c r="E185" s="161">
        <f t="shared" si="19"/>
        <v>17811.21853</v>
      </c>
      <c r="F185" s="161">
        <f t="shared" si="4"/>
        <v>18053.71643</v>
      </c>
      <c r="G185" s="161">
        <f t="shared" si="20"/>
        <v>18229.46463</v>
      </c>
      <c r="H185" s="161">
        <f t="shared" si="21"/>
        <v>18769.27421</v>
      </c>
      <c r="I185" s="161">
        <f t="shared" si="22"/>
        <v>18977.72381</v>
      </c>
      <c r="J185" s="162">
        <f t="shared" si="8"/>
        <v>19484.83198</v>
      </c>
      <c r="K185" s="163">
        <f t="shared" si="23"/>
        <v>0.002592823696</v>
      </c>
      <c r="L185" s="163">
        <f t="shared" si="24"/>
        <v>0.008704875007</v>
      </c>
      <c r="M185" s="163">
        <f t="shared" si="25"/>
        <v>0.1663064035</v>
      </c>
      <c r="N185" s="163">
        <f t="shared" si="26"/>
        <v>-0.009381850534</v>
      </c>
      <c r="O185" s="164">
        <f t="shared" si="27"/>
        <v>-0.00377418053</v>
      </c>
      <c r="P185" s="164">
        <f t="shared" si="16"/>
        <v>0</v>
      </c>
      <c r="U185" s="168">
        <f t="shared" si="15"/>
        <v>1.053325946</v>
      </c>
    </row>
    <row r="186">
      <c r="A186" s="158">
        <v>45914.0</v>
      </c>
      <c r="B186" s="167">
        <f>DATOS!E188/DATOS!D188</f>
        <v>19009.81177</v>
      </c>
      <c r="C186" s="160">
        <f t="shared" si="17"/>
        <v>13703.89056</v>
      </c>
      <c r="D186" s="160">
        <f t="shared" si="18"/>
        <v>5305.92121</v>
      </c>
      <c r="E186" s="161">
        <f t="shared" si="19"/>
        <v>17789.55744</v>
      </c>
      <c r="F186" s="161">
        <f t="shared" si="4"/>
        <v>18033.8661</v>
      </c>
      <c r="G186" s="161">
        <f t="shared" si="20"/>
        <v>18195.59932</v>
      </c>
      <c r="H186" s="161">
        <f t="shared" si="21"/>
        <v>18727.86126</v>
      </c>
      <c r="I186" s="161">
        <f t="shared" si="22"/>
        <v>18937.0033</v>
      </c>
      <c r="J186" s="162">
        <f t="shared" si="8"/>
        <v>19421.85643</v>
      </c>
      <c r="K186" s="163">
        <f t="shared" si="23"/>
        <v>0.00281957189</v>
      </c>
      <c r="L186" s="163">
        <f t="shared" si="24"/>
        <v>0.008712349984</v>
      </c>
      <c r="M186" s="163">
        <f t="shared" si="25"/>
        <v>0.1664492127</v>
      </c>
      <c r="N186" s="163">
        <f t="shared" si="26"/>
        <v>-0.009396861335</v>
      </c>
      <c r="O186" s="164">
        <f t="shared" si="27"/>
        <v>-0.00377418053</v>
      </c>
      <c r="P186" s="164">
        <f t="shared" si="16"/>
        <v>0</v>
      </c>
      <c r="U186" s="168">
        <f t="shared" si="15"/>
        <v>1.056306078</v>
      </c>
    </row>
    <row r="187">
      <c r="A187" s="158">
        <v>45913.0</v>
      </c>
      <c r="B187" s="167">
        <f>DATOS!E189/DATOS!D189</f>
        <v>18956.28773</v>
      </c>
      <c r="C187" s="160">
        <f t="shared" si="17"/>
        <v>13695.60005</v>
      </c>
      <c r="D187" s="160">
        <f t="shared" si="18"/>
        <v>5260.687673</v>
      </c>
      <c r="E187" s="161">
        <f t="shared" si="19"/>
        <v>17768.10021</v>
      </c>
      <c r="F187" s="161">
        <f t="shared" si="4"/>
        <v>18019.12145</v>
      </c>
      <c r="G187" s="161">
        <f t="shared" si="20"/>
        <v>18162.36616</v>
      </c>
      <c r="H187" s="161">
        <f t="shared" si="21"/>
        <v>18687.58262</v>
      </c>
      <c r="I187" s="161">
        <f t="shared" si="22"/>
        <v>18900.59907</v>
      </c>
      <c r="J187" s="162">
        <f t="shared" si="8"/>
        <v>19356.04379</v>
      </c>
      <c r="K187" s="163">
        <f t="shared" si="23"/>
        <v>0.001972667712</v>
      </c>
      <c r="L187" s="163">
        <f t="shared" si="24"/>
        <v>0.008719768051</v>
      </c>
      <c r="M187" s="163">
        <f t="shared" si="25"/>
        <v>0.1665909347</v>
      </c>
      <c r="N187" s="163">
        <f t="shared" si="26"/>
        <v>-0.009411872136</v>
      </c>
      <c r="O187" s="164">
        <f t="shared" si="27"/>
        <v>-0.00377418053</v>
      </c>
      <c r="P187" s="164">
        <f t="shared" si="16"/>
        <v>0.001967542098</v>
      </c>
      <c r="U187" s="168">
        <f t="shared" si="15"/>
        <v>1.045136673</v>
      </c>
    </row>
    <row r="188">
      <c r="A188" s="158">
        <v>45912.0</v>
      </c>
      <c r="B188" s="167">
        <f>DATOS!E190/DATOS!D190</f>
        <v>18918.93013</v>
      </c>
      <c r="C188" s="160">
        <f t="shared" si="17"/>
        <v>13687.36737</v>
      </c>
      <c r="D188" s="160">
        <f t="shared" si="18"/>
        <v>5231.562764</v>
      </c>
      <c r="E188" s="161">
        <f t="shared" si="19"/>
        <v>17746.87806</v>
      </c>
      <c r="F188" s="161">
        <f t="shared" si="4"/>
        <v>18007.75793</v>
      </c>
      <c r="G188" s="161">
        <f t="shared" si="20"/>
        <v>18129.9612</v>
      </c>
      <c r="H188" s="161">
        <f t="shared" si="21"/>
        <v>18649.19618</v>
      </c>
      <c r="I188" s="161">
        <f t="shared" si="22"/>
        <v>18872.75474</v>
      </c>
      <c r="J188" s="162">
        <f t="shared" si="8"/>
        <v>19290.63442</v>
      </c>
      <c r="K188" s="163">
        <f t="shared" si="23"/>
        <v>-0.0003556521051</v>
      </c>
      <c r="L188" s="163">
        <f t="shared" si="24"/>
        <v>0.008727436734</v>
      </c>
      <c r="M188" s="163">
        <f t="shared" si="25"/>
        <v>0.1667374447</v>
      </c>
      <c r="N188" s="163">
        <f t="shared" si="26"/>
        <v>-0.009426882938</v>
      </c>
      <c r="O188" s="164">
        <f t="shared" si="27"/>
        <v>-0.00377418053</v>
      </c>
      <c r="P188" s="164">
        <f t="shared" si="16"/>
        <v>0.003934387899</v>
      </c>
      <c r="U188" s="168">
        <f t="shared" si="15"/>
        <v>1.093337175</v>
      </c>
    </row>
    <row r="189">
      <c r="A189" s="158">
        <v>45911.0</v>
      </c>
      <c r="B189" s="167">
        <f>DATOS!E191/DATOS!D191</f>
        <v>18925.65988</v>
      </c>
      <c r="C189" s="160">
        <f t="shared" si="17"/>
        <v>13679.16742</v>
      </c>
      <c r="D189" s="160">
        <f t="shared" si="18"/>
        <v>5246.49246</v>
      </c>
      <c r="E189" s="161">
        <f t="shared" si="19"/>
        <v>17725.77803</v>
      </c>
      <c r="F189" s="161">
        <f t="shared" si="4"/>
        <v>18000.91619</v>
      </c>
      <c r="G189" s="161">
        <f t="shared" si="20"/>
        <v>18097.75838</v>
      </c>
      <c r="H189" s="161">
        <f t="shared" si="21"/>
        <v>18610.66275</v>
      </c>
      <c r="I189" s="161">
        <f t="shared" si="22"/>
        <v>18849.66705</v>
      </c>
      <c r="J189" s="162">
        <f t="shared" si="8"/>
        <v>19220.40932</v>
      </c>
      <c r="K189" s="163">
        <f t="shared" si="23"/>
        <v>-0.003586495859</v>
      </c>
      <c r="L189" s="163">
        <f t="shared" si="24"/>
        <v>0.0087350083</v>
      </c>
      <c r="M189" s="163">
        <f t="shared" si="25"/>
        <v>0.1668820992</v>
      </c>
      <c r="N189" s="163">
        <f t="shared" si="26"/>
        <v>-0.009441893739</v>
      </c>
      <c r="O189" s="164">
        <f t="shared" si="27"/>
        <v>-0.00377418053</v>
      </c>
      <c r="P189" s="164">
        <f t="shared" si="16"/>
        <v>0.003580072065</v>
      </c>
      <c r="U189" s="168">
        <f t="shared" si="15"/>
        <v>1.343168761</v>
      </c>
    </row>
    <row r="190">
      <c r="A190" s="158">
        <v>45910.0</v>
      </c>
      <c r="B190" s="167">
        <f>DATOS!E192/DATOS!D192</f>
        <v>18993.65855</v>
      </c>
      <c r="C190" s="160">
        <f t="shared" si="17"/>
        <v>13670.93117</v>
      </c>
      <c r="D190" s="160">
        <f t="shared" si="18"/>
        <v>5322.727378</v>
      </c>
      <c r="E190" s="161">
        <f t="shared" si="19"/>
        <v>17704.48733</v>
      </c>
      <c r="F190" s="161">
        <f t="shared" si="4"/>
        <v>17992.34116</v>
      </c>
      <c r="G190" s="161">
        <f t="shared" si="20"/>
        <v>18063.96649</v>
      </c>
      <c r="H190" s="161">
        <f t="shared" si="21"/>
        <v>18565.66316</v>
      </c>
      <c r="I190" s="161">
        <f t="shared" si="22"/>
        <v>18811.67063</v>
      </c>
      <c r="J190" s="162">
        <f t="shared" si="8"/>
        <v>19138.98516</v>
      </c>
      <c r="K190" s="163">
        <f t="shared" si="23"/>
        <v>0.004378932512</v>
      </c>
      <c r="L190" s="163">
        <f t="shared" si="24"/>
        <v>0.008740597109</v>
      </c>
      <c r="M190" s="163">
        <f t="shared" si="25"/>
        <v>0.1669888733</v>
      </c>
      <c r="N190" s="163">
        <f t="shared" si="26"/>
        <v>-0.009456904541</v>
      </c>
      <c r="O190" s="164">
        <f t="shared" si="27"/>
        <v>-0.003389401637</v>
      </c>
      <c r="P190" s="164">
        <f t="shared" si="16"/>
        <v>0</v>
      </c>
      <c r="U190" s="168">
        <f t="shared" si="15"/>
        <v>1.940947682</v>
      </c>
    </row>
    <row r="191">
      <c r="A191" s="158">
        <v>45909.0</v>
      </c>
      <c r="B191" s="167">
        <f>DATOS!E193/DATOS!D193</f>
        <v>18910.66844</v>
      </c>
      <c r="C191" s="160">
        <f t="shared" si="17"/>
        <v>13662.5621</v>
      </c>
      <c r="D191" s="160">
        <f t="shared" si="18"/>
        <v>5248.106334</v>
      </c>
      <c r="E191" s="161">
        <f t="shared" si="19"/>
        <v>17682.5676</v>
      </c>
      <c r="F191" s="161">
        <f t="shared" si="4"/>
        <v>18024.20882</v>
      </c>
      <c r="G191" s="161">
        <f t="shared" si="20"/>
        <v>18026.01987</v>
      </c>
      <c r="H191" s="161">
        <f t="shared" si="21"/>
        <v>18504.52096</v>
      </c>
      <c r="I191" s="161">
        <f t="shared" si="22"/>
        <v>18720.67667</v>
      </c>
      <c r="J191" s="162">
        <f t="shared" si="8"/>
        <v>18984.83311</v>
      </c>
      <c r="K191" s="163">
        <f t="shared" si="23"/>
        <v>0.006755796561</v>
      </c>
      <c r="L191" s="163">
        <f t="shared" si="24"/>
        <v>0.008747287387</v>
      </c>
      <c r="M191" s="163">
        <f t="shared" si="25"/>
        <v>0.1671166909</v>
      </c>
      <c r="N191" s="163">
        <f t="shared" si="26"/>
        <v>-0.00947918767</v>
      </c>
      <c r="O191" s="164">
        <f t="shared" si="27"/>
        <v>-0.003389401637</v>
      </c>
      <c r="P191" s="164">
        <f t="shared" si="16"/>
        <v>0</v>
      </c>
      <c r="U191" s="168">
        <f t="shared" si="15"/>
        <v>2.198535788</v>
      </c>
    </row>
    <row r="192">
      <c r="A192" s="158">
        <v>45908.0</v>
      </c>
      <c r="B192" s="167">
        <f>DATOS!E194/DATOS!D194</f>
        <v>18783.34239</v>
      </c>
      <c r="C192" s="160">
        <f t="shared" si="17"/>
        <v>13654.29737</v>
      </c>
      <c r="D192" s="160">
        <f t="shared" si="18"/>
        <v>5129.045018</v>
      </c>
      <c r="E192" s="161">
        <f t="shared" si="19"/>
        <v>17661.0923</v>
      </c>
      <c r="F192" s="161">
        <f t="shared" si="4"/>
        <v>18057.19382</v>
      </c>
      <c r="G192" s="161">
        <f t="shared" si="20"/>
        <v>17989.91177</v>
      </c>
      <c r="H192" s="161">
        <f t="shared" si="21"/>
        <v>18446.4999</v>
      </c>
      <c r="I192" s="161">
        <f t="shared" si="22"/>
        <v>18625.68079</v>
      </c>
      <c r="J192" s="162">
        <f t="shared" si="8"/>
        <v>18835.80598</v>
      </c>
      <c r="K192" s="163">
        <f t="shared" si="23"/>
        <v>0.006206931167</v>
      </c>
      <c r="L192" s="163">
        <f t="shared" si="24"/>
        <v>0.008751795033</v>
      </c>
      <c r="M192" s="163">
        <f t="shared" si="25"/>
        <v>0.1672028093</v>
      </c>
      <c r="N192" s="163">
        <f t="shared" si="26"/>
        <v>-0.009501470798</v>
      </c>
      <c r="O192" s="164">
        <f t="shared" si="27"/>
        <v>-0.003389401637</v>
      </c>
      <c r="P192" s="164">
        <f t="shared" si="16"/>
        <v>0</v>
      </c>
      <c r="U192" s="168">
        <f t="shared" si="15"/>
        <v>2.249619327</v>
      </c>
    </row>
    <row r="193">
      <c r="A193" s="158">
        <v>45907.0</v>
      </c>
      <c r="B193" s="167">
        <f>DATOS!E195/DATOS!D195</f>
        <v>18667.11655</v>
      </c>
      <c r="C193" s="160">
        <f t="shared" si="17"/>
        <v>13646.20739</v>
      </c>
      <c r="D193" s="160">
        <f t="shared" si="18"/>
        <v>5020.909157</v>
      </c>
      <c r="E193" s="161">
        <f t="shared" si="19"/>
        <v>17640.38227</v>
      </c>
      <c r="F193" s="161">
        <f t="shared" si="4"/>
        <v>18078.83843</v>
      </c>
      <c r="G193" s="161">
        <f t="shared" si="20"/>
        <v>17957.52684</v>
      </c>
      <c r="H193" s="161">
        <f t="shared" si="21"/>
        <v>18398.37954</v>
      </c>
      <c r="I193" s="161">
        <f t="shared" si="22"/>
        <v>18546.84999</v>
      </c>
      <c r="J193" s="162">
        <f t="shared" si="8"/>
        <v>18717.92065</v>
      </c>
      <c r="K193" s="163">
        <f t="shared" si="23"/>
        <v>0.003980774504</v>
      </c>
      <c r="L193" s="163">
        <f t="shared" si="24"/>
        <v>0.008756916908</v>
      </c>
      <c r="M193" s="163">
        <f t="shared" si="25"/>
        <v>0.1673006626</v>
      </c>
      <c r="N193" s="163">
        <f t="shared" si="26"/>
        <v>-0.009523753927</v>
      </c>
      <c r="O193" s="164">
        <f t="shared" si="27"/>
        <v>-0.003389401637</v>
      </c>
      <c r="P193" s="164">
        <f t="shared" si="16"/>
        <v>0</v>
      </c>
      <c r="U193" s="168">
        <f t="shared" si="15"/>
        <v>2.186623904</v>
      </c>
    </row>
    <row r="194">
      <c r="A194" s="158">
        <v>45906.0</v>
      </c>
      <c r="B194" s="167">
        <f>DATOS!E196/DATOS!D196</f>
        <v>18592.95468</v>
      </c>
      <c r="C194" s="160">
        <f t="shared" si="17"/>
        <v>13638.27547</v>
      </c>
      <c r="D194" s="160">
        <f t="shared" si="18"/>
        <v>4954.67921</v>
      </c>
      <c r="E194" s="161">
        <f t="shared" si="19"/>
        <v>17620.36413</v>
      </c>
      <c r="F194" s="161">
        <f t="shared" si="4"/>
        <v>18087.38159</v>
      </c>
      <c r="G194" s="161">
        <f t="shared" si="20"/>
        <v>17928.564</v>
      </c>
      <c r="H194" s="161">
        <f t="shared" si="21"/>
        <v>18359.98854</v>
      </c>
      <c r="I194" s="161">
        <f t="shared" si="22"/>
        <v>18486.7167</v>
      </c>
      <c r="J194" s="162">
        <f t="shared" si="8"/>
        <v>18632.59549</v>
      </c>
      <c r="K194" s="163">
        <f t="shared" si="23"/>
        <v>0.001912078832</v>
      </c>
      <c r="L194" s="163">
        <f t="shared" si="24"/>
        <v>0.008763899685</v>
      </c>
      <c r="M194" s="163">
        <f t="shared" si="25"/>
        <v>0.1674340684</v>
      </c>
      <c r="N194" s="163">
        <f t="shared" si="26"/>
        <v>-0.009546037056</v>
      </c>
      <c r="O194" s="164">
        <f t="shared" si="27"/>
        <v>-0.003389401637</v>
      </c>
      <c r="P194" s="164">
        <f t="shared" si="16"/>
        <v>0</v>
      </c>
      <c r="U194" s="168">
        <f t="shared" si="15"/>
        <v>2.22192414</v>
      </c>
    </row>
    <row r="195">
      <c r="A195" s="158">
        <v>45905.0</v>
      </c>
      <c r="B195" s="167">
        <f>DATOS!E197/DATOS!D197</f>
        <v>18557.43745</v>
      </c>
      <c r="C195" s="160">
        <f t="shared" si="17"/>
        <v>13630.43579</v>
      </c>
      <c r="D195" s="160">
        <f t="shared" si="18"/>
        <v>4927.001664</v>
      </c>
      <c r="E195" s="161">
        <f t="shared" si="19"/>
        <v>17600.74143</v>
      </c>
      <c r="F195" s="161">
        <f t="shared" si="4"/>
        <v>18090.98143</v>
      </c>
      <c r="G195" s="161">
        <f t="shared" si="20"/>
        <v>17901.44601</v>
      </c>
      <c r="H195" s="161">
        <f t="shared" si="21"/>
        <v>18326.70766</v>
      </c>
      <c r="I195" s="161">
        <f t="shared" si="22"/>
        <v>18433.59772</v>
      </c>
      <c r="J195" s="162">
        <f t="shared" si="8"/>
        <v>18562.43389</v>
      </c>
      <c r="K195" s="163">
        <f t="shared" si="23"/>
        <v>0.006258703867</v>
      </c>
      <c r="L195" s="163">
        <f t="shared" si="24"/>
        <v>0.008771712439</v>
      </c>
      <c r="M195" s="163">
        <f t="shared" si="25"/>
        <v>0.1675833308</v>
      </c>
      <c r="N195" s="163">
        <f t="shared" si="26"/>
        <v>-0.009568320185</v>
      </c>
      <c r="O195" s="164">
        <f t="shared" si="27"/>
        <v>-0.003389401637</v>
      </c>
      <c r="P195" s="164">
        <f t="shared" si="16"/>
        <v>0</v>
      </c>
      <c r="U195" s="168">
        <f t="shared" si="15"/>
        <v>2.544890515</v>
      </c>
    </row>
    <row r="196">
      <c r="A196" s="158">
        <v>45904.0</v>
      </c>
      <c r="B196" s="167">
        <f>DATOS!E198/DATOS!D198</f>
        <v>18441.65465</v>
      </c>
      <c r="C196" s="160">
        <f t="shared" si="17"/>
        <v>13622.62754</v>
      </c>
      <c r="D196" s="160">
        <f t="shared" si="18"/>
        <v>4819.027105</v>
      </c>
      <c r="E196" s="161">
        <f t="shared" si="19"/>
        <v>17581.23936</v>
      </c>
      <c r="F196" s="161">
        <f t="shared" si="4"/>
        <v>18078.95014</v>
      </c>
      <c r="G196" s="161">
        <f t="shared" si="20"/>
        <v>17874.67085</v>
      </c>
      <c r="H196" s="161">
        <f t="shared" si="21"/>
        <v>18293.74626</v>
      </c>
      <c r="I196" s="161">
        <f t="shared" si="22"/>
        <v>18371.67785</v>
      </c>
      <c r="J196" s="162">
        <f t="shared" si="8"/>
        <v>18508.54239</v>
      </c>
      <c r="K196" s="163">
        <f t="shared" si="23"/>
        <v>0.00916075426</v>
      </c>
      <c r="L196" s="163">
        <f t="shared" si="24"/>
        <v>0.008776813629</v>
      </c>
      <c r="M196" s="163">
        <f t="shared" si="25"/>
        <v>0.1676807889</v>
      </c>
      <c r="N196" s="163">
        <f t="shared" si="26"/>
        <v>-0.009590603314</v>
      </c>
      <c r="O196" s="164">
        <f t="shared" si="27"/>
        <v>-0.003389401637</v>
      </c>
      <c r="P196" s="164">
        <f t="shared" si="16"/>
        <v>0</v>
      </c>
      <c r="U196" s="168">
        <f t="shared" si="15"/>
        <v>1.790357247</v>
      </c>
    </row>
    <row r="197">
      <c r="A197" s="158">
        <v>45903.0</v>
      </c>
      <c r="B197" s="167">
        <f>DATOS!E199/DATOS!D199</f>
        <v>18273.48663</v>
      </c>
      <c r="C197" s="160">
        <f t="shared" si="17"/>
        <v>13614.97829</v>
      </c>
      <c r="D197" s="160">
        <f t="shared" si="18"/>
        <v>4658.508337</v>
      </c>
      <c r="E197" s="161">
        <f t="shared" si="19"/>
        <v>17562.4374</v>
      </c>
      <c r="F197" s="161">
        <f t="shared" si="4"/>
        <v>18060.11112</v>
      </c>
      <c r="G197" s="161">
        <f t="shared" si="20"/>
        <v>17851.52865</v>
      </c>
      <c r="H197" s="161">
        <f t="shared" si="21"/>
        <v>18272.6165</v>
      </c>
      <c r="I197" s="161">
        <f t="shared" si="22"/>
        <v>18336.68946</v>
      </c>
      <c r="J197" s="162">
        <f t="shared" si="8"/>
        <v>18485.12187</v>
      </c>
      <c r="K197" s="163">
        <f t="shared" si="23"/>
        <v>-0.003927740715</v>
      </c>
      <c r="L197" s="163">
        <f t="shared" si="24"/>
        <v>0.008777916971</v>
      </c>
      <c r="M197" s="163">
        <f t="shared" si="25"/>
        <v>0.1677018683</v>
      </c>
      <c r="N197" s="163">
        <f t="shared" si="26"/>
        <v>-0.009612886442</v>
      </c>
      <c r="O197" s="164">
        <f t="shared" si="27"/>
        <v>-0.003389401637</v>
      </c>
      <c r="P197" s="164">
        <f t="shared" si="16"/>
        <v>0.008869089482</v>
      </c>
      <c r="U197" s="168">
        <f t="shared" si="15"/>
        <v>0.01064608258</v>
      </c>
    </row>
    <row r="198">
      <c r="A198" s="158">
        <v>45902.0</v>
      </c>
      <c r="B198" s="167">
        <f>DATOS!E200/DATOS!D200</f>
        <v>18345.40129</v>
      </c>
      <c r="C198" s="160">
        <f t="shared" si="17"/>
        <v>13607.57208</v>
      </c>
      <c r="D198" s="160">
        <f t="shared" si="18"/>
        <v>4737.829207</v>
      </c>
      <c r="E198" s="161">
        <f t="shared" si="19"/>
        <v>17544.7195</v>
      </c>
      <c r="F198" s="161">
        <f t="shared" si="4"/>
        <v>18058.82206</v>
      </c>
      <c r="G198" s="161">
        <f t="shared" si="20"/>
        <v>17834.30588</v>
      </c>
      <c r="H198" s="161">
        <f t="shared" si="21"/>
        <v>18272.49219</v>
      </c>
      <c r="I198" s="161">
        <f t="shared" si="22"/>
        <v>18368.29087</v>
      </c>
      <c r="J198" s="162">
        <f t="shared" si="8"/>
        <v>18486.16232</v>
      </c>
      <c r="K198" s="163">
        <f t="shared" si="23"/>
        <v>0.0004039796444</v>
      </c>
      <c r="L198" s="163">
        <f t="shared" si="24"/>
        <v>0.008783346239</v>
      </c>
      <c r="M198" s="163">
        <f t="shared" si="25"/>
        <v>0.1678055943</v>
      </c>
      <c r="N198" s="163">
        <f t="shared" si="26"/>
        <v>-0.009635169571</v>
      </c>
      <c r="O198" s="164">
        <f t="shared" si="27"/>
        <v>-0.002552274185</v>
      </c>
      <c r="P198" s="164">
        <f t="shared" si="16"/>
        <v>0.00496852907</v>
      </c>
      <c r="U198" s="168">
        <f t="shared" si="15"/>
        <v>0.8871789848</v>
      </c>
    </row>
    <row r="199">
      <c r="A199" s="158">
        <v>45901.0</v>
      </c>
      <c r="B199" s="167">
        <f>DATOS!E201/DATOS!D201</f>
        <v>18337.99161</v>
      </c>
      <c r="C199" s="160">
        <f t="shared" si="17"/>
        <v>13600.02777</v>
      </c>
      <c r="D199" s="160">
        <f t="shared" si="18"/>
        <v>4737.963849</v>
      </c>
      <c r="E199" s="161">
        <f t="shared" si="19"/>
        <v>17526.3579</v>
      </c>
      <c r="F199" s="161">
        <f t="shared" si="4"/>
        <v>18031.51691</v>
      </c>
      <c r="G199" s="161">
        <f t="shared" si="20"/>
        <v>17813.44484</v>
      </c>
      <c r="H199" s="161">
        <f t="shared" si="21"/>
        <v>18262.07661</v>
      </c>
      <c r="I199" s="161">
        <f t="shared" si="22"/>
        <v>18379.73566</v>
      </c>
      <c r="J199" s="162">
        <f t="shared" si="8"/>
        <v>18492.6363</v>
      </c>
      <c r="K199" s="163">
        <f t="shared" si="23"/>
        <v>-0.005384892893</v>
      </c>
      <c r="L199" s="163">
        <f t="shared" si="24"/>
        <v>0.00879127394</v>
      </c>
      <c r="M199" s="163">
        <f t="shared" si="25"/>
        <v>0.1679570528</v>
      </c>
      <c r="N199" s="163">
        <f t="shared" si="26"/>
        <v>-0.0096574527</v>
      </c>
      <c r="O199" s="164">
        <f t="shared" si="27"/>
        <v>-0.002552274185</v>
      </c>
      <c r="P199" s="164">
        <f t="shared" si="16"/>
        <v>0.005370420347</v>
      </c>
      <c r="U199" s="168">
        <f t="shared" si="15"/>
        <v>0.8560864017</v>
      </c>
    </row>
    <row r="200">
      <c r="A200" s="158">
        <v>45900.0</v>
      </c>
      <c r="B200" s="167">
        <f>DATOS!E202/DATOS!D202</f>
        <v>18437.00609</v>
      </c>
      <c r="C200" s="160">
        <f t="shared" si="17"/>
        <v>13592.4712</v>
      </c>
      <c r="D200" s="160">
        <f t="shared" si="18"/>
        <v>4844.534883</v>
      </c>
      <c r="E200" s="161">
        <f t="shared" si="19"/>
        <v>17507.92218</v>
      </c>
      <c r="F200" s="161">
        <f t="shared" si="4"/>
        <v>17997.85752</v>
      </c>
      <c r="G200" s="161">
        <f t="shared" si="20"/>
        <v>17792.03477</v>
      </c>
      <c r="H200" s="161">
        <f t="shared" si="21"/>
        <v>18251.2316</v>
      </c>
      <c r="I200" s="161">
        <f t="shared" si="22"/>
        <v>18400.60768</v>
      </c>
      <c r="J200" s="162">
        <f t="shared" si="8"/>
        <v>18504.60569</v>
      </c>
      <c r="K200" s="163">
        <f t="shared" si="23"/>
        <v>0.0004316367689</v>
      </c>
      <c r="L200" s="163">
        <f t="shared" si="24"/>
        <v>0.008795015893</v>
      </c>
      <c r="M200" s="163">
        <f t="shared" si="25"/>
        <v>0.1680285427</v>
      </c>
      <c r="N200" s="163">
        <f t="shared" si="26"/>
        <v>-0.009679735829</v>
      </c>
      <c r="O200" s="164">
        <f t="shared" si="27"/>
        <v>-0.002085878051</v>
      </c>
      <c r="P200" s="164">
        <f t="shared" si="16"/>
        <v>0</v>
      </c>
      <c r="U200" s="168">
        <f t="shared" si="15"/>
        <v>1.906326222</v>
      </c>
    </row>
    <row r="201">
      <c r="A201" s="158">
        <v>45899.0</v>
      </c>
      <c r="B201" s="167">
        <f>DATOS!E203/DATOS!D203</f>
        <v>18429.04971</v>
      </c>
      <c r="C201" s="160">
        <f t="shared" si="17"/>
        <v>13584.73233</v>
      </c>
      <c r="D201" s="160">
        <f t="shared" si="18"/>
        <v>4844.317384</v>
      </c>
      <c r="E201" s="161">
        <f t="shared" si="19"/>
        <v>17488.63917</v>
      </c>
      <c r="F201" s="161">
        <f t="shared" si="4"/>
        <v>17975.8541</v>
      </c>
      <c r="G201" s="161">
        <f t="shared" si="20"/>
        <v>17765.70941</v>
      </c>
      <c r="H201" s="161">
        <f t="shared" si="21"/>
        <v>18224.69239</v>
      </c>
      <c r="I201" s="161">
        <f t="shared" si="22"/>
        <v>18382.40848</v>
      </c>
      <c r="J201" s="162">
        <f t="shared" si="8"/>
        <v>18473.53068</v>
      </c>
      <c r="K201" s="163">
        <f t="shared" si="23"/>
        <v>0.0004318231596</v>
      </c>
      <c r="L201" s="163">
        <f t="shared" si="24"/>
        <v>0.008802985014</v>
      </c>
      <c r="M201" s="163">
        <f t="shared" si="25"/>
        <v>0.1681807925</v>
      </c>
      <c r="N201" s="163">
        <f t="shared" si="26"/>
        <v>-0.009702018958</v>
      </c>
      <c r="O201" s="164">
        <f t="shared" si="27"/>
        <v>-0.002552274185</v>
      </c>
      <c r="P201" s="164">
        <f t="shared" si="16"/>
        <v>0</v>
      </c>
      <c r="U201" s="168">
        <f t="shared" si="15"/>
        <v>2.135238262</v>
      </c>
    </row>
    <row r="202">
      <c r="A202" s="158">
        <v>45898.0</v>
      </c>
      <c r="B202" s="167">
        <f>DATOS!E204/DATOS!D204</f>
        <v>18421.09334</v>
      </c>
      <c r="C202" s="160">
        <f t="shared" si="17"/>
        <v>13576.98142</v>
      </c>
      <c r="D202" s="160">
        <f t="shared" si="18"/>
        <v>4844.111919</v>
      </c>
      <c r="E202" s="161">
        <f t="shared" si="19"/>
        <v>17469.27992</v>
      </c>
      <c r="F202" s="161">
        <f t="shared" si="4"/>
        <v>17960.08794</v>
      </c>
      <c r="G202" s="161">
        <f t="shared" si="20"/>
        <v>17738.6343</v>
      </c>
      <c r="H202" s="161">
        <f t="shared" si="21"/>
        <v>18195.49849</v>
      </c>
      <c r="I202" s="161">
        <f t="shared" si="22"/>
        <v>18359.08786</v>
      </c>
      <c r="J202" s="162">
        <f t="shared" si="8"/>
        <v>18430.90904</v>
      </c>
      <c r="K202" s="163">
        <f t="shared" si="23"/>
        <v>0.0003165727495</v>
      </c>
      <c r="L202" s="163">
        <f t="shared" si="24"/>
        <v>0.008810975859</v>
      </c>
      <c r="M202" s="163">
        <f t="shared" si="25"/>
        <v>0.1683334574</v>
      </c>
      <c r="N202" s="163">
        <f t="shared" si="26"/>
        <v>-0.009724302087</v>
      </c>
      <c r="O202" s="164">
        <f t="shared" si="27"/>
        <v>-0.002552274185</v>
      </c>
      <c r="P202" s="164">
        <f t="shared" si="16"/>
        <v>0</v>
      </c>
      <c r="U202" s="168">
        <f t="shared" si="15"/>
        <v>2.491590196</v>
      </c>
    </row>
    <row r="203">
      <c r="A203" s="158">
        <v>45897.0</v>
      </c>
      <c r="B203" s="167">
        <f>DATOS!E205/DATOS!D205</f>
        <v>18415.26265</v>
      </c>
      <c r="C203" s="160">
        <f t="shared" si="17"/>
        <v>13569.21842</v>
      </c>
      <c r="D203" s="160">
        <f t="shared" si="18"/>
        <v>4846.044226</v>
      </c>
      <c r="E203" s="161">
        <f t="shared" si="19"/>
        <v>17449.84381</v>
      </c>
      <c r="F203" s="161">
        <f t="shared" si="4"/>
        <v>17773.07341</v>
      </c>
      <c r="G203" s="161">
        <f t="shared" si="20"/>
        <v>17710.77882</v>
      </c>
      <c r="H203" s="161">
        <f t="shared" si="21"/>
        <v>18163.27065</v>
      </c>
      <c r="I203" s="161">
        <f t="shared" si="22"/>
        <v>18328.08512</v>
      </c>
      <c r="J203" s="162">
        <f t="shared" si="8"/>
        <v>18553.4679</v>
      </c>
      <c r="K203" s="163">
        <f t="shared" si="23"/>
        <v>0.005274477006</v>
      </c>
      <c r="L203" s="163">
        <f t="shared" si="24"/>
        <v>0.008818972725</v>
      </c>
      <c r="M203" s="163">
        <f t="shared" si="25"/>
        <v>0.1684862373</v>
      </c>
      <c r="N203" s="163">
        <f t="shared" si="26"/>
        <v>-0.009746585215</v>
      </c>
      <c r="O203" s="164">
        <f t="shared" si="27"/>
        <v>-0.002552274185</v>
      </c>
      <c r="P203" s="164">
        <f t="shared" si="16"/>
        <v>0</v>
      </c>
      <c r="U203" s="168">
        <f t="shared" si="15"/>
        <v>1.679097419</v>
      </c>
    </row>
    <row r="204">
      <c r="A204" s="158">
        <v>45896.0</v>
      </c>
      <c r="B204" s="167">
        <f>DATOS!E206/DATOS!D206</f>
        <v>18318.38748</v>
      </c>
      <c r="C204" s="160">
        <f t="shared" si="17"/>
        <v>13561.43986</v>
      </c>
      <c r="D204" s="160">
        <f t="shared" si="18"/>
        <v>4756.947616</v>
      </c>
      <c r="E204" s="161">
        <f t="shared" si="19"/>
        <v>17430.31472</v>
      </c>
      <c r="F204" s="161">
        <f t="shared" si="4"/>
        <v>17657.30932</v>
      </c>
      <c r="G204" s="161">
        <f t="shared" si="20"/>
        <v>17682.02438</v>
      </c>
      <c r="H204" s="161">
        <f t="shared" si="21"/>
        <v>18127.2718</v>
      </c>
      <c r="I204" s="161">
        <f t="shared" si="22"/>
        <v>18284.49636</v>
      </c>
      <c r="J204" s="162">
        <f t="shared" si="8"/>
        <v>18597.23427</v>
      </c>
      <c r="K204" s="163">
        <f t="shared" si="23"/>
        <v>-0.00001018721477</v>
      </c>
      <c r="L204" s="163">
        <f t="shared" si="24"/>
        <v>0.008825176596</v>
      </c>
      <c r="M204" s="163">
        <f t="shared" si="25"/>
        <v>0.1686047621</v>
      </c>
      <c r="N204" s="163">
        <f t="shared" si="26"/>
        <v>-0.009768868344</v>
      </c>
      <c r="O204" s="164">
        <f t="shared" si="27"/>
        <v>-0.002552274185</v>
      </c>
      <c r="P204" s="164">
        <f t="shared" si="16"/>
        <v>0.00001018716288</v>
      </c>
      <c r="U204" s="168">
        <f t="shared" si="15"/>
        <v>1.057320089</v>
      </c>
    </row>
    <row r="205">
      <c r="A205" s="158">
        <v>45895.0</v>
      </c>
      <c r="B205" s="167">
        <f>DATOS!E207/DATOS!D207</f>
        <v>18318.57409</v>
      </c>
      <c r="C205" s="160">
        <f t="shared" si="17"/>
        <v>13553.79203</v>
      </c>
      <c r="D205" s="160">
        <f t="shared" si="18"/>
        <v>4764.782056</v>
      </c>
      <c r="E205" s="161">
        <f t="shared" si="19"/>
        <v>17411.35767</v>
      </c>
      <c r="F205" s="161">
        <f t="shared" si="4"/>
        <v>17507.71239</v>
      </c>
      <c r="G205" s="161">
        <f t="shared" si="20"/>
        <v>17656.05038</v>
      </c>
      <c r="H205" s="161">
        <f t="shared" si="21"/>
        <v>18099.96956</v>
      </c>
      <c r="I205" s="161">
        <f t="shared" si="22"/>
        <v>18267.5508</v>
      </c>
      <c r="J205" s="162">
        <f t="shared" si="8"/>
        <v>18692.22673</v>
      </c>
      <c r="K205" s="163">
        <f t="shared" si="23"/>
        <v>0.002753556704</v>
      </c>
      <c r="L205" s="163">
        <f t="shared" si="24"/>
        <v>0.00883315744</v>
      </c>
      <c r="M205" s="163">
        <f t="shared" si="25"/>
        <v>0.1687572359</v>
      </c>
      <c r="N205" s="163">
        <f t="shared" si="26"/>
        <v>-0.009791151473</v>
      </c>
      <c r="O205" s="164">
        <f t="shared" si="27"/>
        <v>-0.002552274185</v>
      </c>
      <c r="P205" s="164">
        <f t="shared" si="16"/>
        <v>0</v>
      </c>
      <c r="U205" s="168">
        <f t="shared" si="15"/>
        <v>0.9596705947</v>
      </c>
    </row>
    <row r="206">
      <c r="A206" s="158">
        <v>45894.0</v>
      </c>
      <c r="B206" s="167">
        <f>DATOS!E208/DATOS!D208</f>
        <v>18268.20224</v>
      </c>
      <c r="C206" s="160">
        <f t="shared" si="17"/>
        <v>13546.11928</v>
      </c>
      <c r="D206" s="160">
        <f t="shared" si="18"/>
        <v>4722.082963</v>
      </c>
      <c r="E206" s="161">
        <f t="shared" si="19"/>
        <v>17392.26633</v>
      </c>
      <c r="F206" s="161">
        <f t="shared" si="4"/>
        <v>17390.18097</v>
      </c>
      <c r="G206" s="161">
        <f t="shared" si="20"/>
        <v>17629.00859</v>
      </c>
      <c r="H206" s="161">
        <f t="shared" si="21"/>
        <v>18068.74034</v>
      </c>
      <c r="I206" s="161">
        <f t="shared" si="22"/>
        <v>18242.03915</v>
      </c>
      <c r="J206" s="162">
        <f t="shared" si="8"/>
        <v>18747.2997</v>
      </c>
      <c r="K206" s="163">
        <f t="shared" si="23"/>
        <v>0.0006057785874</v>
      </c>
      <c r="L206" s="163">
        <f t="shared" si="24"/>
        <v>0.00884096264</v>
      </c>
      <c r="M206" s="163">
        <f t="shared" si="25"/>
        <v>0.1689063541</v>
      </c>
      <c r="N206" s="163">
        <f t="shared" si="26"/>
        <v>-0.009813434602</v>
      </c>
      <c r="O206" s="164">
        <f t="shared" si="27"/>
        <v>-0.002552274185</v>
      </c>
      <c r="P206" s="164">
        <f t="shared" si="16"/>
        <v>0</v>
      </c>
      <c r="U206" s="168">
        <f t="shared" si="15"/>
        <v>0.7642676199</v>
      </c>
    </row>
    <row r="207">
      <c r="A207" s="158">
        <v>45893.0</v>
      </c>
      <c r="B207" s="167">
        <f>DATOS!E209/DATOS!D209</f>
        <v>18257.13911</v>
      </c>
      <c r="C207" s="160">
        <f t="shared" si="17"/>
        <v>13538.50301</v>
      </c>
      <c r="D207" s="160">
        <f t="shared" si="18"/>
        <v>4718.636092</v>
      </c>
      <c r="E207" s="161">
        <f t="shared" si="19"/>
        <v>17373.41066</v>
      </c>
      <c r="F207" s="161">
        <f t="shared" si="4"/>
        <v>17307.50212</v>
      </c>
      <c r="G207" s="161">
        <f t="shared" si="20"/>
        <v>17602.91906</v>
      </c>
      <c r="H207" s="161">
        <f t="shared" si="21"/>
        <v>18040.24578</v>
      </c>
      <c r="I207" s="161">
        <f t="shared" si="22"/>
        <v>18228.95761</v>
      </c>
      <c r="J207" s="162">
        <f t="shared" si="8"/>
        <v>18772.98944</v>
      </c>
      <c r="K207" s="163">
        <f t="shared" si="23"/>
        <v>0.00003966513451</v>
      </c>
      <c r="L207" s="163">
        <f t="shared" si="24"/>
        <v>0.008849081358</v>
      </c>
      <c r="M207" s="163">
        <f t="shared" si="25"/>
        <v>0.169061462</v>
      </c>
      <c r="N207" s="163">
        <f t="shared" si="26"/>
        <v>-0.009835717731</v>
      </c>
      <c r="O207" s="164">
        <f t="shared" si="27"/>
        <v>-0.002552274185</v>
      </c>
      <c r="P207" s="164">
        <f t="shared" si="16"/>
        <v>0.0002931061799</v>
      </c>
      <c r="U207" s="168">
        <f t="shared" si="15"/>
        <v>0.7696042747</v>
      </c>
    </row>
    <row r="208">
      <c r="A208" s="158">
        <v>45892.0</v>
      </c>
      <c r="B208" s="167">
        <f>DATOS!E210/DATOS!D210</f>
        <v>18256.41495</v>
      </c>
      <c r="C208" s="160">
        <f t="shared" si="17"/>
        <v>13530.88002</v>
      </c>
      <c r="D208" s="160">
        <f t="shared" si="18"/>
        <v>4725.534933</v>
      </c>
      <c r="E208" s="161">
        <f t="shared" si="19"/>
        <v>17354.50361</v>
      </c>
      <c r="F208" s="161">
        <f t="shared" si="4"/>
        <v>17243.80421</v>
      </c>
      <c r="G208" s="161">
        <f t="shared" si="20"/>
        <v>17576.2162</v>
      </c>
      <c r="H208" s="161">
        <f t="shared" si="21"/>
        <v>18009.26102</v>
      </c>
      <c r="I208" s="161">
        <f t="shared" si="22"/>
        <v>18214.86685</v>
      </c>
      <c r="J208" s="162">
        <f t="shared" si="8"/>
        <v>18774.71783</v>
      </c>
      <c r="K208" s="163">
        <f t="shared" si="23"/>
        <v>0.00003966670789</v>
      </c>
      <c r="L208" s="163">
        <f t="shared" si="24"/>
        <v>0.008857139335</v>
      </c>
      <c r="M208" s="163">
        <f t="shared" si="25"/>
        <v>0.1692154094</v>
      </c>
      <c r="N208" s="163">
        <f t="shared" si="26"/>
        <v>-0.009858000859</v>
      </c>
      <c r="O208" s="164">
        <f t="shared" si="27"/>
        <v>-0.004587964187</v>
      </c>
      <c r="P208" s="164">
        <f t="shared" si="16"/>
        <v>0.0003327589019</v>
      </c>
      <c r="U208" s="168">
        <f t="shared" si="15"/>
        <v>0.8394989893</v>
      </c>
    </row>
    <row r="209">
      <c r="A209" s="158">
        <v>45891.0</v>
      </c>
      <c r="B209" s="167">
        <f>DATOS!E211/DATOS!D211</f>
        <v>18255.69079</v>
      </c>
      <c r="C209" s="160">
        <f t="shared" si="17"/>
        <v>13523.23352</v>
      </c>
      <c r="D209" s="160">
        <f t="shared" si="18"/>
        <v>4732.457272</v>
      </c>
      <c r="E209" s="161">
        <f t="shared" si="19"/>
        <v>17335.46859</v>
      </c>
      <c r="F209" s="161">
        <f t="shared" si="4"/>
        <v>17195.80169</v>
      </c>
      <c r="G209" s="161">
        <f t="shared" si="20"/>
        <v>17548.45298</v>
      </c>
      <c r="H209" s="161">
        <f t="shared" si="21"/>
        <v>17973.95331</v>
      </c>
      <c r="I209" s="161">
        <f t="shared" si="22"/>
        <v>18194.09281</v>
      </c>
      <c r="J209" s="162">
        <f t="shared" si="8"/>
        <v>18752.10494</v>
      </c>
      <c r="K209" s="163">
        <f t="shared" si="23"/>
        <v>0.004142419292</v>
      </c>
      <c r="L209" s="163">
        <f t="shared" si="24"/>
        <v>0.008865219361</v>
      </c>
      <c r="M209" s="163">
        <f t="shared" si="25"/>
        <v>0.1693697781</v>
      </c>
      <c r="N209" s="163">
        <f t="shared" si="26"/>
        <v>-0.009880283988</v>
      </c>
      <c r="O209" s="164">
        <f t="shared" si="27"/>
        <v>-0.004587964187</v>
      </c>
      <c r="P209" s="164">
        <f t="shared" si="16"/>
        <v>0.0003724116239</v>
      </c>
      <c r="U209" s="168">
        <f t="shared" si="15"/>
        <v>0.9413556614</v>
      </c>
    </row>
    <row r="210">
      <c r="A210" s="158">
        <v>45890.0</v>
      </c>
      <c r="B210" s="167">
        <f>DATOS!E212/DATOS!D212</f>
        <v>18180.22448</v>
      </c>
      <c r="C210" s="160">
        <f t="shared" si="17"/>
        <v>13515.56341</v>
      </c>
      <c r="D210" s="160">
        <f t="shared" si="18"/>
        <v>4664.66107</v>
      </c>
      <c r="E210" s="161">
        <f t="shared" si="19"/>
        <v>17316.30457</v>
      </c>
      <c r="F210" s="161">
        <f t="shared" si="4"/>
        <v>17135.69956</v>
      </c>
      <c r="G210" s="161">
        <f t="shared" si="20"/>
        <v>17519.58613</v>
      </c>
      <c r="H210" s="161">
        <f t="shared" si="21"/>
        <v>17933.7051</v>
      </c>
      <c r="I210" s="161">
        <f t="shared" si="22"/>
        <v>18163.29382</v>
      </c>
      <c r="J210" s="162">
        <f t="shared" si="8"/>
        <v>18731.71064</v>
      </c>
      <c r="K210" s="163">
        <f t="shared" si="23"/>
        <v>-0.001783468625</v>
      </c>
      <c r="L210" s="163">
        <f t="shared" si="24"/>
        <v>0.008872411443</v>
      </c>
      <c r="M210" s="163">
        <f t="shared" si="25"/>
        <v>0.1695071826</v>
      </c>
      <c r="N210" s="163">
        <f t="shared" si="26"/>
        <v>-0.009902567117</v>
      </c>
      <c r="O210" s="164">
        <f t="shared" si="27"/>
        <v>-0.004587964187</v>
      </c>
      <c r="P210" s="164">
        <f t="shared" si="16"/>
        <v>0.004504723438</v>
      </c>
      <c r="U210" s="168">
        <f t="shared" si="15"/>
        <v>0.8031903892</v>
      </c>
    </row>
    <row r="211">
      <c r="A211" s="158">
        <v>45889.0</v>
      </c>
      <c r="B211" s="167">
        <f>DATOS!E213/DATOS!D213</f>
        <v>18212.67727</v>
      </c>
      <c r="C211" s="160">
        <f t="shared" si="17"/>
        <v>13507.99091</v>
      </c>
      <c r="D211" s="160">
        <f t="shared" si="18"/>
        <v>4704.686362</v>
      </c>
      <c r="E211" s="161">
        <f t="shared" si="19"/>
        <v>17297.56311</v>
      </c>
      <c r="F211" s="161">
        <f t="shared" si="4"/>
        <v>17096.90554</v>
      </c>
      <c r="G211" s="161">
        <f t="shared" si="20"/>
        <v>17492.6213</v>
      </c>
      <c r="H211" s="161">
        <f t="shared" si="21"/>
        <v>17898.48805</v>
      </c>
      <c r="I211" s="161">
        <f t="shared" si="22"/>
        <v>18154.82848</v>
      </c>
      <c r="J211" s="162">
        <f t="shared" si="8"/>
        <v>18700.07056</v>
      </c>
      <c r="K211" s="163">
        <f t="shared" si="23"/>
        <v>-0.002731431653</v>
      </c>
      <c r="L211" s="163">
        <f t="shared" si="24"/>
        <v>0.008879812946</v>
      </c>
      <c r="M211" s="163">
        <f t="shared" si="25"/>
        <v>0.1696485881</v>
      </c>
      <c r="N211" s="163">
        <f t="shared" si="26"/>
        <v>-0.009904465223</v>
      </c>
      <c r="O211" s="164">
        <f t="shared" si="27"/>
        <v>-0.00487458297</v>
      </c>
      <c r="P211" s="164">
        <f t="shared" si="16"/>
        <v>0.002727704688</v>
      </c>
      <c r="U211" s="168">
        <f t="shared" si="15"/>
        <v>1.019099045</v>
      </c>
    </row>
    <row r="212">
      <c r="A212" s="158">
        <v>45888.0</v>
      </c>
      <c r="B212" s="167">
        <f>DATOS!E214/DATOS!D214</f>
        <v>18262.49196</v>
      </c>
      <c r="C212" s="160">
        <f t="shared" si="17"/>
        <v>13500.34101</v>
      </c>
      <c r="D212" s="160">
        <f t="shared" si="18"/>
        <v>4762.150944</v>
      </c>
      <c r="E212" s="161">
        <f t="shared" si="19"/>
        <v>17278.44834</v>
      </c>
      <c r="F212" s="161">
        <f t="shared" si="4"/>
        <v>17057.73522</v>
      </c>
      <c r="G212" s="161">
        <f t="shared" si="20"/>
        <v>17463.23126</v>
      </c>
      <c r="H212" s="161">
        <f t="shared" si="21"/>
        <v>17853.60388</v>
      </c>
      <c r="I212" s="161">
        <f t="shared" si="22"/>
        <v>18125.90409</v>
      </c>
      <c r="J212" s="162">
        <f t="shared" si="8"/>
        <v>18649.47253</v>
      </c>
      <c r="K212" s="163">
        <f t="shared" si="23"/>
        <v>0.004586910768</v>
      </c>
      <c r="L212" s="163">
        <f t="shared" si="24"/>
        <v>0.008886579763</v>
      </c>
      <c r="M212" s="163">
        <f t="shared" si="25"/>
        <v>0.169777868</v>
      </c>
      <c r="N212" s="163">
        <f t="shared" si="26"/>
        <v>-0.009906363329</v>
      </c>
      <c r="O212" s="164">
        <f t="shared" si="27"/>
        <v>-0.00487458297</v>
      </c>
      <c r="P212" s="164">
        <f t="shared" si="16"/>
        <v>0</v>
      </c>
      <c r="U212" s="168">
        <f t="shared" si="15"/>
        <v>1.335784496</v>
      </c>
    </row>
    <row r="213">
      <c r="A213" s="158">
        <v>45887.0</v>
      </c>
      <c r="B213" s="167">
        <f>DATOS!E215/DATOS!D215</f>
        <v>18178.91536</v>
      </c>
      <c r="C213" s="160">
        <f t="shared" si="17"/>
        <v>13492.58507</v>
      </c>
      <c r="D213" s="160">
        <f t="shared" si="18"/>
        <v>4686.330294</v>
      </c>
      <c r="E213" s="161">
        <f t="shared" si="19"/>
        <v>17258.82833</v>
      </c>
      <c r="F213" s="161">
        <f t="shared" si="4"/>
        <v>17036.29372</v>
      </c>
      <c r="G213" s="161">
        <f t="shared" si="20"/>
        <v>17430.60838</v>
      </c>
      <c r="H213" s="161">
        <f t="shared" si="21"/>
        <v>17795.19129</v>
      </c>
      <c r="I213" s="161">
        <f t="shared" si="22"/>
        <v>18057.61016</v>
      </c>
      <c r="J213" s="162">
        <f t="shared" si="8"/>
        <v>18554.08886</v>
      </c>
      <c r="K213" s="163">
        <f t="shared" si="23"/>
        <v>0.002147617602</v>
      </c>
      <c r="L213" s="163">
        <f t="shared" si="24"/>
        <v>0.008893528197</v>
      </c>
      <c r="M213" s="163">
        <f t="shared" si="25"/>
        <v>0.1699106176</v>
      </c>
      <c r="N213" s="163">
        <f t="shared" si="26"/>
        <v>-0.009908261434</v>
      </c>
      <c r="O213" s="164">
        <f t="shared" si="27"/>
        <v>-0.00487458297</v>
      </c>
      <c r="P213" s="164">
        <f t="shared" si="16"/>
        <v>0</v>
      </c>
      <c r="U213" s="168">
        <f t="shared" si="15"/>
        <v>1.314647218</v>
      </c>
    </row>
    <row r="214">
      <c r="A214" s="158">
        <v>45886.0</v>
      </c>
      <c r="B214" s="167">
        <f>DATOS!E216/DATOS!D216</f>
        <v>18139.91589</v>
      </c>
      <c r="C214" s="160">
        <f t="shared" si="17"/>
        <v>13484.94016</v>
      </c>
      <c r="D214" s="160">
        <f t="shared" si="18"/>
        <v>4654.97574</v>
      </c>
      <c r="E214" s="161">
        <f t="shared" si="19"/>
        <v>17239.69062</v>
      </c>
      <c r="F214" s="161">
        <f t="shared" si="4"/>
        <v>17025.06001</v>
      </c>
      <c r="G214" s="161">
        <f t="shared" si="20"/>
        <v>17400.06524</v>
      </c>
      <c r="H214" s="161">
        <f t="shared" si="21"/>
        <v>17740.37357</v>
      </c>
      <c r="I214" s="161">
        <f t="shared" si="22"/>
        <v>17996.95755</v>
      </c>
      <c r="J214" s="162">
        <f t="shared" si="8"/>
        <v>18455.68713</v>
      </c>
      <c r="K214" s="163">
        <f t="shared" si="23"/>
        <v>0.00004442866877</v>
      </c>
      <c r="L214" s="163">
        <f t="shared" si="24"/>
        <v>0.008901689394</v>
      </c>
      <c r="M214" s="163">
        <f t="shared" si="25"/>
        <v>0.1700665371</v>
      </c>
      <c r="N214" s="163">
        <f t="shared" si="26"/>
        <v>-0.00991015954</v>
      </c>
      <c r="O214" s="164">
        <f t="shared" si="27"/>
        <v>-0.00487458297</v>
      </c>
      <c r="P214" s="164">
        <f t="shared" si="16"/>
        <v>0</v>
      </c>
      <c r="U214" s="168">
        <f t="shared" si="15"/>
        <v>1.452244319</v>
      </c>
    </row>
    <row r="215">
      <c r="A215" s="158">
        <v>45885.0</v>
      </c>
      <c r="B215" s="167">
        <f>DATOS!E217/DATOS!D217</f>
        <v>18139.10998</v>
      </c>
      <c r="C215" s="160">
        <f t="shared" si="17"/>
        <v>13477.33399</v>
      </c>
      <c r="D215" s="160">
        <f t="shared" si="18"/>
        <v>4661.775995</v>
      </c>
      <c r="E215" s="161">
        <f t="shared" si="19"/>
        <v>17220.70722</v>
      </c>
      <c r="F215" s="161">
        <f t="shared" si="4"/>
        <v>17032.07312</v>
      </c>
      <c r="G215" s="161">
        <f t="shared" si="20"/>
        <v>17369.86725</v>
      </c>
      <c r="H215" s="161">
        <f t="shared" si="21"/>
        <v>17683.29609</v>
      </c>
      <c r="I215" s="161">
        <f t="shared" si="22"/>
        <v>17925.47838</v>
      </c>
      <c r="J215" s="162">
        <f t="shared" si="8"/>
        <v>18334.51907</v>
      </c>
      <c r="K215" s="163">
        <f t="shared" si="23"/>
        <v>0.00004443064276</v>
      </c>
      <c r="L215" s="163">
        <f t="shared" si="24"/>
        <v>0.008909903202</v>
      </c>
      <c r="M215" s="163">
        <f t="shared" si="25"/>
        <v>0.1702234617</v>
      </c>
      <c r="N215" s="163">
        <f t="shared" si="26"/>
        <v>-0.009912057646</v>
      </c>
      <c r="O215" s="164">
        <f t="shared" si="27"/>
        <v>-0.01001392818</v>
      </c>
      <c r="P215" s="164">
        <f t="shared" si="16"/>
        <v>0</v>
      </c>
      <c r="U215" s="168">
        <f t="shared" si="15"/>
        <v>1.819831531</v>
      </c>
    </row>
    <row r="216">
      <c r="A216" s="158">
        <v>45884.0</v>
      </c>
      <c r="B216" s="167">
        <f>DATOS!E218/DATOS!D218</f>
        <v>18138.30407</v>
      </c>
      <c r="C216" s="160">
        <f t="shared" si="17"/>
        <v>13469.70424</v>
      </c>
      <c r="D216" s="160">
        <f t="shared" si="18"/>
        <v>4668.599828</v>
      </c>
      <c r="E216" s="161">
        <f t="shared" si="19"/>
        <v>17201.59443</v>
      </c>
      <c r="F216" s="161">
        <f t="shared" si="4"/>
        <v>17073.49576</v>
      </c>
      <c r="G216" s="161">
        <f t="shared" si="20"/>
        <v>17338.46959</v>
      </c>
      <c r="H216" s="161">
        <f t="shared" si="21"/>
        <v>17618.17982</v>
      </c>
      <c r="I216" s="161">
        <f t="shared" si="22"/>
        <v>17818.66258</v>
      </c>
      <c r="J216" s="162">
        <f t="shared" si="8"/>
        <v>18162.86389</v>
      </c>
      <c r="K216" s="163">
        <f t="shared" si="23"/>
        <v>0.02217488</v>
      </c>
      <c r="L216" s="163">
        <f t="shared" si="24"/>
        <v>0.008918139786</v>
      </c>
      <c r="M216" s="163">
        <f t="shared" si="25"/>
        <v>0.1703808214</v>
      </c>
      <c r="N216" s="163">
        <f t="shared" si="26"/>
        <v>-0.009913955752</v>
      </c>
      <c r="O216" s="164">
        <f t="shared" si="27"/>
        <v>-0.01001392818</v>
      </c>
      <c r="P216" s="164">
        <f t="shared" si="16"/>
        <v>0</v>
      </c>
      <c r="U216" s="168">
        <f t="shared" si="15"/>
        <v>2.482765926</v>
      </c>
    </row>
    <row r="217">
      <c r="A217" s="158">
        <v>45883.0</v>
      </c>
      <c r="B217" s="167">
        <f>DATOS!E219/DATOS!D219</f>
        <v>17740.5161</v>
      </c>
      <c r="C217" s="160">
        <f t="shared" si="17"/>
        <v>13462.0508</v>
      </c>
      <c r="D217" s="160">
        <f t="shared" si="18"/>
        <v>4278.465305</v>
      </c>
      <c r="E217" s="161">
        <f t="shared" si="19"/>
        <v>17182.35116</v>
      </c>
      <c r="F217" s="161">
        <f t="shared" si="4"/>
        <v>17197.22896</v>
      </c>
      <c r="G217" s="161">
        <f t="shared" si="20"/>
        <v>17305.82328</v>
      </c>
      <c r="H217" s="161">
        <f t="shared" si="21"/>
        <v>17543.87636</v>
      </c>
      <c r="I217" s="161">
        <f t="shared" si="22"/>
        <v>17658.84184</v>
      </c>
      <c r="J217" s="162">
        <f t="shared" si="8"/>
        <v>17890.52376</v>
      </c>
      <c r="K217" s="163">
        <f t="shared" si="23"/>
        <v>0.00001989709437</v>
      </c>
      <c r="L217" s="163">
        <f t="shared" si="24"/>
        <v>0.008879309793</v>
      </c>
      <c r="M217" s="163">
        <f t="shared" si="25"/>
        <v>0.1696389754</v>
      </c>
      <c r="N217" s="163">
        <f t="shared" si="26"/>
        <v>-0.009915853858</v>
      </c>
      <c r="O217" s="164">
        <f t="shared" si="27"/>
        <v>-0.01001392818</v>
      </c>
      <c r="P217" s="164">
        <f t="shared" si="16"/>
        <v>0</v>
      </c>
      <c r="U217" s="168">
        <f t="shared" si="15"/>
        <v>1.474880017</v>
      </c>
    </row>
    <row r="218">
      <c r="A218" s="158">
        <v>45882.0</v>
      </c>
      <c r="B218" s="167">
        <f>DATOS!E220/DATOS!D220</f>
        <v>17740.16312</v>
      </c>
      <c r="C218" s="160">
        <f t="shared" si="17"/>
        <v>13455.0254</v>
      </c>
      <c r="D218" s="160">
        <f t="shared" si="18"/>
        <v>4285.137718</v>
      </c>
      <c r="E218" s="161">
        <f t="shared" si="19"/>
        <v>17165.95</v>
      </c>
      <c r="F218" s="161">
        <f t="shared" si="4"/>
        <v>17208.32641</v>
      </c>
      <c r="G218" s="161">
        <f t="shared" si="20"/>
        <v>17288.08072</v>
      </c>
      <c r="H218" s="161">
        <f t="shared" si="21"/>
        <v>17515.78497</v>
      </c>
      <c r="I218" s="161">
        <f t="shared" si="22"/>
        <v>17618.00471</v>
      </c>
      <c r="J218" s="162">
        <f t="shared" si="8"/>
        <v>17823.24353</v>
      </c>
      <c r="K218" s="163">
        <f t="shared" si="23"/>
        <v>0.008714229352</v>
      </c>
      <c r="L218" s="163">
        <f t="shared" si="24"/>
        <v>0.008887550975</v>
      </c>
      <c r="M218" s="163">
        <f t="shared" si="25"/>
        <v>0.169796423</v>
      </c>
      <c r="N218" s="163">
        <f t="shared" si="26"/>
        <v>-0.009917751964</v>
      </c>
      <c r="O218" s="164">
        <f t="shared" si="27"/>
        <v>-0.01001392818</v>
      </c>
      <c r="P218" s="164">
        <f t="shared" si="16"/>
        <v>0</v>
      </c>
      <c r="U218" s="168">
        <f t="shared" si="15"/>
        <v>1.897436829</v>
      </c>
    </row>
    <row r="219">
      <c r="A219" s="158">
        <v>45881.0</v>
      </c>
      <c r="B219" s="167">
        <f>DATOS!E221/DATOS!D221</f>
        <v>17586.24289</v>
      </c>
      <c r="C219" s="160">
        <f t="shared" si="17"/>
        <v>13447.97748</v>
      </c>
      <c r="D219" s="160">
        <f t="shared" si="18"/>
        <v>4138.265414</v>
      </c>
      <c r="E219" s="161">
        <f t="shared" si="19"/>
        <v>17149.43232</v>
      </c>
      <c r="F219" s="161">
        <f t="shared" si="4"/>
        <v>17227.99254</v>
      </c>
      <c r="G219" s="161">
        <f t="shared" si="20"/>
        <v>17269.62838</v>
      </c>
      <c r="H219" s="161">
        <f t="shared" si="21"/>
        <v>17483.73095</v>
      </c>
      <c r="I219" s="161">
        <f t="shared" si="22"/>
        <v>17556.92551</v>
      </c>
      <c r="J219" s="162">
        <f t="shared" si="8"/>
        <v>17739.46936</v>
      </c>
      <c r="K219" s="163">
        <f t="shared" si="23"/>
        <v>0.00172070183</v>
      </c>
      <c r="L219" s="163">
        <f t="shared" si="24"/>
        <v>0.008889592543</v>
      </c>
      <c r="M219" s="163">
        <f t="shared" si="25"/>
        <v>0.1698354271</v>
      </c>
      <c r="N219" s="163">
        <f t="shared" si="26"/>
        <v>-0.009919650069</v>
      </c>
      <c r="O219" s="164">
        <f t="shared" si="27"/>
        <v>-0.01001392818</v>
      </c>
      <c r="P219" s="164">
        <f t="shared" si="16"/>
        <v>0.007574425314</v>
      </c>
      <c r="U219" s="168">
        <f t="shared" si="15"/>
        <v>1.042201882</v>
      </c>
    </row>
    <row r="220">
      <c r="A220" s="158">
        <v>45880.0</v>
      </c>
      <c r="B220" s="167">
        <f>DATOS!E222/DATOS!D222</f>
        <v>17556.00823</v>
      </c>
      <c r="C220" s="160">
        <f t="shared" si="17"/>
        <v>13441.15991</v>
      </c>
      <c r="D220" s="160">
        <f t="shared" si="18"/>
        <v>4114.848324</v>
      </c>
      <c r="E220" s="161">
        <f t="shared" si="19"/>
        <v>17133.95179</v>
      </c>
      <c r="F220" s="161">
        <f t="shared" si="4"/>
        <v>17217.87584</v>
      </c>
      <c r="G220" s="161">
        <f t="shared" si="20"/>
        <v>17256.70534</v>
      </c>
      <c r="H220" s="161">
        <f t="shared" si="21"/>
        <v>17469.08638</v>
      </c>
      <c r="I220" s="161">
        <f t="shared" si="22"/>
        <v>17542.26682</v>
      </c>
      <c r="J220" s="162">
        <f t="shared" si="8"/>
        <v>17720.29692</v>
      </c>
      <c r="K220" s="163">
        <f t="shared" si="23"/>
        <v>-0.001248772582</v>
      </c>
      <c r="L220" s="163">
        <f t="shared" si="24"/>
        <v>0.00889791661</v>
      </c>
      <c r="M220" s="163">
        <f t="shared" si="25"/>
        <v>0.1699944582</v>
      </c>
      <c r="N220" s="163">
        <f t="shared" si="26"/>
        <v>-0.009921548175</v>
      </c>
      <c r="O220" s="164">
        <f t="shared" si="27"/>
        <v>-0.01001392818</v>
      </c>
      <c r="P220" s="164">
        <f t="shared" si="16"/>
        <v>0.009280625465</v>
      </c>
      <c r="U220" s="168">
        <f t="shared" si="15"/>
        <v>0.8996310507</v>
      </c>
    </row>
    <row r="221">
      <c r="A221" s="158">
        <v>45879.0</v>
      </c>
      <c r="B221" s="167">
        <f>DATOS!E223/DATOS!D223</f>
        <v>17577.94539</v>
      </c>
      <c r="C221" s="160">
        <f t="shared" si="17"/>
        <v>13434.36973</v>
      </c>
      <c r="D221" s="160">
        <f t="shared" si="18"/>
        <v>4143.575659</v>
      </c>
      <c r="E221" s="161">
        <f t="shared" si="19"/>
        <v>17118.5855</v>
      </c>
      <c r="F221" s="161">
        <f t="shared" si="4"/>
        <v>17157.56674</v>
      </c>
      <c r="G221" s="161">
        <f t="shared" si="20"/>
        <v>17244.48889</v>
      </c>
      <c r="H221" s="161">
        <f t="shared" si="21"/>
        <v>17456.66898</v>
      </c>
      <c r="I221" s="161">
        <f t="shared" si="22"/>
        <v>17535.39611</v>
      </c>
      <c r="J221" s="162">
        <f t="shared" si="8"/>
        <v>17755.77121</v>
      </c>
      <c r="K221" s="163">
        <f t="shared" si="23"/>
        <v>0.00001187143807</v>
      </c>
      <c r="L221" s="163">
        <f t="shared" si="24"/>
        <v>0.008905795585</v>
      </c>
      <c r="M221" s="163">
        <f t="shared" si="25"/>
        <v>0.1701449857</v>
      </c>
      <c r="N221" s="163">
        <f t="shared" si="26"/>
        <v>-0.009923446281</v>
      </c>
      <c r="O221" s="164">
        <f t="shared" si="27"/>
        <v>-0.01001392818</v>
      </c>
      <c r="P221" s="164">
        <f t="shared" si="16"/>
        <v>0.008042669471</v>
      </c>
      <c r="U221" s="168">
        <f t="shared" si="15"/>
        <v>1.054217011</v>
      </c>
    </row>
    <row r="222">
      <c r="A222" s="158">
        <v>45878.0</v>
      </c>
      <c r="B222" s="167">
        <f>DATOS!E224/DATOS!D224</f>
        <v>17577.73671</v>
      </c>
      <c r="C222" s="160">
        <f t="shared" si="17"/>
        <v>13427.52084</v>
      </c>
      <c r="D222" s="160">
        <f t="shared" si="18"/>
        <v>4150.21587</v>
      </c>
      <c r="E222" s="161">
        <f t="shared" si="19"/>
        <v>17102.94067</v>
      </c>
      <c r="F222" s="161">
        <f t="shared" si="4"/>
        <v>17117.51724</v>
      </c>
      <c r="G222" s="161">
        <f t="shared" si="20"/>
        <v>17230.87842</v>
      </c>
      <c r="H222" s="161">
        <f t="shared" si="21"/>
        <v>17439.34378</v>
      </c>
      <c r="I222" s="161">
        <f t="shared" si="22"/>
        <v>17514.12147</v>
      </c>
      <c r="J222" s="162">
        <f t="shared" si="8"/>
        <v>17761.17032</v>
      </c>
      <c r="K222" s="163">
        <f t="shared" si="23"/>
        <v>0.000011871579</v>
      </c>
      <c r="L222" s="163">
        <f t="shared" si="24"/>
        <v>0.008914124923</v>
      </c>
      <c r="M222" s="163">
        <f t="shared" si="25"/>
        <v>0.1703041175</v>
      </c>
      <c r="N222" s="163">
        <f t="shared" si="26"/>
        <v>-0.009925344387</v>
      </c>
      <c r="O222" s="164">
        <f t="shared" si="27"/>
        <v>-0.01001392818</v>
      </c>
      <c r="P222" s="164">
        <f t="shared" si="16"/>
        <v>0.008054445361</v>
      </c>
      <c r="U222" s="168">
        <f t="shared" si="15"/>
        <v>1.118060791</v>
      </c>
    </row>
    <row r="223">
      <c r="A223" s="158">
        <v>45877.0</v>
      </c>
      <c r="B223" s="167">
        <f>DATOS!E225/DATOS!D225</f>
        <v>17577.52804</v>
      </c>
      <c r="C223" s="160">
        <f t="shared" si="17"/>
        <v>13420.64962</v>
      </c>
      <c r="D223" s="160">
        <f t="shared" si="18"/>
        <v>4156.878414</v>
      </c>
      <c r="E223" s="161">
        <f t="shared" si="19"/>
        <v>17087.1824</v>
      </c>
      <c r="F223" s="161">
        <f t="shared" si="4"/>
        <v>17091.03097</v>
      </c>
      <c r="G223" s="161">
        <f t="shared" si="20"/>
        <v>17216.72094</v>
      </c>
      <c r="H223" s="161">
        <f t="shared" si="21"/>
        <v>17419.57336</v>
      </c>
      <c r="I223" s="161">
        <f t="shared" si="22"/>
        <v>17482.31385</v>
      </c>
      <c r="J223" s="162">
        <f t="shared" si="8"/>
        <v>17748.11574</v>
      </c>
      <c r="K223" s="163">
        <f t="shared" si="23"/>
        <v>0.006804000705</v>
      </c>
      <c r="L223" s="163">
        <f t="shared" si="24"/>
        <v>0.008922477671</v>
      </c>
      <c r="M223" s="163">
        <f t="shared" si="25"/>
        <v>0.1704636966</v>
      </c>
      <c r="N223" s="163">
        <f t="shared" si="26"/>
        <v>-0.009927242493</v>
      </c>
      <c r="O223" s="164">
        <f t="shared" si="27"/>
        <v>-0.01001392818</v>
      </c>
      <c r="P223" s="164">
        <f t="shared" si="16"/>
        <v>0.008066221251</v>
      </c>
      <c r="U223" s="168">
        <f t="shared" si="15"/>
        <v>1.250012762</v>
      </c>
    </row>
    <row r="224">
      <c r="A224" s="158">
        <v>45876.0</v>
      </c>
      <c r="B224" s="167">
        <f>DATOS!E226/DATOS!D226</f>
        <v>17458.33647</v>
      </c>
      <c r="C224" s="160">
        <f t="shared" si="17"/>
        <v>13413.75596</v>
      </c>
      <c r="D224" s="160">
        <f t="shared" si="18"/>
        <v>4044.580513</v>
      </c>
      <c r="E224" s="161">
        <f t="shared" si="19"/>
        <v>17071.30973</v>
      </c>
      <c r="F224" s="161">
        <f t="shared" si="4"/>
        <v>17092.91615</v>
      </c>
      <c r="G224" s="161">
        <f t="shared" si="20"/>
        <v>17201.99412</v>
      </c>
      <c r="H224" s="161">
        <f t="shared" si="21"/>
        <v>17397.0084</v>
      </c>
      <c r="I224" s="161">
        <f t="shared" si="22"/>
        <v>17434.70675</v>
      </c>
      <c r="J224" s="162">
        <f t="shared" si="8"/>
        <v>17701.10065</v>
      </c>
      <c r="K224" s="163">
        <f t="shared" si="23"/>
        <v>-0.002333303945</v>
      </c>
      <c r="L224" s="163">
        <f t="shared" si="24"/>
        <v>0.008927344502</v>
      </c>
      <c r="M224" s="163">
        <f t="shared" si="25"/>
        <v>0.1705566772</v>
      </c>
      <c r="N224" s="163">
        <f t="shared" si="26"/>
        <v>-0.009929140598</v>
      </c>
      <c r="O224" s="164">
        <f t="shared" si="27"/>
        <v>-0.01512275375</v>
      </c>
      <c r="P224" s="164">
        <f t="shared" si="16"/>
        <v>0.01479243086</v>
      </c>
      <c r="U224" s="168">
        <f t="shared" si="15"/>
        <v>0.5243572926</v>
      </c>
    </row>
    <row r="225">
      <c r="A225" s="158">
        <v>45875.0</v>
      </c>
      <c r="B225" s="167">
        <f>DATOS!E227/DATOS!D227</f>
        <v>17499.11964</v>
      </c>
      <c r="C225" s="160">
        <f t="shared" si="17"/>
        <v>13407.03739</v>
      </c>
      <c r="D225" s="160">
        <f t="shared" si="18"/>
        <v>4092.082252</v>
      </c>
      <c r="E225" s="161">
        <f t="shared" si="19"/>
        <v>17056.22479</v>
      </c>
      <c r="F225" s="161">
        <f t="shared" si="4"/>
        <v>17087.32043</v>
      </c>
      <c r="G225" s="161">
        <f t="shared" si="20"/>
        <v>17191.53117</v>
      </c>
      <c r="H225" s="161">
        <f t="shared" si="21"/>
        <v>17388.24725</v>
      </c>
      <c r="I225" s="161">
        <f t="shared" si="22"/>
        <v>17422.89189</v>
      </c>
      <c r="J225" s="162">
        <f t="shared" si="8"/>
        <v>17689.17407</v>
      </c>
      <c r="K225" s="163">
        <f t="shared" si="23"/>
        <v>0.005188666796</v>
      </c>
      <c r="L225" s="163">
        <f t="shared" si="24"/>
        <v>0.008934674075</v>
      </c>
      <c r="M225" s="163">
        <f t="shared" si="25"/>
        <v>0.1706967085</v>
      </c>
      <c r="N225" s="163">
        <f t="shared" si="26"/>
        <v>-0.009931038704</v>
      </c>
      <c r="O225" s="164">
        <f t="shared" si="27"/>
        <v>-0.01512275375</v>
      </c>
      <c r="P225" s="164">
        <f t="shared" si="16"/>
        <v>0.01249095818</v>
      </c>
      <c r="U225" s="168">
        <f t="shared" si="15"/>
        <v>0.9579346396</v>
      </c>
    </row>
    <row r="226">
      <c r="A226" s="158">
        <v>45874.0</v>
      </c>
      <c r="B226" s="167">
        <f>DATOS!E228/DATOS!D228</f>
        <v>17408.55769</v>
      </c>
      <c r="C226" s="160">
        <f t="shared" si="17"/>
        <v>13400.2286</v>
      </c>
      <c r="D226" s="160">
        <f t="shared" si="18"/>
        <v>4008.329091</v>
      </c>
      <c r="E226" s="161">
        <f t="shared" si="19"/>
        <v>17040.71779</v>
      </c>
      <c r="F226" s="161">
        <f t="shared" si="4"/>
        <v>17084.88034</v>
      </c>
      <c r="G226" s="161">
        <f t="shared" si="20"/>
        <v>17178.97654</v>
      </c>
      <c r="H226" s="161">
        <f t="shared" si="21"/>
        <v>17372.40833</v>
      </c>
      <c r="I226" s="161">
        <f t="shared" si="22"/>
        <v>17384.77802</v>
      </c>
      <c r="J226" s="162">
        <f t="shared" si="8"/>
        <v>17659.93633</v>
      </c>
      <c r="K226" s="163">
        <f t="shared" si="23"/>
        <v>0.003277870568</v>
      </c>
      <c r="L226" s="163">
        <f t="shared" si="24"/>
        <v>0.008941302707</v>
      </c>
      <c r="M226" s="163">
        <f t="shared" si="25"/>
        <v>0.1708233484</v>
      </c>
      <c r="N226" s="163">
        <f t="shared" si="26"/>
        <v>-0.00993293681</v>
      </c>
      <c r="O226" s="164">
        <f t="shared" si="27"/>
        <v>-0.01512275375</v>
      </c>
      <c r="P226" s="164">
        <f t="shared" si="16"/>
        <v>0.01760154353</v>
      </c>
      <c r="U226" s="168">
        <f t="shared" si="15"/>
        <v>0.3268840919</v>
      </c>
    </row>
    <row r="227">
      <c r="A227" s="158">
        <v>45873.0</v>
      </c>
      <c r="B227" s="167">
        <f>DATOS!E229/DATOS!D229</f>
        <v>17351.58811</v>
      </c>
      <c r="C227" s="160">
        <f t="shared" si="17"/>
        <v>13393.54805</v>
      </c>
      <c r="D227" s="160">
        <f t="shared" si="18"/>
        <v>3958.040061</v>
      </c>
      <c r="E227" s="161">
        <f t="shared" si="19"/>
        <v>17025.78584</v>
      </c>
      <c r="F227" s="161">
        <f t="shared" si="4"/>
        <v>17082.18391</v>
      </c>
      <c r="G227" s="161">
        <f t="shared" si="20"/>
        <v>17169.60588</v>
      </c>
      <c r="H227" s="161">
        <f t="shared" si="21"/>
        <v>17367.24414</v>
      </c>
      <c r="I227" s="161">
        <f t="shared" si="22"/>
        <v>17372.88818</v>
      </c>
      <c r="J227" s="162">
        <f t="shared" si="8"/>
        <v>17652.30438</v>
      </c>
      <c r="K227" s="163">
        <f t="shared" si="23"/>
        <v>0.0001679175364</v>
      </c>
      <c r="L227" s="163">
        <f t="shared" si="24"/>
        <v>0.008949278149</v>
      </c>
      <c r="M227" s="163">
        <f t="shared" si="25"/>
        <v>0.170975719</v>
      </c>
      <c r="N227" s="163">
        <f t="shared" si="26"/>
        <v>-0.009934834916</v>
      </c>
      <c r="O227" s="164">
        <f t="shared" si="27"/>
        <v>-0.01512275375</v>
      </c>
      <c r="P227" s="164">
        <f t="shared" si="16"/>
        <v>0.02081644662</v>
      </c>
      <c r="U227" s="168">
        <f t="shared" si="15"/>
        <v>-0.1427967429</v>
      </c>
    </row>
    <row r="228">
      <c r="A228" s="158">
        <v>45872.0</v>
      </c>
      <c r="B228" s="167">
        <f>DATOS!E230/DATOS!D230</f>
        <v>17348.67472</v>
      </c>
      <c r="C228" s="160">
        <f t="shared" si="17"/>
        <v>13386.94031</v>
      </c>
      <c r="D228" s="160">
        <f t="shared" si="18"/>
        <v>3961.734416</v>
      </c>
      <c r="E228" s="161">
        <f t="shared" si="19"/>
        <v>17011.17746</v>
      </c>
      <c r="F228" s="161">
        <f t="shared" si="4"/>
        <v>17083.60625</v>
      </c>
      <c r="G228" s="161">
        <f t="shared" si="20"/>
        <v>17162.17803</v>
      </c>
      <c r="H228" s="161">
        <f t="shared" si="21"/>
        <v>17369.48072</v>
      </c>
      <c r="I228" s="161">
        <f t="shared" si="22"/>
        <v>17383.53822</v>
      </c>
      <c r="J228" s="162">
        <f t="shared" si="8"/>
        <v>17655.35518</v>
      </c>
      <c r="K228" s="163">
        <f t="shared" si="23"/>
        <v>0.00001209521486</v>
      </c>
      <c r="L228" s="163">
        <f t="shared" si="24"/>
        <v>0.008957777467</v>
      </c>
      <c r="M228" s="163">
        <f t="shared" si="25"/>
        <v>0.1711380982</v>
      </c>
      <c r="N228" s="163">
        <f t="shared" si="26"/>
        <v>-0.009936733022</v>
      </c>
      <c r="O228" s="164">
        <f t="shared" si="27"/>
        <v>-0.01512275375</v>
      </c>
      <c r="P228" s="164">
        <f t="shared" si="16"/>
        <v>0.02098085491</v>
      </c>
      <c r="U228" s="168">
        <f t="shared" si="15"/>
        <v>-0.1892284668</v>
      </c>
    </row>
    <row r="229">
      <c r="A229" s="158">
        <v>45871.0</v>
      </c>
      <c r="B229" s="167">
        <f>DATOS!E231/DATOS!D231</f>
        <v>17348.46489</v>
      </c>
      <c r="C229" s="160">
        <f t="shared" si="17"/>
        <v>13380.31533</v>
      </c>
      <c r="D229" s="160">
        <f t="shared" si="18"/>
        <v>3968.149555</v>
      </c>
      <c r="E229" s="161">
        <f t="shared" si="19"/>
        <v>16996.48202</v>
      </c>
      <c r="F229" s="161">
        <f t="shared" si="4"/>
        <v>17085.66807</v>
      </c>
      <c r="G229" s="161">
        <f t="shared" si="20"/>
        <v>17154.56592</v>
      </c>
      <c r="H229" s="161">
        <f t="shared" si="21"/>
        <v>17372.453</v>
      </c>
      <c r="I229" s="161">
        <f t="shared" si="22"/>
        <v>17400.96996</v>
      </c>
      <c r="J229" s="162">
        <f t="shared" si="8"/>
        <v>17659.23794</v>
      </c>
      <c r="K229" s="163">
        <f t="shared" si="23"/>
        <v>0.0000120876355</v>
      </c>
      <c r="L229" s="163">
        <f t="shared" si="24"/>
        <v>0.008966271631</v>
      </c>
      <c r="M229" s="163">
        <f t="shared" si="25"/>
        <v>0.171300379</v>
      </c>
      <c r="N229" s="163">
        <f t="shared" si="26"/>
        <v>-0.009938631128</v>
      </c>
      <c r="O229" s="164">
        <f t="shared" si="27"/>
        <v>-0.01512275375</v>
      </c>
      <c r="P229" s="164">
        <f t="shared" si="16"/>
        <v>0.02099269628</v>
      </c>
      <c r="U229" s="168">
        <f t="shared" si="15"/>
        <v>-0.2174768958</v>
      </c>
    </row>
    <row r="230">
      <c r="A230" s="158">
        <v>45870.0</v>
      </c>
      <c r="B230" s="167">
        <f>DATOS!E232/DATOS!D232</f>
        <v>17348.25519</v>
      </c>
      <c r="C230" s="160">
        <f t="shared" si="17"/>
        <v>13373.66851</v>
      </c>
      <c r="D230" s="160">
        <f t="shared" si="18"/>
        <v>3974.586671</v>
      </c>
      <c r="E230" s="161">
        <f t="shared" si="19"/>
        <v>16981.67805</v>
      </c>
      <c r="F230" s="161">
        <f t="shared" si="4"/>
        <v>17088.7815</v>
      </c>
      <c r="G230" s="161">
        <f t="shared" si="20"/>
        <v>17146.65168</v>
      </c>
      <c r="H230" s="161">
        <f t="shared" si="21"/>
        <v>17375.87987</v>
      </c>
      <c r="I230" s="161">
        <f t="shared" si="22"/>
        <v>17427.2225</v>
      </c>
      <c r="J230" s="162">
        <f t="shared" si="8"/>
        <v>17662.97825</v>
      </c>
      <c r="K230" s="163">
        <f t="shared" si="23"/>
        <v>-0.01321055049</v>
      </c>
      <c r="L230" s="163">
        <f t="shared" si="24"/>
        <v>0.00897479</v>
      </c>
      <c r="M230" s="163">
        <f t="shared" si="25"/>
        <v>0.1714631222</v>
      </c>
      <c r="N230" s="163">
        <f t="shared" si="26"/>
        <v>-0.009940529233</v>
      </c>
      <c r="O230" s="164">
        <f t="shared" si="27"/>
        <v>-0.01512275375</v>
      </c>
      <c r="P230" s="164">
        <f t="shared" si="16"/>
        <v>0.02100453009</v>
      </c>
      <c r="U230" s="168">
        <f t="shared" si="15"/>
        <v>-0.250172751</v>
      </c>
    </row>
    <row r="231">
      <c r="A231" s="158">
        <v>45869.0</v>
      </c>
      <c r="B231" s="167">
        <f>DATOS!E233/DATOS!D233</f>
        <v>17578.95567</v>
      </c>
      <c r="C231" s="160">
        <f t="shared" si="17"/>
        <v>13366.99975</v>
      </c>
      <c r="D231" s="160">
        <f t="shared" si="18"/>
        <v>4211.955927</v>
      </c>
      <c r="E231" s="161">
        <f t="shared" si="19"/>
        <v>16966.76462</v>
      </c>
      <c r="F231" s="161">
        <f t="shared" si="4"/>
        <v>17003.98225</v>
      </c>
      <c r="G231" s="161">
        <f t="shared" si="20"/>
        <v>17138.42296</v>
      </c>
      <c r="H231" s="161">
        <f t="shared" si="21"/>
        <v>17379.82626</v>
      </c>
      <c r="I231" s="161">
        <f t="shared" si="22"/>
        <v>17466.70616</v>
      </c>
      <c r="J231" s="162">
        <f t="shared" si="8"/>
        <v>17755.67027</v>
      </c>
      <c r="K231" s="163">
        <f t="shared" si="23"/>
        <v>0.00185826997</v>
      </c>
      <c r="L231" s="163">
        <f t="shared" si="24"/>
        <v>0.00896178801</v>
      </c>
      <c r="M231" s="163">
        <f t="shared" si="25"/>
        <v>0.1712147195</v>
      </c>
      <c r="N231" s="163">
        <f t="shared" si="26"/>
        <v>-0.009904465223</v>
      </c>
      <c r="O231" s="164">
        <f t="shared" si="27"/>
        <v>-0.01192613144</v>
      </c>
      <c r="P231" s="164">
        <f t="shared" si="16"/>
        <v>0.007985657108</v>
      </c>
      <c r="U231" s="168">
        <f t="shared" si="15"/>
        <v>1.377530205</v>
      </c>
    </row>
    <row r="232">
      <c r="A232" s="158">
        <v>45868.0</v>
      </c>
      <c r="B232" s="167">
        <f>DATOS!E234/DATOS!D234</f>
        <v>17546.31956</v>
      </c>
      <c r="C232" s="160">
        <f t="shared" si="17"/>
        <v>13359.92083</v>
      </c>
      <c r="D232" s="160">
        <f t="shared" si="18"/>
        <v>4186.398732</v>
      </c>
      <c r="E232" s="161">
        <f t="shared" si="19"/>
        <v>16949.96455</v>
      </c>
      <c r="F232" s="161">
        <f t="shared" si="4"/>
        <v>16974.04761</v>
      </c>
      <c r="G232" s="161">
        <f t="shared" si="20"/>
        <v>17120.44203</v>
      </c>
      <c r="H232" s="161">
        <f t="shared" si="21"/>
        <v>17351.3792</v>
      </c>
      <c r="I232" s="161">
        <f t="shared" si="22"/>
        <v>17410.58141</v>
      </c>
      <c r="J232" s="162">
        <f t="shared" si="8"/>
        <v>17728.71078</v>
      </c>
      <c r="K232" s="163">
        <f t="shared" si="23"/>
        <v>0.005777002899</v>
      </c>
      <c r="L232" s="163">
        <f t="shared" si="24"/>
        <v>0.008970355001</v>
      </c>
      <c r="M232" s="163">
        <f t="shared" si="25"/>
        <v>0.1713783917</v>
      </c>
      <c r="N232" s="163">
        <f t="shared" si="26"/>
        <v>-0.009906363329</v>
      </c>
      <c r="O232" s="164">
        <f t="shared" si="27"/>
        <v>-0.01192613144</v>
      </c>
      <c r="P232" s="164">
        <f t="shared" si="16"/>
        <v>0.009827375836</v>
      </c>
      <c r="U232" s="168">
        <f t="shared" si="15"/>
        <v>1.343234851</v>
      </c>
    </row>
    <row r="233">
      <c r="A233" s="158">
        <v>45867.0</v>
      </c>
      <c r="B233" s="167">
        <f>DATOS!E235/DATOS!D235</f>
        <v>17445.24665</v>
      </c>
      <c r="C233" s="160">
        <f t="shared" si="17"/>
        <v>13352.87302</v>
      </c>
      <c r="D233" s="160">
        <f t="shared" si="18"/>
        <v>4092.373633</v>
      </c>
      <c r="E233" s="161">
        <f t="shared" si="19"/>
        <v>16933.29108</v>
      </c>
      <c r="F233" s="161">
        <f t="shared" si="4"/>
        <v>16953.65491</v>
      </c>
      <c r="G233" s="161">
        <f t="shared" si="20"/>
        <v>17103.05928</v>
      </c>
      <c r="H233" s="161">
        <f t="shared" si="21"/>
        <v>17323.53058</v>
      </c>
      <c r="I233" s="161">
        <f t="shared" si="22"/>
        <v>17342.71233</v>
      </c>
      <c r="J233" s="162">
        <f t="shared" si="8"/>
        <v>17693.40624</v>
      </c>
      <c r="K233" s="163">
        <f t="shared" si="23"/>
        <v>0.003448141226</v>
      </c>
      <c r="L233" s="163">
        <f t="shared" si="24"/>
        <v>0.008976562671</v>
      </c>
      <c r="M233" s="163">
        <f t="shared" si="25"/>
        <v>0.171496989</v>
      </c>
      <c r="N233" s="163">
        <f t="shared" si="26"/>
        <v>-0.009908261434</v>
      </c>
      <c r="O233" s="164">
        <f t="shared" si="27"/>
        <v>-0.01192613144</v>
      </c>
      <c r="P233" s="164">
        <f t="shared" si="16"/>
        <v>0.01553111483</v>
      </c>
      <c r="U233" s="168">
        <f t="shared" si="15"/>
        <v>0.8555896577</v>
      </c>
    </row>
    <row r="234">
      <c r="A234" s="158">
        <v>45866.0</v>
      </c>
      <c r="B234" s="167">
        <f>DATOS!E236/DATOS!D236</f>
        <v>17385.19657</v>
      </c>
      <c r="C234" s="160">
        <f t="shared" si="17"/>
        <v>13345.97188</v>
      </c>
      <c r="D234" s="160">
        <f t="shared" si="18"/>
        <v>4039.224685</v>
      </c>
      <c r="E234" s="161">
        <f t="shared" si="19"/>
        <v>16917.27377</v>
      </c>
      <c r="F234" s="161">
        <f t="shared" si="4"/>
        <v>16928.48393</v>
      </c>
      <c r="G234" s="161">
        <f t="shared" si="20"/>
        <v>17089.09245</v>
      </c>
      <c r="H234" s="161">
        <f t="shared" si="21"/>
        <v>17306.14257</v>
      </c>
      <c r="I234" s="161">
        <f t="shared" si="22"/>
        <v>17291.44517</v>
      </c>
      <c r="J234" s="162">
        <f t="shared" si="8"/>
        <v>17683.8012</v>
      </c>
      <c r="K234" s="163">
        <f t="shared" si="23"/>
        <v>0.01065297411</v>
      </c>
      <c r="L234" s="163">
        <f t="shared" si="24"/>
        <v>0.008984603885</v>
      </c>
      <c r="M234" s="163">
        <f t="shared" si="25"/>
        <v>0.1716506162</v>
      </c>
      <c r="N234" s="163">
        <f t="shared" si="26"/>
        <v>-0.00991015954</v>
      </c>
      <c r="O234" s="164">
        <f t="shared" si="27"/>
        <v>-0.01192613144</v>
      </c>
      <c r="P234" s="164">
        <f t="shared" si="16"/>
        <v>0.0189198568</v>
      </c>
      <c r="U234" s="168">
        <f t="shared" si="15"/>
        <v>0.5442491719</v>
      </c>
    </row>
    <row r="235">
      <c r="A235" s="158">
        <v>45865.0</v>
      </c>
      <c r="B235" s="167">
        <f>DATOS!E237/DATOS!D237</f>
        <v>17200.97551</v>
      </c>
      <c r="C235" s="160">
        <f t="shared" si="17"/>
        <v>13339.14887</v>
      </c>
      <c r="D235" s="160">
        <f t="shared" si="18"/>
        <v>3861.826644</v>
      </c>
      <c r="E235" s="161">
        <f t="shared" si="19"/>
        <v>16901.60097</v>
      </c>
      <c r="F235" s="161">
        <f t="shared" si="4"/>
        <v>16901.80117</v>
      </c>
      <c r="G235" s="161">
        <f t="shared" si="20"/>
        <v>17077.00656</v>
      </c>
      <c r="H235" s="161">
        <f t="shared" si="21"/>
        <v>17294.84914</v>
      </c>
      <c r="I235" s="161">
        <f t="shared" si="22"/>
        <v>17244.56947</v>
      </c>
      <c r="J235" s="162">
        <f t="shared" si="8"/>
        <v>17687.89711</v>
      </c>
      <c r="K235" s="163">
        <f t="shared" si="23"/>
        <v>-0.0002791484659</v>
      </c>
      <c r="L235" s="163">
        <f t="shared" si="24"/>
        <v>0.008983207802</v>
      </c>
      <c r="M235" s="163">
        <f t="shared" si="25"/>
        <v>0.1716239441</v>
      </c>
      <c r="N235" s="163">
        <f t="shared" si="26"/>
        <v>-0.009912057646</v>
      </c>
      <c r="O235" s="164">
        <f t="shared" si="27"/>
        <v>-0.01192613144</v>
      </c>
      <c r="P235" s="164">
        <f t="shared" si="16"/>
        <v>0.02931580596</v>
      </c>
      <c r="U235" s="168">
        <f t="shared" si="15"/>
        <v>-0.6209710943</v>
      </c>
    </row>
    <row r="236">
      <c r="A236" s="158">
        <v>45864.0</v>
      </c>
      <c r="B236" s="167">
        <f>DATOS!E238/DATOS!D238</f>
        <v>17205.77781</v>
      </c>
      <c r="C236" s="160">
        <f t="shared" si="17"/>
        <v>13332.61447</v>
      </c>
      <c r="D236" s="160">
        <f t="shared" si="18"/>
        <v>3873.163333</v>
      </c>
      <c r="E236" s="161">
        <f t="shared" si="19"/>
        <v>16887.23825</v>
      </c>
      <c r="F236" s="161">
        <f t="shared" si="4"/>
        <v>16912.78495</v>
      </c>
      <c r="G236" s="161">
        <f t="shared" si="20"/>
        <v>17071.94661</v>
      </c>
      <c r="H236" s="161">
        <f t="shared" si="21"/>
        <v>17308.25966</v>
      </c>
      <c r="I236" s="161">
        <f t="shared" si="22"/>
        <v>17266.36645</v>
      </c>
      <c r="J236" s="162">
        <f t="shared" si="8"/>
        <v>17703.73436</v>
      </c>
      <c r="K236" s="163">
        <f t="shared" si="23"/>
        <v>-0.0002790721706</v>
      </c>
      <c r="L236" s="163">
        <f t="shared" si="24"/>
        <v>0.008991773833</v>
      </c>
      <c r="M236" s="163">
        <f t="shared" si="25"/>
        <v>0.1717875979</v>
      </c>
      <c r="N236" s="163">
        <f t="shared" si="26"/>
        <v>-0.009913955752</v>
      </c>
      <c r="O236" s="164">
        <f t="shared" si="27"/>
        <v>-0.01192613144</v>
      </c>
      <c r="P236" s="164">
        <f t="shared" si="16"/>
        <v>0.02904480313</v>
      </c>
      <c r="U236" s="168">
        <f t="shared" si="15"/>
        <v>-0.6737543522</v>
      </c>
    </row>
    <row r="237">
      <c r="A237" s="158">
        <v>45863.0</v>
      </c>
      <c r="B237" s="167">
        <f>DATOS!E239/DATOS!D239</f>
        <v>17210.58013</v>
      </c>
      <c r="C237" s="160">
        <f t="shared" si="17"/>
        <v>13326.04979</v>
      </c>
      <c r="D237" s="160">
        <f t="shared" si="18"/>
        <v>3884.530341</v>
      </c>
      <c r="E237" s="161">
        <f t="shared" si="19"/>
        <v>16872.72893</v>
      </c>
      <c r="F237" s="161">
        <f t="shared" si="4"/>
        <v>16921.23365</v>
      </c>
      <c r="G237" s="161">
        <f t="shared" si="20"/>
        <v>17066.48411</v>
      </c>
      <c r="H237" s="161">
        <f t="shared" si="21"/>
        <v>17322.89992</v>
      </c>
      <c r="I237" s="161">
        <f t="shared" si="22"/>
        <v>17296.66078</v>
      </c>
      <c r="J237" s="162">
        <f t="shared" si="8"/>
        <v>17724.56619</v>
      </c>
      <c r="K237" s="163">
        <f t="shared" si="23"/>
        <v>-0.006106945351</v>
      </c>
      <c r="L237" s="163">
        <f t="shared" si="24"/>
        <v>0.009000364426</v>
      </c>
      <c r="M237" s="163">
        <f t="shared" si="25"/>
        <v>0.1719517209</v>
      </c>
      <c r="N237" s="163">
        <f t="shared" si="26"/>
        <v>-0.009915853858</v>
      </c>
      <c r="O237" s="164">
        <f t="shared" si="27"/>
        <v>-0.01192613144</v>
      </c>
      <c r="P237" s="164">
        <f t="shared" si="16"/>
        <v>0.02877379874</v>
      </c>
      <c r="U237" s="168">
        <f t="shared" si="15"/>
        <v>-0.7270499675</v>
      </c>
    </row>
    <row r="238">
      <c r="A238" s="158">
        <v>45862.0</v>
      </c>
      <c r="B238" s="167">
        <f>DATOS!E240/DATOS!D240</f>
        <v>17316.00579</v>
      </c>
      <c r="C238" s="160">
        <f t="shared" si="17"/>
        <v>13319.45466</v>
      </c>
      <c r="D238" s="160">
        <f t="shared" si="18"/>
        <v>3996.551128</v>
      </c>
      <c r="E238" s="161">
        <f t="shared" si="19"/>
        <v>16858.07173</v>
      </c>
      <c r="F238" s="161">
        <f t="shared" si="4"/>
        <v>16925.33777</v>
      </c>
      <c r="G238" s="161">
        <f t="shared" si="20"/>
        <v>17060.60264</v>
      </c>
      <c r="H238" s="161">
        <f t="shared" si="21"/>
        <v>17338.9456</v>
      </c>
      <c r="I238" s="161">
        <f t="shared" si="22"/>
        <v>17339.7011</v>
      </c>
      <c r="J238" s="162">
        <f t="shared" si="8"/>
        <v>17752.55344</v>
      </c>
      <c r="K238" s="163">
        <f t="shared" si="23"/>
        <v>0.0001835099025</v>
      </c>
      <c r="L238" s="163">
        <f t="shared" si="24"/>
        <v>0.009003706038</v>
      </c>
      <c r="M238" s="163">
        <f t="shared" si="25"/>
        <v>0.1720155623</v>
      </c>
      <c r="N238" s="163">
        <f t="shared" si="26"/>
        <v>-0.009917751964</v>
      </c>
      <c r="O238" s="164">
        <f t="shared" si="27"/>
        <v>-0.01187831917</v>
      </c>
      <c r="P238" s="164">
        <f t="shared" si="16"/>
        <v>0.02282442565</v>
      </c>
      <c r="U238" s="168">
        <f t="shared" si="15"/>
        <v>-0.1442030618</v>
      </c>
    </row>
    <row r="239">
      <c r="A239" s="158">
        <v>45861.0</v>
      </c>
      <c r="B239" s="167">
        <f>DATOS!E241/DATOS!D241</f>
        <v>17312.82842</v>
      </c>
      <c r="C239" s="160">
        <f t="shared" si="17"/>
        <v>13312.65781</v>
      </c>
      <c r="D239" s="160">
        <f t="shared" si="18"/>
        <v>4000.170616</v>
      </c>
      <c r="E239" s="161">
        <f t="shared" si="19"/>
        <v>16842.48077</v>
      </c>
      <c r="F239" s="161">
        <f t="shared" si="4"/>
        <v>16900.52005</v>
      </c>
      <c r="G239" s="161">
        <f t="shared" si="20"/>
        <v>17050.17802</v>
      </c>
      <c r="H239" s="161">
        <f t="shared" si="21"/>
        <v>17342.22272</v>
      </c>
      <c r="I239" s="161">
        <f t="shared" si="22"/>
        <v>17351.54875</v>
      </c>
      <c r="J239" s="162">
        <f t="shared" si="8"/>
        <v>17783.92539</v>
      </c>
      <c r="K239" s="163">
        <f t="shared" si="23"/>
        <v>0.0003045216492</v>
      </c>
      <c r="L239" s="163">
        <f t="shared" si="24"/>
        <v>0.009012441674</v>
      </c>
      <c r="M239" s="163">
        <f t="shared" si="25"/>
        <v>0.1721824564</v>
      </c>
      <c r="N239" s="163">
        <f t="shared" si="26"/>
        <v>-0.009919650069</v>
      </c>
      <c r="O239" s="164">
        <f t="shared" si="27"/>
        <v>-0.01187831917</v>
      </c>
      <c r="P239" s="164">
        <f t="shared" si="16"/>
        <v>0.02300373059</v>
      </c>
      <c r="U239" s="168">
        <f t="shared" si="15"/>
        <v>-0.1730240209</v>
      </c>
    </row>
    <row r="240">
      <c r="A240" s="158">
        <v>45860.0</v>
      </c>
      <c r="B240" s="167">
        <f>DATOS!E242/DATOS!D242</f>
        <v>17307.55709</v>
      </c>
      <c r="C240" s="160">
        <f t="shared" si="17"/>
        <v>13305.84321</v>
      </c>
      <c r="D240" s="160">
        <f t="shared" si="18"/>
        <v>4001.713889</v>
      </c>
      <c r="E240" s="161">
        <f t="shared" si="19"/>
        <v>16826.79632</v>
      </c>
      <c r="F240" s="161">
        <f t="shared" si="4"/>
        <v>16902.61786</v>
      </c>
      <c r="G240" s="161">
        <f t="shared" si="20"/>
        <v>17039.4576</v>
      </c>
      <c r="H240" s="161">
        <f t="shared" si="21"/>
        <v>17346.42191</v>
      </c>
      <c r="I240" s="161">
        <f t="shared" si="22"/>
        <v>17370.90891</v>
      </c>
      <c r="J240" s="162">
        <f t="shared" si="8"/>
        <v>17790.22595</v>
      </c>
      <c r="K240" s="163">
        <f t="shared" si="23"/>
        <v>-0.003368362282</v>
      </c>
      <c r="L240" s="163">
        <f t="shared" si="24"/>
        <v>0.009021222363</v>
      </c>
      <c r="M240" s="163">
        <f t="shared" si="25"/>
        <v>0.1723502112</v>
      </c>
      <c r="N240" s="163">
        <f t="shared" si="26"/>
        <v>-0.009921548175</v>
      </c>
      <c r="O240" s="164">
        <f t="shared" si="27"/>
        <v>-0.01187831917</v>
      </c>
      <c r="P240" s="164">
        <f t="shared" si="16"/>
        <v>0.02330120181</v>
      </c>
      <c r="U240" s="168">
        <f t="shared" si="15"/>
        <v>-0.2276872158</v>
      </c>
    </row>
    <row r="241">
      <c r="A241" s="158">
        <v>45859.0</v>
      </c>
      <c r="B241" s="167">
        <f>DATOS!E243/DATOS!D243</f>
        <v>17365.95351</v>
      </c>
      <c r="C241" s="160">
        <f t="shared" si="17"/>
        <v>13299.01434</v>
      </c>
      <c r="D241" s="160">
        <f t="shared" si="18"/>
        <v>4066.939169</v>
      </c>
      <c r="E241" s="161">
        <f t="shared" si="19"/>
        <v>16811.03395</v>
      </c>
      <c r="F241" s="161">
        <f t="shared" si="4"/>
        <v>16905.86812</v>
      </c>
      <c r="G241" s="161">
        <f t="shared" si="20"/>
        <v>17028.51476</v>
      </c>
      <c r="H241" s="161">
        <f t="shared" si="21"/>
        <v>17351.97402</v>
      </c>
      <c r="I241" s="161">
        <f t="shared" si="22"/>
        <v>17402.58482</v>
      </c>
      <c r="J241" s="162">
        <f t="shared" si="8"/>
        <v>17798.07993</v>
      </c>
      <c r="K241" s="163">
        <f t="shared" si="23"/>
        <v>-0.001015786307</v>
      </c>
      <c r="L241" s="163">
        <f t="shared" si="24"/>
        <v>0.009028010698</v>
      </c>
      <c r="M241" s="163">
        <f t="shared" si="25"/>
        <v>0.1724799022</v>
      </c>
      <c r="N241" s="163">
        <f t="shared" si="26"/>
        <v>-0.009923446281</v>
      </c>
      <c r="O241" s="164">
        <f t="shared" si="27"/>
        <v>-0.01187831917</v>
      </c>
      <c r="P241" s="164">
        <f t="shared" si="16"/>
        <v>0.02000577945</v>
      </c>
      <c r="U241" s="168">
        <f t="shared" si="15"/>
        <v>0.08147544317</v>
      </c>
    </row>
    <row r="242">
      <c r="A242" s="158">
        <v>45858.0</v>
      </c>
      <c r="B242" s="167">
        <f>DATOS!E244/DATOS!D244</f>
        <v>17383.60257</v>
      </c>
      <c r="C242" s="160">
        <f t="shared" si="17"/>
        <v>13292.06231</v>
      </c>
      <c r="D242" s="160">
        <f t="shared" si="18"/>
        <v>4091.540262</v>
      </c>
      <c r="E242" s="161">
        <f t="shared" si="19"/>
        <v>16794.69364</v>
      </c>
      <c r="F242" s="161">
        <f t="shared" si="4"/>
        <v>16899.78866</v>
      </c>
      <c r="G242" s="161">
        <f t="shared" si="20"/>
        <v>17014.74175</v>
      </c>
      <c r="H242" s="161">
        <f t="shared" si="21"/>
        <v>17349.97695</v>
      </c>
      <c r="I242" s="161">
        <f t="shared" si="22"/>
        <v>17420.90048</v>
      </c>
      <c r="J242" s="162">
        <f t="shared" si="8"/>
        <v>17800.16524</v>
      </c>
      <c r="K242" s="163">
        <f t="shared" si="23"/>
        <v>-0.0002762178089</v>
      </c>
      <c r="L242" s="163">
        <f t="shared" si="24"/>
        <v>0.009036450116</v>
      </c>
      <c r="M242" s="163">
        <f t="shared" si="25"/>
        <v>0.1726411371</v>
      </c>
      <c r="N242" s="163">
        <f t="shared" si="26"/>
        <v>-0.009925344387</v>
      </c>
      <c r="O242" s="164">
        <f t="shared" si="27"/>
        <v>-0.01187831917</v>
      </c>
      <c r="P242" s="164">
        <f t="shared" si="16"/>
        <v>0.01900980898</v>
      </c>
      <c r="U242" s="168">
        <f t="shared" si="15"/>
        <v>0.1942001093</v>
      </c>
    </row>
    <row r="243">
      <c r="A243" s="158">
        <v>45857.0</v>
      </c>
      <c r="B243" s="167">
        <f>DATOS!E245/DATOS!D245</f>
        <v>17388.4049</v>
      </c>
      <c r="C243" s="160">
        <f t="shared" si="17"/>
        <v>13285.05625</v>
      </c>
      <c r="D243" s="160">
        <f t="shared" si="18"/>
        <v>4103.348648</v>
      </c>
      <c r="E243" s="161">
        <f t="shared" si="19"/>
        <v>16778.09049</v>
      </c>
      <c r="F243" s="161">
        <f t="shared" si="4"/>
        <v>16893.62602</v>
      </c>
      <c r="G243" s="161">
        <f t="shared" si="20"/>
        <v>16999.68621</v>
      </c>
      <c r="H243" s="161">
        <f t="shared" si="21"/>
        <v>17345.17329</v>
      </c>
      <c r="I243" s="161">
        <f t="shared" si="22"/>
        <v>17439.54943</v>
      </c>
      <c r="J243" s="162">
        <f t="shared" si="8"/>
        <v>17796.72056</v>
      </c>
      <c r="K243" s="163">
        <f t="shared" si="23"/>
        <v>0.0005701975475</v>
      </c>
      <c r="L243" s="163">
        <f t="shared" si="24"/>
        <v>0.009045179266</v>
      </c>
      <c r="M243" s="163">
        <f t="shared" si="25"/>
        <v>0.1728079072</v>
      </c>
      <c r="N243" s="163">
        <f t="shared" si="26"/>
        <v>-0.009927242493</v>
      </c>
      <c r="O243" s="164">
        <f t="shared" si="27"/>
        <v>-0.01187831917</v>
      </c>
      <c r="P243" s="164">
        <f t="shared" si="16"/>
        <v>0.01873880459</v>
      </c>
      <c r="U243" s="168">
        <f t="shared" si="15"/>
        <v>0.2489267047</v>
      </c>
    </row>
    <row r="244">
      <c r="A244" s="158">
        <v>45856.0</v>
      </c>
      <c r="B244" s="167">
        <f>DATOS!E246/DATOS!D246</f>
        <v>17378.4929</v>
      </c>
      <c r="C244" s="160">
        <f t="shared" si="17"/>
        <v>13278.01791</v>
      </c>
      <c r="D244" s="160">
        <f t="shared" si="18"/>
        <v>4100.474982</v>
      </c>
      <c r="E244" s="161">
        <f t="shared" si="19"/>
        <v>16761.32336</v>
      </c>
      <c r="F244" s="161">
        <f t="shared" si="4"/>
        <v>16888.22674</v>
      </c>
      <c r="G244" s="161">
        <f t="shared" si="20"/>
        <v>16983.82014</v>
      </c>
      <c r="H244" s="161">
        <f t="shared" si="21"/>
        <v>17338.99735</v>
      </c>
      <c r="I244" s="161">
        <f t="shared" si="22"/>
        <v>17465.1217</v>
      </c>
      <c r="J244" s="162">
        <f t="shared" si="8"/>
        <v>17789.76796</v>
      </c>
      <c r="K244" s="163">
        <f t="shared" si="23"/>
        <v>-0.01948679816</v>
      </c>
      <c r="L244" s="163">
        <f t="shared" si="24"/>
        <v>0.009054092267</v>
      </c>
      <c r="M244" s="163">
        <f t="shared" si="25"/>
        <v>0.1729781899</v>
      </c>
      <c r="N244" s="163">
        <f t="shared" si="26"/>
        <v>-0.009929140598</v>
      </c>
      <c r="O244" s="164">
        <f t="shared" si="27"/>
        <v>-0.01187831917</v>
      </c>
      <c r="P244" s="164">
        <f t="shared" si="16"/>
        <v>0.01929815783</v>
      </c>
      <c r="U244" s="168">
        <f t="shared" si="15"/>
        <v>0.2278063936</v>
      </c>
    </row>
    <row r="245">
      <c r="A245" s="158">
        <v>45855.0</v>
      </c>
      <c r="B245" s="167">
        <f>DATOS!E247/DATOS!D247</f>
        <v>17720.46523</v>
      </c>
      <c r="C245" s="160">
        <f t="shared" si="17"/>
        <v>13270.97242</v>
      </c>
      <c r="D245" s="160">
        <f t="shared" si="18"/>
        <v>4449.492807</v>
      </c>
      <c r="E245" s="161">
        <f t="shared" si="19"/>
        <v>16744.50687</v>
      </c>
      <c r="F245" s="161">
        <f t="shared" si="4"/>
        <v>16884.67311</v>
      </c>
      <c r="G245" s="161">
        <f t="shared" si="20"/>
        <v>16967.71104</v>
      </c>
      <c r="H245" s="161">
        <f t="shared" si="21"/>
        <v>17333.35513</v>
      </c>
      <c r="I245" s="161">
        <f t="shared" si="22"/>
        <v>17508.4361</v>
      </c>
      <c r="J245" s="162">
        <f t="shared" si="8"/>
        <v>17782.03714</v>
      </c>
      <c r="K245" s="163">
        <f t="shared" si="23"/>
        <v>0.007685435257</v>
      </c>
      <c r="L245" s="163">
        <f t="shared" si="24"/>
        <v>0.009016974539</v>
      </c>
      <c r="M245" s="163">
        <f t="shared" si="25"/>
        <v>0.1722690567</v>
      </c>
      <c r="N245" s="163">
        <f t="shared" si="26"/>
        <v>-0.009791151473</v>
      </c>
      <c r="O245" s="164">
        <f t="shared" si="27"/>
        <v>-0.005096749367</v>
      </c>
      <c r="P245" s="164">
        <f t="shared" si="16"/>
        <v>0</v>
      </c>
      <c r="U245" s="168">
        <f t="shared" si="15"/>
        <v>2.243206202</v>
      </c>
    </row>
    <row r="246">
      <c r="A246" s="158">
        <v>45854.0</v>
      </c>
      <c r="B246" s="167">
        <f>DATOS!E248/DATOS!D248</f>
        <v>17584.79774</v>
      </c>
      <c r="C246" s="160">
        <f t="shared" si="17"/>
        <v>13263.31409</v>
      </c>
      <c r="D246" s="160">
        <f t="shared" si="18"/>
        <v>4321.483654</v>
      </c>
      <c r="E246" s="161">
        <f t="shared" si="19"/>
        <v>16724.85893</v>
      </c>
      <c r="F246" s="161">
        <f t="shared" si="4"/>
        <v>16935.30751</v>
      </c>
      <c r="G246" s="161">
        <f t="shared" si="20"/>
        <v>16936.98638</v>
      </c>
      <c r="H246" s="161">
        <f t="shared" si="21"/>
        <v>17278.05368</v>
      </c>
      <c r="I246" s="161">
        <f t="shared" si="22"/>
        <v>17402.42153</v>
      </c>
      <c r="J246" s="162">
        <f t="shared" si="8"/>
        <v>17620.79985</v>
      </c>
      <c r="K246" s="163">
        <f t="shared" si="23"/>
        <v>0.004473743655</v>
      </c>
      <c r="L246" s="163">
        <f t="shared" si="24"/>
        <v>0.009021057452</v>
      </c>
      <c r="M246" s="163">
        <f t="shared" si="25"/>
        <v>0.1723470606</v>
      </c>
      <c r="N246" s="163">
        <f t="shared" si="26"/>
        <v>-0.009813434602</v>
      </c>
      <c r="O246" s="164">
        <f t="shared" si="27"/>
        <v>-0.009748572933</v>
      </c>
      <c r="P246" s="164">
        <f t="shared" si="16"/>
        <v>0</v>
      </c>
      <c r="U246" s="168">
        <f t="shared" si="15"/>
        <v>2.326895601</v>
      </c>
    </row>
    <row r="247">
      <c r="A247" s="158">
        <v>45853.0</v>
      </c>
      <c r="B247" s="167">
        <f>DATOS!E249/DATOS!D249</f>
        <v>17506.30358</v>
      </c>
      <c r="C247" s="160">
        <f t="shared" si="17"/>
        <v>13255.86326</v>
      </c>
      <c r="D247" s="160">
        <f t="shared" si="18"/>
        <v>4250.440322</v>
      </c>
      <c r="E247" s="161">
        <f t="shared" si="19"/>
        <v>16706.13758</v>
      </c>
      <c r="F247" s="161">
        <f t="shared" si="4"/>
        <v>16967.52175</v>
      </c>
      <c r="G247" s="161">
        <f t="shared" si="20"/>
        <v>16910.5451</v>
      </c>
      <c r="H247" s="161">
        <f t="shared" si="21"/>
        <v>17234.2331</v>
      </c>
      <c r="I247" s="161">
        <f t="shared" si="22"/>
        <v>17311.23343</v>
      </c>
      <c r="J247" s="162">
        <f t="shared" si="8"/>
        <v>17500.94446</v>
      </c>
      <c r="K247" s="163">
        <f t="shared" si="23"/>
        <v>0.01513971284</v>
      </c>
      <c r="L247" s="163">
        <f t="shared" si="24"/>
        <v>0.009028713212</v>
      </c>
      <c r="M247" s="163">
        <f t="shared" si="25"/>
        <v>0.1724933237</v>
      </c>
      <c r="N247" s="163">
        <f t="shared" si="26"/>
        <v>-0.009835717731</v>
      </c>
      <c r="O247" s="164">
        <f t="shared" si="27"/>
        <v>-0.00995824192</v>
      </c>
      <c r="P247" s="164">
        <f t="shared" si="16"/>
        <v>0</v>
      </c>
      <c r="U247" s="168">
        <f t="shared" si="15"/>
        <v>2.652242677</v>
      </c>
    </row>
    <row r="248">
      <c r="A248" s="158">
        <v>45852.0</v>
      </c>
      <c r="B248" s="167">
        <f>DATOS!E250/DATOS!D250</f>
        <v>17243.2594</v>
      </c>
      <c r="C248" s="160">
        <f t="shared" si="17"/>
        <v>13248.52225</v>
      </c>
      <c r="D248" s="160">
        <f t="shared" si="18"/>
        <v>3994.737147</v>
      </c>
      <c r="E248" s="161">
        <f t="shared" si="19"/>
        <v>16687.89739</v>
      </c>
      <c r="F248" s="161">
        <f t="shared" si="4"/>
        <v>16980.55669</v>
      </c>
      <c r="G248" s="161">
        <f t="shared" si="20"/>
        <v>16886.22843</v>
      </c>
      <c r="H248" s="161">
        <f t="shared" si="21"/>
        <v>17195.36589</v>
      </c>
      <c r="I248" s="161">
        <f t="shared" si="22"/>
        <v>17213.69836</v>
      </c>
      <c r="J248" s="162">
        <f t="shared" si="8"/>
        <v>17410.17509</v>
      </c>
      <c r="K248" s="163">
        <f t="shared" si="23"/>
        <v>0.002353796224</v>
      </c>
      <c r="L248" s="163">
        <f t="shared" si="24"/>
        <v>0.009015673994</v>
      </c>
      <c r="M248" s="163">
        <f t="shared" si="25"/>
        <v>0.1722442098</v>
      </c>
      <c r="N248" s="163">
        <f t="shared" si="26"/>
        <v>-0.009858000859</v>
      </c>
      <c r="O248" s="164">
        <f t="shared" si="27"/>
        <v>-0.00995824192</v>
      </c>
      <c r="P248" s="164">
        <f t="shared" si="16"/>
        <v>0.009301460285</v>
      </c>
      <c r="U248" s="168">
        <f t="shared" si="15"/>
        <v>0.5796917429</v>
      </c>
    </row>
    <row r="249">
      <c r="A249" s="158">
        <v>45851.0</v>
      </c>
      <c r="B249" s="167">
        <f>DATOS!E251/DATOS!D251</f>
        <v>17202.72001</v>
      </c>
      <c r="C249" s="160">
        <f t="shared" si="17"/>
        <v>13241.61094</v>
      </c>
      <c r="D249" s="160">
        <f t="shared" si="18"/>
        <v>3961.109067</v>
      </c>
      <c r="E249" s="161">
        <f t="shared" si="19"/>
        <v>16671.61026</v>
      </c>
      <c r="F249" s="161">
        <f t="shared" si="4"/>
        <v>16962.02295</v>
      </c>
      <c r="G249" s="161">
        <f t="shared" si="20"/>
        <v>16871.65574</v>
      </c>
      <c r="H249" s="161">
        <f t="shared" si="21"/>
        <v>17188.52396</v>
      </c>
      <c r="I249" s="161">
        <f t="shared" si="22"/>
        <v>17198.91783</v>
      </c>
      <c r="J249" s="162">
        <f t="shared" si="8"/>
        <v>17415.02497</v>
      </c>
      <c r="K249" s="163">
        <f t="shared" si="23"/>
        <v>0.0008217073787</v>
      </c>
      <c r="L249" s="163">
        <f t="shared" si="24"/>
        <v>0.009024463083</v>
      </c>
      <c r="M249" s="163">
        <f t="shared" si="25"/>
        <v>0.1724121251</v>
      </c>
      <c r="N249" s="163">
        <f t="shared" si="26"/>
        <v>-0.009880283988</v>
      </c>
      <c r="O249" s="164">
        <f t="shared" si="27"/>
        <v>-0.00995824192</v>
      </c>
      <c r="P249" s="164">
        <f t="shared" si="16"/>
        <v>0.01163062051</v>
      </c>
      <c r="U249" s="168">
        <f t="shared" si="15"/>
        <v>0.1629561171</v>
      </c>
    </row>
    <row r="250">
      <c r="A250" s="158">
        <v>45850.0</v>
      </c>
      <c r="B250" s="167">
        <f>DATOS!E252/DATOS!D252</f>
        <v>17188.59021</v>
      </c>
      <c r="C250" s="160">
        <f t="shared" si="17"/>
        <v>13234.74594</v>
      </c>
      <c r="D250" s="160">
        <f t="shared" si="18"/>
        <v>3953.844278</v>
      </c>
      <c r="E250" s="161">
        <f t="shared" si="19"/>
        <v>16655.52077</v>
      </c>
      <c r="F250" s="161">
        <f t="shared" si="4"/>
        <v>16954.67411</v>
      </c>
      <c r="G250" s="161">
        <f t="shared" si="20"/>
        <v>16858.14291</v>
      </c>
      <c r="H250" s="161">
        <f t="shared" si="21"/>
        <v>17186.49596</v>
      </c>
      <c r="I250" s="161">
        <f t="shared" si="22"/>
        <v>17197.01674</v>
      </c>
      <c r="J250" s="162">
        <f t="shared" si="8"/>
        <v>17418.3178</v>
      </c>
      <c r="K250" s="163">
        <f t="shared" si="23"/>
        <v>0.000822383137</v>
      </c>
      <c r="L250" s="163">
        <f t="shared" si="24"/>
        <v>0.009033479749</v>
      </c>
      <c r="M250" s="163">
        <f t="shared" si="25"/>
        <v>0.1725843883</v>
      </c>
      <c r="N250" s="163">
        <f t="shared" si="26"/>
        <v>-0.009902567117</v>
      </c>
      <c r="O250" s="164">
        <f t="shared" si="27"/>
        <v>-0.00995824192</v>
      </c>
      <c r="P250" s="164">
        <f t="shared" si="16"/>
        <v>0.01244243734</v>
      </c>
      <c r="U250" s="168">
        <f t="shared" si="15"/>
        <v>0.02348818223</v>
      </c>
    </row>
    <row r="251">
      <c r="A251" s="158">
        <v>45849.0</v>
      </c>
      <c r="B251" s="167">
        <f>DATOS!E253/DATOS!D253</f>
        <v>17174.46042</v>
      </c>
      <c r="C251" s="160">
        <f t="shared" si="17"/>
        <v>13227.88162</v>
      </c>
      <c r="D251" s="160">
        <f t="shared" si="18"/>
        <v>3946.578796</v>
      </c>
      <c r="E251" s="161">
        <f t="shared" si="19"/>
        <v>16639.41986</v>
      </c>
      <c r="F251" s="161">
        <f t="shared" si="4"/>
        <v>16955.13904</v>
      </c>
      <c r="G251" s="161">
        <f t="shared" si="20"/>
        <v>16844.65527</v>
      </c>
      <c r="H251" s="161">
        <f t="shared" si="21"/>
        <v>17186.19678</v>
      </c>
      <c r="I251" s="161">
        <f t="shared" si="22"/>
        <v>17201.23001</v>
      </c>
      <c r="J251" s="162">
        <f t="shared" si="8"/>
        <v>17417.25451</v>
      </c>
      <c r="K251" s="163">
        <f t="shared" si="23"/>
        <v>0.001361894286</v>
      </c>
      <c r="L251" s="163">
        <f t="shared" si="24"/>
        <v>0.009042523523</v>
      </c>
      <c r="M251" s="163">
        <f t="shared" si="25"/>
        <v>0.1727571693</v>
      </c>
      <c r="N251" s="163">
        <f t="shared" si="26"/>
        <v>-0.009904465223</v>
      </c>
      <c r="O251" s="164">
        <f t="shared" si="27"/>
        <v>-0.01494476405</v>
      </c>
      <c r="P251" s="164">
        <f t="shared" si="16"/>
        <v>0.01325425416</v>
      </c>
      <c r="U251" s="168">
        <f t="shared" si="15"/>
        <v>-0.1320645146</v>
      </c>
    </row>
    <row r="252">
      <c r="A252" s="158">
        <v>45848.0</v>
      </c>
      <c r="B252" s="167">
        <f>DATOS!E254/DATOS!D254</f>
        <v>17151.08654</v>
      </c>
      <c r="C252" s="160">
        <f t="shared" si="17"/>
        <v>13221.01801</v>
      </c>
      <c r="D252" s="160">
        <f t="shared" si="18"/>
        <v>3930.068531</v>
      </c>
      <c r="E252" s="161">
        <f t="shared" si="19"/>
        <v>16623.30743</v>
      </c>
      <c r="F252" s="161">
        <f t="shared" si="4"/>
        <v>16850.85977</v>
      </c>
      <c r="G252" s="161">
        <f t="shared" si="20"/>
        <v>16831.19383</v>
      </c>
      <c r="H252" s="161">
        <f t="shared" si="21"/>
        <v>17187.8734</v>
      </c>
      <c r="I252" s="161">
        <f t="shared" si="22"/>
        <v>17214.61481</v>
      </c>
      <c r="J252" s="162">
        <f t="shared" si="8"/>
        <v>17524.88702</v>
      </c>
      <c r="K252" s="163">
        <f t="shared" si="23"/>
        <v>0.001982513673</v>
      </c>
      <c r="L252" s="163">
        <f t="shared" si="24"/>
        <v>0.009051582814</v>
      </c>
      <c r="M252" s="163">
        <f t="shared" si="25"/>
        <v>0.1729302468</v>
      </c>
      <c r="N252" s="163">
        <f t="shared" si="26"/>
        <v>-0.009906363329</v>
      </c>
      <c r="O252" s="164">
        <f t="shared" si="27"/>
        <v>-0.01494476405</v>
      </c>
      <c r="P252" s="164">
        <f t="shared" si="16"/>
        <v>0.01459718289</v>
      </c>
      <c r="U252" s="168">
        <f t="shared" si="15"/>
        <v>-0.2838040549</v>
      </c>
    </row>
    <row r="253">
      <c r="A253" s="158">
        <v>45847.0</v>
      </c>
      <c r="B253" s="167">
        <f>DATOS!E255/DATOS!D255</f>
        <v>17117.11796</v>
      </c>
      <c r="C253" s="160">
        <f t="shared" si="17"/>
        <v>13214.1712</v>
      </c>
      <c r="D253" s="160">
        <f t="shared" si="18"/>
        <v>3902.94676</v>
      </c>
      <c r="E253" s="161">
        <f t="shared" si="19"/>
        <v>16607.25751</v>
      </c>
      <c r="F253" s="161">
        <f t="shared" si="4"/>
        <v>16737.90572</v>
      </c>
      <c r="G253" s="161">
        <f t="shared" si="20"/>
        <v>16818.13699</v>
      </c>
      <c r="H253" s="161">
        <f t="shared" si="21"/>
        <v>17193.12866</v>
      </c>
      <c r="I253" s="161">
        <f t="shared" si="22"/>
        <v>17246.37894</v>
      </c>
      <c r="J253" s="162">
        <f t="shared" si="8"/>
        <v>17648.35161</v>
      </c>
      <c r="K253" s="163">
        <f t="shared" si="23"/>
        <v>-0.0166872837</v>
      </c>
      <c r="L253" s="163">
        <f t="shared" si="24"/>
        <v>0.00906057571</v>
      </c>
      <c r="M253" s="163">
        <f t="shared" si="25"/>
        <v>0.1731020559</v>
      </c>
      <c r="N253" s="163">
        <f t="shared" si="26"/>
        <v>-0.009908261434</v>
      </c>
      <c r="O253" s="164">
        <f t="shared" si="27"/>
        <v>-0.01494476405</v>
      </c>
      <c r="P253" s="164">
        <f t="shared" si="16"/>
        <v>0.01654882223</v>
      </c>
      <c r="U253" s="168">
        <f t="shared" si="15"/>
        <v>-0.4341341653</v>
      </c>
    </row>
    <row r="254">
      <c r="A254" s="158">
        <v>45846.0</v>
      </c>
      <c r="B254" s="167">
        <f>DATOS!E256/DATOS!D256</f>
        <v>17405.15274</v>
      </c>
      <c r="C254" s="160">
        <f t="shared" si="17"/>
        <v>13207.35977</v>
      </c>
      <c r="D254" s="160">
        <f t="shared" si="18"/>
        <v>4197.792964</v>
      </c>
      <c r="E254" s="161">
        <f t="shared" si="19"/>
        <v>16591.35575</v>
      </c>
      <c r="F254" s="161">
        <f t="shared" si="4"/>
        <v>16687.96638</v>
      </c>
      <c r="G254" s="161">
        <f t="shared" si="20"/>
        <v>16805.93368</v>
      </c>
      <c r="H254" s="161">
        <f t="shared" si="21"/>
        <v>17203.98734</v>
      </c>
      <c r="I254" s="161">
        <f t="shared" si="22"/>
        <v>17311.00943</v>
      </c>
      <c r="J254" s="162">
        <f t="shared" si="8"/>
        <v>17720.00829</v>
      </c>
      <c r="K254" s="163">
        <f t="shared" si="23"/>
        <v>0.007960373209</v>
      </c>
      <c r="L254" s="163">
        <f t="shared" si="24"/>
        <v>0.009034828743</v>
      </c>
      <c r="M254" s="163">
        <f t="shared" si="25"/>
        <v>0.1726101608</v>
      </c>
      <c r="N254" s="163">
        <f t="shared" si="26"/>
        <v>-0.009546037056</v>
      </c>
      <c r="O254" s="164">
        <f t="shared" si="27"/>
        <v>-0.00995824192</v>
      </c>
      <c r="P254" s="164">
        <f t="shared" si="16"/>
        <v>0</v>
      </c>
      <c r="U254" s="168">
        <f t="shared" si="15"/>
        <v>1.01358295</v>
      </c>
    </row>
    <row r="255">
      <c r="A255" s="158">
        <v>45845.0</v>
      </c>
      <c r="B255" s="167">
        <f>DATOS!E257/DATOS!D257</f>
        <v>17267.15123</v>
      </c>
      <c r="C255" s="160">
        <f t="shared" si="17"/>
        <v>13200.02097</v>
      </c>
      <c r="D255" s="160">
        <f t="shared" si="18"/>
        <v>4067.130252</v>
      </c>
      <c r="E255" s="161">
        <f t="shared" si="19"/>
        <v>16573.01195</v>
      </c>
      <c r="F255" s="161">
        <f t="shared" si="4"/>
        <v>16596.24821</v>
      </c>
      <c r="G255" s="161">
        <f t="shared" si="20"/>
        <v>16781.47576</v>
      </c>
      <c r="H255" s="161">
        <f t="shared" si="21"/>
        <v>17175.24942</v>
      </c>
      <c r="I255" s="161">
        <f t="shared" si="22"/>
        <v>17263.93778</v>
      </c>
      <c r="J255" s="162">
        <f t="shared" si="8"/>
        <v>17754.25063</v>
      </c>
      <c r="K255" s="163">
        <f t="shared" si="23"/>
        <v>0.001471642774</v>
      </c>
      <c r="L255" s="163">
        <f t="shared" si="24"/>
        <v>0.009038569457</v>
      </c>
      <c r="M255" s="163">
        <f t="shared" si="25"/>
        <v>0.172681627</v>
      </c>
      <c r="N255" s="163">
        <f t="shared" si="26"/>
        <v>-0.009568320185</v>
      </c>
      <c r="O255" s="164">
        <f t="shared" si="27"/>
        <v>-0.00995824192</v>
      </c>
      <c r="P255" s="164">
        <f t="shared" si="16"/>
        <v>0.006649991613</v>
      </c>
      <c r="U255" s="168">
        <f t="shared" si="15"/>
        <v>0.412684271</v>
      </c>
    </row>
    <row r="256">
      <c r="A256" s="158">
        <v>45844.0</v>
      </c>
      <c r="B256" s="167">
        <f>DATOS!E258/DATOS!D258</f>
        <v>17241.75884</v>
      </c>
      <c r="C256" s="160">
        <f t="shared" si="17"/>
        <v>13192.89815</v>
      </c>
      <c r="D256" s="160">
        <f t="shared" si="18"/>
        <v>4048.860682</v>
      </c>
      <c r="E256" s="161">
        <f t="shared" si="19"/>
        <v>16555.63973</v>
      </c>
      <c r="F256" s="161">
        <f t="shared" si="4"/>
        <v>16526.71186</v>
      </c>
      <c r="G256" s="161">
        <f t="shared" si="20"/>
        <v>16761.65227</v>
      </c>
      <c r="H256" s="161">
        <f t="shared" si="21"/>
        <v>17162.12059</v>
      </c>
      <c r="I256" s="161">
        <f t="shared" si="22"/>
        <v>17262.33105</v>
      </c>
      <c r="J256" s="162">
        <f t="shared" si="8"/>
        <v>17797.52932</v>
      </c>
      <c r="K256" s="163">
        <f t="shared" si="23"/>
        <v>-0.0004208505275</v>
      </c>
      <c r="L256" s="163">
        <f t="shared" si="24"/>
        <v>0.00904768965</v>
      </c>
      <c r="M256" s="163">
        <f t="shared" si="25"/>
        <v>0.1728558681</v>
      </c>
      <c r="N256" s="163">
        <f t="shared" si="26"/>
        <v>-0.009590603314</v>
      </c>
      <c r="O256" s="164">
        <f t="shared" si="27"/>
        <v>-0.00995824192</v>
      </c>
      <c r="P256" s="164">
        <f t="shared" si="16"/>
        <v>0.008110772837</v>
      </c>
      <c r="U256" s="168">
        <f t="shared" si="15"/>
        <v>0.3258681</v>
      </c>
    </row>
    <row r="257">
      <c r="A257" s="158">
        <v>45843.0</v>
      </c>
      <c r="B257" s="167">
        <f>DATOS!E259/DATOS!D259</f>
        <v>17249.01657</v>
      </c>
      <c r="C257" s="160">
        <f t="shared" si="17"/>
        <v>13185.79489</v>
      </c>
      <c r="D257" s="160">
        <f t="shared" si="18"/>
        <v>4063.221677</v>
      </c>
      <c r="E257" s="161">
        <f t="shared" si="19"/>
        <v>16538.33797</v>
      </c>
      <c r="F257" s="161">
        <f t="shared" si="4"/>
        <v>16472.5285</v>
      </c>
      <c r="G257" s="161">
        <f t="shared" si="20"/>
        <v>16742.05609</v>
      </c>
      <c r="H257" s="161">
        <f t="shared" si="21"/>
        <v>17150.7437</v>
      </c>
      <c r="I257" s="161">
        <f t="shared" si="22"/>
        <v>17272.61716</v>
      </c>
      <c r="J257" s="162">
        <f t="shared" si="8"/>
        <v>17828.9589</v>
      </c>
      <c r="K257" s="163">
        <f t="shared" si="23"/>
        <v>-0.0004206734869</v>
      </c>
      <c r="L257" s="163">
        <f t="shared" si="24"/>
        <v>0.009056630612</v>
      </c>
      <c r="M257" s="163">
        <f t="shared" si="25"/>
        <v>0.1730266849</v>
      </c>
      <c r="N257" s="163">
        <f t="shared" si="26"/>
        <v>-0.009612886442</v>
      </c>
      <c r="O257" s="164">
        <f t="shared" si="27"/>
        <v>-0.00995824192</v>
      </c>
      <c r="P257" s="164">
        <f t="shared" si="16"/>
        <v>0.007693247881</v>
      </c>
      <c r="U257" s="168">
        <f t="shared" si="15"/>
        <v>0.3767380212</v>
      </c>
    </row>
    <row r="258">
      <c r="A258" s="158">
        <v>45842.0</v>
      </c>
      <c r="B258" s="167">
        <f>DATOS!E260/DATOS!D260</f>
        <v>17256.2743</v>
      </c>
      <c r="C258" s="160">
        <f t="shared" si="17"/>
        <v>13178.6539</v>
      </c>
      <c r="D258" s="160">
        <f t="shared" si="18"/>
        <v>4077.620394</v>
      </c>
      <c r="E258" s="161">
        <f t="shared" si="19"/>
        <v>16520.84296</v>
      </c>
      <c r="F258" s="161">
        <f t="shared" si="4"/>
        <v>16412.83145</v>
      </c>
      <c r="G258" s="161">
        <f t="shared" si="20"/>
        <v>16721.36382</v>
      </c>
      <c r="H258" s="161">
        <f t="shared" si="21"/>
        <v>17136.70472</v>
      </c>
      <c r="I258" s="161">
        <f t="shared" si="22"/>
        <v>17284.41745</v>
      </c>
      <c r="J258" s="162">
        <f t="shared" si="8"/>
        <v>17860.57799</v>
      </c>
      <c r="K258" s="163">
        <f t="shared" si="23"/>
        <v>-0.001301624231</v>
      </c>
      <c r="L258" s="163">
        <f t="shared" si="24"/>
        <v>0.009065598168</v>
      </c>
      <c r="M258" s="163">
        <f t="shared" si="25"/>
        <v>0.1731980098</v>
      </c>
      <c r="N258" s="163">
        <f t="shared" si="26"/>
        <v>-0.009635169571</v>
      </c>
      <c r="O258" s="164">
        <f t="shared" si="27"/>
        <v>-0.00995824192</v>
      </c>
      <c r="P258" s="164">
        <f t="shared" si="16"/>
        <v>0.007275722925</v>
      </c>
      <c r="U258" s="168">
        <f t="shared" si="15"/>
        <v>0.429468685</v>
      </c>
    </row>
    <row r="259">
      <c r="A259" s="158">
        <v>45841.0</v>
      </c>
      <c r="B259" s="167">
        <f>DATOS!E261/DATOS!D261</f>
        <v>17278.75011</v>
      </c>
      <c r="C259" s="160">
        <f t="shared" si="17"/>
        <v>13171.47499</v>
      </c>
      <c r="D259" s="160">
        <f t="shared" si="18"/>
        <v>4107.275113</v>
      </c>
      <c r="E259" s="161">
        <f t="shared" si="19"/>
        <v>16503.15296</v>
      </c>
      <c r="F259" s="161">
        <f t="shared" si="4"/>
        <v>16379.17095</v>
      </c>
      <c r="G259" s="161">
        <f t="shared" si="20"/>
        <v>16699.53074</v>
      </c>
      <c r="H259" s="161">
        <f t="shared" si="21"/>
        <v>17119.62335</v>
      </c>
      <c r="I259" s="161">
        <f t="shared" si="22"/>
        <v>17298.48903</v>
      </c>
      <c r="J259" s="162">
        <f t="shared" si="8"/>
        <v>17860.07575</v>
      </c>
      <c r="K259" s="163">
        <f t="shared" si="23"/>
        <v>-0.006000695853</v>
      </c>
      <c r="L259" s="163">
        <f t="shared" si="24"/>
        <v>0.009074220022</v>
      </c>
      <c r="M259" s="163">
        <f t="shared" si="25"/>
        <v>0.1733627301</v>
      </c>
      <c r="N259" s="163">
        <f t="shared" si="26"/>
        <v>-0.0096574527</v>
      </c>
      <c r="O259" s="164">
        <f t="shared" si="27"/>
        <v>-0.00995824192</v>
      </c>
      <c r="P259" s="164">
        <f t="shared" si="16"/>
        <v>0.005982727636</v>
      </c>
      <c r="U259" s="168">
        <f t="shared" si="15"/>
        <v>0.5587524096</v>
      </c>
    </row>
    <row r="260">
      <c r="A260" s="158">
        <v>45840.0</v>
      </c>
      <c r="B260" s="167">
        <f>DATOS!E262/DATOS!D262</f>
        <v>17382.74634</v>
      </c>
      <c r="C260" s="160">
        <f t="shared" si="17"/>
        <v>13164.23112</v>
      </c>
      <c r="D260" s="160">
        <f t="shared" si="18"/>
        <v>4218.515221</v>
      </c>
      <c r="E260" s="161">
        <f t="shared" si="19"/>
        <v>16485.14247</v>
      </c>
      <c r="F260" s="161">
        <f t="shared" si="4"/>
        <v>16324.44246</v>
      </c>
      <c r="G260" s="161">
        <f t="shared" si="20"/>
        <v>16675.88913</v>
      </c>
      <c r="H260" s="161">
        <f t="shared" si="21"/>
        <v>17096.89096</v>
      </c>
      <c r="I260" s="161">
        <f t="shared" si="22"/>
        <v>17308.3585</v>
      </c>
      <c r="J260" s="162">
        <f t="shared" si="8"/>
        <v>17869.33945</v>
      </c>
      <c r="K260" s="163">
        <f t="shared" si="23"/>
        <v>0.004715007653</v>
      </c>
      <c r="L260" s="163">
        <f t="shared" si="24"/>
        <v>0.009077919788</v>
      </c>
      <c r="M260" s="163">
        <f t="shared" si="25"/>
        <v>0.173433414</v>
      </c>
      <c r="N260" s="163">
        <f t="shared" si="26"/>
        <v>-0.009679735829</v>
      </c>
      <c r="O260" s="164">
        <f t="shared" si="27"/>
        <v>-0.00995824192</v>
      </c>
      <c r="P260" s="164">
        <f t="shared" si="16"/>
        <v>0</v>
      </c>
      <c r="U260" s="168">
        <f t="shared" si="15"/>
        <v>0.9621664243</v>
      </c>
    </row>
    <row r="261">
      <c r="A261" s="158">
        <v>45839.0</v>
      </c>
      <c r="B261" s="167">
        <f>DATOS!E263/DATOS!D263</f>
        <v>17300.97948</v>
      </c>
      <c r="C261" s="160">
        <f t="shared" si="17"/>
        <v>13156.77791</v>
      </c>
      <c r="D261" s="160">
        <f t="shared" si="18"/>
        <v>4144.201563</v>
      </c>
      <c r="E261" s="161">
        <f t="shared" si="19"/>
        <v>16466.14446</v>
      </c>
      <c r="F261" s="161">
        <f t="shared" si="4"/>
        <v>16254.15935</v>
      </c>
      <c r="G261" s="161">
        <f t="shared" si="20"/>
        <v>16647.03782</v>
      </c>
      <c r="H261" s="161">
        <f t="shared" si="21"/>
        <v>17056.05447</v>
      </c>
      <c r="I261" s="161">
        <f t="shared" si="22"/>
        <v>17271.16457</v>
      </c>
      <c r="J261" s="162">
        <f t="shared" si="8"/>
        <v>17857.94959</v>
      </c>
      <c r="K261" s="163">
        <f t="shared" si="23"/>
        <v>-0.003143060305</v>
      </c>
      <c r="L261" s="163">
        <f t="shared" si="24"/>
        <v>0.009085672102</v>
      </c>
      <c r="M261" s="163">
        <f t="shared" si="25"/>
        <v>0.1735815218</v>
      </c>
      <c r="N261" s="163">
        <f t="shared" si="26"/>
        <v>-0.009702018958</v>
      </c>
      <c r="O261" s="164">
        <f t="shared" si="27"/>
        <v>-0.00995824192</v>
      </c>
      <c r="P261" s="164">
        <f t="shared" si="16"/>
        <v>0.003689264908</v>
      </c>
      <c r="U261" s="168">
        <f t="shared" si="15"/>
        <v>0.7941250639</v>
      </c>
    </row>
    <row r="262">
      <c r="A262" s="158">
        <v>45838.0</v>
      </c>
      <c r="B262" s="167">
        <f>DATOS!E264/DATOS!D264</f>
        <v>17355.44305</v>
      </c>
      <c r="C262" s="160">
        <f t="shared" si="17"/>
        <v>13149.44304</v>
      </c>
      <c r="D262" s="160">
        <f t="shared" si="18"/>
        <v>4206.000001</v>
      </c>
      <c r="E262" s="161">
        <f t="shared" si="19"/>
        <v>16447.6663</v>
      </c>
      <c r="F262" s="161">
        <f t="shared" si="4"/>
        <v>16242.94589</v>
      </c>
      <c r="G262" s="161">
        <f t="shared" si="20"/>
        <v>16620.34632</v>
      </c>
      <c r="H262" s="161">
        <f t="shared" si="21"/>
        <v>17021.06519</v>
      </c>
      <c r="I262" s="161">
        <f t="shared" si="22"/>
        <v>17256.25712</v>
      </c>
      <c r="J262" s="162">
        <f t="shared" si="8"/>
        <v>17799.18448</v>
      </c>
      <c r="K262" s="163">
        <f t="shared" si="23"/>
        <v>-0.0004204344141</v>
      </c>
      <c r="L262" s="163">
        <f t="shared" si="24"/>
        <v>0.009093010515</v>
      </c>
      <c r="M262" s="163">
        <f t="shared" si="25"/>
        <v>0.173721722</v>
      </c>
      <c r="N262" s="163">
        <f t="shared" si="26"/>
        <v>-0.009724302087</v>
      </c>
      <c r="O262" s="164">
        <f t="shared" si="27"/>
        <v>-0.00995824192</v>
      </c>
      <c r="P262" s="164">
        <f t="shared" si="16"/>
        <v>0.0005528738347</v>
      </c>
      <c r="U262" s="168">
        <f t="shared" si="15"/>
        <v>1.117286826</v>
      </c>
    </row>
    <row r="263">
      <c r="A263" s="158">
        <v>45837.0</v>
      </c>
      <c r="B263" s="167">
        <f>DATOS!E265/DATOS!D265</f>
        <v>17362.74141</v>
      </c>
      <c r="C263" s="160">
        <f t="shared" si="17"/>
        <v>13141.9856</v>
      </c>
      <c r="D263" s="160">
        <f t="shared" si="18"/>
        <v>4220.755808</v>
      </c>
      <c r="E263" s="161">
        <f t="shared" si="19"/>
        <v>16428.59845</v>
      </c>
      <c r="F263" s="161">
        <f t="shared" si="4"/>
        <v>16262.01336</v>
      </c>
      <c r="G263" s="161">
        <f t="shared" si="20"/>
        <v>16590.34237</v>
      </c>
      <c r="H263" s="161">
        <f t="shared" si="21"/>
        <v>16973.29692</v>
      </c>
      <c r="I263" s="161">
        <f t="shared" si="22"/>
        <v>17206.66416</v>
      </c>
      <c r="J263" s="162">
        <f t="shared" si="8"/>
        <v>17684.58048</v>
      </c>
      <c r="K263" s="163">
        <f t="shared" si="23"/>
        <v>-0.00006629835343</v>
      </c>
      <c r="L263" s="163">
        <f t="shared" si="24"/>
        <v>0.009102100923</v>
      </c>
      <c r="M263" s="163">
        <f t="shared" si="25"/>
        <v>0.173895394</v>
      </c>
      <c r="N263" s="163">
        <f t="shared" si="26"/>
        <v>-0.009746585215</v>
      </c>
      <c r="O263" s="164">
        <f t="shared" si="27"/>
        <v>-0.00995824192</v>
      </c>
      <c r="P263" s="164">
        <f t="shared" si="16"/>
        <v>0.0001325835217</v>
      </c>
      <c r="U263" s="168">
        <f t="shared" si="15"/>
        <v>1.423561168</v>
      </c>
    </row>
    <row r="264">
      <c r="A264" s="158">
        <v>45836.0</v>
      </c>
      <c r="B264" s="167">
        <f>DATOS!E266/DATOS!D266</f>
        <v>17363.89257</v>
      </c>
      <c r="C264" s="160">
        <f t="shared" si="17"/>
        <v>13134.4887</v>
      </c>
      <c r="D264" s="160">
        <f t="shared" si="18"/>
        <v>4229.403869</v>
      </c>
      <c r="E264" s="161">
        <f t="shared" si="19"/>
        <v>16409.3221</v>
      </c>
      <c r="F264" s="161">
        <f t="shared" si="4"/>
        <v>16299.26584</v>
      </c>
      <c r="G264" s="161">
        <f t="shared" si="20"/>
        <v>16558.81588</v>
      </c>
      <c r="H264" s="161">
        <f t="shared" si="21"/>
        <v>16917.66199</v>
      </c>
      <c r="I264" s="161">
        <f t="shared" si="22"/>
        <v>17128.62554</v>
      </c>
      <c r="J264" s="162">
        <f t="shared" si="8"/>
        <v>17536.05815</v>
      </c>
      <c r="K264" s="163">
        <f t="shared" si="23"/>
        <v>-0.00006629395826</v>
      </c>
      <c r="L264" s="163">
        <f t="shared" si="24"/>
        <v>0.009111321584</v>
      </c>
      <c r="M264" s="163">
        <f t="shared" si="25"/>
        <v>0.1740715545</v>
      </c>
      <c r="N264" s="163">
        <f t="shared" si="26"/>
        <v>-0.009768868344</v>
      </c>
      <c r="O264" s="164">
        <f t="shared" si="27"/>
        <v>-0.00995824192</v>
      </c>
      <c r="P264" s="164">
        <f t="shared" si="16"/>
        <v>0.00006629176086</v>
      </c>
      <c r="U264" s="168">
        <f t="shared" si="15"/>
        <v>1.876142795</v>
      </c>
    </row>
    <row r="265">
      <c r="A265" s="158">
        <v>45835.0</v>
      </c>
      <c r="B265" s="167">
        <f>DATOS!E267/DATOS!D267</f>
        <v>17365.04372</v>
      </c>
      <c r="C265" s="160">
        <f t="shared" si="17"/>
        <v>13126.96307</v>
      </c>
      <c r="D265" s="160">
        <f t="shared" si="18"/>
        <v>4238.080658</v>
      </c>
      <c r="E265" s="161">
        <f t="shared" si="19"/>
        <v>16389.88582</v>
      </c>
      <c r="F265" s="161">
        <f t="shared" si="4"/>
        <v>16366.51628</v>
      </c>
      <c r="G265" s="161">
        <f t="shared" si="20"/>
        <v>16525.95561</v>
      </c>
      <c r="H265" s="161">
        <f t="shared" si="21"/>
        <v>16853.91477</v>
      </c>
      <c r="I265" s="161">
        <f t="shared" si="22"/>
        <v>17010.99202</v>
      </c>
      <c r="J265" s="162">
        <f t="shared" si="8"/>
        <v>17341.31326</v>
      </c>
      <c r="K265" s="163">
        <f t="shared" si="23"/>
        <v>0.02663923072</v>
      </c>
      <c r="L265" s="163">
        <f t="shared" si="24"/>
        <v>0.009120570319</v>
      </c>
      <c r="M265" s="163">
        <f t="shared" si="25"/>
        <v>0.1742482513</v>
      </c>
      <c r="N265" s="163">
        <f t="shared" si="26"/>
        <v>-0.009791151473</v>
      </c>
      <c r="O265" s="164">
        <f t="shared" si="27"/>
        <v>-0.00995824192</v>
      </c>
      <c r="P265" s="164">
        <f t="shared" si="16"/>
        <v>0</v>
      </c>
      <c r="U265" s="168">
        <f t="shared" si="15"/>
        <v>2.726588821</v>
      </c>
    </row>
    <row r="266">
      <c r="A266" s="158">
        <v>45834.0</v>
      </c>
      <c r="B266" s="167">
        <f>DATOS!E268/DATOS!D268</f>
        <v>16908.55951</v>
      </c>
      <c r="C266" s="160">
        <f t="shared" si="17"/>
        <v>13119.40856</v>
      </c>
      <c r="D266" s="160">
        <f t="shared" si="18"/>
        <v>3789.150952</v>
      </c>
      <c r="E266" s="161">
        <f t="shared" si="19"/>
        <v>16370.28817</v>
      </c>
      <c r="F266" s="161">
        <f t="shared" si="4"/>
        <v>16514.97781</v>
      </c>
      <c r="G266" s="161">
        <f t="shared" si="20"/>
        <v>16491.70712</v>
      </c>
      <c r="H266" s="161">
        <f t="shared" si="21"/>
        <v>16780.89635</v>
      </c>
      <c r="I266" s="161">
        <f t="shared" si="22"/>
        <v>16833.96617</v>
      </c>
      <c r="J266" s="162">
        <f t="shared" si="8"/>
        <v>17046.81488</v>
      </c>
      <c r="K266" s="163">
        <f t="shared" si="23"/>
        <v>0.006271546381</v>
      </c>
      <c r="L266" s="163">
        <f t="shared" si="24"/>
        <v>0.009055415116</v>
      </c>
      <c r="M266" s="163">
        <f t="shared" si="25"/>
        <v>0.1730034629</v>
      </c>
      <c r="N266" s="163">
        <f t="shared" si="26"/>
        <v>-0.009813434602</v>
      </c>
      <c r="O266" s="164">
        <f t="shared" si="27"/>
        <v>-0.00995824192</v>
      </c>
      <c r="P266" s="164">
        <f t="shared" si="16"/>
        <v>0.02105543171</v>
      </c>
      <c r="U266" s="168">
        <f t="shared" si="15"/>
        <v>1.248217674</v>
      </c>
    </row>
    <row r="267">
      <c r="A267" s="158">
        <v>45833.0</v>
      </c>
      <c r="B267" s="167">
        <f>DATOS!E269/DATOS!D269</f>
        <v>16802.84852</v>
      </c>
      <c r="C267" s="160">
        <f t="shared" si="17"/>
        <v>13112.64221</v>
      </c>
      <c r="D267" s="160">
        <f t="shared" si="18"/>
        <v>3690.20631</v>
      </c>
      <c r="E267" s="161">
        <f t="shared" si="19"/>
        <v>16354.30198</v>
      </c>
      <c r="F267" s="161">
        <f t="shared" si="4"/>
        <v>16404.05195</v>
      </c>
      <c r="G267" s="161">
        <f t="shared" si="20"/>
        <v>16474.69273</v>
      </c>
      <c r="H267" s="161">
        <f t="shared" si="21"/>
        <v>16762.65875</v>
      </c>
      <c r="I267" s="161">
        <f t="shared" si="22"/>
        <v>16796.6695</v>
      </c>
      <c r="J267" s="162">
        <f t="shared" si="8"/>
        <v>17121.26556</v>
      </c>
      <c r="K267" s="163">
        <f t="shared" si="23"/>
        <v>-0.003768101729</v>
      </c>
      <c r="L267" s="163">
        <f t="shared" si="24"/>
        <v>0.00906159553</v>
      </c>
      <c r="M267" s="163">
        <f t="shared" si="25"/>
        <v>0.1731215395</v>
      </c>
      <c r="N267" s="163">
        <f t="shared" si="26"/>
        <v>-0.009835717731</v>
      </c>
      <c r="O267" s="164">
        <f t="shared" si="27"/>
        <v>-0.00995824192</v>
      </c>
      <c r="P267" s="164">
        <f t="shared" si="16"/>
        <v>0.02717571609</v>
      </c>
      <c r="U267" s="168">
        <f t="shared" si="15"/>
        <v>0.2913871156</v>
      </c>
    </row>
    <row r="268">
      <c r="A268" s="158">
        <v>45832.0</v>
      </c>
      <c r="B268" s="167">
        <f>DATOS!E270/DATOS!D270</f>
        <v>16866.28281</v>
      </c>
      <c r="C268" s="160">
        <f t="shared" si="17"/>
        <v>13106.04077</v>
      </c>
      <c r="D268" s="160">
        <f t="shared" si="18"/>
        <v>3760.242033</v>
      </c>
      <c r="E268" s="161">
        <f t="shared" si="19"/>
        <v>16339.0619</v>
      </c>
      <c r="F268" s="161">
        <f t="shared" si="4"/>
        <v>16393.61262</v>
      </c>
      <c r="G268" s="161">
        <f t="shared" si="20"/>
        <v>16461.29862</v>
      </c>
      <c r="H268" s="161">
        <f t="shared" si="21"/>
        <v>16756.91736</v>
      </c>
      <c r="I268" s="161">
        <f t="shared" si="22"/>
        <v>16793.57999</v>
      </c>
      <c r="J268" s="162">
        <f t="shared" si="8"/>
        <v>17120.2221</v>
      </c>
      <c r="K268" s="163">
        <f t="shared" si="23"/>
        <v>0.005178277041</v>
      </c>
      <c r="L268" s="163">
        <f t="shared" si="24"/>
        <v>0.009068404324</v>
      </c>
      <c r="M268" s="163">
        <f t="shared" si="25"/>
        <v>0.1732516213</v>
      </c>
      <c r="N268" s="163">
        <f t="shared" si="26"/>
        <v>-0.009858000859</v>
      </c>
      <c r="O268" s="164">
        <f t="shared" si="27"/>
        <v>-0.01012505561</v>
      </c>
      <c r="P268" s="164">
        <f t="shared" si="16"/>
        <v>0.02350310017</v>
      </c>
      <c r="U268" s="168">
        <f t="shared" si="15"/>
        <v>0.7826767241</v>
      </c>
    </row>
    <row r="269">
      <c r="A269" s="158">
        <v>45831.0</v>
      </c>
      <c r="B269" s="167">
        <f>DATOS!E271/DATOS!D271</f>
        <v>16779.17026</v>
      </c>
      <c r="C269" s="160">
        <f t="shared" si="17"/>
        <v>13099.30199</v>
      </c>
      <c r="D269" s="160">
        <f t="shared" si="18"/>
        <v>3679.868275</v>
      </c>
      <c r="E269" s="161">
        <f t="shared" si="19"/>
        <v>16323.17411</v>
      </c>
      <c r="F269" s="161">
        <f t="shared" si="4"/>
        <v>16383.68161</v>
      </c>
      <c r="G269" s="161">
        <f t="shared" si="20"/>
        <v>16444.76865</v>
      </c>
      <c r="H269" s="161">
        <f t="shared" si="21"/>
        <v>16741.29372</v>
      </c>
      <c r="I269" s="161">
        <f t="shared" si="22"/>
        <v>16757.22858</v>
      </c>
      <c r="J269" s="162">
        <f t="shared" si="8"/>
        <v>17098.90584</v>
      </c>
      <c r="K269" s="163">
        <f t="shared" si="23"/>
        <v>-0.00004584566234</v>
      </c>
      <c r="L269" s="163">
        <f t="shared" si="24"/>
        <v>0.009075814987</v>
      </c>
      <c r="M269" s="163">
        <f t="shared" si="25"/>
        <v>0.1733932019</v>
      </c>
      <c r="N269" s="163">
        <f t="shared" si="26"/>
        <v>-0.009880283988</v>
      </c>
      <c r="O269" s="164">
        <f t="shared" si="27"/>
        <v>-0.01012505561</v>
      </c>
      <c r="P269" s="164">
        <f t="shared" si="16"/>
        <v>0.02854660206</v>
      </c>
      <c r="U269" s="168">
        <f t="shared" si="15"/>
        <v>0.2753793699</v>
      </c>
    </row>
    <row r="270">
      <c r="A270" s="158">
        <v>45830.0</v>
      </c>
      <c r="B270" s="167">
        <f>DATOS!E272/DATOS!D272</f>
        <v>16779.93953</v>
      </c>
      <c r="C270" s="160">
        <f t="shared" si="17"/>
        <v>13092.6954</v>
      </c>
      <c r="D270" s="160">
        <f t="shared" si="18"/>
        <v>3687.24413</v>
      </c>
      <c r="E270" s="161">
        <f t="shared" si="19"/>
        <v>16307.88193</v>
      </c>
      <c r="F270" s="161">
        <f t="shared" si="4"/>
        <v>16377.0065</v>
      </c>
      <c r="G270" s="161">
        <f t="shared" si="20"/>
        <v>16431.11961</v>
      </c>
      <c r="H270" s="161">
        <f t="shared" si="21"/>
        <v>16735.88279</v>
      </c>
      <c r="I270" s="161">
        <f t="shared" si="22"/>
        <v>16746.25774</v>
      </c>
      <c r="J270" s="162">
        <f t="shared" si="8"/>
        <v>17094.75908</v>
      </c>
      <c r="K270" s="163">
        <f t="shared" si="23"/>
        <v>-0.00004584356061</v>
      </c>
      <c r="L270" s="163">
        <f t="shared" si="24"/>
        <v>0.009085142324</v>
      </c>
      <c r="M270" s="163">
        <f t="shared" si="25"/>
        <v>0.1735714004</v>
      </c>
      <c r="N270" s="163">
        <f t="shared" si="26"/>
        <v>-0.009902567117</v>
      </c>
      <c r="O270" s="164">
        <f t="shared" si="27"/>
        <v>-0.01012505561</v>
      </c>
      <c r="P270" s="164">
        <f t="shared" si="16"/>
        <v>0.02850206411</v>
      </c>
      <c r="U270" s="168">
        <f t="shared" si="15"/>
        <v>0.319183889</v>
      </c>
    </row>
    <row r="271">
      <c r="A271" s="158">
        <v>45829.0</v>
      </c>
      <c r="B271" s="167">
        <f>DATOS!E273/DATOS!D273</f>
        <v>16780.7088</v>
      </c>
      <c r="C271" s="160">
        <f t="shared" si="17"/>
        <v>13086.06367</v>
      </c>
      <c r="D271" s="160">
        <f t="shared" si="18"/>
        <v>3694.645134</v>
      </c>
      <c r="E271" s="161">
        <f t="shared" si="19"/>
        <v>16292.46012</v>
      </c>
      <c r="F271" s="161">
        <f t="shared" si="4"/>
        <v>16369.5327</v>
      </c>
      <c r="G271" s="161">
        <f t="shared" si="20"/>
        <v>16416.88206</v>
      </c>
      <c r="H271" s="161">
        <f t="shared" si="21"/>
        <v>16729.58897</v>
      </c>
      <c r="I271" s="161">
        <f t="shared" si="22"/>
        <v>16729.41684</v>
      </c>
      <c r="J271" s="162">
        <f t="shared" si="8"/>
        <v>17089.64524</v>
      </c>
      <c r="K271" s="163">
        <f t="shared" si="23"/>
        <v>0.004076228077</v>
      </c>
      <c r="L271" s="163">
        <f t="shared" si="24"/>
        <v>0.009094498473</v>
      </c>
      <c r="M271" s="163">
        <f t="shared" si="25"/>
        <v>0.1737501494</v>
      </c>
      <c r="N271" s="163">
        <f t="shared" si="26"/>
        <v>-0.009904465223</v>
      </c>
      <c r="O271" s="164">
        <f t="shared" si="27"/>
        <v>-0.01309108901</v>
      </c>
      <c r="P271" s="164">
        <f t="shared" si="16"/>
        <v>0.02845752616</v>
      </c>
      <c r="U271" s="168">
        <f t="shared" si="15"/>
        <v>0.3691410889</v>
      </c>
    </row>
    <row r="272">
      <c r="A272" s="158">
        <v>45828.0</v>
      </c>
      <c r="B272" s="167">
        <f>DATOS!E274/DATOS!D274</f>
        <v>16712.44603</v>
      </c>
      <c r="C272" s="160">
        <f t="shared" si="17"/>
        <v>13079.40665</v>
      </c>
      <c r="D272" s="160">
        <f t="shared" si="18"/>
        <v>3633.039378</v>
      </c>
      <c r="E272" s="161">
        <f t="shared" si="19"/>
        <v>16276.90747</v>
      </c>
      <c r="F272" s="161">
        <f t="shared" si="4"/>
        <v>16362.03516</v>
      </c>
      <c r="G272" s="161">
        <f t="shared" si="20"/>
        <v>16402.03199</v>
      </c>
      <c r="H272" s="161">
        <f t="shared" si="21"/>
        <v>16722.28614</v>
      </c>
      <c r="I272" s="161">
        <f t="shared" si="22"/>
        <v>16703.77086</v>
      </c>
      <c r="J272" s="162">
        <f t="shared" si="8"/>
        <v>17082.53711</v>
      </c>
      <c r="K272" s="163">
        <f t="shared" si="23"/>
        <v>-0.003991925884</v>
      </c>
      <c r="L272" s="163">
        <f t="shared" si="24"/>
        <v>0.009102908225</v>
      </c>
      <c r="M272" s="163">
        <f t="shared" si="25"/>
        <v>0.1739108175</v>
      </c>
      <c r="N272" s="163">
        <f t="shared" si="26"/>
        <v>-0.009906363329</v>
      </c>
      <c r="O272" s="164">
        <f t="shared" si="27"/>
        <v>-0.01309108901</v>
      </c>
      <c r="P272" s="164">
        <f t="shared" si="16"/>
        <v>0.03240969443</v>
      </c>
      <c r="U272" s="168">
        <f t="shared" si="15"/>
        <v>-0.07101794356</v>
      </c>
    </row>
    <row r="273">
      <c r="A273" s="158">
        <v>45827.0</v>
      </c>
      <c r="B273" s="167">
        <f>DATOS!E275/DATOS!D275</f>
        <v>16779.29421</v>
      </c>
      <c r="C273" s="160">
        <f t="shared" si="17"/>
        <v>13072.84882</v>
      </c>
      <c r="D273" s="160">
        <f t="shared" si="18"/>
        <v>3706.445394</v>
      </c>
      <c r="E273" s="161">
        <f t="shared" si="19"/>
        <v>16261.79923</v>
      </c>
      <c r="F273" s="161">
        <f t="shared" si="4"/>
        <v>16357.6439</v>
      </c>
      <c r="G273" s="161">
        <f t="shared" si="20"/>
        <v>16389.36203</v>
      </c>
      <c r="H273" s="161">
        <f t="shared" si="21"/>
        <v>16723.69187</v>
      </c>
      <c r="I273" s="161">
        <f t="shared" si="22"/>
        <v>16699.43327</v>
      </c>
      <c r="J273" s="162">
        <f t="shared" si="8"/>
        <v>17089.73983</v>
      </c>
      <c r="K273" s="163">
        <f t="shared" si="23"/>
        <v>0.008801435162</v>
      </c>
      <c r="L273" s="163">
        <f t="shared" si="24"/>
        <v>0.009109593635</v>
      </c>
      <c r="M273" s="163">
        <f t="shared" si="25"/>
        <v>0.174038542</v>
      </c>
      <c r="N273" s="163">
        <f t="shared" si="26"/>
        <v>-0.009908261434</v>
      </c>
      <c r="O273" s="164">
        <f t="shared" si="27"/>
        <v>-0.01309108901</v>
      </c>
      <c r="P273" s="164">
        <f t="shared" si="16"/>
        <v>0.02853942587</v>
      </c>
      <c r="U273" s="168">
        <f t="shared" si="15"/>
        <v>0.3949375743</v>
      </c>
    </row>
    <row r="274">
      <c r="A274" s="158">
        <v>45826.0</v>
      </c>
      <c r="B274" s="167">
        <f>DATOS!E276/DATOS!D276</f>
        <v>16632.26034</v>
      </c>
      <c r="C274" s="160">
        <f t="shared" si="17"/>
        <v>13066.14638</v>
      </c>
      <c r="D274" s="160">
        <f t="shared" si="18"/>
        <v>3566.113961</v>
      </c>
      <c r="E274" s="161">
        <f t="shared" si="19"/>
        <v>16246.00897</v>
      </c>
      <c r="F274" s="161">
        <f t="shared" si="4"/>
        <v>16337.72816</v>
      </c>
      <c r="G274" s="161">
        <f t="shared" si="20"/>
        <v>16373.44643</v>
      </c>
      <c r="H274" s="161">
        <f t="shared" si="21"/>
        <v>16715.74867</v>
      </c>
      <c r="I274" s="161">
        <f t="shared" si="22"/>
        <v>16659.50281</v>
      </c>
      <c r="J274" s="162">
        <f t="shared" si="8"/>
        <v>17093.76919</v>
      </c>
      <c r="K274" s="163">
        <f t="shared" si="23"/>
        <v>0.009560799272</v>
      </c>
      <c r="L274" s="163">
        <f t="shared" si="24"/>
        <v>0.009112114449</v>
      </c>
      <c r="M274" s="163">
        <f t="shared" si="25"/>
        <v>0.1740867021</v>
      </c>
      <c r="N274" s="163">
        <f t="shared" si="26"/>
        <v>-0.00991015954</v>
      </c>
      <c r="O274" s="164">
        <f t="shared" si="27"/>
        <v>-0.01309108901</v>
      </c>
      <c r="P274" s="164">
        <f t="shared" si="16"/>
        <v>0.03705215605</v>
      </c>
      <c r="U274" s="168">
        <f t="shared" si="15"/>
        <v>-0.5742271859</v>
      </c>
    </row>
    <row r="275">
      <c r="A275" s="158">
        <v>45825.0</v>
      </c>
      <c r="B275" s="167">
        <f>DATOS!E277/DATOS!D277</f>
        <v>16474.00039</v>
      </c>
      <c r="C275" s="160">
        <f t="shared" si="17"/>
        <v>13059.68603</v>
      </c>
      <c r="D275" s="160">
        <f t="shared" si="18"/>
        <v>3414.314361</v>
      </c>
      <c r="E275" s="161">
        <f t="shared" si="19"/>
        <v>16231.32383</v>
      </c>
      <c r="F275" s="161">
        <f t="shared" si="4"/>
        <v>16359.91829</v>
      </c>
      <c r="G275" s="161">
        <f t="shared" si="20"/>
        <v>16362.88259</v>
      </c>
      <c r="H275" s="161">
        <f t="shared" si="21"/>
        <v>16727.67558</v>
      </c>
      <c r="I275" s="161">
        <f t="shared" si="22"/>
        <v>16673.12404</v>
      </c>
      <c r="J275" s="162">
        <f t="shared" si="8"/>
        <v>17095.43287</v>
      </c>
      <c r="K275" s="163">
        <f t="shared" si="23"/>
        <v>-0.01281501782</v>
      </c>
      <c r="L275" s="163">
        <f t="shared" si="24"/>
        <v>0.009113173116</v>
      </c>
      <c r="M275" s="163">
        <f t="shared" si="25"/>
        <v>0.1741069279</v>
      </c>
      <c r="N275" s="163">
        <f t="shared" si="26"/>
        <v>-0.009912057646</v>
      </c>
      <c r="O275" s="164">
        <f t="shared" si="27"/>
        <v>-0.01309108901</v>
      </c>
      <c r="P275" s="164">
        <f t="shared" si="16"/>
        <v>0.04621483603</v>
      </c>
      <c r="U275" s="168">
        <f t="shared" si="15"/>
        <v>-1.793453171</v>
      </c>
    </row>
    <row r="276">
      <c r="A276" s="158">
        <v>45824.0</v>
      </c>
      <c r="B276" s="167">
        <f>DATOS!E278/DATOS!D278</f>
        <v>16686.47352</v>
      </c>
      <c r="C276" s="160">
        <f t="shared" si="17"/>
        <v>13053.48945</v>
      </c>
      <c r="D276" s="160">
        <f t="shared" si="18"/>
        <v>3632.984063</v>
      </c>
      <c r="E276" s="161">
        <f t="shared" si="19"/>
        <v>16217.84859</v>
      </c>
      <c r="F276" s="161">
        <f t="shared" si="4"/>
        <v>16424.57619</v>
      </c>
      <c r="G276" s="161">
        <f t="shared" si="20"/>
        <v>16358.34717</v>
      </c>
      <c r="H276" s="161">
        <f t="shared" si="21"/>
        <v>16763.91489</v>
      </c>
      <c r="I276" s="161">
        <f t="shared" si="22"/>
        <v>16772.68586</v>
      </c>
      <c r="J276" s="162">
        <f t="shared" si="8"/>
        <v>17103.25359</v>
      </c>
      <c r="K276" s="163">
        <f t="shared" si="23"/>
        <v>-0.006466626935</v>
      </c>
      <c r="L276" s="163">
        <f t="shared" si="24"/>
        <v>0.009100776513</v>
      </c>
      <c r="M276" s="163">
        <f t="shared" si="25"/>
        <v>0.1738700911</v>
      </c>
      <c r="N276" s="163">
        <f t="shared" si="26"/>
        <v>-0.009590603314</v>
      </c>
      <c r="O276" s="164">
        <f t="shared" si="27"/>
        <v>-0.01279241318</v>
      </c>
      <c r="P276" s="164">
        <f t="shared" si="16"/>
        <v>0.03391340901</v>
      </c>
      <c r="U276" s="168">
        <f t="shared" si="15"/>
        <v>-0.5933528116</v>
      </c>
    </row>
    <row r="277">
      <c r="A277" s="158">
        <v>45823.0</v>
      </c>
      <c r="B277" s="167">
        <f>DATOS!E279/DATOS!D279</f>
        <v>16794.72836</v>
      </c>
      <c r="C277" s="160">
        <f t="shared" si="17"/>
        <v>13046.88403</v>
      </c>
      <c r="D277" s="160">
        <f t="shared" si="18"/>
        <v>3747.844332</v>
      </c>
      <c r="E277" s="161">
        <f t="shared" si="19"/>
        <v>16202.47279</v>
      </c>
      <c r="F277" s="161">
        <f t="shared" si="4"/>
        <v>16403.58259</v>
      </c>
      <c r="G277" s="161">
        <f t="shared" si="20"/>
        <v>16344.95426</v>
      </c>
      <c r="H277" s="161">
        <f t="shared" si="21"/>
        <v>16774.97794</v>
      </c>
      <c r="I277" s="161">
        <f t="shared" si="22"/>
        <v>16815.79203</v>
      </c>
      <c r="J277" s="162">
        <f t="shared" si="8"/>
        <v>17146.3733</v>
      </c>
      <c r="K277" s="163">
        <f t="shared" si="23"/>
        <v>-0.00004580319336</v>
      </c>
      <c r="L277" s="163">
        <f t="shared" si="24"/>
        <v>0.009103930859</v>
      </c>
      <c r="M277" s="163">
        <f t="shared" si="25"/>
        <v>0.1739303549</v>
      </c>
      <c r="N277" s="163">
        <f t="shared" si="26"/>
        <v>-0.009612886442</v>
      </c>
      <c r="O277" s="164">
        <f t="shared" si="27"/>
        <v>-0.01279241318</v>
      </c>
      <c r="P277" s="164">
        <f t="shared" si="16"/>
        <v>0.02764584428</v>
      </c>
      <c r="U277" s="168">
        <f t="shared" si="15"/>
        <v>0.1382652846</v>
      </c>
    </row>
    <row r="278">
      <c r="A278" s="158">
        <v>45822.0</v>
      </c>
      <c r="B278" s="167">
        <f>DATOS!E280/DATOS!D280</f>
        <v>16795.49763</v>
      </c>
      <c r="C278" s="160">
        <f t="shared" si="17"/>
        <v>13040.05735</v>
      </c>
      <c r="D278" s="160">
        <f t="shared" si="18"/>
        <v>3755.440276</v>
      </c>
      <c r="E278" s="161">
        <f t="shared" si="19"/>
        <v>16186.05784</v>
      </c>
      <c r="F278" s="161">
        <f t="shared" si="4"/>
        <v>16372.34686</v>
      </c>
      <c r="G278" s="161">
        <f t="shared" si="20"/>
        <v>16326.59614</v>
      </c>
      <c r="H278" s="161">
        <f t="shared" si="21"/>
        <v>16772.15646</v>
      </c>
      <c r="I278" s="161">
        <f t="shared" si="22"/>
        <v>16826.32387</v>
      </c>
      <c r="J278" s="162">
        <f t="shared" si="8"/>
        <v>17171.96605</v>
      </c>
      <c r="K278" s="163">
        <f t="shared" si="23"/>
        <v>-0.00004580109552</v>
      </c>
      <c r="L278" s="163">
        <f t="shared" si="24"/>
        <v>0.009113441872</v>
      </c>
      <c r="M278" s="163">
        <f t="shared" si="25"/>
        <v>0.1741120625</v>
      </c>
      <c r="N278" s="163">
        <f t="shared" si="26"/>
        <v>-0.009635169571</v>
      </c>
      <c r="O278" s="164">
        <f t="shared" si="27"/>
        <v>-0.01279241318</v>
      </c>
      <c r="P278" s="164">
        <f t="shared" si="16"/>
        <v>0.02760130633</v>
      </c>
      <c r="U278" s="168">
        <f t="shared" si="15"/>
        <v>0.151789893</v>
      </c>
    </row>
    <row r="279">
      <c r="A279" s="158">
        <v>45821.0</v>
      </c>
      <c r="B279" s="167">
        <f>DATOS!E281/DATOS!D281</f>
        <v>16796.2669</v>
      </c>
      <c r="C279" s="160">
        <f t="shared" si="17"/>
        <v>13033.20436</v>
      </c>
      <c r="D279" s="160">
        <f t="shared" si="18"/>
        <v>3763.062539</v>
      </c>
      <c r="E279" s="161">
        <f t="shared" si="19"/>
        <v>16169.50286</v>
      </c>
      <c r="F279" s="161">
        <f t="shared" si="4"/>
        <v>16347.99938</v>
      </c>
      <c r="G279" s="161">
        <f t="shared" si="20"/>
        <v>16307.4573</v>
      </c>
      <c r="H279" s="161">
        <f t="shared" si="21"/>
        <v>16768.822</v>
      </c>
      <c r="I279" s="161">
        <f t="shared" si="22"/>
        <v>16841.73699</v>
      </c>
      <c r="J279" s="162">
        <f t="shared" si="8"/>
        <v>17189.64462</v>
      </c>
      <c r="K279" s="163">
        <f t="shared" si="23"/>
        <v>0.001301758223</v>
      </c>
      <c r="L279" s="163">
        <f t="shared" si="24"/>
        <v>0.009122982751</v>
      </c>
      <c r="M279" s="163">
        <f t="shared" si="25"/>
        <v>0.1742943407</v>
      </c>
      <c r="N279" s="163">
        <f t="shared" si="26"/>
        <v>-0.0096574527</v>
      </c>
      <c r="O279" s="164">
        <f t="shared" si="27"/>
        <v>-0.01279241318</v>
      </c>
      <c r="P279" s="164">
        <f t="shared" si="16"/>
        <v>0.02755676839</v>
      </c>
      <c r="U279" s="168">
        <f t="shared" si="15"/>
        <v>0.1695648798</v>
      </c>
    </row>
    <row r="280">
      <c r="A280" s="158">
        <v>45820.0</v>
      </c>
      <c r="B280" s="167">
        <f>DATOS!E282/DATOS!D282</f>
        <v>16774.41645</v>
      </c>
      <c r="C280" s="160">
        <f t="shared" si="17"/>
        <v>13026.3249</v>
      </c>
      <c r="D280" s="160">
        <f t="shared" si="18"/>
        <v>3748.091542</v>
      </c>
      <c r="E280" s="161">
        <f t="shared" si="19"/>
        <v>16152.80653</v>
      </c>
      <c r="F280" s="161">
        <f t="shared" si="4"/>
        <v>16333.36323</v>
      </c>
      <c r="G280" s="161">
        <f t="shared" si="20"/>
        <v>16287.50589</v>
      </c>
      <c r="H280" s="161">
        <f t="shared" si="21"/>
        <v>16764.9013</v>
      </c>
      <c r="I280" s="161">
        <f t="shared" si="22"/>
        <v>16864.47203</v>
      </c>
      <c r="J280" s="162">
        <f t="shared" si="8"/>
        <v>17196.43937</v>
      </c>
      <c r="K280" s="163">
        <f t="shared" si="23"/>
        <v>-0.02155830519</v>
      </c>
      <c r="L280" s="163">
        <f t="shared" si="24"/>
        <v>0.009132672712</v>
      </c>
      <c r="M280" s="163">
        <f t="shared" si="25"/>
        <v>0.1744794672</v>
      </c>
      <c r="N280" s="163">
        <f t="shared" si="26"/>
        <v>-0.009679735829</v>
      </c>
      <c r="O280" s="164">
        <f t="shared" si="27"/>
        <v>-0.01279241318</v>
      </c>
      <c r="P280" s="164">
        <f t="shared" si="16"/>
        <v>0.02882183078</v>
      </c>
      <c r="U280" s="168">
        <f t="shared" si="15"/>
        <v>0.05732837717</v>
      </c>
    </row>
    <row r="281">
      <c r="A281" s="158">
        <v>45819.0</v>
      </c>
      <c r="B281" s="167">
        <f>DATOS!E283/DATOS!D283</f>
        <v>17139.97064</v>
      </c>
      <c r="C281" s="160">
        <f t="shared" si="17"/>
        <v>13019.46027</v>
      </c>
      <c r="D281" s="160">
        <f t="shared" si="18"/>
        <v>4120.510374</v>
      </c>
      <c r="E281" s="161">
        <f t="shared" si="19"/>
        <v>16136.1596</v>
      </c>
      <c r="F281" s="161">
        <f t="shared" si="4"/>
        <v>16331.03958</v>
      </c>
      <c r="G281" s="161">
        <f t="shared" si="20"/>
        <v>16267.63199</v>
      </c>
      <c r="H281" s="161">
        <f t="shared" si="21"/>
        <v>16763.542</v>
      </c>
      <c r="I281" s="161">
        <f t="shared" si="22"/>
        <v>16909.49983</v>
      </c>
      <c r="J281" s="162">
        <f t="shared" si="8"/>
        <v>17196.04441</v>
      </c>
      <c r="K281" s="163">
        <f t="shared" si="23"/>
        <v>0.01627399691</v>
      </c>
      <c r="L281" s="163">
        <f t="shared" si="24"/>
        <v>0.00908271191</v>
      </c>
      <c r="M281" s="163">
        <f t="shared" si="25"/>
        <v>0.1735249674</v>
      </c>
      <c r="N281" s="163">
        <f t="shared" si="26"/>
        <v>-0.009321807328</v>
      </c>
      <c r="O281" s="164">
        <f t="shared" si="27"/>
        <v>-0.01064923434</v>
      </c>
      <c r="P281" s="164">
        <f t="shared" si="16"/>
        <v>0.007657562217</v>
      </c>
      <c r="U281" s="168">
        <f t="shared" si="15"/>
        <v>2.262911041</v>
      </c>
    </row>
    <row r="282">
      <c r="A282" s="158">
        <v>45818.0</v>
      </c>
      <c r="B282" s="167">
        <f>DATOS!E284/DATOS!D284</f>
        <v>16863.29225</v>
      </c>
      <c r="C282" s="160">
        <f t="shared" si="17"/>
        <v>13011.8997</v>
      </c>
      <c r="D282" s="160">
        <f t="shared" si="18"/>
        <v>3851.392553</v>
      </c>
      <c r="E282" s="161">
        <f t="shared" si="19"/>
        <v>16116.26552</v>
      </c>
      <c r="F282" s="161">
        <f t="shared" si="4"/>
        <v>16378.01231</v>
      </c>
      <c r="G282" s="161">
        <f t="shared" si="20"/>
        <v>16232.02633</v>
      </c>
      <c r="H282" s="161">
        <f t="shared" si="21"/>
        <v>16709.76647</v>
      </c>
      <c r="I282" s="161">
        <f t="shared" si="22"/>
        <v>16794.26442</v>
      </c>
      <c r="J282" s="162">
        <f t="shared" si="8"/>
        <v>17041.52064</v>
      </c>
      <c r="K282" s="163">
        <f t="shared" si="23"/>
        <v>0.005924799099</v>
      </c>
      <c r="L282" s="163">
        <f t="shared" si="24"/>
        <v>0.00906509155</v>
      </c>
      <c r="M282" s="163">
        <f t="shared" si="25"/>
        <v>0.1731883309</v>
      </c>
      <c r="N282" s="163">
        <f t="shared" si="26"/>
        <v>-0.009336818129</v>
      </c>
      <c r="O282" s="164">
        <f t="shared" si="27"/>
        <v>-0.01064923434</v>
      </c>
      <c r="P282" s="164">
        <f t="shared" si="16"/>
        <v>0.02367624248</v>
      </c>
      <c r="U282" s="168">
        <f t="shared" si="15"/>
        <v>1.203201231</v>
      </c>
    </row>
    <row r="283">
      <c r="A283" s="158">
        <v>45817.0</v>
      </c>
      <c r="B283" s="167">
        <f>DATOS!E285/DATOS!D285</f>
        <v>16763.67603</v>
      </c>
      <c r="C283" s="160">
        <f t="shared" si="17"/>
        <v>13004.81993</v>
      </c>
      <c r="D283" s="160">
        <f t="shared" si="18"/>
        <v>3758.856094</v>
      </c>
      <c r="E283" s="161">
        <f t="shared" si="19"/>
        <v>16098.5706</v>
      </c>
      <c r="F283" s="161">
        <f t="shared" si="4"/>
        <v>16372.02954</v>
      </c>
      <c r="G283" s="161">
        <f t="shared" si="20"/>
        <v>16206.26037</v>
      </c>
      <c r="H283" s="161">
        <f t="shared" si="21"/>
        <v>16687.83422</v>
      </c>
      <c r="I283" s="161">
        <f t="shared" si="22"/>
        <v>16759.75051</v>
      </c>
      <c r="J283" s="162">
        <f t="shared" si="8"/>
        <v>17003.63891</v>
      </c>
      <c r="K283" s="163">
        <f t="shared" si="23"/>
        <v>-0.003078386834</v>
      </c>
      <c r="L283" s="163">
        <f t="shared" si="24"/>
        <v>0.009071948772</v>
      </c>
      <c r="M283" s="163">
        <f t="shared" si="25"/>
        <v>0.1733193379</v>
      </c>
      <c r="N283" s="163">
        <f t="shared" si="26"/>
        <v>-0.009351828931</v>
      </c>
      <c r="O283" s="164">
        <f t="shared" si="27"/>
        <v>-0.01064923434</v>
      </c>
      <c r="P283" s="164">
        <f t="shared" si="16"/>
        <v>0.02944366232</v>
      </c>
      <c r="U283" s="168">
        <f t="shared" si="15"/>
        <v>0.6244007974</v>
      </c>
    </row>
    <row r="284">
      <c r="A284" s="158">
        <v>45816.0</v>
      </c>
      <c r="B284" s="167">
        <f>DATOS!E286/DATOS!D286</f>
        <v>16815.36062</v>
      </c>
      <c r="C284" s="160">
        <f t="shared" si="17"/>
        <v>12997.89755</v>
      </c>
      <c r="D284" s="160">
        <f t="shared" si="18"/>
        <v>3817.463072</v>
      </c>
      <c r="E284" s="161">
        <f t="shared" si="19"/>
        <v>16081.58267</v>
      </c>
      <c r="F284" s="161">
        <f t="shared" si="4"/>
        <v>16374.67446</v>
      </c>
      <c r="G284" s="161">
        <f t="shared" si="20"/>
        <v>16183.50871</v>
      </c>
      <c r="H284" s="161">
        <f t="shared" si="21"/>
        <v>16676.99968</v>
      </c>
      <c r="I284" s="161">
        <f t="shared" si="22"/>
        <v>16757.78775</v>
      </c>
      <c r="J284" s="162">
        <f t="shared" si="8"/>
        <v>16979.32489</v>
      </c>
      <c r="K284" s="163">
        <f t="shared" si="23"/>
        <v>-0.00004574699465</v>
      </c>
      <c r="L284" s="163">
        <f t="shared" si="24"/>
        <v>0.009079697326</v>
      </c>
      <c r="M284" s="163">
        <f t="shared" si="25"/>
        <v>0.1734673739</v>
      </c>
      <c r="N284" s="163">
        <f t="shared" si="26"/>
        <v>-0.009366839732</v>
      </c>
      <c r="O284" s="164">
        <f t="shared" si="27"/>
        <v>-0.01064923434</v>
      </c>
      <c r="P284" s="164">
        <f t="shared" si="16"/>
        <v>0.02645131103</v>
      </c>
      <c r="U284" s="168">
        <f t="shared" si="15"/>
        <v>1.189905529</v>
      </c>
    </row>
    <row r="285">
      <c r="A285" s="158">
        <v>45815.0</v>
      </c>
      <c r="B285" s="167">
        <f>DATOS!E287/DATOS!D287</f>
        <v>16816.12989</v>
      </c>
      <c r="C285" s="160">
        <f t="shared" si="17"/>
        <v>12990.85426</v>
      </c>
      <c r="D285" s="160">
        <f t="shared" si="18"/>
        <v>3825.275632</v>
      </c>
      <c r="E285" s="161">
        <f t="shared" si="19"/>
        <v>16064.01262</v>
      </c>
      <c r="F285" s="161">
        <f t="shared" si="4"/>
        <v>16388.03165</v>
      </c>
      <c r="G285" s="161">
        <f t="shared" si="20"/>
        <v>16157.71884</v>
      </c>
      <c r="H285" s="161">
        <f t="shared" si="21"/>
        <v>16657.23383</v>
      </c>
      <c r="I285" s="161">
        <f t="shared" si="22"/>
        <v>16729.00131</v>
      </c>
      <c r="J285" s="162">
        <f t="shared" si="8"/>
        <v>16926.436</v>
      </c>
      <c r="K285" s="163">
        <f t="shared" si="23"/>
        <v>0.001362077801</v>
      </c>
      <c r="L285" s="163">
        <f t="shared" si="24"/>
        <v>0.009089320639</v>
      </c>
      <c r="M285" s="163">
        <f t="shared" si="25"/>
        <v>0.173651227</v>
      </c>
      <c r="N285" s="163">
        <f t="shared" si="26"/>
        <v>-0.009381850534</v>
      </c>
      <c r="O285" s="164">
        <f t="shared" si="27"/>
        <v>-0.01064923434</v>
      </c>
      <c r="P285" s="164">
        <f t="shared" si="16"/>
        <v>0.02640677308</v>
      </c>
      <c r="U285" s="168">
        <f t="shared" si="15"/>
        <v>1.534644947</v>
      </c>
    </row>
    <row r="286">
      <c r="A286" s="158">
        <v>45814.0</v>
      </c>
      <c r="B286" s="167">
        <f>DATOS!E288/DATOS!D288</f>
        <v>16793.2406</v>
      </c>
      <c r="C286" s="160">
        <f t="shared" si="17"/>
        <v>12983.78351</v>
      </c>
      <c r="D286" s="160">
        <f t="shared" si="18"/>
        <v>3809.457097</v>
      </c>
      <c r="E286" s="161">
        <f t="shared" si="19"/>
        <v>16046.2919</v>
      </c>
      <c r="F286" s="161">
        <f t="shared" si="4"/>
        <v>16409.79249</v>
      </c>
      <c r="G286" s="161">
        <f t="shared" si="20"/>
        <v>16130.84492</v>
      </c>
      <c r="H286" s="161">
        <f t="shared" si="21"/>
        <v>16634.53439</v>
      </c>
      <c r="I286" s="161">
        <f t="shared" si="22"/>
        <v>16685.43702</v>
      </c>
      <c r="J286" s="162">
        <f t="shared" si="8"/>
        <v>16859.27629</v>
      </c>
      <c r="K286" s="163">
        <f t="shared" si="23"/>
        <v>0.007832790836</v>
      </c>
      <c r="L286" s="163">
        <f t="shared" si="24"/>
        <v>0.00909909616</v>
      </c>
      <c r="M286" s="163">
        <f t="shared" si="25"/>
        <v>0.1738379881</v>
      </c>
      <c r="N286" s="163">
        <f t="shared" si="26"/>
        <v>-0.009396861335</v>
      </c>
      <c r="O286" s="164">
        <f t="shared" si="27"/>
        <v>-0.01064923434</v>
      </c>
      <c r="P286" s="164">
        <f t="shared" si="16"/>
        <v>0.02773198008</v>
      </c>
      <c r="U286" s="168">
        <f t="shared" si="15"/>
        <v>1.836044596</v>
      </c>
    </row>
    <row r="287">
      <c r="A287" s="158">
        <v>45813.0</v>
      </c>
      <c r="B287" s="167">
        <f>DATOS!E289/DATOS!D289</f>
        <v>16662.21647</v>
      </c>
      <c r="C287" s="160">
        <f t="shared" si="17"/>
        <v>12976.72896</v>
      </c>
      <c r="D287" s="160">
        <f t="shared" si="18"/>
        <v>3685.487518</v>
      </c>
      <c r="E287" s="161">
        <f t="shared" si="19"/>
        <v>16028.62258</v>
      </c>
      <c r="F287" s="161">
        <f t="shared" si="4"/>
        <v>16371.48107</v>
      </c>
      <c r="G287" s="161">
        <f t="shared" si="20"/>
        <v>16103.80836</v>
      </c>
      <c r="H287" s="161">
        <f t="shared" si="21"/>
        <v>16611.86207</v>
      </c>
      <c r="I287" s="161">
        <f t="shared" si="22"/>
        <v>16631.53523</v>
      </c>
      <c r="J287" s="162">
        <f t="shared" si="8"/>
        <v>16852.24308</v>
      </c>
      <c r="K287" s="163">
        <f t="shared" si="23"/>
        <v>0.001864428792</v>
      </c>
      <c r="L287" s="163">
        <f t="shared" si="24"/>
        <v>0.009103402822</v>
      </c>
      <c r="M287" s="163">
        <f t="shared" si="25"/>
        <v>0.1739202667</v>
      </c>
      <c r="N287" s="163">
        <f t="shared" si="26"/>
        <v>-0.009411872136</v>
      </c>
      <c r="O287" s="164">
        <f t="shared" si="27"/>
        <v>-0.01064923434</v>
      </c>
      <c r="P287" s="164">
        <f t="shared" si="16"/>
        <v>0.03531780424</v>
      </c>
      <c r="U287" s="168">
        <f t="shared" si="15"/>
        <v>0.5446413688</v>
      </c>
    </row>
    <row r="288">
      <c r="A288" s="158">
        <v>45812.0</v>
      </c>
      <c r="B288" s="167">
        <f>DATOS!E290/DATOS!D290</f>
        <v>16631.1799</v>
      </c>
      <c r="C288" s="160">
        <f t="shared" si="17"/>
        <v>12969.89132</v>
      </c>
      <c r="D288" s="160">
        <f t="shared" si="18"/>
        <v>3661.288583</v>
      </c>
      <c r="E288" s="161">
        <f t="shared" si="19"/>
        <v>16011.93739</v>
      </c>
      <c r="F288" s="161">
        <f t="shared" si="4"/>
        <v>16363.08118</v>
      </c>
      <c r="G288" s="161">
        <f t="shared" si="20"/>
        <v>16081.01619</v>
      </c>
      <c r="H288" s="161">
        <f t="shared" si="21"/>
        <v>16604.66859</v>
      </c>
      <c r="I288" s="161">
        <f t="shared" si="22"/>
        <v>16616.19461</v>
      </c>
      <c r="J288" s="162">
        <f t="shared" si="8"/>
        <v>16846.256</v>
      </c>
      <c r="K288" s="163">
        <f t="shared" si="23"/>
        <v>-0.005431996857</v>
      </c>
      <c r="L288" s="163">
        <f t="shared" si="24"/>
        <v>0.009113162065</v>
      </c>
      <c r="M288" s="163">
        <f t="shared" si="25"/>
        <v>0.1741067168</v>
      </c>
      <c r="N288" s="163">
        <f t="shared" si="26"/>
        <v>-0.009426882938</v>
      </c>
      <c r="O288" s="164">
        <f t="shared" si="27"/>
        <v>-0.01064923434</v>
      </c>
      <c r="P288" s="164">
        <f t="shared" si="16"/>
        <v>0.03711470988</v>
      </c>
      <c r="U288" s="168">
        <f t="shared" si="15"/>
        <v>0.2853187075</v>
      </c>
    </row>
    <row r="289">
      <c r="A289" s="158">
        <v>45811.0</v>
      </c>
      <c r="B289" s="167">
        <f>DATOS!E291/DATOS!D291</f>
        <v>16721.76623</v>
      </c>
      <c r="C289" s="160">
        <f t="shared" si="17"/>
        <v>12963.08595</v>
      </c>
      <c r="D289" s="160">
        <f t="shared" si="18"/>
        <v>3758.680278</v>
      </c>
      <c r="E289" s="161">
        <f t="shared" si="19"/>
        <v>15995.38207</v>
      </c>
      <c r="F289" s="161">
        <f t="shared" si="4"/>
        <v>16296.33004</v>
      </c>
      <c r="G289" s="161">
        <f t="shared" si="20"/>
        <v>16058.56053</v>
      </c>
      <c r="H289" s="161">
        <f t="shared" si="21"/>
        <v>16600.88126</v>
      </c>
      <c r="I289" s="161">
        <f t="shared" si="22"/>
        <v>16608.70196</v>
      </c>
      <c r="J289" s="162">
        <f t="shared" si="8"/>
        <v>16905.43247</v>
      </c>
      <c r="K289" s="163">
        <f t="shared" si="23"/>
        <v>0.01001985306</v>
      </c>
      <c r="L289" s="163">
        <f t="shared" si="24"/>
        <v>0.009118103361</v>
      </c>
      <c r="M289" s="163">
        <f t="shared" si="25"/>
        <v>0.1742011201</v>
      </c>
      <c r="N289" s="163">
        <f t="shared" si="26"/>
        <v>-0.009441893739</v>
      </c>
      <c r="O289" s="164">
        <f t="shared" si="27"/>
        <v>-0.01064923434</v>
      </c>
      <c r="P289" s="164">
        <f t="shared" si="16"/>
        <v>0.03187008853</v>
      </c>
      <c r="U289" s="168">
        <f t="shared" si="15"/>
        <v>1.032013334</v>
      </c>
    </row>
    <row r="290">
      <c r="A290" s="158">
        <v>45810.0</v>
      </c>
      <c r="B290" s="167">
        <f>DATOS!E292/DATOS!D292</f>
        <v>16555.0532</v>
      </c>
      <c r="C290" s="160">
        <f t="shared" si="17"/>
        <v>12956.08654</v>
      </c>
      <c r="D290" s="160">
        <f t="shared" si="18"/>
        <v>3598.966657</v>
      </c>
      <c r="E290" s="161">
        <f t="shared" si="19"/>
        <v>15977.90492</v>
      </c>
      <c r="F290" s="161">
        <f t="shared" si="4"/>
        <v>16179.09172</v>
      </c>
      <c r="G290" s="161">
        <f t="shared" si="20"/>
        <v>16031.49091</v>
      </c>
      <c r="H290" s="161">
        <f t="shared" si="21"/>
        <v>16583.61198</v>
      </c>
      <c r="I290" s="161">
        <f t="shared" si="22"/>
        <v>16552.16983</v>
      </c>
      <c r="J290" s="162">
        <f t="shared" si="8"/>
        <v>16988.13224</v>
      </c>
      <c r="K290" s="163">
        <f t="shared" si="23"/>
        <v>0.001115213713</v>
      </c>
      <c r="L290" s="163">
        <f t="shared" si="24"/>
        <v>0.009118334753</v>
      </c>
      <c r="M290" s="163">
        <f t="shared" si="25"/>
        <v>0.1742055409</v>
      </c>
      <c r="N290" s="163">
        <f t="shared" si="26"/>
        <v>-0.009456904541</v>
      </c>
      <c r="O290" s="164">
        <f t="shared" si="27"/>
        <v>-0.01064923434</v>
      </c>
      <c r="P290" s="164">
        <f t="shared" si="16"/>
        <v>0.041522171</v>
      </c>
      <c r="U290" s="168">
        <f t="shared" si="15"/>
        <v>-0.1835577312</v>
      </c>
    </row>
    <row r="291">
      <c r="A291" s="158">
        <v>45809.0</v>
      </c>
      <c r="B291" s="167">
        <f>DATOS!E293/DATOS!D293</f>
        <v>16536.60107</v>
      </c>
      <c r="C291" s="160">
        <f t="shared" si="17"/>
        <v>12949.37205</v>
      </c>
      <c r="D291" s="160">
        <f t="shared" si="18"/>
        <v>3587.229016</v>
      </c>
      <c r="E291" s="161">
        <f t="shared" si="19"/>
        <v>15961.72947</v>
      </c>
      <c r="F291" s="161">
        <f t="shared" si="4"/>
        <v>16059.85794</v>
      </c>
      <c r="G291" s="161">
        <f t="shared" si="20"/>
        <v>16010.12102</v>
      </c>
      <c r="H291" s="161">
        <f t="shared" si="21"/>
        <v>16587.6918</v>
      </c>
      <c r="I291" s="161">
        <f t="shared" si="22"/>
        <v>16550.72814</v>
      </c>
      <c r="J291" s="162">
        <f t="shared" si="8"/>
        <v>17115.52567</v>
      </c>
      <c r="K291" s="163">
        <f t="shared" si="23"/>
        <v>-0.000133141369</v>
      </c>
      <c r="L291" s="163">
        <f t="shared" si="24"/>
        <v>0.009128260562</v>
      </c>
      <c r="M291" s="163">
        <f t="shared" si="25"/>
        <v>0.1743951732</v>
      </c>
      <c r="N291" s="163">
        <f t="shared" si="26"/>
        <v>-0.00947918767</v>
      </c>
      <c r="O291" s="164">
        <f t="shared" si="27"/>
        <v>-0.01064923434</v>
      </c>
      <c r="P291" s="164">
        <f t="shared" si="16"/>
        <v>0.04259048281</v>
      </c>
      <c r="U291" s="168">
        <f t="shared" si="15"/>
        <v>-0.2516623446</v>
      </c>
    </row>
    <row r="292">
      <c r="A292" s="158">
        <v>45808.0</v>
      </c>
      <c r="B292" s="167">
        <f>DATOS!E294/DATOS!D294</f>
        <v>16538.80292</v>
      </c>
      <c r="C292" s="160">
        <f t="shared" si="17"/>
        <v>12942.66695</v>
      </c>
      <c r="D292" s="160">
        <f t="shared" si="18"/>
        <v>3596.135969</v>
      </c>
      <c r="E292" s="161">
        <f t="shared" si="19"/>
        <v>15945.57926</v>
      </c>
      <c r="F292" s="161">
        <f t="shared" si="4"/>
        <v>15987.96326</v>
      </c>
      <c r="G292" s="161">
        <f t="shared" si="20"/>
        <v>15988.63204</v>
      </c>
      <c r="H292" s="161">
        <f t="shared" si="21"/>
        <v>16594.99048</v>
      </c>
      <c r="I292" s="161">
        <f t="shared" si="22"/>
        <v>16557.79167</v>
      </c>
      <c r="J292" s="162">
        <f t="shared" si="8"/>
        <v>17202.0177</v>
      </c>
      <c r="K292" s="163">
        <f t="shared" si="23"/>
        <v>-0.0001331236448</v>
      </c>
      <c r="L292" s="163">
        <f t="shared" si="24"/>
        <v>0.009138067073</v>
      </c>
      <c r="M292" s="163">
        <f t="shared" si="25"/>
        <v>0.1745825263</v>
      </c>
      <c r="N292" s="163">
        <f t="shared" si="26"/>
        <v>-0.009501470798</v>
      </c>
      <c r="O292" s="164">
        <f t="shared" si="27"/>
        <v>-0.01064923434</v>
      </c>
      <c r="P292" s="164">
        <f t="shared" si="16"/>
        <v>0.04246300351</v>
      </c>
      <c r="U292" s="168">
        <f t="shared" si="15"/>
        <v>-0.2406607905</v>
      </c>
    </row>
    <row r="293">
      <c r="A293" s="158">
        <v>45807.0</v>
      </c>
      <c r="B293" s="167">
        <f>DATOS!E295/DATOS!D295</f>
        <v>16541.00477</v>
      </c>
      <c r="C293" s="160">
        <f t="shared" si="17"/>
        <v>12935.93262</v>
      </c>
      <c r="D293" s="160">
        <f t="shared" si="18"/>
        <v>3605.072158</v>
      </c>
      <c r="E293" s="161">
        <f t="shared" si="19"/>
        <v>15929.27457</v>
      </c>
      <c r="F293" s="161">
        <f t="shared" si="4"/>
        <v>15943.44006</v>
      </c>
      <c r="G293" s="161">
        <f t="shared" si="20"/>
        <v>15966.17608</v>
      </c>
      <c r="H293" s="161">
        <f t="shared" si="21"/>
        <v>16603.01727</v>
      </c>
      <c r="I293" s="161">
        <f t="shared" si="22"/>
        <v>16567.28605</v>
      </c>
      <c r="J293" s="162">
        <f t="shared" si="8"/>
        <v>17262.59448</v>
      </c>
      <c r="K293" s="163">
        <f t="shared" si="23"/>
        <v>-0.001514655399</v>
      </c>
      <c r="L293" s="163">
        <f t="shared" si="24"/>
        <v>0.009147905254</v>
      </c>
      <c r="M293" s="163">
        <f t="shared" si="25"/>
        <v>0.1747704845</v>
      </c>
      <c r="N293" s="163">
        <f t="shared" si="26"/>
        <v>-0.009523753927</v>
      </c>
      <c r="O293" s="164">
        <f t="shared" si="27"/>
        <v>-0.01064923434</v>
      </c>
      <c r="P293" s="164">
        <f t="shared" si="16"/>
        <v>0.04233552421</v>
      </c>
      <c r="U293" s="168">
        <f t="shared" si="15"/>
        <v>-0.2444482567</v>
      </c>
    </row>
    <row r="294">
      <c r="A294" s="158">
        <v>45806.0</v>
      </c>
      <c r="B294" s="167">
        <f>DATOS!E296/DATOS!D296</f>
        <v>16566.07768</v>
      </c>
      <c r="C294" s="160">
        <f t="shared" si="17"/>
        <v>12929.16888</v>
      </c>
      <c r="D294" s="160">
        <f t="shared" si="18"/>
        <v>3636.908802</v>
      </c>
      <c r="E294" s="161">
        <f t="shared" si="19"/>
        <v>15912.81389</v>
      </c>
      <c r="F294" s="161">
        <f t="shared" si="4"/>
        <v>15929.65218</v>
      </c>
      <c r="G294" s="161">
        <f t="shared" si="20"/>
        <v>15942.71369</v>
      </c>
      <c r="H294" s="161">
        <f t="shared" si="21"/>
        <v>16611.8762</v>
      </c>
      <c r="I294" s="161">
        <f t="shared" si="22"/>
        <v>16580.42668</v>
      </c>
      <c r="J294" s="162">
        <f t="shared" si="8"/>
        <v>17294.10023</v>
      </c>
      <c r="K294" s="163">
        <f t="shared" si="23"/>
        <v>-0.004038961738</v>
      </c>
      <c r="L294" s="163">
        <f t="shared" si="24"/>
        <v>0.00915716929</v>
      </c>
      <c r="M294" s="163">
        <f t="shared" si="25"/>
        <v>0.1749474736</v>
      </c>
      <c r="N294" s="163">
        <f t="shared" si="26"/>
        <v>-0.009546037056</v>
      </c>
      <c r="O294" s="164">
        <f t="shared" si="27"/>
        <v>-0.01279241318</v>
      </c>
      <c r="P294" s="164">
        <f t="shared" si="16"/>
        <v>0.04088389346</v>
      </c>
      <c r="U294" s="168">
        <f t="shared" si="15"/>
        <v>-0.174541139</v>
      </c>
    </row>
    <row r="295">
      <c r="A295" s="158">
        <v>45805.0</v>
      </c>
      <c r="B295" s="167">
        <f>DATOS!E297/DATOS!D297</f>
        <v>16633.12274</v>
      </c>
      <c r="C295" s="160">
        <f t="shared" si="17"/>
        <v>12922.33258</v>
      </c>
      <c r="D295" s="160">
        <f t="shared" si="18"/>
        <v>3710.790156</v>
      </c>
      <c r="E295" s="161">
        <f t="shared" si="19"/>
        <v>15895.99553</v>
      </c>
      <c r="F295" s="161">
        <f t="shared" si="4"/>
        <v>15888.04549</v>
      </c>
      <c r="G295" s="161">
        <f t="shared" si="20"/>
        <v>15917.27026</v>
      </c>
      <c r="H295" s="161">
        <f t="shared" si="21"/>
        <v>16618.41885</v>
      </c>
      <c r="I295" s="161">
        <f t="shared" si="22"/>
        <v>16587.60119</v>
      </c>
      <c r="J295" s="162">
        <f t="shared" si="8"/>
        <v>17348.79221</v>
      </c>
      <c r="K295" s="163">
        <f t="shared" si="23"/>
        <v>0.01050989067</v>
      </c>
      <c r="L295" s="163">
        <f t="shared" si="24"/>
        <v>0.009164164485</v>
      </c>
      <c r="M295" s="163">
        <f t="shared" si="25"/>
        <v>0.1750811166</v>
      </c>
      <c r="N295" s="163">
        <f t="shared" si="26"/>
        <v>-0.009568320185</v>
      </c>
      <c r="O295" s="164">
        <f t="shared" si="27"/>
        <v>-0.01279241318</v>
      </c>
      <c r="P295" s="164">
        <f t="shared" si="16"/>
        <v>0.03700222653</v>
      </c>
      <c r="U295" s="168">
        <f t="shared" si="15"/>
        <v>0.05234324947</v>
      </c>
    </row>
    <row r="296">
      <c r="A296" s="158">
        <v>45804.0</v>
      </c>
      <c r="B296" s="167">
        <f>DATOS!E298/DATOS!D298</f>
        <v>16459.22586</v>
      </c>
      <c r="C296" s="160">
        <f t="shared" si="17"/>
        <v>12915.34428</v>
      </c>
      <c r="D296" s="160">
        <f t="shared" si="18"/>
        <v>3543.881579</v>
      </c>
      <c r="E296" s="161">
        <f t="shared" si="19"/>
        <v>15878.44779</v>
      </c>
      <c r="F296" s="161">
        <f t="shared" si="4"/>
        <v>15882.03239</v>
      </c>
      <c r="G296" s="161">
        <f t="shared" si="20"/>
        <v>15888.05179</v>
      </c>
      <c r="H296" s="161">
        <f t="shared" si="21"/>
        <v>16616.31829</v>
      </c>
      <c r="I296" s="161">
        <f t="shared" si="22"/>
        <v>16564.84041</v>
      </c>
      <c r="J296" s="162">
        <f t="shared" si="8"/>
        <v>17350.6042</v>
      </c>
      <c r="K296" s="163">
        <f t="shared" si="23"/>
        <v>-0.001766091932</v>
      </c>
      <c r="L296" s="163">
        <f t="shared" si="24"/>
        <v>0.009163411199</v>
      </c>
      <c r="M296" s="163">
        <f t="shared" si="25"/>
        <v>0.1750667251</v>
      </c>
      <c r="N296" s="163">
        <f t="shared" si="26"/>
        <v>-0.009590603314</v>
      </c>
      <c r="O296" s="164">
        <f t="shared" si="27"/>
        <v>-0.01279241318</v>
      </c>
      <c r="P296" s="164">
        <f t="shared" si="16"/>
        <v>0.04707022837</v>
      </c>
      <c r="U296" s="168">
        <f t="shared" si="15"/>
        <v>-0.5562415558</v>
      </c>
    </row>
    <row r="297">
      <c r="A297" s="158">
        <v>45803.0</v>
      </c>
      <c r="B297" s="167">
        <f>DATOS!E299/DATOS!D299</f>
        <v>16488.32005</v>
      </c>
      <c r="C297" s="160">
        <f t="shared" si="17"/>
        <v>12908.65771</v>
      </c>
      <c r="D297" s="160">
        <f t="shared" si="18"/>
        <v>3579.662338</v>
      </c>
      <c r="E297" s="161">
        <f t="shared" si="19"/>
        <v>15862.28165</v>
      </c>
      <c r="F297" s="161">
        <f t="shared" si="4"/>
        <v>15947.72111</v>
      </c>
      <c r="G297" s="161">
        <f t="shared" si="20"/>
        <v>15864.73856</v>
      </c>
      <c r="H297" s="161">
        <f t="shared" si="21"/>
        <v>16638.76007</v>
      </c>
      <c r="I297" s="161">
        <f t="shared" si="22"/>
        <v>16617.64768</v>
      </c>
      <c r="J297" s="162">
        <f t="shared" si="8"/>
        <v>17329.79902</v>
      </c>
      <c r="K297" s="163">
        <f t="shared" si="23"/>
        <v>-0.006837324032</v>
      </c>
      <c r="L297" s="163">
        <f t="shared" si="24"/>
        <v>0.009172597448</v>
      </c>
      <c r="M297" s="163">
        <f t="shared" si="25"/>
        <v>0.1752422282</v>
      </c>
      <c r="N297" s="163">
        <f t="shared" si="26"/>
        <v>-0.009612886442</v>
      </c>
      <c r="O297" s="164">
        <f t="shared" si="27"/>
        <v>-0.01279241318</v>
      </c>
      <c r="P297" s="164">
        <f t="shared" si="16"/>
        <v>0.04538577978</v>
      </c>
      <c r="U297" s="168">
        <f t="shared" si="15"/>
        <v>-0.566023169</v>
      </c>
    </row>
    <row r="298">
      <c r="A298" s="158">
        <v>45802.0</v>
      </c>
      <c r="B298" s="167">
        <f>DATOS!E300/DATOS!D300</f>
        <v>16601.44232</v>
      </c>
      <c r="C298" s="160">
        <f t="shared" si="17"/>
        <v>12901.89086</v>
      </c>
      <c r="D298" s="160">
        <f t="shared" si="18"/>
        <v>3699.551458</v>
      </c>
      <c r="E298" s="161">
        <f t="shared" si="19"/>
        <v>15845.72237</v>
      </c>
      <c r="F298" s="161">
        <f t="shared" si="4"/>
        <v>15931.12693</v>
      </c>
      <c r="G298" s="161">
        <f t="shared" si="20"/>
        <v>15839.28626</v>
      </c>
      <c r="H298" s="161">
        <f t="shared" si="21"/>
        <v>16660.2515</v>
      </c>
      <c r="I298" s="161">
        <f t="shared" si="22"/>
        <v>16682.3115</v>
      </c>
      <c r="J298" s="162">
        <f t="shared" si="8"/>
        <v>17389.37608</v>
      </c>
      <c r="K298" s="163">
        <f t="shared" si="23"/>
        <v>-0.0001326213853</v>
      </c>
      <c r="L298" s="163">
        <f t="shared" si="24"/>
        <v>0.009175309284</v>
      </c>
      <c r="M298" s="163">
        <f t="shared" si="25"/>
        <v>0.1752940377</v>
      </c>
      <c r="N298" s="163">
        <f t="shared" si="26"/>
        <v>-0.009635169571</v>
      </c>
      <c r="O298" s="164">
        <f t="shared" si="27"/>
        <v>-0.01279241318</v>
      </c>
      <c r="P298" s="164">
        <f t="shared" si="16"/>
        <v>0.03883640846</v>
      </c>
      <c r="U298" s="168">
        <f t="shared" si="15"/>
        <v>-0.209708844</v>
      </c>
    </row>
    <row r="299">
      <c r="A299" s="158">
        <v>45801.0</v>
      </c>
      <c r="B299" s="167">
        <f>DATOS!E301/DATOS!D301</f>
        <v>16603.64417</v>
      </c>
      <c r="C299" s="160">
        <f t="shared" si="17"/>
        <v>12894.88413</v>
      </c>
      <c r="D299" s="160">
        <f t="shared" si="18"/>
        <v>3708.760037</v>
      </c>
      <c r="E299" s="161">
        <f t="shared" si="19"/>
        <v>15828.02409</v>
      </c>
      <c r="F299" s="161">
        <f t="shared" si="4"/>
        <v>15883.9403</v>
      </c>
      <c r="G299" s="161">
        <f t="shared" si="20"/>
        <v>15808.17785</v>
      </c>
      <c r="H299" s="161">
        <f t="shared" si="21"/>
        <v>16668.65281</v>
      </c>
      <c r="I299" s="161">
        <f t="shared" si="22"/>
        <v>16722.7461</v>
      </c>
      <c r="J299" s="162">
        <f t="shared" si="8"/>
        <v>17453.36533</v>
      </c>
      <c r="K299" s="163">
        <f t="shared" si="23"/>
        <v>-0.0001326037992</v>
      </c>
      <c r="L299" s="163">
        <f t="shared" si="24"/>
        <v>0.009185314328</v>
      </c>
      <c r="M299" s="163">
        <f t="shared" si="25"/>
        <v>0.1754851838</v>
      </c>
      <c r="N299" s="163">
        <f t="shared" si="26"/>
        <v>-0.0096574527</v>
      </c>
      <c r="O299" s="164">
        <f t="shared" si="27"/>
        <v>-0.01279241318</v>
      </c>
      <c r="P299" s="164">
        <f t="shared" si="16"/>
        <v>0.03870892916</v>
      </c>
      <c r="U299" s="168">
        <f t="shared" si="15"/>
        <v>-0.2153941252</v>
      </c>
    </row>
    <row r="300">
      <c r="A300" s="158">
        <v>45800.0</v>
      </c>
      <c r="B300" s="167">
        <f>DATOS!E302/DATOS!D302</f>
        <v>16605.84602</v>
      </c>
      <c r="C300" s="160">
        <f t="shared" si="17"/>
        <v>12887.84664</v>
      </c>
      <c r="D300" s="160">
        <f t="shared" si="18"/>
        <v>3717.999384</v>
      </c>
      <c r="E300" s="161">
        <f t="shared" si="19"/>
        <v>15810.15707</v>
      </c>
      <c r="F300" s="161">
        <f t="shared" si="4"/>
        <v>15845.4145</v>
      </c>
      <c r="G300" s="161">
        <f t="shared" si="20"/>
        <v>15775.70983</v>
      </c>
      <c r="H300" s="161">
        <f t="shared" si="21"/>
        <v>16677.93976</v>
      </c>
      <c r="I300" s="161">
        <f t="shared" si="22"/>
        <v>16782.29706</v>
      </c>
      <c r="J300" s="162">
        <f t="shared" si="8"/>
        <v>17510.46502</v>
      </c>
      <c r="K300" s="163">
        <f t="shared" si="23"/>
        <v>-0.01331696544</v>
      </c>
      <c r="L300" s="163">
        <f t="shared" si="24"/>
        <v>0.009195352168</v>
      </c>
      <c r="M300" s="163">
        <f t="shared" si="25"/>
        <v>0.1756769565</v>
      </c>
      <c r="N300" s="163">
        <f t="shared" si="26"/>
        <v>-0.009679735829</v>
      </c>
      <c r="O300" s="164">
        <f t="shared" si="27"/>
        <v>-0.01279241318</v>
      </c>
      <c r="P300" s="164">
        <f t="shared" si="16"/>
        <v>0.03858144986</v>
      </c>
      <c r="U300" s="168">
        <f t="shared" si="15"/>
        <v>-0.225150785</v>
      </c>
    </row>
    <row r="301">
      <c r="A301" s="158">
        <v>45799.0</v>
      </c>
      <c r="B301" s="167">
        <f>DATOS!E303/DATOS!D303</f>
        <v>16828.46451</v>
      </c>
      <c r="C301" s="160">
        <f t="shared" si="17"/>
        <v>12880.7782</v>
      </c>
      <c r="D301" s="160">
        <f t="shared" si="18"/>
        <v>3947.686313</v>
      </c>
      <c r="E301" s="161">
        <f t="shared" si="19"/>
        <v>15792.11968</v>
      </c>
      <c r="F301" s="161">
        <f t="shared" si="4"/>
        <v>15788.75106</v>
      </c>
      <c r="G301" s="161">
        <f t="shared" si="20"/>
        <v>15741.82672</v>
      </c>
      <c r="H301" s="161">
        <f t="shared" si="21"/>
        <v>16688.23887</v>
      </c>
      <c r="I301" s="161">
        <f t="shared" si="22"/>
        <v>16870.52258</v>
      </c>
      <c r="J301" s="162">
        <f t="shared" si="8"/>
        <v>17587.72667</v>
      </c>
      <c r="K301" s="163">
        <f t="shared" si="23"/>
        <v>0.009398044337</v>
      </c>
      <c r="L301" s="163">
        <f t="shared" si="24"/>
        <v>0.009180604428</v>
      </c>
      <c r="M301" s="163">
        <f t="shared" si="25"/>
        <v>0.1753952013</v>
      </c>
      <c r="N301" s="163">
        <f t="shared" si="26"/>
        <v>-0.009321807328</v>
      </c>
      <c r="O301" s="164">
        <f t="shared" si="27"/>
        <v>-0.01064923434</v>
      </c>
      <c r="P301" s="164">
        <f t="shared" si="16"/>
        <v>0.02569264283</v>
      </c>
      <c r="U301" s="168">
        <f t="shared" si="15"/>
        <v>0.4053269857</v>
      </c>
    </row>
    <row r="302">
      <c r="A302" s="158">
        <v>45798.0</v>
      </c>
      <c r="B302" s="167">
        <f>DATOS!E304/DATOS!D304</f>
        <v>16671.05071</v>
      </c>
      <c r="C302" s="160">
        <f t="shared" si="17"/>
        <v>12873.2588</v>
      </c>
      <c r="D302" s="160">
        <f t="shared" si="18"/>
        <v>3797.79191</v>
      </c>
      <c r="E302" s="161">
        <f t="shared" si="19"/>
        <v>15771.95096</v>
      </c>
      <c r="F302" s="161">
        <f t="shared" si="4"/>
        <v>15624.03603</v>
      </c>
      <c r="G302" s="161">
        <f t="shared" si="20"/>
        <v>15697.47416</v>
      </c>
      <c r="H302" s="161">
        <f t="shared" si="21"/>
        <v>16668.20663</v>
      </c>
      <c r="I302" s="161">
        <f t="shared" si="22"/>
        <v>16891.55161</v>
      </c>
      <c r="J302" s="162">
        <f t="shared" si="8"/>
        <v>17712.37723</v>
      </c>
      <c r="K302" s="163">
        <f t="shared" si="23"/>
        <v>-0.01215129376</v>
      </c>
      <c r="L302" s="163">
        <f t="shared" si="24"/>
        <v>0.00918237959</v>
      </c>
      <c r="M302" s="163">
        <f t="shared" si="25"/>
        <v>0.1754291157</v>
      </c>
      <c r="N302" s="163">
        <f t="shared" si="26"/>
        <v>-0.009336818129</v>
      </c>
      <c r="O302" s="164">
        <f t="shared" si="27"/>
        <v>-0.01064923434</v>
      </c>
      <c r="P302" s="164">
        <f t="shared" si="16"/>
        <v>0.03480633405</v>
      </c>
      <c r="U302" s="168">
        <f t="shared" si="15"/>
        <v>0.0070817897</v>
      </c>
    </row>
    <row r="303">
      <c r="A303" s="158">
        <v>45797.0</v>
      </c>
      <c r="B303" s="167">
        <f>DATOS!E305/DATOS!D305</f>
        <v>16874.86131</v>
      </c>
      <c r="C303" s="160">
        <f t="shared" si="17"/>
        <v>12866.0111</v>
      </c>
      <c r="D303" s="160">
        <f t="shared" si="18"/>
        <v>4008.850212</v>
      </c>
      <c r="E303" s="161">
        <f t="shared" si="19"/>
        <v>15753.01518</v>
      </c>
      <c r="F303" s="161">
        <f t="shared" si="4"/>
        <v>15351.10019</v>
      </c>
      <c r="G303" s="161">
        <f t="shared" si="20"/>
        <v>15657.73634</v>
      </c>
      <c r="H303" s="161">
        <f t="shared" si="21"/>
        <v>16667.80033</v>
      </c>
      <c r="I303" s="161">
        <f t="shared" si="22"/>
        <v>17001.80206</v>
      </c>
      <c r="J303" s="162">
        <f t="shared" si="8"/>
        <v>17984.50048</v>
      </c>
      <c r="K303" s="163">
        <f t="shared" si="23"/>
        <v>-0.008573144769</v>
      </c>
      <c r="L303" s="163">
        <f t="shared" si="24"/>
        <v>0.00917139525</v>
      </c>
      <c r="M303" s="163">
        <f t="shared" si="25"/>
        <v>0.1752192602</v>
      </c>
      <c r="N303" s="163">
        <f t="shared" si="26"/>
        <v>-0.009091691211</v>
      </c>
      <c r="O303" s="164">
        <f t="shared" si="27"/>
        <v>-0.008705276305</v>
      </c>
      <c r="P303" s="164">
        <f t="shared" si="16"/>
        <v>0.02300643546</v>
      </c>
      <c r="U303" s="168">
        <f t="shared" si="15"/>
        <v>0.4088695146</v>
      </c>
    </row>
    <row r="304">
      <c r="A304" s="158">
        <v>45796.0</v>
      </c>
      <c r="B304" s="167">
        <f>DATOS!E306/DATOS!D306</f>
        <v>17020.15386</v>
      </c>
      <c r="C304" s="160">
        <f t="shared" si="17"/>
        <v>12858.346</v>
      </c>
      <c r="D304" s="160">
        <f t="shared" si="18"/>
        <v>4161.807864</v>
      </c>
      <c r="E304" s="161">
        <f t="shared" si="19"/>
        <v>15732.09952</v>
      </c>
      <c r="F304" s="161">
        <f t="shared" si="4"/>
        <v>15086.74882</v>
      </c>
      <c r="G304" s="161">
        <f t="shared" si="20"/>
        <v>15608.05777</v>
      </c>
      <c r="H304" s="161">
        <f t="shared" si="21"/>
        <v>16638.22019</v>
      </c>
      <c r="I304" s="161">
        <f t="shared" si="22"/>
        <v>17065.27243</v>
      </c>
      <c r="J304" s="162">
        <f t="shared" si="8"/>
        <v>18189.69157</v>
      </c>
      <c r="K304" s="163">
        <f t="shared" si="23"/>
        <v>-0.007769141287</v>
      </c>
      <c r="L304" s="163">
        <f t="shared" si="24"/>
        <v>0.00917028304</v>
      </c>
      <c r="M304" s="163">
        <f t="shared" si="25"/>
        <v>0.1751980115</v>
      </c>
      <c r="N304" s="163">
        <f t="shared" si="26"/>
        <v>-0.00910097654</v>
      </c>
      <c r="O304" s="164">
        <f t="shared" si="27"/>
        <v>-0.008676706544</v>
      </c>
      <c r="P304" s="164">
        <f t="shared" si="16"/>
        <v>0.01459452143</v>
      </c>
      <c r="U304" s="168">
        <f t="shared" si="15"/>
        <v>0.6400553362</v>
      </c>
    </row>
    <row r="305">
      <c r="A305" s="158">
        <v>45795.0</v>
      </c>
      <c r="B305" s="167">
        <f>DATOS!E307/DATOS!D307</f>
        <v>17152.90084</v>
      </c>
      <c r="C305" s="160">
        <f t="shared" si="17"/>
        <v>12850.37319</v>
      </c>
      <c r="D305" s="160">
        <f t="shared" si="18"/>
        <v>4302.527653</v>
      </c>
      <c r="E305" s="161">
        <f t="shared" si="19"/>
        <v>15709.70775</v>
      </c>
      <c r="F305" s="161">
        <f t="shared" si="4"/>
        <v>14857.89265</v>
      </c>
      <c r="G305" s="161">
        <f t="shared" si="20"/>
        <v>15550.4212</v>
      </c>
      <c r="H305" s="161">
        <f t="shared" si="21"/>
        <v>16583.65824</v>
      </c>
      <c r="I305" s="161">
        <f t="shared" si="22"/>
        <v>17087.83172</v>
      </c>
      <c r="J305" s="162">
        <f t="shared" si="8"/>
        <v>18309.42384</v>
      </c>
      <c r="K305" s="163">
        <f t="shared" si="23"/>
        <v>-0.0001283579374</v>
      </c>
      <c r="L305" s="163">
        <f t="shared" si="24"/>
        <v>0.009170943727</v>
      </c>
      <c r="M305" s="163">
        <f t="shared" si="25"/>
        <v>0.1752106339</v>
      </c>
      <c r="N305" s="163">
        <f t="shared" si="26"/>
        <v>-0.009110261868</v>
      </c>
      <c r="O305" s="164">
        <f t="shared" si="27"/>
        <v>-0.008676706544</v>
      </c>
      <c r="P305" s="164">
        <f t="shared" si="16"/>
        <v>0.00690895056</v>
      </c>
      <c r="U305" s="168">
        <f t="shared" si="15"/>
        <v>0.8576082141</v>
      </c>
    </row>
    <row r="306">
      <c r="A306" s="158">
        <v>45794.0</v>
      </c>
      <c r="B306" s="167">
        <f>DATOS!E308/DATOS!D308</f>
        <v>17155.10269</v>
      </c>
      <c r="C306" s="160">
        <f t="shared" si="17"/>
        <v>12842.11497</v>
      </c>
      <c r="D306" s="160">
        <f t="shared" si="18"/>
        <v>4312.987716</v>
      </c>
      <c r="E306" s="161">
        <f t="shared" si="19"/>
        <v>15685.93752</v>
      </c>
      <c r="F306" s="161">
        <f t="shared" si="4"/>
        <v>14691.61967</v>
      </c>
      <c r="G306" s="161">
        <f t="shared" si="20"/>
        <v>15485.01387</v>
      </c>
      <c r="H306" s="161">
        <f t="shared" si="21"/>
        <v>16502.33787</v>
      </c>
      <c r="I306" s="161">
        <f t="shared" si="22"/>
        <v>17055.29716</v>
      </c>
      <c r="J306" s="162">
        <f t="shared" si="8"/>
        <v>18313.05607</v>
      </c>
      <c r="K306" s="163">
        <f t="shared" si="23"/>
        <v>-0.0001283414637</v>
      </c>
      <c r="L306" s="163">
        <f t="shared" si="24"/>
        <v>0.009181076369</v>
      </c>
      <c r="M306" s="163">
        <f t="shared" si="25"/>
        <v>0.1754042177</v>
      </c>
      <c r="N306" s="163">
        <f t="shared" si="26"/>
        <v>-0.009119547197</v>
      </c>
      <c r="O306" s="164">
        <f t="shared" si="27"/>
        <v>-0.008676706544</v>
      </c>
      <c r="P306" s="164">
        <f t="shared" si="16"/>
        <v>0.00678147126</v>
      </c>
      <c r="U306" s="168">
        <f t="shared" si="15"/>
        <v>0.9373013028</v>
      </c>
    </row>
    <row r="307">
      <c r="A307" s="158">
        <v>45793.0</v>
      </c>
      <c r="B307" s="167">
        <f>DATOS!E309/DATOS!D309</f>
        <v>17157.30454</v>
      </c>
      <c r="C307" s="160">
        <f t="shared" si="17"/>
        <v>12833.82077</v>
      </c>
      <c r="D307" s="160">
        <f t="shared" si="18"/>
        <v>4323.483775</v>
      </c>
      <c r="E307" s="161">
        <f t="shared" si="19"/>
        <v>15661.94838</v>
      </c>
      <c r="F307" s="161">
        <f t="shared" si="4"/>
        <v>14573.55761</v>
      </c>
      <c r="G307" s="161">
        <f t="shared" si="20"/>
        <v>15416.84697</v>
      </c>
      <c r="H307" s="161">
        <f t="shared" si="21"/>
        <v>16409.08575</v>
      </c>
      <c r="I307" s="161">
        <f t="shared" si="22"/>
        <v>17005.3944</v>
      </c>
      <c r="J307" s="162">
        <f t="shared" si="8"/>
        <v>18244.61389</v>
      </c>
      <c r="K307" s="163">
        <f t="shared" si="23"/>
        <v>0.002137155466</v>
      </c>
      <c r="L307" s="163">
        <f t="shared" si="24"/>
        <v>0.009191242663</v>
      </c>
      <c r="M307" s="163">
        <f t="shared" si="25"/>
        <v>0.1755984445</v>
      </c>
      <c r="N307" s="163">
        <f t="shared" si="26"/>
        <v>-0.009128832526</v>
      </c>
      <c r="O307" s="164">
        <f t="shared" si="27"/>
        <v>-0.008676706544</v>
      </c>
      <c r="P307" s="164">
        <f t="shared" si="16"/>
        <v>0.00665399196</v>
      </c>
      <c r="U307" s="168">
        <f t="shared" si="15"/>
        <v>1.059841474</v>
      </c>
    </row>
    <row r="308">
      <c r="A308" s="158">
        <v>45792.0</v>
      </c>
      <c r="B308" s="167">
        <f>DATOS!E310/DATOS!D310</f>
        <v>17120.67587</v>
      </c>
      <c r="C308" s="160">
        <f t="shared" si="17"/>
        <v>12825.49036</v>
      </c>
      <c r="D308" s="160">
        <f t="shared" si="18"/>
        <v>4295.185515</v>
      </c>
      <c r="E308" s="161">
        <f t="shared" si="19"/>
        <v>15637.73816</v>
      </c>
      <c r="F308" s="161">
        <f t="shared" si="4"/>
        <v>14476.71799</v>
      </c>
      <c r="G308" s="161">
        <f t="shared" si="20"/>
        <v>15345.80789</v>
      </c>
      <c r="H308" s="161">
        <f t="shared" si="21"/>
        <v>16302.19736</v>
      </c>
      <c r="I308" s="161">
        <f t="shared" si="22"/>
        <v>16929.43932</v>
      </c>
      <c r="J308" s="162">
        <f t="shared" si="8"/>
        <v>18127.67672</v>
      </c>
      <c r="K308" s="163">
        <f t="shared" si="23"/>
        <v>-0.008813383926</v>
      </c>
      <c r="L308" s="163">
        <f t="shared" si="24"/>
        <v>0.009201506086</v>
      </c>
      <c r="M308" s="163">
        <f t="shared" si="25"/>
        <v>0.1757945269</v>
      </c>
      <c r="N308" s="163">
        <f t="shared" si="26"/>
        <v>-0.009138117854</v>
      </c>
      <c r="O308" s="164">
        <f t="shared" si="27"/>
        <v>-0.008676706544</v>
      </c>
      <c r="P308" s="164">
        <f t="shared" si="16"/>
        <v>0.008774659905</v>
      </c>
      <c r="U308" s="168">
        <f t="shared" si="15"/>
        <v>1.165745379</v>
      </c>
    </row>
    <row r="309">
      <c r="A309" s="158">
        <v>45791.0</v>
      </c>
      <c r="B309" s="167">
        <f>DATOS!E311/DATOS!D311</f>
        <v>17272.23385</v>
      </c>
      <c r="C309" s="160">
        <f t="shared" si="17"/>
        <v>12817.19849</v>
      </c>
      <c r="D309" s="160">
        <f t="shared" si="18"/>
        <v>4455.035356</v>
      </c>
      <c r="E309" s="161">
        <f t="shared" si="19"/>
        <v>15613.65527</v>
      </c>
      <c r="F309" s="161">
        <f t="shared" si="4"/>
        <v>14423.34385</v>
      </c>
      <c r="G309" s="161">
        <f t="shared" si="20"/>
        <v>15273.3643</v>
      </c>
      <c r="H309" s="161">
        <f t="shared" si="21"/>
        <v>16185.27185</v>
      </c>
      <c r="I309" s="161">
        <f t="shared" si="22"/>
        <v>16833.82105</v>
      </c>
      <c r="J309" s="162">
        <f t="shared" si="8"/>
        <v>17947.19986</v>
      </c>
      <c r="K309" s="163">
        <f t="shared" si="23"/>
        <v>0.009468620643</v>
      </c>
      <c r="L309" s="163">
        <f t="shared" si="24"/>
        <v>0.009199763909</v>
      </c>
      <c r="M309" s="163">
        <f t="shared" si="25"/>
        <v>0.1757612427</v>
      </c>
      <c r="N309" s="163">
        <f t="shared" si="26"/>
        <v>-0.009147403183</v>
      </c>
      <c r="O309" s="164">
        <f t="shared" si="27"/>
        <v>-0.008032197203</v>
      </c>
      <c r="P309" s="164">
        <f t="shared" si="16"/>
        <v>0</v>
      </c>
      <c r="U309" s="168">
        <f t="shared" si="15"/>
        <v>1.603982214</v>
      </c>
    </row>
    <row r="310">
      <c r="A310" s="158">
        <v>45790.0</v>
      </c>
      <c r="B310" s="167">
        <f>DATOS!E312/DATOS!D312</f>
        <v>17109.46145</v>
      </c>
      <c r="C310" s="160">
        <f t="shared" si="17"/>
        <v>12808.5814</v>
      </c>
      <c r="D310" s="160">
        <f t="shared" si="18"/>
        <v>4300.880047</v>
      </c>
      <c r="E310" s="161">
        <f t="shared" si="19"/>
        <v>15587.99801</v>
      </c>
      <c r="F310" s="161">
        <f t="shared" si="4"/>
        <v>14493.30965</v>
      </c>
      <c r="G310" s="161">
        <f t="shared" si="20"/>
        <v>15191.77779</v>
      </c>
      <c r="H310" s="161">
        <f t="shared" si="21"/>
        <v>16029.99157</v>
      </c>
      <c r="I310" s="161">
        <f t="shared" si="22"/>
        <v>16614.61465</v>
      </c>
      <c r="J310" s="162">
        <f t="shared" si="8"/>
        <v>17566.67349</v>
      </c>
      <c r="K310" s="163">
        <f t="shared" si="23"/>
        <v>0.02682435428</v>
      </c>
      <c r="L310" s="163">
        <f t="shared" si="24"/>
        <v>0.009201626186</v>
      </c>
      <c r="M310" s="163">
        <f t="shared" si="25"/>
        <v>0.1757968214</v>
      </c>
      <c r="N310" s="163">
        <f t="shared" si="26"/>
        <v>-0.009156688512</v>
      </c>
      <c r="O310" s="164">
        <f t="shared" si="27"/>
        <v>-0.008032197203</v>
      </c>
      <c r="P310" s="164">
        <f t="shared" si="16"/>
        <v>0</v>
      </c>
      <c r="U310" s="168">
        <f t="shared" si="15"/>
        <v>1.826416808</v>
      </c>
    </row>
    <row r="311">
      <c r="A311" s="158">
        <v>45789.0</v>
      </c>
      <c r="B311" s="167">
        <f>DATOS!E313/DATOS!D313</f>
        <v>16656.61204</v>
      </c>
      <c r="C311" s="160">
        <f t="shared" si="17"/>
        <v>12800.24636</v>
      </c>
      <c r="D311" s="160">
        <f t="shared" si="18"/>
        <v>3856.365681</v>
      </c>
      <c r="E311" s="161">
        <f t="shared" si="19"/>
        <v>15563.60145</v>
      </c>
      <c r="F311" s="161">
        <f t="shared" si="4"/>
        <v>14587.79804</v>
      </c>
      <c r="G311" s="161">
        <f t="shared" si="20"/>
        <v>15113.50498</v>
      </c>
      <c r="H311" s="161">
        <f t="shared" si="21"/>
        <v>15875.78159</v>
      </c>
      <c r="I311" s="161">
        <f t="shared" si="22"/>
        <v>16367.19125</v>
      </c>
      <c r="J311" s="162">
        <f t="shared" si="8"/>
        <v>17163.76513</v>
      </c>
      <c r="K311" s="163">
        <f t="shared" si="23"/>
        <v>0.01761938658</v>
      </c>
      <c r="L311" s="163">
        <f t="shared" si="24"/>
        <v>0.009129853235</v>
      </c>
      <c r="M311" s="163">
        <f t="shared" si="25"/>
        <v>0.1744256012</v>
      </c>
      <c r="N311" s="163">
        <f t="shared" si="26"/>
        <v>-0.009171699313</v>
      </c>
      <c r="O311" s="164">
        <f t="shared" si="27"/>
        <v>-0.008032197203</v>
      </c>
      <c r="P311" s="164">
        <f t="shared" si="16"/>
        <v>0</v>
      </c>
      <c r="U311" s="168">
        <f t="shared" si="15"/>
        <v>1.576230686</v>
      </c>
    </row>
    <row r="312">
      <c r="A312" s="158">
        <v>45788.0</v>
      </c>
      <c r="B312" s="167">
        <f>DATOS!E314/DATOS!D314</f>
        <v>16365.7031</v>
      </c>
      <c r="C312" s="160">
        <f t="shared" si="17"/>
        <v>12792.75827</v>
      </c>
      <c r="D312" s="160">
        <f t="shared" si="18"/>
        <v>3572.944827</v>
      </c>
      <c r="E312" s="161">
        <f t="shared" si="19"/>
        <v>15543.1156</v>
      </c>
      <c r="F312" s="161">
        <f t="shared" si="4"/>
        <v>14618.77483</v>
      </c>
      <c r="G312" s="161">
        <f t="shared" si="20"/>
        <v>15050.52102</v>
      </c>
      <c r="H312" s="161">
        <f t="shared" si="21"/>
        <v>15764.23438</v>
      </c>
      <c r="I312" s="161">
        <f t="shared" si="22"/>
        <v>16222.48085</v>
      </c>
      <c r="J312" s="162">
        <f t="shared" si="8"/>
        <v>16909.69392</v>
      </c>
      <c r="K312" s="163">
        <f t="shared" si="23"/>
        <v>-0.0005428276489</v>
      </c>
      <c r="L312" s="163">
        <f t="shared" si="24"/>
        <v>0.009105882206</v>
      </c>
      <c r="M312" s="163">
        <f t="shared" si="25"/>
        <v>0.1739676353</v>
      </c>
      <c r="N312" s="163">
        <f t="shared" si="26"/>
        <v>-0.009186710115</v>
      </c>
      <c r="O312" s="164">
        <f t="shared" si="27"/>
        <v>-0.008032197203</v>
      </c>
      <c r="P312" s="164">
        <f t="shared" si="16"/>
        <v>0.001084772005</v>
      </c>
      <c r="U312" s="168">
        <f t="shared" si="15"/>
        <v>1.365232573</v>
      </c>
    </row>
    <row r="313">
      <c r="A313" s="158">
        <v>45787.0</v>
      </c>
      <c r="B313" s="167">
        <f>DATOS!E315/DATOS!D315</f>
        <v>16374.58927</v>
      </c>
      <c r="C313" s="160">
        <f t="shared" si="17"/>
        <v>12785.80702</v>
      </c>
      <c r="D313" s="160">
        <f t="shared" si="18"/>
        <v>3588.782249</v>
      </c>
      <c r="E313" s="161">
        <f t="shared" si="19"/>
        <v>15525.10506</v>
      </c>
      <c r="F313" s="161">
        <f t="shared" si="4"/>
        <v>14622.72929</v>
      </c>
      <c r="G313" s="161">
        <f t="shared" si="20"/>
        <v>14996.84012</v>
      </c>
      <c r="H313" s="161">
        <f t="shared" si="21"/>
        <v>15678.31027</v>
      </c>
      <c r="I313" s="161">
        <f t="shared" si="22"/>
        <v>16150.86972</v>
      </c>
      <c r="J313" s="162">
        <f t="shared" si="8"/>
        <v>16733.89126</v>
      </c>
      <c r="K313" s="163">
        <f t="shared" si="23"/>
        <v>-0.0005425331469</v>
      </c>
      <c r="L313" s="163">
        <f t="shared" si="24"/>
        <v>0.009115986487</v>
      </c>
      <c r="M313" s="163">
        <f t="shared" si="25"/>
        <v>0.1741606773</v>
      </c>
      <c r="N313" s="163">
        <f t="shared" si="26"/>
        <v>-0.009201720916</v>
      </c>
      <c r="O313" s="164">
        <f t="shared" si="27"/>
        <v>-0.01213581123</v>
      </c>
      <c r="P313" s="164">
        <f t="shared" si="16"/>
        <v>0.0005423860024</v>
      </c>
      <c r="U313" s="168">
        <f t="shared" si="15"/>
        <v>1.71500379</v>
      </c>
    </row>
    <row r="314">
      <c r="A314" s="158">
        <v>45786.0</v>
      </c>
      <c r="B314" s="167">
        <f>DATOS!E316/DATOS!D316</f>
        <v>16383.47544</v>
      </c>
      <c r="C314" s="160">
        <f t="shared" si="17"/>
        <v>12778.81134</v>
      </c>
      <c r="D314" s="160">
        <f t="shared" si="18"/>
        <v>3604.664094</v>
      </c>
      <c r="E314" s="161">
        <f t="shared" si="19"/>
        <v>15506.85744</v>
      </c>
      <c r="F314" s="161">
        <f t="shared" si="4"/>
        <v>14655.25596</v>
      </c>
      <c r="G314" s="161">
        <f t="shared" si="20"/>
        <v>14940.60546</v>
      </c>
      <c r="H314" s="161">
        <f t="shared" si="21"/>
        <v>15578.84185</v>
      </c>
      <c r="I314" s="161">
        <f t="shared" si="22"/>
        <v>16039.00995</v>
      </c>
      <c r="J314" s="162">
        <f t="shared" si="8"/>
        <v>16502.42773</v>
      </c>
      <c r="K314" s="163">
        <f t="shared" si="23"/>
        <v>0.005316441379</v>
      </c>
      <c r="L314" s="163">
        <f t="shared" si="24"/>
        <v>0.009126124556</v>
      </c>
      <c r="M314" s="163">
        <f t="shared" si="25"/>
        <v>0.1743543648</v>
      </c>
      <c r="N314" s="163">
        <f t="shared" si="26"/>
        <v>-0.009216731718</v>
      </c>
      <c r="O314" s="164">
        <f t="shared" si="27"/>
        <v>-0.01213581123</v>
      </c>
      <c r="P314" s="164">
        <f t="shared" si="16"/>
        <v>0</v>
      </c>
      <c r="U314" s="168">
        <f t="shared" si="15"/>
        <v>2.265135676</v>
      </c>
    </row>
    <row r="315">
      <c r="A315" s="158">
        <v>45785.0</v>
      </c>
      <c r="B315" s="167">
        <f>DATOS!E317/DATOS!D317</f>
        <v>16296.60478</v>
      </c>
      <c r="C315" s="160">
        <f t="shared" si="17"/>
        <v>12771.77098</v>
      </c>
      <c r="D315" s="160">
        <f t="shared" si="18"/>
        <v>3524.833793</v>
      </c>
      <c r="E315" s="161">
        <f t="shared" si="19"/>
        <v>15488.37033</v>
      </c>
      <c r="F315" s="161">
        <f t="shared" si="4"/>
        <v>14733.33138</v>
      </c>
      <c r="G315" s="161">
        <f t="shared" si="20"/>
        <v>14881.71281</v>
      </c>
      <c r="H315" s="161">
        <f t="shared" si="21"/>
        <v>15463.89419</v>
      </c>
      <c r="I315" s="161">
        <f t="shared" si="22"/>
        <v>15866.77721</v>
      </c>
      <c r="J315" s="162">
        <f t="shared" si="8"/>
        <v>16194.45701</v>
      </c>
      <c r="K315" s="163">
        <f t="shared" si="23"/>
        <v>0.01590837265</v>
      </c>
      <c r="L315" s="163">
        <f t="shared" si="24"/>
        <v>0.009134291346</v>
      </c>
      <c r="M315" s="163">
        <f t="shared" si="25"/>
        <v>0.1745103911</v>
      </c>
      <c r="N315" s="163">
        <f t="shared" si="26"/>
        <v>-0.009231742519</v>
      </c>
      <c r="O315" s="164">
        <f t="shared" si="27"/>
        <v>-0.01213581123</v>
      </c>
      <c r="P315" s="164">
        <f t="shared" si="16"/>
        <v>0</v>
      </c>
      <c r="U315" s="168">
        <f t="shared" si="15"/>
        <v>2.963533696</v>
      </c>
    </row>
    <row r="316">
      <c r="A316" s="158">
        <v>45784.0</v>
      </c>
      <c r="B316" s="167">
        <f>DATOS!E318/DATOS!D318</f>
        <v>16039.40357</v>
      </c>
      <c r="C316" s="160">
        <f t="shared" si="17"/>
        <v>12764.87307</v>
      </c>
      <c r="D316" s="160">
        <f t="shared" si="18"/>
        <v>3274.530495</v>
      </c>
      <c r="E316" s="161">
        <f t="shared" si="19"/>
        <v>15470.5198</v>
      </c>
      <c r="F316" s="161">
        <f t="shared" si="4"/>
        <v>14843.73841</v>
      </c>
      <c r="G316" s="161">
        <f t="shared" si="20"/>
        <v>14823.96212</v>
      </c>
      <c r="H316" s="161">
        <f t="shared" si="21"/>
        <v>15344.93554</v>
      </c>
      <c r="I316" s="161">
        <f t="shared" si="22"/>
        <v>15651.86342</v>
      </c>
      <c r="J316" s="162">
        <f t="shared" si="8"/>
        <v>15846.13267</v>
      </c>
      <c r="K316" s="163">
        <f t="shared" si="23"/>
        <v>0.02880252531</v>
      </c>
      <c r="L316" s="163">
        <f t="shared" si="24"/>
        <v>0.009116776999</v>
      </c>
      <c r="M316" s="163">
        <f t="shared" si="25"/>
        <v>0.17417578</v>
      </c>
      <c r="N316" s="163">
        <f t="shared" si="26"/>
        <v>-0.009246753321</v>
      </c>
      <c r="O316" s="164">
        <f t="shared" si="27"/>
        <v>-0.01213581123</v>
      </c>
      <c r="P316" s="164">
        <f t="shared" si="16"/>
        <v>0</v>
      </c>
      <c r="U316" s="168">
        <f t="shared" si="15"/>
        <v>3.602608168</v>
      </c>
    </row>
    <row r="317">
      <c r="A317" s="158">
        <v>45783.0</v>
      </c>
      <c r="B317" s="167">
        <f>DATOS!E319/DATOS!D319</f>
        <v>15584.01785</v>
      </c>
      <c r="C317" s="160">
        <f t="shared" si="17"/>
        <v>12758.45242</v>
      </c>
      <c r="D317" s="160">
        <f t="shared" si="18"/>
        <v>2825.565427</v>
      </c>
      <c r="E317" s="161">
        <f t="shared" si="19"/>
        <v>15454.87871</v>
      </c>
      <c r="F317" s="161">
        <f t="shared" si="4"/>
        <v>14700.81418</v>
      </c>
      <c r="G317" s="161">
        <f t="shared" si="20"/>
        <v>14774.35226</v>
      </c>
      <c r="H317" s="161">
        <f t="shared" si="21"/>
        <v>15245.72582</v>
      </c>
      <c r="I317" s="161">
        <f t="shared" si="22"/>
        <v>15458.09335</v>
      </c>
      <c r="J317" s="162">
        <f t="shared" si="8"/>
        <v>15790.63746</v>
      </c>
      <c r="K317" s="163">
        <f t="shared" si="23"/>
        <v>0.008244558694</v>
      </c>
      <c r="L317" s="163">
        <f t="shared" si="24"/>
        <v>0.00902864823</v>
      </c>
      <c r="M317" s="163">
        <f t="shared" si="25"/>
        <v>0.1724920822</v>
      </c>
      <c r="N317" s="163">
        <f t="shared" si="26"/>
        <v>-0.009261764122</v>
      </c>
      <c r="O317" s="164">
        <f t="shared" si="27"/>
        <v>-0.01213581123</v>
      </c>
      <c r="P317" s="164">
        <f t="shared" si="16"/>
        <v>0.009598073682</v>
      </c>
      <c r="U317" s="168">
        <f t="shared" si="15"/>
        <v>1.614131933</v>
      </c>
    </row>
    <row r="318">
      <c r="A318" s="158">
        <v>45782.0</v>
      </c>
      <c r="B318" s="167">
        <f>DATOS!E320/DATOS!D320</f>
        <v>15456.06269</v>
      </c>
      <c r="C318" s="160">
        <f t="shared" si="17"/>
        <v>12752.90121</v>
      </c>
      <c r="D318" s="160">
        <f t="shared" si="18"/>
        <v>2703.161478</v>
      </c>
      <c r="E318" s="161">
        <f t="shared" si="19"/>
        <v>15443.2966</v>
      </c>
      <c r="F318" s="161">
        <f t="shared" si="4"/>
        <v>14295.17828</v>
      </c>
      <c r="G318" s="161">
        <f t="shared" si="20"/>
        <v>14741.30469</v>
      </c>
      <c r="H318" s="161">
        <f t="shared" si="21"/>
        <v>15197.39839</v>
      </c>
      <c r="I318" s="161">
        <f t="shared" si="22"/>
        <v>15395.1311</v>
      </c>
      <c r="J318" s="162">
        <f t="shared" si="8"/>
        <v>16099.61849</v>
      </c>
      <c r="K318" s="163">
        <f t="shared" si="23"/>
        <v>0.005479447934</v>
      </c>
      <c r="L318" s="163">
        <f t="shared" si="24"/>
        <v>0.009032207667</v>
      </c>
      <c r="M318" s="163">
        <f t="shared" si="25"/>
        <v>0.1725600852</v>
      </c>
      <c r="N318" s="163">
        <f t="shared" si="26"/>
        <v>-0.009276774923</v>
      </c>
      <c r="O318" s="164">
        <f t="shared" si="27"/>
        <v>-0.01213581123</v>
      </c>
      <c r="P318" s="164">
        <f t="shared" si="16"/>
        <v>0.01772993264</v>
      </c>
      <c r="U318" s="168">
        <f t="shared" si="15"/>
        <v>0.7454136648</v>
      </c>
    </row>
    <row r="319">
      <c r="A319" s="158">
        <v>45781.0</v>
      </c>
      <c r="B319" s="167">
        <f>DATOS!E321/DATOS!D321</f>
        <v>15371.60361</v>
      </c>
      <c r="C319" s="160">
        <f t="shared" si="17"/>
        <v>12747.58003</v>
      </c>
      <c r="D319" s="160">
        <f t="shared" si="18"/>
        <v>2624.023577</v>
      </c>
      <c r="E319" s="161">
        <f t="shared" si="19"/>
        <v>15432.7909</v>
      </c>
      <c r="F319" s="161">
        <f t="shared" si="4"/>
        <v>14087.19552</v>
      </c>
      <c r="G319" s="161">
        <f t="shared" si="20"/>
        <v>14712.13089</v>
      </c>
      <c r="H319" s="161">
        <f t="shared" si="21"/>
        <v>15160.44634</v>
      </c>
      <c r="I319" s="161">
        <f t="shared" si="22"/>
        <v>15364.6653</v>
      </c>
      <c r="J319" s="162">
        <f t="shared" si="8"/>
        <v>16233.69716</v>
      </c>
      <c r="K319" s="163">
        <f t="shared" si="23"/>
        <v>-0.0003959851533</v>
      </c>
      <c r="L319" s="163">
        <f t="shared" si="24"/>
        <v>0.009039988643</v>
      </c>
      <c r="M319" s="163">
        <f t="shared" si="25"/>
        <v>0.1727087405</v>
      </c>
      <c r="N319" s="163">
        <f t="shared" si="26"/>
        <v>-0.009291785725</v>
      </c>
      <c r="O319" s="164">
        <f t="shared" si="27"/>
        <v>-0.01213581123</v>
      </c>
      <c r="P319" s="164">
        <f t="shared" si="16"/>
        <v>0.02309751122</v>
      </c>
      <c r="U319" s="168">
        <f t="shared" si="15"/>
        <v>0.5115382856</v>
      </c>
    </row>
    <row r="320">
      <c r="A320" s="158">
        <v>45780.0</v>
      </c>
      <c r="B320" s="167">
        <f>DATOS!E322/DATOS!D322</f>
        <v>15377.69174</v>
      </c>
      <c r="C320" s="160">
        <f t="shared" si="17"/>
        <v>12742.40444</v>
      </c>
      <c r="D320" s="160">
        <f t="shared" si="18"/>
        <v>2635.287298</v>
      </c>
      <c r="E320" s="161">
        <f t="shared" si="19"/>
        <v>15422.97009</v>
      </c>
      <c r="F320" s="161">
        <f t="shared" si="4"/>
        <v>13931.19043</v>
      </c>
      <c r="G320" s="161">
        <f t="shared" si="20"/>
        <v>14685.21364</v>
      </c>
      <c r="H320" s="161">
        <f t="shared" si="21"/>
        <v>15130.28102</v>
      </c>
      <c r="I320" s="161">
        <f t="shared" si="22"/>
        <v>15361.19614</v>
      </c>
      <c r="J320" s="162">
        <f t="shared" si="8"/>
        <v>16329.3716</v>
      </c>
      <c r="K320" s="163">
        <f t="shared" si="23"/>
        <v>-0.0003958284111</v>
      </c>
      <c r="L320" s="163">
        <f t="shared" si="24"/>
        <v>0.009050279717</v>
      </c>
      <c r="M320" s="163">
        <f t="shared" si="25"/>
        <v>0.1729053512</v>
      </c>
      <c r="N320" s="163">
        <f t="shared" si="26"/>
        <v>-0.009306796526</v>
      </c>
      <c r="O320" s="164">
        <f t="shared" si="27"/>
        <v>-0.02884597981</v>
      </c>
      <c r="P320" s="164">
        <f t="shared" si="16"/>
        <v>0.02271059573</v>
      </c>
      <c r="U320" s="168">
        <f t="shared" si="15"/>
        <v>0.5364631147</v>
      </c>
    </row>
    <row r="321">
      <c r="A321" s="158">
        <v>45779.0</v>
      </c>
      <c r="B321" s="167">
        <f>DATOS!E323/DATOS!D323</f>
        <v>15383.77987</v>
      </c>
      <c r="C321" s="160">
        <f t="shared" si="17"/>
        <v>12737.19636</v>
      </c>
      <c r="D321" s="160">
        <f t="shared" si="18"/>
        <v>2646.583508</v>
      </c>
      <c r="E321" s="161">
        <f t="shared" si="19"/>
        <v>15413.00098</v>
      </c>
      <c r="F321" s="161">
        <f t="shared" si="4"/>
        <v>13807.87006</v>
      </c>
      <c r="G321" s="161">
        <f t="shared" si="20"/>
        <v>14656.94923</v>
      </c>
      <c r="H321" s="161">
        <f t="shared" si="21"/>
        <v>15094.93663</v>
      </c>
      <c r="I321" s="161">
        <f t="shared" si="22"/>
        <v>15352.94835</v>
      </c>
      <c r="J321" s="162">
        <f t="shared" si="8"/>
        <v>16382.0032</v>
      </c>
      <c r="K321" s="163">
        <f t="shared" si="23"/>
        <v>0.006432366346</v>
      </c>
      <c r="L321" s="163">
        <f t="shared" si="24"/>
        <v>0.009060606051</v>
      </c>
      <c r="M321" s="163">
        <f t="shared" si="25"/>
        <v>0.1731026355</v>
      </c>
      <c r="N321" s="163">
        <f t="shared" si="26"/>
        <v>-0.009321807328</v>
      </c>
      <c r="O321" s="164">
        <f t="shared" si="27"/>
        <v>-0.02884597981</v>
      </c>
      <c r="P321" s="164">
        <f t="shared" si="16"/>
        <v>0.02232368025</v>
      </c>
      <c r="U321" s="168">
        <f t="shared" si="15"/>
        <v>0.5834915179</v>
      </c>
    </row>
    <row r="322">
      <c r="A322" s="158">
        <v>45778.0</v>
      </c>
      <c r="B322" s="167">
        <f>DATOS!E324/DATOS!D324</f>
        <v>15285.14334</v>
      </c>
      <c r="C322" s="160">
        <f t="shared" si="17"/>
        <v>12731.9556</v>
      </c>
      <c r="D322" s="160">
        <f t="shared" si="18"/>
        <v>2553.187732</v>
      </c>
      <c r="E322" s="161">
        <f t="shared" si="19"/>
        <v>15402.88201</v>
      </c>
      <c r="F322" s="161">
        <f t="shared" si="4"/>
        <v>13709.69911</v>
      </c>
      <c r="G322" s="161">
        <f t="shared" si="20"/>
        <v>14627.28267</v>
      </c>
      <c r="H322" s="161">
        <f t="shared" si="21"/>
        <v>15053.67331</v>
      </c>
      <c r="I322" s="161">
        <f t="shared" si="22"/>
        <v>15337.53259</v>
      </c>
      <c r="J322" s="162">
        <f t="shared" si="8"/>
        <v>16397.64751</v>
      </c>
      <c r="K322" s="163">
        <f t="shared" si="23"/>
        <v>-0.0004938824155</v>
      </c>
      <c r="L322" s="163">
        <f t="shared" si="24"/>
        <v>0.009067233558</v>
      </c>
      <c r="M322" s="163">
        <f t="shared" si="25"/>
        <v>0.1732292539</v>
      </c>
      <c r="N322" s="163">
        <f t="shared" si="26"/>
        <v>-0.009336818129</v>
      </c>
      <c r="O322" s="164">
        <f t="shared" si="27"/>
        <v>-0.02884597981</v>
      </c>
      <c r="P322" s="164">
        <f t="shared" si="16"/>
        <v>0.02859226996</v>
      </c>
      <c r="U322" s="168">
        <f t="shared" si="15"/>
        <v>0.4477928709</v>
      </c>
    </row>
    <row r="323">
      <c r="A323" s="158">
        <v>45777.0</v>
      </c>
      <c r="B323" s="167">
        <f>DATOS!E325/DATOS!D325</f>
        <v>15292.69426</v>
      </c>
      <c r="C323" s="160">
        <f t="shared" si="17"/>
        <v>12726.88975</v>
      </c>
      <c r="D323" s="160">
        <f t="shared" si="18"/>
        <v>2565.804509</v>
      </c>
      <c r="E323" s="161">
        <f t="shared" si="19"/>
        <v>15393.58806</v>
      </c>
      <c r="F323" s="161">
        <f t="shared" si="4"/>
        <v>13632.02697</v>
      </c>
      <c r="G323" s="161">
        <f t="shared" si="20"/>
        <v>14600.43121</v>
      </c>
      <c r="H323" s="161">
        <f t="shared" si="21"/>
        <v>15020.60616</v>
      </c>
      <c r="I323" s="161">
        <f t="shared" si="22"/>
        <v>15363.72721</v>
      </c>
      <c r="J323" s="162">
        <f t="shared" si="8"/>
        <v>16409.18535</v>
      </c>
      <c r="K323" s="163">
        <f t="shared" si="23"/>
        <v>-0.01510266517</v>
      </c>
      <c r="L323" s="163">
        <f t="shared" si="24"/>
        <v>0.009077597984</v>
      </c>
      <c r="M323" s="163">
        <f t="shared" si="25"/>
        <v>0.173427266</v>
      </c>
      <c r="N323" s="163">
        <f t="shared" si="26"/>
        <v>-0.009351828931</v>
      </c>
      <c r="O323" s="164">
        <f t="shared" si="27"/>
        <v>-0.02884597981</v>
      </c>
      <c r="P323" s="164">
        <f t="shared" si="16"/>
        <v>0.02811239027</v>
      </c>
      <c r="U323" s="168">
        <f t="shared" si="15"/>
        <v>0.5094625248</v>
      </c>
    </row>
    <row r="324">
      <c r="A324" s="158">
        <v>45776.0</v>
      </c>
      <c r="B324" s="167">
        <f>DATOS!E326/DATOS!D326</f>
        <v>15525.40758</v>
      </c>
      <c r="C324" s="160">
        <f t="shared" si="17"/>
        <v>12721.78875</v>
      </c>
      <c r="D324" s="160">
        <f t="shared" si="18"/>
        <v>2803.618825</v>
      </c>
      <c r="E324" s="161">
        <f t="shared" si="19"/>
        <v>15384.1354</v>
      </c>
      <c r="F324" s="161">
        <f t="shared" si="4"/>
        <v>13588.17638</v>
      </c>
      <c r="G324" s="161">
        <f t="shared" si="20"/>
        <v>14572.17558</v>
      </c>
      <c r="H324" s="161">
        <f t="shared" si="21"/>
        <v>14981.73643</v>
      </c>
      <c r="I324" s="161">
        <f t="shared" si="22"/>
        <v>15399.24369</v>
      </c>
      <c r="J324" s="162">
        <f t="shared" si="8"/>
        <v>16375.29649</v>
      </c>
      <c r="K324" s="163">
        <f t="shared" si="23"/>
        <v>0.003749183142</v>
      </c>
      <c r="L324" s="163">
        <f t="shared" si="24"/>
        <v>0.009055074117</v>
      </c>
      <c r="M324" s="163">
        <f t="shared" si="25"/>
        <v>0.1729969481</v>
      </c>
      <c r="N324" s="163">
        <f t="shared" si="26"/>
        <v>-0.00910097654</v>
      </c>
      <c r="O324" s="164">
        <f t="shared" si="27"/>
        <v>-0.02790364072</v>
      </c>
      <c r="P324" s="164">
        <f t="shared" si="16"/>
        <v>0.01332289785</v>
      </c>
      <c r="U324" s="168">
        <f t="shared" si="15"/>
        <v>1.014340905</v>
      </c>
    </row>
    <row r="325">
      <c r="A325" s="158">
        <v>45775.0</v>
      </c>
      <c r="B325" s="167">
        <f>DATOS!E327/DATOS!D327</f>
        <v>15467.30896</v>
      </c>
      <c r="C325" s="160">
        <f t="shared" si="17"/>
        <v>12716.20385</v>
      </c>
      <c r="D325" s="160">
        <f t="shared" si="18"/>
        <v>2751.105106</v>
      </c>
      <c r="E325" s="161">
        <f t="shared" si="19"/>
        <v>15372.4131</v>
      </c>
      <c r="F325" s="161">
        <f t="shared" si="4"/>
        <v>13535.06215</v>
      </c>
      <c r="G325" s="161">
        <f t="shared" si="20"/>
        <v>14533.26815</v>
      </c>
      <c r="H325" s="161">
        <f t="shared" si="21"/>
        <v>14904.06913</v>
      </c>
      <c r="I325" s="161">
        <f t="shared" si="22"/>
        <v>15336.16174</v>
      </c>
      <c r="J325" s="162">
        <f t="shared" si="8"/>
        <v>16273.07611</v>
      </c>
      <c r="K325" s="163">
        <f t="shared" si="23"/>
        <v>0.002622542077</v>
      </c>
      <c r="L325" s="163">
        <f t="shared" si="24"/>
        <v>0.009064685704</v>
      </c>
      <c r="M325" s="163">
        <f t="shared" si="25"/>
        <v>0.1731805772</v>
      </c>
      <c r="N325" s="163">
        <f t="shared" si="26"/>
        <v>-0.009110261868</v>
      </c>
      <c r="O325" s="164">
        <f t="shared" si="27"/>
        <v>-0.02790364072</v>
      </c>
      <c r="P325" s="164">
        <f t="shared" si="16"/>
        <v>0.01701520512</v>
      </c>
      <c r="U325" s="168">
        <f t="shared" si="15"/>
        <v>1.069697657</v>
      </c>
    </row>
    <row r="326">
      <c r="A326" s="158">
        <v>45774.0</v>
      </c>
      <c r="B326" s="167">
        <f>DATOS!E328/DATOS!D328</f>
        <v>15426.79843</v>
      </c>
      <c r="C326" s="160">
        <f t="shared" si="17"/>
        <v>12710.71263</v>
      </c>
      <c r="D326" s="160">
        <f t="shared" si="18"/>
        <v>2716.085809</v>
      </c>
      <c r="E326" s="161">
        <f t="shared" si="19"/>
        <v>15361.12782</v>
      </c>
      <c r="F326" s="161">
        <f t="shared" si="4"/>
        <v>13473.6166</v>
      </c>
      <c r="G326" s="161">
        <f t="shared" si="20"/>
        <v>14495.14404</v>
      </c>
      <c r="H326" s="161">
        <f t="shared" si="21"/>
        <v>14823.6063</v>
      </c>
      <c r="I326" s="161">
        <f t="shared" si="22"/>
        <v>15270.58814</v>
      </c>
      <c r="J326" s="162">
        <f t="shared" si="8"/>
        <v>16173.59599</v>
      </c>
      <c r="K326" s="163">
        <f t="shared" si="23"/>
        <v>0.0001882535225</v>
      </c>
      <c r="L326" s="163">
        <f t="shared" si="24"/>
        <v>0.009074992062</v>
      </c>
      <c r="M326" s="163">
        <f t="shared" si="25"/>
        <v>0.1733774799</v>
      </c>
      <c r="N326" s="163">
        <f t="shared" si="26"/>
        <v>-0.009119547197</v>
      </c>
      <c r="O326" s="164">
        <f t="shared" si="27"/>
        <v>-0.02790364072</v>
      </c>
      <c r="P326" s="164">
        <f t="shared" si="16"/>
        <v>0.01958974671</v>
      </c>
      <c r="U326" s="168">
        <f t="shared" si="15"/>
        <v>1.161712243</v>
      </c>
    </row>
    <row r="327">
      <c r="A327" s="158">
        <v>45773.0</v>
      </c>
      <c r="B327" s="167">
        <f>DATOS!E329/DATOS!D329</f>
        <v>15423.89456</v>
      </c>
      <c r="C327" s="160">
        <f t="shared" si="17"/>
        <v>12705.28045</v>
      </c>
      <c r="D327" s="160">
        <f t="shared" si="18"/>
        <v>2718.614105</v>
      </c>
      <c r="E327" s="161">
        <f t="shared" si="19"/>
        <v>15350.11864</v>
      </c>
      <c r="F327" s="161">
        <f t="shared" si="4"/>
        <v>13441.8962</v>
      </c>
      <c r="G327" s="161">
        <f t="shared" si="20"/>
        <v>14457.11733</v>
      </c>
      <c r="H327" s="161">
        <f t="shared" si="21"/>
        <v>14737.43599</v>
      </c>
      <c r="I327" s="161">
        <f t="shared" si="22"/>
        <v>15192.48299</v>
      </c>
      <c r="J327" s="162">
        <f t="shared" si="8"/>
        <v>16032.97578</v>
      </c>
      <c r="K327" s="163">
        <f t="shared" si="23"/>
        <v>0.0001882889686</v>
      </c>
      <c r="L327" s="163">
        <f t="shared" si="24"/>
        <v>0.009085643303</v>
      </c>
      <c r="M327" s="163">
        <f t="shared" si="25"/>
        <v>0.1735809716</v>
      </c>
      <c r="N327" s="163">
        <f t="shared" si="26"/>
        <v>-0.009128832526</v>
      </c>
      <c r="O327" s="164">
        <f t="shared" si="27"/>
        <v>-0.03379140857</v>
      </c>
      <c r="P327" s="164">
        <f t="shared" si="16"/>
        <v>0.01977429502</v>
      </c>
      <c r="U327" s="168">
        <f t="shared" si="15"/>
        <v>1.377643736</v>
      </c>
    </row>
    <row r="328">
      <c r="A328" s="158">
        <v>45772.0</v>
      </c>
      <c r="B328" s="167">
        <f>DATOS!E330/DATOS!D330</f>
        <v>15420.99068</v>
      </c>
      <c r="C328" s="160">
        <f t="shared" si="17"/>
        <v>12699.83233</v>
      </c>
      <c r="D328" s="160">
        <f t="shared" si="18"/>
        <v>2721.158354</v>
      </c>
      <c r="E328" s="161">
        <f t="shared" si="19"/>
        <v>15339.03373</v>
      </c>
      <c r="F328" s="161">
        <f t="shared" si="4"/>
        <v>13448.77514</v>
      </c>
      <c r="G328" s="161">
        <f t="shared" si="20"/>
        <v>14417.65703</v>
      </c>
      <c r="H328" s="161">
        <f t="shared" si="21"/>
        <v>14639.37048</v>
      </c>
      <c r="I328" s="161">
        <f t="shared" si="22"/>
        <v>15076.7772</v>
      </c>
      <c r="J328" s="162">
        <f t="shared" si="8"/>
        <v>15829.96582</v>
      </c>
      <c r="K328" s="163">
        <f t="shared" si="23"/>
        <v>0.004171632977</v>
      </c>
      <c r="L328" s="163">
        <f t="shared" si="24"/>
        <v>0.009096332142</v>
      </c>
      <c r="M328" s="163">
        <f t="shared" si="25"/>
        <v>0.1737851816</v>
      </c>
      <c r="N328" s="163">
        <f t="shared" si="26"/>
        <v>-0.009138117854</v>
      </c>
      <c r="O328" s="164">
        <f t="shared" si="27"/>
        <v>-0.03379140857</v>
      </c>
      <c r="P328" s="164">
        <f t="shared" si="16"/>
        <v>0.01995884333</v>
      </c>
      <c r="U328" s="168">
        <f t="shared" si="15"/>
        <v>1.706887688</v>
      </c>
    </row>
    <row r="329">
      <c r="A329" s="158">
        <v>45771.0</v>
      </c>
      <c r="B329" s="167">
        <f>DATOS!E331/DATOS!D331</f>
        <v>15356.79397</v>
      </c>
      <c r="C329" s="160">
        <f t="shared" si="17"/>
        <v>12694.36816</v>
      </c>
      <c r="D329" s="160">
        <f t="shared" si="18"/>
        <v>2662.425809</v>
      </c>
      <c r="E329" s="161">
        <f t="shared" si="19"/>
        <v>15327.87227</v>
      </c>
      <c r="F329" s="161">
        <f t="shared" si="4"/>
        <v>13530.95837</v>
      </c>
      <c r="G329" s="161">
        <f t="shared" si="20"/>
        <v>14376.70464</v>
      </c>
      <c r="H329" s="161">
        <f t="shared" si="21"/>
        <v>14527.71045</v>
      </c>
      <c r="I329" s="161">
        <f t="shared" si="22"/>
        <v>14904.67046</v>
      </c>
      <c r="J329" s="162">
        <f t="shared" si="8"/>
        <v>15524.46253</v>
      </c>
      <c r="K329" s="163">
        <f t="shared" si="23"/>
        <v>0.01147678643</v>
      </c>
      <c r="L329" s="163">
        <f t="shared" si="24"/>
        <v>0.009105747667</v>
      </c>
      <c r="M329" s="163">
        <f t="shared" si="25"/>
        <v>0.1739650649</v>
      </c>
      <c r="N329" s="163">
        <f t="shared" si="26"/>
        <v>-0.009147403183</v>
      </c>
      <c r="O329" s="164">
        <f t="shared" si="27"/>
        <v>-0.03379140857</v>
      </c>
      <c r="P329" s="164">
        <f t="shared" si="16"/>
        <v>0.02403869959</v>
      </c>
      <c r="U329" s="168">
        <f t="shared" si="15"/>
        <v>2.162641218</v>
      </c>
    </row>
    <row r="330">
      <c r="A330" s="158">
        <v>45770.0</v>
      </c>
      <c r="B330" s="167">
        <f>DATOS!E332/DATOS!D332</f>
        <v>15181.55483</v>
      </c>
      <c r="C330" s="160">
        <f t="shared" si="17"/>
        <v>12689.01116</v>
      </c>
      <c r="D330" s="160">
        <f t="shared" si="18"/>
        <v>2492.543673</v>
      </c>
      <c r="E330" s="161">
        <f t="shared" si="19"/>
        <v>15317.21444</v>
      </c>
      <c r="F330" s="161">
        <f t="shared" si="4"/>
        <v>13648.91549</v>
      </c>
      <c r="G330" s="161">
        <f t="shared" si="20"/>
        <v>14336.70099</v>
      </c>
      <c r="H330" s="161">
        <f t="shared" si="21"/>
        <v>14409.26995</v>
      </c>
      <c r="I330" s="161">
        <f t="shared" si="22"/>
        <v>14678.60871</v>
      </c>
      <c r="J330" s="162">
        <f t="shared" si="8"/>
        <v>15169.62441</v>
      </c>
      <c r="K330" s="163">
        <f t="shared" si="23"/>
        <v>0.03363756087</v>
      </c>
      <c r="L330" s="163">
        <f t="shared" si="24"/>
        <v>0.009101963713</v>
      </c>
      <c r="M330" s="163">
        <f t="shared" si="25"/>
        <v>0.1738927726</v>
      </c>
      <c r="N330" s="163">
        <f t="shared" si="26"/>
        <v>-0.009156688512</v>
      </c>
      <c r="O330" s="164">
        <f t="shared" si="27"/>
        <v>-0.03379140857</v>
      </c>
      <c r="P330" s="164">
        <f t="shared" si="16"/>
        <v>0.03517556903</v>
      </c>
      <c r="U330" s="168">
        <f t="shared" si="15"/>
        <v>2.640795599</v>
      </c>
    </row>
    <row r="331">
      <c r="A331" s="158">
        <v>45769.0</v>
      </c>
      <c r="B331" s="167">
        <f>DATOS!E333/DATOS!D333</f>
        <v>14679.37772</v>
      </c>
      <c r="C331" s="160">
        <f t="shared" si="17"/>
        <v>12683.98587</v>
      </c>
      <c r="D331" s="160">
        <f t="shared" si="18"/>
        <v>1995.391844</v>
      </c>
      <c r="E331" s="161">
        <f t="shared" si="19"/>
        <v>15308.12066</v>
      </c>
      <c r="F331" s="161">
        <f t="shared" si="4"/>
        <v>13797.85828</v>
      </c>
      <c r="G331" s="161">
        <f t="shared" si="20"/>
        <v>14302.21716</v>
      </c>
      <c r="H331" s="161">
        <f t="shared" si="21"/>
        <v>14298.94354</v>
      </c>
      <c r="I331" s="161">
        <f t="shared" si="22"/>
        <v>14427.13564</v>
      </c>
      <c r="J331" s="162">
        <f t="shared" si="8"/>
        <v>14800.0288</v>
      </c>
      <c r="K331" s="163">
        <f t="shared" si="23"/>
        <v>0.03097144251</v>
      </c>
      <c r="L331" s="163">
        <f t="shared" si="24"/>
        <v>0.008970934398</v>
      </c>
      <c r="M331" s="163">
        <f t="shared" si="25"/>
        <v>0.171389461</v>
      </c>
      <c r="N331" s="163">
        <f t="shared" si="26"/>
        <v>-0.009171699313</v>
      </c>
      <c r="O331" s="164">
        <f t="shared" si="27"/>
        <v>-0.03379140857</v>
      </c>
      <c r="P331" s="164">
        <f t="shared" si="16"/>
        <v>0.06709013627</v>
      </c>
      <c r="U331" s="168">
        <f t="shared" si="15"/>
        <v>1.973973186</v>
      </c>
    </row>
    <row r="332">
      <c r="A332" s="158">
        <v>45768.0</v>
      </c>
      <c r="B332" s="167">
        <f>DATOS!E334/DATOS!D334</f>
        <v>14231.70454</v>
      </c>
      <c r="C332" s="160">
        <f t="shared" si="17"/>
        <v>12679.95478</v>
      </c>
      <c r="D332" s="160">
        <f t="shared" si="18"/>
        <v>1551.749762</v>
      </c>
      <c r="E332" s="161">
        <f t="shared" si="19"/>
        <v>15303.72137</v>
      </c>
      <c r="F332" s="161">
        <f t="shared" si="4"/>
        <v>13787.28886</v>
      </c>
      <c r="G332" s="161">
        <f t="shared" si="20"/>
        <v>14286.82285</v>
      </c>
      <c r="H332" s="161">
        <f t="shared" si="21"/>
        <v>14244.5958</v>
      </c>
      <c r="I332" s="161">
        <f t="shared" si="22"/>
        <v>14301.01461</v>
      </c>
      <c r="J332" s="162">
        <f t="shared" si="8"/>
        <v>14701.90274</v>
      </c>
      <c r="K332" s="163">
        <f t="shared" si="23"/>
        <v>-0.00850965641</v>
      </c>
      <c r="L332" s="163">
        <f t="shared" si="24"/>
        <v>0.008859384509</v>
      </c>
      <c r="M332" s="163">
        <f t="shared" si="25"/>
        <v>0.1692583034</v>
      </c>
      <c r="N332" s="163">
        <f t="shared" si="26"/>
        <v>-0.009186710115</v>
      </c>
      <c r="O332" s="164">
        <f t="shared" si="27"/>
        <v>-0.03379140857</v>
      </c>
      <c r="P332" s="164">
        <f t="shared" si="16"/>
        <v>0.09554084651</v>
      </c>
      <c r="U332" s="168">
        <f t="shared" si="15"/>
        <v>-0.07329272361</v>
      </c>
    </row>
    <row r="333">
      <c r="A333" s="158">
        <v>45767.0</v>
      </c>
      <c r="B333" s="167">
        <f>DATOS!E335/DATOS!D335</f>
        <v>14353.32821</v>
      </c>
      <c r="C333" s="160">
        <f t="shared" si="17"/>
        <v>12676.81358</v>
      </c>
      <c r="D333" s="160">
        <f t="shared" si="18"/>
        <v>1676.514626</v>
      </c>
      <c r="E333" s="161">
        <f t="shared" si="19"/>
        <v>15303.54666</v>
      </c>
      <c r="F333" s="161">
        <f t="shared" si="4"/>
        <v>13469.56481</v>
      </c>
      <c r="G333" s="161">
        <f t="shared" si="20"/>
        <v>14289.07258</v>
      </c>
      <c r="H333" s="161">
        <f t="shared" si="21"/>
        <v>14246.43741</v>
      </c>
      <c r="I333" s="161">
        <f t="shared" si="22"/>
        <v>14335.66964</v>
      </c>
      <c r="J333" s="162">
        <f t="shared" si="8"/>
        <v>15023.31</v>
      </c>
      <c r="K333" s="163">
        <f t="shared" si="23"/>
        <v>0.0001847236826</v>
      </c>
      <c r="L333" s="163">
        <f t="shared" si="24"/>
        <v>0.008858404524</v>
      </c>
      <c r="M333" s="163">
        <f t="shared" si="25"/>
        <v>0.1692395808</v>
      </c>
      <c r="N333" s="163">
        <f t="shared" si="26"/>
        <v>-0.009201720916</v>
      </c>
      <c r="O333" s="164">
        <f t="shared" si="27"/>
        <v>-0.03379140857</v>
      </c>
      <c r="P333" s="164">
        <f t="shared" si="16"/>
        <v>0.08781136893</v>
      </c>
      <c r="U333" s="168">
        <f t="shared" si="15"/>
        <v>0.3577370202</v>
      </c>
    </row>
    <row r="334">
      <c r="A334" s="158">
        <v>45766.0</v>
      </c>
      <c r="B334" s="167">
        <f>DATOS!E336/DATOS!D336</f>
        <v>14350.67705</v>
      </c>
      <c r="C334" s="160">
        <f t="shared" si="17"/>
        <v>12673.41295</v>
      </c>
      <c r="D334" s="160">
        <f t="shared" si="18"/>
        <v>1677.264109</v>
      </c>
      <c r="E334" s="161">
        <f t="shared" si="19"/>
        <v>15302.19418</v>
      </c>
      <c r="F334" s="161">
        <f t="shared" si="4"/>
        <v>13268.88446</v>
      </c>
      <c r="G334" s="161">
        <f t="shared" si="20"/>
        <v>14286.4499</v>
      </c>
      <c r="H334" s="161">
        <f t="shared" si="21"/>
        <v>14231.16729</v>
      </c>
      <c r="I334" s="161">
        <f t="shared" si="22"/>
        <v>14326.84036</v>
      </c>
      <c r="J334" s="162">
        <f t="shared" si="8"/>
        <v>15193.45012</v>
      </c>
      <c r="K334" s="163">
        <f t="shared" si="23"/>
        <v>0.0001847578117</v>
      </c>
      <c r="L334" s="163">
        <f t="shared" si="24"/>
        <v>0.008869000233</v>
      </c>
      <c r="M334" s="163">
        <f t="shared" si="25"/>
        <v>0.1694420115</v>
      </c>
      <c r="N334" s="163">
        <f t="shared" si="26"/>
        <v>-0.009216731718</v>
      </c>
      <c r="O334" s="164">
        <f t="shared" si="27"/>
        <v>-0.03379140857</v>
      </c>
      <c r="P334" s="164">
        <f t="shared" si="16"/>
        <v>0.08797985621</v>
      </c>
      <c r="U334" s="168">
        <f t="shared" si="15"/>
        <v>0.3229044249</v>
      </c>
    </row>
    <row r="335">
      <c r="A335" s="158">
        <v>45765.0</v>
      </c>
      <c r="B335" s="167">
        <f>DATOS!E337/DATOS!D337</f>
        <v>14348.0259</v>
      </c>
      <c r="C335" s="160">
        <f t="shared" si="17"/>
        <v>12670.00387</v>
      </c>
      <c r="D335" s="160">
        <f t="shared" si="18"/>
        <v>1678.022028</v>
      </c>
      <c r="E335" s="161">
        <f t="shared" si="19"/>
        <v>15300.84326</v>
      </c>
      <c r="F335" s="161">
        <f t="shared" si="4"/>
        <v>13127.19994</v>
      </c>
      <c r="G335" s="161">
        <f t="shared" si="20"/>
        <v>14283.82838</v>
      </c>
      <c r="H335" s="161">
        <f t="shared" si="21"/>
        <v>14214.09447</v>
      </c>
      <c r="I335" s="161">
        <f t="shared" si="22"/>
        <v>14314.92201</v>
      </c>
      <c r="J335" s="162">
        <f t="shared" si="8"/>
        <v>15300.98899</v>
      </c>
      <c r="K335" s="163">
        <f t="shared" si="23"/>
        <v>0.0001847919535</v>
      </c>
      <c r="L335" s="163">
        <f t="shared" si="24"/>
        <v>0.008879634058</v>
      </c>
      <c r="M335" s="163">
        <f t="shared" si="25"/>
        <v>0.1696451705</v>
      </c>
      <c r="N335" s="163">
        <f t="shared" si="26"/>
        <v>-0.009231742519</v>
      </c>
      <c r="O335" s="164">
        <f t="shared" si="27"/>
        <v>-0.03379140857</v>
      </c>
      <c r="P335" s="164">
        <f t="shared" si="16"/>
        <v>0.08814834349</v>
      </c>
      <c r="U335" s="168">
        <f t="shared" si="15"/>
        <v>0.3203822577</v>
      </c>
    </row>
    <row r="336">
      <c r="A336" s="158">
        <v>45764.0</v>
      </c>
      <c r="B336" s="167">
        <f>DATOS!E338/DATOS!D338</f>
        <v>14345.37475</v>
      </c>
      <c r="C336" s="160">
        <f t="shared" si="17"/>
        <v>12666.58631</v>
      </c>
      <c r="D336" s="160">
        <f t="shared" si="18"/>
        <v>1678.788433</v>
      </c>
      <c r="E336" s="161">
        <f t="shared" si="19"/>
        <v>15299.49386</v>
      </c>
      <c r="F336" s="161">
        <f t="shared" si="4"/>
        <v>13124.83277</v>
      </c>
      <c r="G336" s="161">
        <f t="shared" si="20"/>
        <v>14281.20808</v>
      </c>
      <c r="H336" s="161">
        <f t="shared" si="21"/>
        <v>14194.96141</v>
      </c>
      <c r="I336" s="161">
        <f t="shared" si="22"/>
        <v>14298.37006</v>
      </c>
      <c r="J336" s="162">
        <f t="shared" si="8"/>
        <v>15265.09004</v>
      </c>
      <c r="K336" s="163">
        <f t="shared" si="23"/>
        <v>0.0001848261079</v>
      </c>
      <c r="L336" s="163">
        <f t="shared" si="24"/>
        <v>0.008890306231</v>
      </c>
      <c r="M336" s="163">
        <f t="shared" si="25"/>
        <v>0.169849062</v>
      </c>
      <c r="N336" s="163">
        <f t="shared" si="26"/>
        <v>-0.009246753321</v>
      </c>
      <c r="O336" s="164">
        <f t="shared" si="27"/>
        <v>-0.03379140857</v>
      </c>
      <c r="P336" s="164">
        <f t="shared" si="16"/>
        <v>0.08831683077</v>
      </c>
      <c r="U336" s="168">
        <f t="shared" si="15"/>
        <v>0.3654464204</v>
      </c>
    </row>
    <row r="337">
      <c r="A337" s="158">
        <v>45763.0</v>
      </c>
      <c r="B337" s="167">
        <f>DATOS!E339/DATOS!D339</f>
        <v>14342.72359</v>
      </c>
      <c r="C337" s="160">
        <f t="shared" si="17"/>
        <v>12663.16021</v>
      </c>
      <c r="D337" s="160">
        <f t="shared" si="18"/>
        <v>1679.563377</v>
      </c>
      <c r="E337" s="161">
        <f t="shared" si="19"/>
        <v>15298.14598</v>
      </c>
      <c r="F337" s="161">
        <f t="shared" si="4"/>
        <v>13100.93176</v>
      </c>
      <c r="G337" s="161">
        <f t="shared" si="20"/>
        <v>14278.58903</v>
      </c>
      <c r="H337" s="161">
        <f t="shared" si="21"/>
        <v>14173.47379</v>
      </c>
      <c r="I337" s="161">
        <f t="shared" si="22"/>
        <v>14274.86772</v>
      </c>
      <c r="J337" s="162">
        <f t="shared" si="8"/>
        <v>15246.01582</v>
      </c>
      <c r="K337" s="163">
        <f t="shared" si="23"/>
        <v>-0.007448635952</v>
      </c>
      <c r="L337" s="163">
        <f t="shared" si="24"/>
        <v>0.00890101698</v>
      </c>
      <c r="M337" s="163">
        <f t="shared" si="25"/>
        <v>0.1700536906</v>
      </c>
      <c r="N337" s="163">
        <f t="shared" si="26"/>
        <v>-0.009261764122</v>
      </c>
      <c r="O337" s="164">
        <f t="shared" si="27"/>
        <v>-0.03379140857</v>
      </c>
      <c r="P337" s="164">
        <f t="shared" si="16"/>
        <v>0.08848531805</v>
      </c>
      <c r="U337" s="168">
        <f t="shared" si="15"/>
        <v>0.4102864755</v>
      </c>
    </row>
    <row r="338">
      <c r="A338" s="158">
        <v>45762.0</v>
      </c>
      <c r="B338" s="167">
        <f>DATOS!E340/DATOS!D340</f>
        <v>14449.95619</v>
      </c>
      <c r="C338" s="160">
        <f t="shared" si="17"/>
        <v>12659.72552</v>
      </c>
      <c r="D338" s="160">
        <f t="shared" si="18"/>
        <v>1790.230666</v>
      </c>
      <c r="E338" s="161">
        <f t="shared" si="19"/>
        <v>15296.79958</v>
      </c>
      <c r="F338" s="161">
        <f t="shared" si="4"/>
        <v>13078.907</v>
      </c>
      <c r="G338" s="161">
        <f t="shared" si="20"/>
        <v>14275.97129</v>
      </c>
      <c r="H338" s="161">
        <f t="shared" si="21"/>
        <v>14149.29524</v>
      </c>
      <c r="I338" s="161">
        <f t="shared" si="22"/>
        <v>14240.93979</v>
      </c>
      <c r="J338" s="162">
        <f t="shared" si="8"/>
        <v>15219.68348</v>
      </c>
      <c r="K338" s="163">
        <f t="shared" si="23"/>
        <v>0.01639744585</v>
      </c>
      <c r="L338" s="163">
        <f t="shared" si="24"/>
        <v>0.008902596354</v>
      </c>
      <c r="M338" s="163">
        <f t="shared" si="25"/>
        <v>0.1700838645</v>
      </c>
      <c r="N338" s="163">
        <f t="shared" si="26"/>
        <v>-0.009276774923</v>
      </c>
      <c r="O338" s="164">
        <f t="shared" si="27"/>
        <v>-0.03379140857</v>
      </c>
      <c r="P338" s="164">
        <f t="shared" si="16"/>
        <v>0.08167042771</v>
      </c>
      <c r="U338" s="168">
        <f t="shared" si="15"/>
        <v>0.7303130122</v>
      </c>
    </row>
    <row r="339">
      <c r="A339" s="158">
        <v>45761.0</v>
      </c>
      <c r="B339" s="167">
        <f>DATOS!E341/DATOS!D341</f>
        <v>14214.94587</v>
      </c>
      <c r="C339" s="160">
        <f t="shared" si="17"/>
        <v>12656.05702</v>
      </c>
      <c r="D339" s="160">
        <f t="shared" si="18"/>
        <v>1558.888848</v>
      </c>
      <c r="E339" s="161">
        <f t="shared" si="19"/>
        <v>15294.39039</v>
      </c>
      <c r="F339" s="161">
        <f t="shared" si="4"/>
        <v>13076.9078</v>
      </c>
      <c r="G339" s="161">
        <f t="shared" si="20"/>
        <v>14268.86987</v>
      </c>
      <c r="H339" s="161">
        <f t="shared" si="21"/>
        <v>14106.34368</v>
      </c>
      <c r="I339" s="161">
        <f t="shared" si="22"/>
        <v>14136.43159</v>
      </c>
      <c r="J339" s="162">
        <f t="shared" si="8"/>
        <v>15135.77956</v>
      </c>
      <c r="K339" s="163">
        <f t="shared" si="23"/>
        <v>0.01089871631</v>
      </c>
      <c r="L339" s="163">
        <f t="shared" si="24"/>
        <v>0.008880012611</v>
      </c>
      <c r="M339" s="163">
        <f t="shared" si="25"/>
        <v>0.1696524027</v>
      </c>
      <c r="N339" s="163">
        <f t="shared" si="26"/>
        <v>-0.009291785725</v>
      </c>
      <c r="O339" s="164">
        <f t="shared" si="27"/>
        <v>-0.03379140857</v>
      </c>
      <c r="P339" s="164">
        <f t="shared" si="16"/>
        <v>0.09660590069</v>
      </c>
      <c r="U339" s="168">
        <f t="shared" si="15"/>
        <v>0.2742916659</v>
      </c>
    </row>
    <row r="340">
      <c r="A340" s="158">
        <v>45760.0</v>
      </c>
      <c r="B340" s="167">
        <f>DATOS!E342/DATOS!D342</f>
        <v>14060.86238</v>
      </c>
      <c r="C340" s="160">
        <f t="shared" si="17"/>
        <v>12652.85601</v>
      </c>
      <c r="D340" s="160">
        <f t="shared" si="18"/>
        <v>1408.00637</v>
      </c>
      <c r="E340" s="161">
        <f t="shared" si="19"/>
        <v>15294.22952</v>
      </c>
      <c r="F340" s="161">
        <f t="shared" si="4"/>
        <v>13066.92926</v>
      </c>
      <c r="G340" s="161">
        <f t="shared" si="20"/>
        <v>14271.07085</v>
      </c>
      <c r="H340" s="161">
        <f t="shared" si="21"/>
        <v>14090.82908</v>
      </c>
      <c r="I340" s="161">
        <f t="shared" si="22"/>
        <v>14097.17444</v>
      </c>
      <c r="J340" s="162">
        <f t="shared" si="8"/>
        <v>15114.7289</v>
      </c>
      <c r="K340" s="163">
        <f t="shared" si="23"/>
        <v>0.000188566296</v>
      </c>
      <c r="L340" s="163">
        <f t="shared" si="24"/>
        <v>0.008876656451</v>
      </c>
      <c r="M340" s="163">
        <f t="shared" si="25"/>
        <v>0.1695882834</v>
      </c>
      <c r="N340" s="163">
        <f t="shared" si="26"/>
        <v>-0.009306796526</v>
      </c>
      <c r="O340" s="164">
        <f t="shared" si="27"/>
        <v>-0.03379140857</v>
      </c>
      <c r="P340" s="164">
        <f t="shared" si="16"/>
        <v>0.1063982776</v>
      </c>
      <c r="U340" s="168">
        <f t="shared" si="15"/>
        <v>-0.07609476213</v>
      </c>
    </row>
    <row r="341">
      <c r="A341" s="158">
        <v>45759.0</v>
      </c>
      <c r="B341" s="167">
        <f>DATOS!E343/DATOS!D343</f>
        <v>14058.21123</v>
      </c>
      <c r="C341" s="160">
        <f t="shared" si="17"/>
        <v>12649.95888</v>
      </c>
      <c r="D341" s="160">
        <f t="shared" si="18"/>
        <v>1408.252348</v>
      </c>
      <c r="E341" s="161">
        <f t="shared" si="19"/>
        <v>15295.55392</v>
      </c>
      <c r="F341" s="161">
        <f t="shared" si="4"/>
        <v>13067.72344</v>
      </c>
      <c r="G341" s="161">
        <f t="shared" si="20"/>
        <v>14279.65078</v>
      </c>
      <c r="H341" s="161">
        <f t="shared" si="21"/>
        <v>14095.11004</v>
      </c>
      <c r="I341" s="161">
        <f t="shared" si="22"/>
        <v>14115.33047</v>
      </c>
      <c r="J341" s="162">
        <f t="shared" si="8"/>
        <v>15122.49664</v>
      </c>
      <c r="K341" s="163">
        <f t="shared" si="23"/>
        <v>0.0001886018599</v>
      </c>
      <c r="L341" s="163">
        <f t="shared" si="24"/>
        <v>0.00888746206</v>
      </c>
      <c r="M341" s="163">
        <f t="shared" si="25"/>
        <v>0.1697947242</v>
      </c>
      <c r="N341" s="163">
        <f t="shared" si="26"/>
        <v>-0.009321807328</v>
      </c>
      <c r="O341" s="164">
        <f t="shared" si="27"/>
        <v>-0.03379140857</v>
      </c>
      <c r="P341" s="164">
        <f t="shared" si="16"/>
        <v>0.1065667649</v>
      </c>
      <c r="U341" s="168">
        <f t="shared" si="15"/>
        <v>-0.09337955494</v>
      </c>
    </row>
    <row r="342">
      <c r="A342" s="158">
        <v>45758.0</v>
      </c>
      <c r="B342" s="167">
        <f>DATOS!E344/DATOS!D344</f>
        <v>14055.56008</v>
      </c>
      <c r="C342" s="160">
        <f t="shared" si="17"/>
        <v>12647.05527</v>
      </c>
      <c r="D342" s="160">
        <f t="shared" si="18"/>
        <v>1408.504806</v>
      </c>
      <c r="E342" s="161">
        <f t="shared" si="19"/>
        <v>15296.90247</v>
      </c>
      <c r="F342" s="161">
        <f t="shared" si="4"/>
        <v>13069.85463</v>
      </c>
      <c r="G342" s="161">
        <f t="shared" si="20"/>
        <v>14288.68913</v>
      </c>
      <c r="H342" s="161">
        <f t="shared" si="21"/>
        <v>14100.3813</v>
      </c>
      <c r="I342" s="161">
        <f t="shared" si="22"/>
        <v>14143.8901</v>
      </c>
      <c r="J342" s="162">
        <f t="shared" si="8"/>
        <v>15130.90796</v>
      </c>
      <c r="K342" s="163">
        <f t="shared" si="23"/>
        <v>-0.04009050996</v>
      </c>
      <c r="L342" s="163">
        <f t="shared" si="24"/>
        <v>0.008898307231</v>
      </c>
      <c r="M342" s="163">
        <f t="shared" si="25"/>
        <v>0.170001921</v>
      </c>
      <c r="N342" s="163">
        <f t="shared" si="26"/>
        <v>-0.009336818129</v>
      </c>
      <c r="O342" s="164">
        <f t="shared" si="27"/>
        <v>-0.03379140857</v>
      </c>
      <c r="P342" s="164">
        <f t="shared" si="16"/>
        <v>0.1067352522</v>
      </c>
      <c r="U342" s="168">
        <f t="shared" si="15"/>
        <v>-0.1130831269</v>
      </c>
    </row>
    <row r="343">
      <c r="A343" s="158">
        <v>45757.0</v>
      </c>
      <c r="B343" s="167">
        <f>DATOS!E345/DATOS!D345</f>
        <v>14630.50251</v>
      </c>
      <c r="C343" s="160">
        <f t="shared" si="17"/>
        <v>12644.14513</v>
      </c>
      <c r="D343" s="160">
        <f t="shared" si="18"/>
        <v>1986.357375</v>
      </c>
      <c r="E343" s="161">
        <f t="shared" si="19"/>
        <v>15298.27538</v>
      </c>
      <c r="F343" s="161">
        <f t="shared" si="4"/>
        <v>13023.97198</v>
      </c>
      <c r="G343" s="161">
        <f t="shared" si="20"/>
        <v>14298.20461</v>
      </c>
      <c r="H343" s="161">
        <f t="shared" si="21"/>
        <v>14106.78433</v>
      </c>
      <c r="I343" s="161">
        <f t="shared" si="22"/>
        <v>14188.05511</v>
      </c>
      <c r="J343" s="162">
        <f t="shared" si="8"/>
        <v>15189.59667</v>
      </c>
      <c r="K343" s="163">
        <f t="shared" si="23"/>
        <v>0.03042104493</v>
      </c>
      <c r="L343" s="163">
        <f t="shared" si="24"/>
        <v>0.008675890183</v>
      </c>
      <c r="M343" s="163">
        <f t="shared" si="25"/>
        <v>0.1657526492</v>
      </c>
      <c r="N343" s="163">
        <f t="shared" si="26"/>
        <v>-0.009091691211</v>
      </c>
      <c r="O343" s="164">
        <f t="shared" si="27"/>
        <v>-0.02430653186</v>
      </c>
      <c r="P343" s="164">
        <f t="shared" si="16"/>
        <v>0.07019627355</v>
      </c>
      <c r="U343" s="168">
        <f t="shared" si="15"/>
        <v>1.257528394</v>
      </c>
    </row>
    <row r="344">
      <c r="A344" s="158">
        <v>45756.0</v>
      </c>
      <c r="B344" s="167">
        <f>DATOS!E346/DATOS!D346</f>
        <v>14192.12903</v>
      </c>
      <c r="C344" s="160">
        <f t="shared" si="17"/>
        <v>12640.03259</v>
      </c>
      <c r="D344" s="160">
        <f t="shared" si="18"/>
        <v>1552.096438</v>
      </c>
      <c r="E344" s="161">
        <f t="shared" si="19"/>
        <v>15294.01018</v>
      </c>
      <c r="F344" s="161">
        <f t="shared" si="4"/>
        <v>12991.64938</v>
      </c>
      <c r="G344" s="161">
        <f t="shared" si="20"/>
        <v>14284.64143</v>
      </c>
      <c r="H344" s="161">
        <f t="shared" si="21"/>
        <v>14031.96745</v>
      </c>
      <c r="I344" s="161">
        <f t="shared" si="22"/>
        <v>13966.83141</v>
      </c>
      <c r="J344" s="162">
        <f t="shared" si="8"/>
        <v>15072.28551</v>
      </c>
      <c r="K344" s="163">
        <f t="shared" si="23"/>
        <v>0.005436756271</v>
      </c>
      <c r="L344" s="163">
        <f t="shared" si="24"/>
        <v>0.008561182724</v>
      </c>
      <c r="M344" s="163">
        <f t="shared" si="25"/>
        <v>0.1635611663</v>
      </c>
      <c r="N344" s="163">
        <f t="shared" si="26"/>
        <v>-0.00910097654</v>
      </c>
      <c r="O344" s="164">
        <f t="shared" si="27"/>
        <v>-0.02430653186</v>
      </c>
      <c r="P344" s="164">
        <f t="shared" si="16"/>
        <v>0.09805596551</v>
      </c>
      <c r="U344" s="168">
        <f t="shared" si="15"/>
        <v>0.4002815469</v>
      </c>
    </row>
    <row r="345">
      <c r="A345" s="158">
        <v>45755.0</v>
      </c>
      <c r="B345" s="167">
        <f>DATOS!E347/DATOS!D347</f>
        <v>14115.17925</v>
      </c>
      <c r="C345" s="160">
        <f t="shared" si="17"/>
        <v>12636.81248</v>
      </c>
      <c r="D345" s="160">
        <f t="shared" si="18"/>
        <v>1478.366777</v>
      </c>
      <c r="E345" s="161">
        <f t="shared" si="19"/>
        <v>15294.00336</v>
      </c>
      <c r="F345" s="161">
        <f t="shared" si="4"/>
        <v>12912.32867</v>
      </c>
      <c r="G345" s="161">
        <f t="shared" si="20"/>
        <v>14288.41744</v>
      </c>
      <c r="H345" s="161">
        <f t="shared" si="21"/>
        <v>14009.08722</v>
      </c>
      <c r="I345" s="161">
        <f t="shared" si="22"/>
        <v>13854.18259</v>
      </c>
      <c r="J345" s="162">
        <f t="shared" si="8"/>
        <v>15105.84576</v>
      </c>
      <c r="K345" s="163">
        <f t="shared" si="23"/>
        <v>0.008795201083</v>
      </c>
      <c r="L345" s="163">
        <f t="shared" si="24"/>
        <v>0.008568577878</v>
      </c>
      <c r="M345" s="163">
        <f t="shared" si="25"/>
        <v>0.1637024505</v>
      </c>
      <c r="N345" s="163">
        <f t="shared" si="26"/>
        <v>-0.009110261868</v>
      </c>
      <c r="O345" s="164">
        <f t="shared" si="27"/>
        <v>-0.02430653186</v>
      </c>
      <c r="P345" s="164">
        <f t="shared" si="16"/>
        <v>0.1029463095</v>
      </c>
      <c r="U345" s="168">
        <f t="shared" si="15"/>
        <v>0.2515041166</v>
      </c>
    </row>
    <row r="346">
      <c r="A346" s="158">
        <v>45754.0</v>
      </c>
      <c r="B346" s="167">
        <f>DATOS!E348/DATOS!D348</f>
        <v>13991.57776</v>
      </c>
      <c r="C346" s="160">
        <f t="shared" si="17"/>
        <v>12633.73895</v>
      </c>
      <c r="D346" s="160">
        <f t="shared" si="18"/>
        <v>1357.838812</v>
      </c>
      <c r="E346" s="161">
        <f t="shared" si="19"/>
        <v>15294.74126</v>
      </c>
      <c r="F346" s="161">
        <f t="shared" si="4"/>
        <v>12824.63892</v>
      </c>
      <c r="G346" s="161">
        <f t="shared" si="20"/>
        <v>14295.48839</v>
      </c>
      <c r="H346" s="161">
        <f t="shared" si="21"/>
        <v>13993.93121</v>
      </c>
      <c r="I346" s="161">
        <f t="shared" si="22"/>
        <v>13723.68427</v>
      </c>
      <c r="J346" s="162">
        <f t="shared" si="8"/>
        <v>15163.22351</v>
      </c>
      <c r="K346" s="163">
        <f t="shared" si="23"/>
        <v>0.04956735389</v>
      </c>
      <c r="L346" s="163">
        <f t="shared" si="24"/>
        <v>0.00856979124</v>
      </c>
      <c r="M346" s="163">
        <f t="shared" si="25"/>
        <v>0.1637256317</v>
      </c>
      <c r="N346" s="163">
        <f t="shared" si="26"/>
        <v>-0.009119547197</v>
      </c>
      <c r="O346" s="164">
        <f t="shared" si="27"/>
        <v>-0.02430653186</v>
      </c>
      <c r="P346" s="164">
        <f t="shared" si="16"/>
        <v>0.1108014826</v>
      </c>
      <c r="U346" s="168">
        <f t="shared" si="15"/>
        <v>-0.005233063023</v>
      </c>
    </row>
    <row r="347">
      <c r="A347" s="158">
        <v>45753.0</v>
      </c>
      <c r="B347" s="167">
        <f>DATOS!E349/DATOS!D349</f>
        <v>13314.95988</v>
      </c>
      <c r="C347" s="160">
        <f t="shared" si="17"/>
        <v>12630.91012</v>
      </c>
      <c r="D347" s="160">
        <f t="shared" si="18"/>
        <v>684.0497626</v>
      </c>
      <c r="E347" s="161">
        <f t="shared" si="19"/>
        <v>15296.69287</v>
      </c>
      <c r="F347" s="161">
        <f t="shared" si="4"/>
        <v>12769.41777</v>
      </c>
      <c r="G347" s="161">
        <f t="shared" si="20"/>
        <v>14307.8929</v>
      </c>
      <c r="H347" s="161">
        <f t="shared" si="21"/>
        <v>13994.26742</v>
      </c>
      <c r="I347" s="161">
        <f t="shared" si="22"/>
        <v>13589.73752</v>
      </c>
      <c r="J347" s="162">
        <f t="shared" si="8"/>
        <v>15219.11707</v>
      </c>
      <c r="K347" s="163">
        <f t="shared" si="23"/>
        <v>0.0001991308098</v>
      </c>
      <c r="L347" s="163">
        <f t="shared" si="24"/>
        <v>0.008227307284</v>
      </c>
      <c r="M347" s="163">
        <f t="shared" si="25"/>
        <v>0.157182485</v>
      </c>
      <c r="N347" s="163">
        <f t="shared" si="26"/>
        <v>-0.009128832526</v>
      </c>
      <c r="O347" s="164">
        <f t="shared" si="27"/>
        <v>-0.02430653186</v>
      </c>
      <c r="P347" s="164">
        <f t="shared" si="16"/>
        <v>0.153802181</v>
      </c>
      <c r="U347" s="168">
        <f t="shared" si="15"/>
        <v>-1.441972579</v>
      </c>
    </row>
    <row r="348">
      <c r="A348" s="158">
        <v>45752.0</v>
      </c>
      <c r="B348" s="167">
        <f>DATOS!E350/DATOS!D350</f>
        <v>13312.30873</v>
      </c>
      <c r="C348" s="160">
        <f t="shared" si="17"/>
        <v>12629.48204</v>
      </c>
      <c r="D348" s="160">
        <f t="shared" si="18"/>
        <v>682.8266867</v>
      </c>
      <c r="E348" s="161">
        <f t="shared" si="19"/>
        <v>15305.34705</v>
      </c>
      <c r="F348" s="161">
        <f t="shared" si="4"/>
        <v>12978.27838</v>
      </c>
      <c r="G348" s="161">
        <f t="shared" si="20"/>
        <v>14348.42078</v>
      </c>
      <c r="H348" s="161">
        <f t="shared" si="21"/>
        <v>14091.31136</v>
      </c>
      <c r="I348" s="161">
        <f t="shared" si="22"/>
        <v>13727.12634</v>
      </c>
      <c r="J348" s="162">
        <f t="shared" si="8"/>
        <v>15204.34433</v>
      </c>
      <c r="K348" s="163">
        <f t="shared" si="23"/>
        <v>0.0001991704707</v>
      </c>
      <c r="L348" s="163">
        <f t="shared" si="24"/>
        <v>0.008237509466</v>
      </c>
      <c r="M348" s="163">
        <f t="shared" si="25"/>
        <v>0.1573773974</v>
      </c>
      <c r="N348" s="163">
        <f t="shared" si="26"/>
        <v>-0.009138117854</v>
      </c>
      <c r="O348" s="164">
        <f t="shared" si="27"/>
        <v>-0.02430653186</v>
      </c>
      <c r="P348" s="164">
        <f t="shared" si="16"/>
        <v>0.1539706683</v>
      </c>
      <c r="U348" s="168">
        <f t="shared" si="15"/>
        <v>-1.819718633</v>
      </c>
    </row>
    <row r="349">
      <c r="A349" s="158">
        <v>45751.0</v>
      </c>
      <c r="B349" s="167">
        <f>DATOS!E351/DATOS!D351</f>
        <v>13309.65757</v>
      </c>
      <c r="C349" s="160">
        <f t="shared" si="17"/>
        <v>12628.05353</v>
      </c>
      <c r="D349" s="160">
        <f t="shared" si="18"/>
        <v>681.6040396</v>
      </c>
      <c r="E349" s="161">
        <f t="shared" si="19"/>
        <v>15314.08911</v>
      </c>
      <c r="F349" s="161">
        <f t="shared" si="4"/>
        <v>13276.52945</v>
      </c>
      <c r="G349" s="161">
        <f t="shared" si="20"/>
        <v>14390.71107</v>
      </c>
      <c r="H349" s="161">
        <f t="shared" si="21"/>
        <v>14202.59745</v>
      </c>
      <c r="I349" s="161">
        <f t="shared" si="22"/>
        <v>13934.53514</v>
      </c>
      <c r="J349" s="162">
        <f t="shared" si="8"/>
        <v>15128.66544</v>
      </c>
      <c r="K349" s="163">
        <f t="shared" si="23"/>
        <v>-0.06311241166</v>
      </c>
      <c r="L349" s="163">
        <f t="shared" si="24"/>
        <v>0.0082477497</v>
      </c>
      <c r="M349" s="163">
        <f t="shared" si="25"/>
        <v>0.1575730368</v>
      </c>
      <c r="N349" s="163">
        <f t="shared" si="26"/>
        <v>-0.009147403183</v>
      </c>
      <c r="O349" s="164">
        <f t="shared" si="27"/>
        <v>-0.02430653186</v>
      </c>
      <c r="P349" s="164">
        <f t="shared" si="16"/>
        <v>0.1541391556</v>
      </c>
      <c r="U349" s="168">
        <f t="shared" si="15"/>
        <v>-2.506990516</v>
      </c>
    </row>
    <row r="350">
      <c r="A350" s="158">
        <v>45750.0</v>
      </c>
      <c r="B350" s="167">
        <f>DATOS!E352/DATOS!D352</f>
        <v>14176.73608</v>
      </c>
      <c r="C350" s="160">
        <f t="shared" si="17"/>
        <v>12626.62459</v>
      </c>
      <c r="D350" s="160">
        <f t="shared" si="18"/>
        <v>1550.111483</v>
      </c>
      <c r="E350" s="161">
        <f t="shared" si="19"/>
        <v>15322.91992</v>
      </c>
      <c r="F350" s="161">
        <f t="shared" si="4"/>
        <v>13732.51906</v>
      </c>
      <c r="G350" s="161">
        <f t="shared" si="20"/>
        <v>14434.8357</v>
      </c>
      <c r="H350" s="161">
        <f t="shared" si="21"/>
        <v>14330.16029</v>
      </c>
      <c r="I350" s="161">
        <f t="shared" si="22"/>
        <v>14246.97393</v>
      </c>
      <c r="J350" s="162">
        <f t="shared" si="8"/>
        <v>14927.80151</v>
      </c>
      <c r="K350" s="163">
        <f t="shared" si="23"/>
        <v>-0.01300857832</v>
      </c>
      <c r="L350" s="163">
        <f t="shared" si="24"/>
        <v>0.007617153673</v>
      </c>
      <c r="M350" s="163">
        <f t="shared" si="25"/>
        <v>0.1455255166</v>
      </c>
      <c r="N350" s="163">
        <f t="shared" si="26"/>
        <v>-0.008970981938</v>
      </c>
      <c r="O350" s="164">
        <f t="shared" si="27"/>
        <v>-0.01802188068</v>
      </c>
      <c r="P350" s="164">
        <f t="shared" si="16"/>
        <v>0.09903422505</v>
      </c>
      <c r="U350" s="168">
        <f t="shared" si="15"/>
        <v>-0.6674622348</v>
      </c>
    </row>
    <row r="351">
      <c r="A351" s="158">
        <v>45749.0</v>
      </c>
      <c r="B351" s="167">
        <f>DATOS!E353/DATOS!D353</f>
        <v>14362.35999</v>
      </c>
      <c r="C351" s="160">
        <f t="shared" si="17"/>
        <v>12623.36806</v>
      </c>
      <c r="D351" s="160">
        <f t="shared" si="18"/>
        <v>1738.991935</v>
      </c>
      <c r="E351" s="161">
        <f t="shared" si="19"/>
        <v>15323.1648</v>
      </c>
      <c r="F351" s="161">
        <f t="shared" si="4"/>
        <v>13669.21303</v>
      </c>
      <c r="G351" s="161">
        <f t="shared" si="20"/>
        <v>14445.37038</v>
      </c>
      <c r="H351" s="161">
        <f t="shared" si="21"/>
        <v>14352.07803</v>
      </c>
      <c r="I351" s="161">
        <f t="shared" si="22"/>
        <v>14282.09285</v>
      </c>
      <c r="J351" s="162">
        <f t="shared" si="8"/>
        <v>15034.94303</v>
      </c>
      <c r="K351" s="163">
        <f t="shared" si="23"/>
        <v>0.002494483826</v>
      </c>
      <c r="L351" s="163">
        <f t="shared" si="24"/>
        <v>0.007595394197</v>
      </c>
      <c r="M351" s="163">
        <f t="shared" si="25"/>
        <v>0.1451098024</v>
      </c>
      <c r="N351" s="163">
        <f t="shared" si="26"/>
        <v>-0.008864968726</v>
      </c>
      <c r="O351" s="164">
        <f t="shared" si="27"/>
        <v>-0.01615474553</v>
      </c>
      <c r="P351" s="164">
        <f t="shared" si="16"/>
        <v>0.08723737746</v>
      </c>
      <c r="U351" s="168">
        <f t="shared" si="15"/>
        <v>0.03914843386</v>
      </c>
    </row>
    <row r="352">
      <c r="A352" s="158">
        <v>45748.0</v>
      </c>
      <c r="B352" s="167">
        <f>DATOS!E354/DATOS!D354</f>
        <v>14326.57796</v>
      </c>
      <c r="C352" s="160">
        <f t="shared" si="17"/>
        <v>12619.70702</v>
      </c>
      <c r="D352" s="160">
        <f t="shared" si="18"/>
        <v>1706.870943</v>
      </c>
      <c r="E352" s="161">
        <f t="shared" si="19"/>
        <v>15321.54159</v>
      </c>
      <c r="F352" s="161">
        <f t="shared" si="4"/>
        <v>13647.67976</v>
      </c>
      <c r="G352" s="161">
        <f t="shared" si="20"/>
        <v>14448.75856</v>
      </c>
      <c r="H352" s="161">
        <f t="shared" si="21"/>
        <v>14350.60918</v>
      </c>
      <c r="I352" s="161">
        <f t="shared" si="22"/>
        <v>14241.95928</v>
      </c>
      <c r="J352" s="162">
        <f t="shared" si="8"/>
        <v>15053.5386</v>
      </c>
      <c r="K352" s="163">
        <f t="shared" si="23"/>
        <v>0.01798568983</v>
      </c>
      <c r="L352" s="163">
        <f t="shared" si="24"/>
        <v>0.007604452514</v>
      </c>
      <c r="M352" s="163">
        <f t="shared" si="25"/>
        <v>0.1452828613</v>
      </c>
      <c r="N352" s="163">
        <f t="shared" si="26"/>
        <v>-0.008870548369</v>
      </c>
      <c r="O352" s="164">
        <f t="shared" si="27"/>
        <v>-0.01749196026</v>
      </c>
      <c r="P352" s="164">
        <f t="shared" si="16"/>
        <v>0.08951141161</v>
      </c>
      <c r="U352" s="168">
        <f t="shared" si="15"/>
        <v>-0.08888682121</v>
      </c>
    </row>
    <row r="353">
      <c r="A353" s="158">
        <v>45747.0</v>
      </c>
      <c r="B353" s="167">
        <f>DATOS!E355/DATOS!D355</f>
        <v>14071.20796</v>
      </c>
      <c r="C353" s="160">
        <f t="shared" si="17"/>
        <v>12616.10603</v>
      </c>
      <c r="D353" s="160">
        <f t="shared" si="18"/>
        <v>1455.101936</v>
      </c>
      <c r="E353" s="161">
        <f t="shared" si="19"/>
        <v>15320.24878</v>
      </c>
      <c r="F353" s="161">
        <f t="shared" si="4"/>
        <v>13623.49404</v>
      </c>
      <c r="G353" s="161">
        <f t="shared" si="20"/>
        <v>14453.74552</v>
      </c>
      <c r="H353" s="161">
        <f t="shared" si="21"/>
        <v>14354.04221</v>
      </c>
      <c r="I353" s="161">
        <f t="shared" si="22"/>
        <v>14199.64994</v>
      </c>
      <c r="J353" s="162">
        <f t="shared" si="8"/>
        <v>15084.59038</v>
      </c>
      <c r="K353" s="163">
        <f t="shared" si="23"/>
        <v>-0.005272538377</v>
      </c>
      <c r="L353" s="163">
        <f t="shared" si="24"/>
        <v>0.00756484251</v>
      </c>
      <c r="M353" s="163">
        <f t="shared" si="25"/>
        <v>0.1445261132</v>
      </c>
      <c r="N353" s="163">
        <f t="shared" si="26"/>
        <v>-0.008876128012</v>
      </c>
      <c r="O353" s="164">
        <f t="shared" si="27"/>
        <v>-0.01749196026</v>
      </c>
      <c r="P353" s="164">
        <f t="shared" si="16"/>
        <v>0.1057407912</v>
      </c>
      <c r="U353" s="168">
        <f t="shared" si="15"/>
        <v>-1.006598986</v>
      </c>
    </row>
    <row r="354">
      <c r="A354" s="158">
        <v>45746.0</v>
      </c>
      <c r="B354" s="167">
        <f>DATOS!E356/DATOS!D356</f>
        <v>14145.59488</v>
      </c>
      <c r="C354" s="160">
        <f t="shared" si="17"/>
        <v>12613.0297</v>
      </c>
      <c r="D354" s="160">
        <f t="shared" si="18"/>
        <v>1532.565177</v>
      </c>
      <c r="E354" s="161">
        <f t="shared" si="19"/>
        <v>15321.49699</v>
      </c>
      <c r="F354" s="161">
        <f t="shared" si="4"/>
        <v>13720.96632</v>
      </c>
      <c r="G354" s="161">
        <f t="shared" si="20"/>
        <v>14469.3593</v>
      </c>
      <c r="H354" s="161">
        <f t="shared" si="21"/>
        <v>14394.4471</v>
      </c>
      <c r="I354" s="161">
        <f t="shared" si="22"/>
        <v>14263.87093</v>
      </c>
      <c r="J354" s="162">
        <f t="shared" si="8"/>
        <v>15067.92789</v>
      </c>
      <c r="K354" s="163">
        <f t="shared" si="23"/>
        <v>0.0002192501901</v>
      </c>
      <c r="L354" s="163">
        <f t="shared" si="24"/>
        <v>0.007568326663</v>
      </c>
      <c r="M354" s="163">
        <f t="shared" si="25"/>
        <v>0.1445926779</v>
      </c>
      <c r="N354" s="163">
        <f t="shared" si="26"/>
        <v>-0.008881707654</v>
      </c>
      <c r="O354" s="164">
        <f t="shared" si="27"/>
        <v>-0.01749196026</v>
      </c>
      <c r="P354" s="164">
        <f t="shared" si="16"/>
        <v>0.1010133232</v>
      </c>
      <c r="U354" s="168">
        <f t="shared" si="15"/>
        <v>-0.9607041467</v>
      </c>
    </row>
    <row r="355">
      <c r="A355" s="158">
        <v>45745.0</v>
      </c>
      <c r="B355" s="167">
        <f>DATOS!E357/DATOS!D357</f>
        <v>14142.49379</v>
      </c>
      <c r="C355" s="160">
        <f t="shared" si="17"/>
        <v>12609.78274</v>
      </c>
      <c r="D355" s="160">
        <f t="shared" si="18"/>
        <v>1532.711053</v>
      </c>
      <c r="E355" s="161">
        <f t="shared" si="19"/>
        <v>15321.99246</v>
      </c>
      <c r="F355" s="161">
        <f t="shared" si="4"/>
        <v>13794.46039</v>
      </c>
      <c r="G355" s="161">
        <f t="shared" si="20"/>
        <v>14482.57418</v>
      </c>
      <c r="H355" s="161">
        <f t="shared" si="21"/>
        <v>14429.99742</v>
      </c>
      <c r="I355" s="161">
        <f t="shared" si="22"/>
        <v>14323.00896</v>
      </c>
      <c r="J355" s="162">
        <f t="shared" si="8"/>
        <v>15065.53445</v>
      </c>
      <c r="K355" s="163">
        <f t="shared" si="23"/>
        <v>0.0002193086984</v>
      </c>
      <c r="L355" s="163">
        <f t="shared" si="24"/>
        <v>0.007577851088</v>
      </c>
      <c r="M355" s="163">
        <f t="shared" si="25"/>
        <v>0.1447746418</v>
      </c>
      <c r="N355" s="163">
        <f t="shared" si="26"/>
        <v>-0.008887287297</v>
      </c>
      <c r="O355" s="164">
        <f t="shared" si="27"/>
        <v>-0.02114189932</v>
      </c>
      <c r="P355" s="164">
        <f t="shared" si="16"/>
        <v>0.1012104046</v>
      </c>
      <c r="U355" s="168">
        <f t="shared" si="15"/>
        <v>-1.176185486</v>
      </c>
    </row>
    <row r="356">
      <c r="A356" s="158">
        <v>45744.0</v>
      </c>
      <c r="B356" s="167">
        <f>DATOS!E358/DATOS!D358</f>
        <v>14139.39256</v>
      </c>
      <c r="C356" s="160">
        <f t="shared" si="17"/>
        <v>12606.52858</v>
      </c>
      <c r="D356" s="160">
        <f t="shared" si="18"/>
        <v>1532.863985</v>
      </c>
      <c r="E356" s="161">
        <f t="shared" si="19"/>
        <v>15322.50931</v>
      </c>
      <c r="F356" s="161">
        <f t="shared" si="4"/>
        <v>13875.673</v>
      </c>
      <c r="G356" s="161">
        <f t="shared" si="20"/>
        <v>14496.45501</v>
      </c>
      <c r="H356" s="161">
        <f t="shared" si="21"/>
        <v>14471.06937</v>
      </c>
      <c r="I356" s="161">
        <f t="shared" si="22"/>
        <v>14413.26654</v>
      </c>
      <c r="J356" s="162">
        <f t="shared" si="8"/>
        <v>15066.46573</v>
      </c>
      <c r="K356" s="163">
        <f t="shared" si="23"/>
        <v>-0.02609250687</v>
      </c>
      <c r="L356" s="163">
        <f t="shared" si="24"/>
        <v>0.007587411572</v>
      </c>
      <c r="M356" s="163">
        <f t="shared" si="25"/>
        <v>0.1449572945</v>
      </c>
      <c r="N356" s="163">
        <f t="shared" si="26"/>
        <v>-0.00889286694</v>
      </c>
      <c r="O356" s="164">
        <f t="shared" si="27"/>
        <v>-0.02114189932</v>
      </c>
      <c r="P356" s="164">
        <f t="shared" si="16"/>
        <v>0.1014074954</v>
      </c>
      <c r="U356" s="168">
        <f t="shared" si="15"/>
        <v>-1.448379166</v>
      </c>
    </row>
    <row r="357">
      <c r="A357" s="158">
        <v>45743.0</v>
      </c>
      <c r="B357" s="167">
        <f>DATOS!E359/DATOS!D359</f>
        <v>14513.18008</v>
      </c>
      <c r="C357" s="160">
        <f t="shared" si="17"/>
        <v>12603.26716</v>
      </c>
      <c r="D357" s="160">
        <f t="shared" si="18"/>
        <v>1909.912915</v>
      </c>
      <c r="E357" s="161">
        <f t="shared" si="19"/>
        <v>15323.04772</v>
      </c>
      <c r="F357" s="161">
        <f t="shared" si="4"/>
        <v>13917.55993</v>
      </c>
      <c r="G357" s="161">
        <f t="shared" si="20"/>
        <v>14511.02898</v>
      </c>
      <c r="H357" s="161">
        <f t="shared" si="21"/>
        <v>14518.45177</v>
      </c>
      <c r="I357" s="161">
        <f t="shared" si="22"/>
        <v>14550.20353</v>
      </c>
      <c r="J357" s="162">
        <f t="shared" si="8"/>
        <v>15119.34361</v>
      </c>
      <c r="K357" s="163">
        <f t="shared" si="23"/>
        <v>0.00500267566</v>
      </c>
      <c r="L357" s="163">
        <f t="shared" si="24"/>
        <v>0.007474956702</v>
      </c>
      <c r="M357" s="163">
        <f t="shared" si="25"/>
        <v>0.1428088473</v>
      </c>
      <c r="N357" s="163">
        <f t="shared" si="26"/>
        <v>-0.008379217843</v>
      </c>
      <c r="O357" s="164">
        <f t="shared" si="27"/>
        <v>-0.016292014</v>
      </c>
      <c r="P357" s="164">
        <f t="shared" si="16"/>
        <v>0.07765239699</v>
      </c>
      <c r="U357" s="168">
        <f t="shared" si="15"/>
        <v>-0.02281007852</v>
      </c>
    </row>
    <row r="358">
      <c r="A358" s="158">
        <v>45742.0</v>
      </c>
      <c r="B358" s="167">
        <f>DATOS!E360/DATOS!D360</f>
        <v>14440.75665</v>
      </c>
      <c r="C358" s="160">
        <f t="shared" si="17"/>
        <v>12599.19486</v>
      </c>
      <c r="D358" s="160">
        <f t="shared" si="18"/>
        <v>1841.561798</v>
      </c>
      <c r="E358" s="161">
        <f t="shared" si="19"/>
        <v>15319.78159</v>
      </c>
      <c r="F358" s="161">
        <f t="shared" si="4"/>
        <v>13860.89247</v>
      </c>
      <c r="G358" s="161">
        <f t="shared" si="20"/>
        <v>14510.94119</v>
      </c>
      <c r="H358" s="161">
        <f t="shared" si="21"/>
        <v>14519.20487</v>
      </c>
      <c r="I358" s="161">
        <f t="shared" si="22"/>
        <v>14568.71526</v>
      </c>
      <c r="J358" s="162">
        <f t="shared" si="8"/>
        <v>15177.51726</v>
      </c>
      <c r="K358" s="163">
        <f t="shared" si="23"/>
        <v>-0.008859389083</v>
      </c>
      <c r="L358" s="163">
        <f t="shared" si="24"/>
        <v>0.007481516548</v>
      </c>
      <c r="M358" s="163">
        <f t="shared" si="25"/>
        <v>0.1429341729</v>
      </c>
      <c r="N358" s="163">
        <f t="shared" si="26"/>
        <v>-0.008416154093</v>
      </c>
      <c r="O358" s="164">
        <f t="shared" si="27"/>
        <v>-0.016292014</v>
      </c>
      <c r="P358" s="164">
        <f t="shared" si="16"/>
        <v>0.08225508043</v>
      </c>
      <c r="U358" s="168">
        <f t="shared" si="15"/>
        <v>-0.3098306459</v>
      </c>
    </row>
    <row r="359">
      <c r="A359" s="158">
        <v>45741.0</v>
      </c>
      <c r="B359" s="167">
        <f>DATOS!E361/DATOS!D361</f>
        <v>14569.26133</v>
      </c>
      <c r="C359" s="160">
        <f t="shared" si="17"/>
        <v>12595.25989</v>
      </c>
      <c r="D359" s="160">
        <f t="shared" si="18"/>
        <v>1974.001437</v>
      </c>
      <c r="E359" s="161">
        <f t="shared" si="19"/>
        <v>15317.20889</v>
      </c>
      <c r="F359" s="161">
        <f t="shared" si="4"/>
        <v>13742.74911</v>
      </c>
      <c r="G359" s="161">
        <f t="shared" si="20"/>
        <v>14513.80586</v>
      </c>
      <c r="H359" s="161">
        <f t="shared" si="21"/>
        <v>14530.41175</v>
      </c>
      <c r="I359" s="161">
        <f t="shared" si="22"/>
        <v>14632.69456</v>
      </c>
      <c r="J359" s="162">
        <f t="shared" si="8"/>
        <v>15318.0744</v>
      </c>
      <c r="K359" s="163">
        <f t="shared" si="23"/>
        <v>-0.006541653731</v>
      </c>
      <c r="L359" s="163">
        <f t="shared" si="24"/>
        <v>0.007475011969</v>
      </c>
      <c r="M359" s="163">
        <f t="shared" si="25"/>
        <v>0.1428099031</v>
      </c>
      <c r="N359" s="163">
        <f t="shared" si="26"/>
        <v>-0.007743390887</v>
      </c>
      <c r="O359" s="164">
        <f t="shared" si="27"/>
        <v>-0.016292014</v>
      </c>
      <c r="P359" s="164">
        <f t="shared" si="16"/>
        <v>0.07408829818</v>
      </c>
      <c r="U359" s="168">
        <f t="shared" si="15"/>
        <v>0.1282387848</v>
      </c>
    </row>
    <row r="360">
      <c r="A360" s="158">
        <v>45740.0</v>
      </c>
      <c r="B360" s="167">
        <f>DATOS!E362/DATOS!D362</f>
        <v>14664.88081</v>
      </c>
      <c r="C360" s="160">
        <f t="shared" si="17"/>
        <v>12591.03291</v>
      </c>
      <c r="D360" s="160">
        <f t="shared" si="18"/>
        <v>2073.847897</v>
      </c>
      <c r="E360" s="161">
        <f t="shared" si="19"/>
        <v>15313.28726</v>
      </c>
      <c r="F360" s="161">
        <f t="shared" si="4"/>
        <v>13662.04424</v>
      </c>
      <c r="G360" s="161">
        <f t="shared" si="20"/>
        <v>14511.54237</v>
      </c>
      <c r="H360" s="161">
        <f t="shared" si="21"/>
        <v>14524.86181</v>
      </c>
      <c r="I360" s="161">
        <f t="shared" si="22"/>
        <v>14664.41118</v>
      </c>
      <c r="J360" s="162">
        <f t="shared" si="8"/>
        <v>15387.67939</v>
      </c>
      <c r="K360" s="163">
        <f t="shared" si="23"/>
        <v>0.0002200389756</v>
      </c>
      <c r="L360" s="163">
        <f t="shared" si="24"/>
        <v>0.007475203235</v>
      </c>
      <c r="M360" s="163">
        <f t="shared" si="25"/>
        <v>0.1428135573</v>
      </c>
      <c r="N360" s="163">
        <f t="shared" si="26"/>
        <v>-0.007777688452</v>
      </c>
      <c r="O360" s="164">
        <f t="shared" si="27"/>
        <v>-0.016292014</v>
      </c>
      <c r="P360" s="164">
        <f t="shared" si="16"/>
        <v>0.06801144979</v>
      </c>
      <c r="U360" s="168">
        <f t="shared" si="15"/>
        <v>0.4219308834</v>
      </c>
    </row>
    <row r="361">
      <c r="A361" s="158">
        <v>45739.0</v>
      </c>
      <c r="B361" s="167">
        <f>DATOS!E363/DATOS!D363</f>
        <v>14661.65432</v>
      </c>
      <c r="C361" s="160">
        <f t="shared" si="17"/>
        <v>12586.58259</v>
      </c>
      <c r="D361" s="160">
        <f t="shared" si="18"/>
        <v>2075.071724</v>
      </c>
      <c r="E361" s="161">
        <f t="shared" si="19"/>
        <v>15308.33754</v>
      </c>
      <c r="F361" s="161">
        <f t="shared" si="4"/>
        <v>13594.77811</v>
      </c>
      <c r="G361" s="161">
        <f t="shared" si="20"/>
        <v>14505.28366</v>
      </c>
      <c r="H361" s="161">
        <f t="shared" si="21"/>
        <v>14504.8591</v>
      </c>
      <c r="I361" s="161">
        <f t="shared" si="22"/>
        <v>14664.17636</v>
      </c>
      <c r="J361" s="162">
        <f t="shared" si="8"/>
        <v>15414.94009</v>
      </c>
      <c r="K361" s="163">
        <f t="shared" si="23"/>
        <v>0.0002200874034</v>
      </c>
      <c r="L361" s="163">
        <f t="shared" si="24"/>
        <v>0.007484733047</v>
      </c>
      <c r="M361" s="163">
        <f t="shared" si="25"/>
        <v>0.1429956241</v>
      </c>
      <c r="N361" s="163">
        <f t="shared" si="26"/>
        <v>-0.007811986017</v>
      </c>
      <c r="O361" s="164">
        <f t="shared" si="27"/>
        <v>-0.016292014</v>
      </c>
      <c r="P361" s="164">
        <f t="shared" si="16"/>
        <v>0.06821650103</v>
      </c>
      <c r="U361" s="168">
        <f t="shared" si="15"/>
        <v>0.4479464637</v>
      </c>
    </row>
    <row r="362">
      <c r="A362" s="158">
        <v>45738.0</v>
      </c>
      <c r="B362" s="167">
        <f>DATOS!E364/DATOS!D364</f>
        <v>14658.42783</v>
      </c>
      <c r="C362" s="160">
        <f t="shared" si="17"/>
        <v>12582.12007</v>
      </c>
      <c r="D362" s="160">
        <f t="shared" si="18"/>
        <v>2076.307754</v>
      </c>
      <c r="E362" s="161">
        <f t="shared" si="19"/>
        <v>15303.36165</v>
      </c>
      <c r="F362" s="161">
        <f t="shared" si="4"/>
        <v>13542.9788</v>
      </c>
      <c r="G362" s="161">
        <f t="shared" si="20"/>
        <v>14498.90118</v>
      </c>
      <c r="H362" s="161">
        <f t="shared" si="21"/>
        <v>14482.45978</v>
      </c>
      <c r="I362" s="161">
        <f t="shared" si="22"/>
        <v>14665.43738</v>
      </c>
      <c r="J362" s="162">
        <f t="shared" si="8"/>
        <v>15421.94077</v>
      </c>
      <c r="K362" s="163">
        <f t="shared" si="23"/>
        <v>0.0002201358525</v>
      </c>
      <c r="L362" s="163">
        <f t="shared" si="24"/>
        <v>0.007494299409</v>
      </c>
      <c r="M362" s="163">
        <f t="shared" si="25"/>
        <v>0.1431783892</v>
      </c>
      <c r="N362" s="163">
        <f t="shared" si="26"/>
        <v>-0.007846283581</v>
      </c>
      <c r="O362" s="164">
        <f t="shared" si="27"/>
        <v>-0.02114189932</v>
      </c>
      <c r="P362" s="164">
        <f t="shared" si="16"/>
        <v>0.06842155228</v>
      </c>
      <c r="U362" s="168">
        <f t="shared" si="15"/>
        <v>0.4869890032</v>
      </c>
    </row>
    <row r="363">
      <c r="A363" s="158">
        <v>45737.0</v>
      </c>
      <c r="B363" s="167">
        <f>DATOS!E365/DATOS!D365</f>
        <v>14655.20134</v>
      </c>
      <c r="C363" s="160">
        <f t="shared" si="17"/>
        <v>12577.64527</v>
      </c>
      <c r="D363" s="160">
        <f t="shared" si="18"/>
        <v>2077.556064</v>
      </c>
      <c r="E363" s="161">
        <f t="shared" si="19"/>
        <v>15298.35924</v>
      </c>
      <c r="F363" s="161">
        <f t="shared" si="4"/>
        <v>13489.64605</v>
      </c>
      <c r="G363" s="161">
        <f t="shared" si="20"/>
        <v>14492.38989</v>
      </c>
      <c r="H363" s="161">
        <f t="shared" si="21"/>
        <v>14457.32149</v>
      </c>
      <c r="I363" s="161">
        <f t="shared" si="22"/>
        <v>14668.94216</v>
      </c>
      <c r="J363" s="162">
        <f t="shared" si="8"/>
        <v>15424.99693</v>
      </c>
      <c r="K363" s="163">
        <f t="shared" si="23"/>
        <v>0.00007727915407</v>
      </c>
      <c r="L363" s="163">
        <f t="shared" si="24"/>
        <v>0.007503902555</v>
      </c>
      <c r="M363" s="163">
        <f t="shared" si="25"/>
        <v>0.143361857</v>
      </c>
      <c r="N363" s="163">
        <f t="shared" si="26"/>
        <v>-0.007880581146</v>
      </c>
      <c r="O363" s="164">
        <f t="shared" si="27"/>
        <v>-0.02114189932</v>
      </c>
      <c r="P363" s="164">
        <f t="shared" si="16"/>
        <v>0.06862660352</v>
      </c>
      <c r="U363" s="168">
        <f t="shared" si="15"/>
        <v>0.5316737135</v>
      </c>
    </row>
    <row r="364">
      <c r="A364" s="158">
        <v>45736.0</v>
      </c>
      <c r="B364" s="167">
        <f>DATOS!E366/DATOS!D366</f>
        <v>14654.06884</v>
      </c>
      <c r="C364" s="160">
        <f t="shared" si="17"/>
        <v>12573.15811</v>
      </c>
      <c r="D364" s="160">
        <f t="shared" si="18"/>
        <v>2080.910729</v>
      </c>
      <c r="E364" s="161">
        <f t="shared" si="19"/>
        <v>15293.32997</v>
      </c>
      <c r="F364" s="161">
        <f t="shared" si="4"/>
        <v>13455.93568</v>
      </c>
      <c r="G364" s="161">
        <f t="shared" si="20"/>
        <v>14485.74453</v>
      </c>
      <c r="H364" s="161">
        <f t="shared" si="21"/>
        <v>14429.05294</v>
      </c>
      <c r="I364" s="161">
        <f t="shared" si="22"/>
        <v>14675.81257</v>
      </c>
      <c r="J364" s="162">
        <f t="shared" si="8"/>
        <v>15402.17021</v>
      </c>
      <c r="K364" s="163">
        <f t="shared" si="23"/>
        <v>-0.02212367353</v>
      </c>
      <c r="L364" s="163">
        <f t="shared" si="24"/>
        <v>0.007513506949</v>
      </c>
      <c r="M364" s="163">
        <f t="shared" si="25"/>
        <v>0.1435453487</v>
      </c>
      <c r="N364" s="163">
        <f t="shared" si="26"/>
        <v>-0.007914878711</v>
      </c>
      <c r="O364" s="164">
        <f t="shared" si="27"/>
        <v>-0.02114189932</v>
      </c>
      <c r="P364" s="164">
        <f t="shared" si="16"/>
        <v>0.06869857649</v>
      </c>
      <c r="U364" s="168">
        <f t="shared" si="15"/>
        <v>0.6012033174</v>
      </c>
    </row>
    <row r="365">
      <c r="A365" s="158">
        <v>45735.0</v>
      </c>
      <c r="B365" s="167">
        <f>DATOS!E367/DATOS!D367</f>
        <v>14981.88354</v>
      </c>
      <c r="C365" s="160">
        <f t="shared" si="17"/>
        <v>12568.65397</v>
      </c>
      <c r="D365" s="160">
        <f t="shared" si="18"/>
        <v>2413.229561</v>
      </c>
      <c r="E365" s="161">
        <f t="shared" si="19"/>
        <v>15288.25187</v>
      </c>
      <c r="F365" s="161">
        <f t="shared" si="4"/>
        <v>13450.57428</v>
      </c>
      <c r="G365" s="161">
        <f t="shared" si="20"/>
        <v>14478.87415</v>
      </c>
      <c r="H365" s="161">
        <f t="shared" si="21"/>
        <v>14396.90782</v>
      </c>
      <c r="I365" s="161">
        <f t="shared" si="22"/>
        <v>14686.68444</v>
      </c>
      <c r="J365" s="162">
        <f t="shared" si="8"/>
        <v>15343.24135</v>
      </c>
      <c r="K365" s="163">
        <f t="shared" si="23"/>
        <v>0.01592566908</v>
      </c>
      <c r="L365" s="163">
        <f t="shared" si="24"/>
        <v>0.00743115075</v>
      </c>
      <c r="M365" s="163">
        <f t="shared" si="25"/>
        <v>0.1419719357</v>
      </c>
      <c r="N365" s="163">
        <f t="shared" si="26"/>
        <v>-0.007390290739</v>
      </c>
      <c r="O365" s="164">
        <f t="shared" si="27"/>
        <v>-0.02362012695</v>
      </c>
      <c r="P365" s="164">
        <f t="shared" si="16"/>
        <v>0.04786516176</v>
      </c>
      <c r="U365" s="168">
        <f t="shared" si="15"/>
        <v>1.607189029</v>
      </c>
    </row>
    <row r="366">
      <c r="A366" s="158">
        <v>45734.0</v>
      </c>
      <c r="B366" s="167">
        <f>DATOS!E368/DATOS!D368</f>
        <v>14745.17687</v>
      </c>
      <c r="C366" s="160">
        <f t="shared" si="17"/>
        <v>12563.4192</v>
      </c>
      <c r="D366" s="160">
        <f t="shared" si="18"/>
        <v>2181.757672</v>
      </c>
      <c r="E366" s="161">
        <f t="shared" si="19"/>
        <v>15279.71554</v>
      </c>
      <c r="F366" s="161">
        <f t="shared" si="4"/>
        <v>13515.5961</v>
      </c>
      <c r="G366" s="161">
        <f t="shared" si="20"/>
        <v>14458.34315</v>
      </c>
      <c r="H366" s="161">
        <f t="shared" si="21"/>
        <v>14313.33986</v>
      </c>
      <c r="I366" s="161">
        <f t="shared" si="22"/>
        <v>14539.0849</v>
      </c>
      <c r="J366" s="162">
        <f t="shared" si="8"/>
        <v>15111.08361</v>
      </c>
      <c r="K366" s="163">
        <f t="shared" si="23"/>
        <v>-0.006952771019</v>
      </c>
      <c r="L366" s="163">
        <f t="shared" si="24"/>
        <v>0.007401286383</v>
      </c>
      <c r="M366" s="163">
        <f t="shared" si="25"/>
        <v>0.1414013778</v>
      </c>
      <c r="N366" s="163">
        <f t="shared" si="26"/>
        <v>-0.007399175152</v>
      </c>
      <c r="O366" s="164">
        <f t="shared" si="27"/>
        <v>-0.02362012695</v>
      </c>
      <c r="P366" s="164">
        <f t="shared" si="16"/>
        <v>0.06290844102</v>
      </c>
      <c r="U366" s="168">
        <f t="shared" si="15"/>
        <v>1.407439725</v>
      </c>
    </row>
    <row r="367">
      <c r="A367" s="158">
        <v>45733.0</v>
      </c>
      <c r="B367" s="167">
        <f>DATOS!E369/DATOS!D369</f>
        <v>14848.05394</v>
      </c>
      <c r="C367" s="160">
        <f t="shared" si="17"/>
        <v>12558.67625</v>
      </c>
      <c r="D367" s="160">
        <f t="shared" si="18"/>
        <v>2289.377688</v>
      </c>
      <c r="E367" s="161">
        <f t="shared" si="19"/>
        <v>15273.54568</v>
      </c>
      <c r="F367" s="161">
        <f t="shared" si="4"/>
        <v>13557.13761</v>
      </c>
      <c r="G367" s="161">
        <f t="shared" si="20"/>
        <v>14446.63565</v>
      </c>
      <c r="H367" s="161">
        <f t="shared" si="21"/>
        <v>14251.64885</v>
      </c>
      <c r="I367" s="161">
        <f t="shared" si="22"/>
        <v>14436.03891</v>
      </c>
      <c r="J367" s="162">
        <f t="shared" si="8"/>
        <v>14946.16009</v>
      </c>
      <c r="K367" s="163">
        <f t="shared" si="23"/>
        <v>0.03661906942</v>
      </c>
      <c r="L367" s="163">
        <f t="shared" si="24"/>
        <v>0.007400055539</v>
      </c>
      <c r="M367" s="163">
        <f t="shared" si="25"/>
        <v>0.1413778626</v>
      </c>
      <c r="N367" s="163">
        <f t="shared" si="26"/>
        <v>-0.007408059566</v>
      </c>
      <c r="O367" s="164">
        <f t="shared" si="27"/>
        <v>-0.02362012695</v>
      </c>
      <c r="P367" s="164">
        <f t="shared" si="16"/>
        <v>0.05637035542</v>
      </c>
      <c r="U367" s="168">
        <f t="shared" si="15"/>
        <v>2.232725892</v>
      </c>
    </row>
    <row r="368">
      <c r="A368" s="158">
        <v>45732.0</v>
      </c>
      <c r="B368" s="167">
        <f>DATOS!E370/DATOS!D370</f>
        <v>14314.1669</v>
      </c>
      <c r="C368" s="160">
        <f t="shared" si="17"/>
        <v>12553.6885</v>
      </c>
      <c r="D368" s="160">
        <f t="shared" si="18"/>
        <v>1760.478403</v>
      </c>
      <c r="E368" s="161">
        <f t="shared" si="19"/>
        <v>15266.23269</v>
      </c>
      <c r="F368" s="161">
        <f t="shared" si="4"/>
        <v>13737.23274</v>
      </c>
      <c r="G368" s="161">
        <f t="shared" si="20"/>
        <v>14430.25123</v>
      </c>
      <c r="H368" s="161">
        <f t="shared" si="21"/>
        <v>14166.44813</v>
      </c>
      <c r="I368" s="161">
        <f t="shared" si="22"/>
        <v>14230.03139</v>
      </c>
      <c r="J368" s="162">
        <f t="shared" si="8"/>
        <v>14595.66351</v>
      </c>
      <c r="K368" s="163">
        <f t="shared" si="23"/>
        <v>0.0006245679895</v>
      </c>
      <c r="L368" s="163">
        <f t="shared" si="24"/>
        <v>0.00718042656</v>
      </c>
      <c r="M368" s="163">
        <f t="shared" si="25"/>
        <v>0.1371818568</v>
      </c>
      <c r="N368" s="163">
        <f t="shared" si="26"/>
        <v>-0.007416943979</v>
      </c>
      <c r="O368" s="164">
        <f t="shared" si="27"/>
        <v>-0.02362012695</v>
      </c>
      <c r="P368" s="164">
        <f t="shared" si="16"/>
        <v>0.09030016442</v>
      </c>
      <c r="U368" s="168">
        <f t="shared" si="15"/>
        <v>0.8948160604</v>
      </c>
    </row>
    <row r="369">
      <c r="A369" s="158">
        <v>45731.0</v>
      </c>
      <c r="B369" s="167">
        <f>DATOS!E371/DATOS!D371</f>
        <v>14305.22952</v>
      </c>
      <c r="C369" s="160">
        <f t="shared" si="17"/>
        <v>12549.84466</v>
      </c>
      <c r="D369" s="160">
        <f t="shared" si="18"/>
        <v>1755.384863</v>
      </c>
      <c r="E369" s="161">
        <f t="shared" si="19"/>
        <v>15264.41338</v>
      </c>
      <c r="F369" s="161">
        <f t="shared" si="4"/>
        <v>13766.77812</v>
      </c>
      <c r="G369" s="161">
        <f t="shared" si="20"/>
        <v>14434.98937</v>
      </c>
      <c r="H369" s="161">
        <f t="shared" si="21"/>
        <v>14145.34544</v>
      </c>
      <c r="I369" s="161">
        <f t="shared" si="22"/>
        <v>14187.96363</v>
      </c>
      <c r="J369" s="162">
        <f t="shared" si="8"/>
        <v>14523.91277</v>
      </c>
      <c r="K369" s="163">
        <f t="shared" si="23"/>
        <v>0.0008646669046</v>
      </c>
      <c r="L369" s="163">
        <f t="shared" si="24"/>
        <v>0.007189836328</v>
      </c>
      <c r="M369" s="163">
        <f t="shared" si="25"/>
        <v>0.1373616302</v>
      </c>
      <c r="N369" s="163">
        <f t="shared" si="26"/>
        <v>-0.007425828392</v>
      </c>
      <c r="O369" s="164">
        <f t="shared" si="27"/>
        <v>-0.02362012695</v>
      </c>
      <c r="P369" s="164">
        <f t="shared" si="16"/>
        <v>0.09086815642</v>
      </c>
      <c r="U369" s="168">
        <f t="shared" si="15"/>
        <v>1.098083703</v>
      </c>
    </row>
    <row r="370">
      <c r="A370" s="158">
        <v>45730.0</v>
      </c>
      <c r="B370" s="167">
        <f>DATOS!E372/DATOS!D372</f>
        <v>14292.86561</v>
      </c>
      <c r="C370" s="160">
        <f t="shared" si="17"/>
        <v>12546.00356</v>
      </c>
      <c r="D370" s="160">
        <f t="shared" si="18"/>
        <v>1746.862055</v>
      </c>
      <c r="E370" s="161">
        <f t="shared" si="19"/>
        <v>15262.65559</v>
      </c>
      <c r="F370" s="161">
        <f t="shared" si="4"/>
        <v>13807.69391</v>
      </c>
      <c r="G370" s="161">
        <f t="shared" si="20"/>
        <v>14440.28569</v>
      </c>
      <c r="H370" s="161">
        <f t="shared" si="21"/>
        <v>14122.50486</v>
      </c>
      <c r="I370" s="161">
        <f t="shared" si="22"/>
        <v>14129.33069</v>
      </c>
      <c r="J370" s="162">
        <f t="shared" si="8"/>
        <v>14437.31582</v>
      </c>
      <c r="K370" s="163">
        <f t="shared" si="23"/>
        <v>0.01191369934</v>
      </c>
      <c r="L370" s="163">
        <f t="shared" si="24"/>
        <v>0.007199290109</v>
      </c>
      <c r="M370" s="163">
        <f t="shared" si="25"/>
        <v>0.1375422444</v>
      </c>
      <c r="N370" s="163">
        <f t="shared" si="26"/>
        <v>-0.007434712805</v>
      </c>
      <c r="O370" s="164">
        <f t="shared" si="27"/>
        <v>-0.02362012695</v>
      </c>
      <c r="P370" s="164">
        <f t="shared" si="16"/>
        <v>0.09165391288</v>
      </c>
      <c r="U370" s="168">
        <f t="shared" si="15"/>
        <v>1.406996623</v>
      </c>
    </row>
    <row r="371">
      <c r="A371" s="158">
        <v>45729.0</v>
      </c>
      <c r="B371" s="167">
        <f>DATOS!E373/DATOS!D373</f>
        <v>14123.59503</v>
      </c>
      <c r="C371" s="160">
        <f t="shared" si="17"/>
        <v>12542.17272</v>
      </c>
      <c r="D371" s="160">
        <f t="shared" si="18"/>
        <v>1581.422311</v>
      </c>
      <c r="E371" s="161">
        <f t="shared" si="19"/>
        <v>15260.99597</v>
      </c>
      <c r="F371" s="161">
        <f t="shared" si="4"/>
        <v>13785.44557</v>
      </c>
      <c r="G371" s="161">
        <f t="shared" si="20"/>
        <v>14446.30283</v>
      </c>
      <c r="H371" s="161">
        <f t="shared" si="21"/>
        <v>14098.16761</v>
      </c>
      <c r="I371" s="161">
        <f t="shared" si="22"/>
        <v>14047.56322</v>
      </c>
      <c r="J371" s="162">
        <f t="shared" si="8"/>
        <v>14410.88965</v>
      </c>
      <c r="K371" s="163">
        <f t="shared" si="23"/>
        <v>-0.002675926802</v>
      </c>
      <c r="L371" s="163">
        <f t="shared" si="24"/>
        <v>0.007186177071</v>
      </c>
      <c r="M371" s="163">
        <f t="shared" si="25"/>
        <v>0.1372917202</v>
      </c>
      <c r="N371" s="163">
        <f t="shared" si="26"/>
        <v>-0.007469010369</v>
      </c>
      <c r="O371" s="164">
        <f t="shared" si="27"/>
        <v>-0.02362012695</v>
      </c>
      <c r="P371" s="164">
        <f t="shared" si="16"/>
        <v>0.1024114667</v>
      </c>
      <c r="U371" s="168">
        <f t="shared" si="15"/>
        <v>0.2114059109</v>
      </c>
    </row>
    <row r="372">
      <c r="A372" s="158">
        <v>45728.0</v>
      </c>
      <c r="B372" s="167">
        <f>DATOS!E374/DATOS!D374</f>
        <v>14161.43935</v>
      </c>
      <c r="C372" s="160">
        <f t="shared" si="17"/>
        <v>12538.69707</v>
      </c>
      <c r="D372" s="160">
        <f t="shared" si="18"/>
        <v>1622.742283</v>
      </c>
      <c r="E372" s="161">
        <f t="shared" si="19"/>
        <v>15261.08728</v>
      </c>
      <c r="F372" s="161">
        <f t="shared" si="4"/>
        <v>13728.425</v>
      </c>
      <c r="G372" s="161">
        <f t="shared" si="20"/>
        <v>14459.47458</v>
      </c>
      <c r="H372" s="161">
        <f t="shared" si="21"/>
        <v>14094.53512</v>
      </c>
      <c r="I372" s="161">
        <f t="shared" si="22"/>
        <v>14009.54732</v>
      </c>
      <c r="J372" s="162">
        <f t="shared" si="8"/>
        <v>14460.64524</v>
      </c>
      <c r="K372" s="163">
        <f t="shared" si="23"/>
        <v>0.01915548754</v>
      </c>
      <c r="L372" s="163">
        <f t="shared" si="24"/>
        <v>0.007193456806</v>
      </c>
      <c r="M372" s="163">
        <f t="shared" si="25"/>
        <v>0.1374307993</v>
      </c>
      <c r="N372" s="163">
        <f t="shared" si="26"/>
        <v>-0.007503307934</v>
      </c>
      <c r="O372" s="164">
        <f t="shared" si="27"/>
        <v>-0.02362012695</v>
      </c>
      <c r="P372" s="164">
        <f t="shared" si="16"/>
        <v>0.100006369</v>
      </c>
      <c r="U372" s="168">
        <f t="shared" si="15"/>
        <v>0.4751329593</v>
      </c>
    </row>
    <row r="373">
      <c r="A373" s="158">
        <v>45727.0</v>
      </c>
      <c r="B373" s="167">
        <f>DATOS!E375/DATOS!D375</f>
        <v>13892.75171</v>
      </c>
      <c r="C373" s="160">
        <f t="shared" si="17"/>
        <v>12535.12274</v>
      </c>
      <c r="D373" s="160">
        <f t="shared" si="18"/>
        <v>1357.628967</v>
      </c>
      <c r="E373" s="161">
        <f t="shared" si="19"/>
        <v>15260.76434</v>
      </c>
      <c r="F373" s="161">
        <f t="shared" si="4"/>
        <v>13704.84632</v>
      </c>
      <c r="G373" s="161">
        <f t="shared" si="20"/>
        <v>14471.63929</v>
      </c>
      <c r="H373" s="161">
        <f t="shared" si="21"/>
        <v>14084.97738</v>
      </c>
      <c r="I373" s="161">
        <f t="shared" si="22"/>
        <v>13933.6013</v>
      </c>
      <c r="J373" s="162">
        <f t="shared" si="8"/>
        <v>14465.10843</v>
      </c>
      <c r="K373" s="163">
        <f t="shared" si="23"/>
        <v>-0.005367851071</v>
      </c>
      <c r="L373" s="163">
        <f t="shared" si="24"/>
        <v>0.007140540849</v>
      </c>
      <c r="M373" s="163">
        <f t="shared" si="25"/>
        <v>0.1364198414</v>
      </c>
      <c r="N373" s="163">
        <f t="shared" si="26"/>
        <v>-0.007537605499</v>
      </c>
      <c r="O373" s="164">
        <f t="shared" si="27"/>
        <v>-0.02362012695</v>
      </c>
      <c r="P373" s="164">
        <f t="shared" si="16"/>
        <v>0.1170821165</v>
      </c>
      <c r="U373" s="168">
        <f t="shared" si="15"/>
        <v>-1.314774799</v>
      </c>
    </row>
    <row r="374">
      <c r="A374" s="158">
        <v>45726.0</v>
      </c>
      <c r="B374" s="167">
        <f>DATOS!E376/DATOS!D376</f>
        <v>13967.52644</v>
      </c>
      <c r="C374" s="160">
        <f t="shared" si="17"/>
        <v>12532.12577</v>
      </c>
      <c r="D374" s="160">
        <f t="shared" si="18"/>
        <v>1435.400673</v>
      </c>
      <c r="E374" s="161">
        <f t="shared" si="19"/>
        <v>15263.2659</v>
      </c>
      <c r="F374" s="161">
        <f t="shared" si="4"/>
        <v>13733.18919</v>
      </c>
      <c r="G374" s="161">
        <f t="shared" si="20"/>
        <v>14495.26735</v>
      </c>
      <c r="H374" s="161">
        <f t="shared" si="21"/>
        <v>14112.43819</v>
      </c>
      <c r="I374" s="161">
        <f t="shared" si="22"/>
        <v>13954.0261</v>
      </c>
      <c r="J374" s="162">
        <f t="shared" si="8"/>
        <v>14491.68718</v>
      </c>
      <c r="K374" s="163">
        <f t="shared" si="23"/>
        <v>0.0002310260939</v>
      </c>
      <c r="L374" s="163">
        <f t="shared" si="24"/>
        <v>0.007143036552</v>
      </c>
      <c r="M374" s="163">
        <f t="shared" si="25"/>
        <v>0.1364675217</v>
      </c>
      <c r="N374" s="163">
        <f t="shared" si="26"/>
        <v>-0.007571903064</v>
      </c>
      <c r="O374" s="164">
        <f t="shared" si="27"/>
        <v>-0.02362012695</v>
      </c>
      <c r="P374" s="164">
        <f t="shared" si="16"/>
        <v>0.1123300019</v>
      </c>
      <c r="U374" s="168">
        <f t="shared" si="15"/>
        <v>-0.9934648059</v>
      </c>
    </row>
    <row r="375">
      <c r="A375" s="158">
        <v>45725.0</v>
      </c>
      <c r="B375" s="167">
        <f>DATOS!E377/DATOS!D377</f>
        <v>13964.29995</v>
      </c>
      <c r="C375" s="160">
        <f t="shared" si="17"/>
        <v>12528.9501</v>
      </c>
      <c r="D375" s="160">
        <f t="shared" si="18"/>
        <v>1435.349848</v>
      </c>
      <c r="E375" s="161">
        <f t="shared" si="19"/>
        <v>15264.98143</v>
      </c>
      <c r="F375" s="161">
        <f t="shared" si="4"/>
        <v>13753.4159</v>
      </c>
      <c r="G375" s="161">
        <f t="shared" si="20"/>
        <v>14516.80779</v>
      </c>
      <c r="H375" s="161">
        <f t="shared" si="21"/>
        <v>14133.13986</v>
      </c>
      <c r="I375" s="161">
        <f t="shared" si="22"/>
        <v>13947.27593</v>
      </c>
      <c r="J375" s="162">
        <f t="shared" si="8"/>
        <v>14512.86382</v>
      </c>
      <c r="K375" s="163">
        <f t="shared" si="23"/>
        <v>0.0002310794793</v>
      </c>
      <c r="L375" s="163">
        <f t="shared" si="24"/>
        <v>0.007152499794</v>
      </c>
      <c r="M375" s="163">
        <f t="shared" si="25"/>
        <v>0.1366483167</v>
      </c>
      <c r="N375" s="163">
        <f t="shared" si="26"/>
        <v>-0.007606200628</v>
      </c>
      <c r="O375" s="164">
        <f t="shared" si="27"/>
        <v>-0.02362012695</v>
      </c>
      <c r="P375" s="164">
        <f t="shared" si="16"/>
        <v>0.1125350531</v>
      </c>
      <c r="U375" s="168">
        <f t="shared" si="15"/>
        <v>-1.156060231</v>
      </c>
    </row>
    <row r="376">
      <c r="A376" s="158">
        <v>45724.0</v>
      </c>
      <c r="B376" s="167">
        <v>13961.073461749102</v>
      </c>
      <c r="C376" s="160">
        <f t="shared" si="17"/>
        <v>12525.76751</v>
      </c>
      <c r="D376" s="160">
        <f t="shared" si="18"/>
        <v>1435.305951</v>
      </c>
      <c r="E376" s="161">
        <f t="shared" si="19"/>
        <v>15266.73125</v>
      </c>
      <c r="F376" s="161">
        <f t="shared" si="4"/>
        <v>13777.30017</v>
      </c>
      <c r="G376" s="161">
        <f t="shared" si="20"/>
        <v>14539.35914</v>
      </c>
      <c r="H376" s="161">
        <f t="shared" si="21"/>
        <v>14157.25985</v>
      </c>
      <c r="I376" s="161">
        <f t="shared" si="22"/>
        <v>13938.76392</v>
      </c>
      <c r="J376" s="162">
        <f t="shared" si="8"/>
        <v>14537.21953</v>
      </c>
      <c r="K376" s="163">
        <f t="shared" si="23"/>
        <v>0.00560577518</v>
      </c>
      <c r="L376" s="163">
        <f t="shared" si="24"/>
        <v>0.007162000757</v>
      </c>
      <c r="M376" s="163">
        <f t="shared" si="25"/>
        <v>0.1368298323</v>
      </c>
      <c r="N376" s="163">
        <f t="shared" si="26"/>
        <v>-0.007640498193</v>
      </c>
      <c r="O376" s="164">
        <f t="shared" si="27"/>
        <v>-0.02362012695</v>
      </c>
      <c r="P376" s="164">
        <f t="shared" si="16"/>
        <v>0.1127401044</v>
      </c>
      <c r="U376" s="168">
        <f t="shared" si="15"/>
        <v>-1.342470355</v>
      </c>
    </row>
    <row r="377">
      <c r="A377" s="158">
        <v>45723.0</v>
      </c>
      <c r="B377" s="167">
        <v>13883.029774714514</v>
      </c>
      <c r="C377" s="160">
        <f t="shared" si="17"/>
        <v>12522.57794</v>
      </c>
      <c r="D377" s="160">
        <f t="shared" si="18"/>
        <v>1360.451833</v>
      </c>
      <c r="E377" s="161">
        <f t="shared" si="19"/>
        <v>15268.5157</v>
      </c>
      <c r="F377" s="161">
        <f t="shared" si="4"/>
        <v>13805.70941</v>
      </c>
      <c r="G377" s="161">
        <f t="shared" si="20"/>
        <v>14562.96263</v>
      </c>
      <c r="H377" s="161">
        <f t="shared" si="21"/>
        <v>14185.28648</v>
      </c>
      <c r="I377" s="161">
        <f t="shared" si="22"/>
        <v>13927.60915</v>
      </c>
      <c r="J377" s="162">
        <f t="shared" si="8"/>
        <v>14564.86354</v>
      </c>
      <c r="K377" s="163">
        <f t="shared" si="23"/>
        <v>-0.001137999192</v>
      </c>
      <c r="L377" s="163">
        <f t="shared" si="24"/>
        <v>0.007167217616</v>
      </c>
      <c r="M377" s="163">
        <f t="shared" si="25"/>
        <v>0.1369295003</v>
      </c>
      <c r="N377" s="163">
        <f t="shared" si="26"/>
        <v>-0.007674795758</v>
      </c>
      <c r="O377" s="164">
        <f t="shared" si="27"/>
        <v>-0.02362012695</v>
      </c>
      <c r="P377" s="164">
        <f t="shared" si="16"/>
        <v>0.1176999689</v>
      </c>
      <c r="U377" s="168">
        <f t="shared" si="15"/>
        <v>-2.070376477</v>
      </c>
    </row>
    <row r="378">
      <c r="A378" s="158">
        <v>45722.0</v>
      </c>
      <c r="B378" s="167">
        <v>13898.837644341316</v>
      </c>
      <c r="C378" s="160">
        <f t="shared" si="17"/>
        <v>12519.54798</v>
      </c>
      <c r="D378" s="160">
        <f t="shared" si="18"/>
        <v>1379.289662</v>
      </c>
      <c r="E378" s="161">
        <f t="shared" si="19"/>
        <v>15271.13531</v>
      </c>
      <c r="F378" s="161">
        <f t="shared" si="4"/>
        <v>13346.35944</v>
      </c>
      <c r="G378" s="161">
        <f t="shared" si="20"/>
        <v>14590.71499</v>
      </c>
      <c r="H378" s="161">
        <f t="shared" si="21"/>
        <v>14228.46601</v>
      </c>
      <c r="I378" s="161">
        <f t="shared" si="22"/>
        <v>13949.89884</v>
      </c>
      <c r="J378" s="162">
        <f t="shared" si="8"/>
        <v>15110.57257</v>
      </c>
      <c r="K378" s="163">
        <f t="shared" si="23"/>
        <v>-0.007006430462</v>
      </c>
      <c r="L378" s="163">
        <f t="shared" si="24"/>
        <v>0.007176167437</v>
      </c>
      <c r="M378" s="163">
        <f t="shared" si="25"/>
        <v>0.1371004864</v>
      </c>
      <c r="N378" s="163">
        <f t="shared" si="26"/>
        <v>-0.007709093322</v>
      </c>
      <c r="O378" s="164">
        <f t="shared" si="27"/>
        <v>-0.02362012695</v>
      </c>
      <c r="P378" s="164">
        <f t="shared" si="16"/>
        <v>0.1166953407</v>
      </c>
      <c r="U378" s="168">
        <f t="shared" si="15"/>
        <v>-0.9715761972</v>
      </c>
    </row>
    <row r="379">
      <c r="A379" s="158">
        <v>45721.0</v>
      </c>
      <c r="B379" s="167">
        <v>13996.560829383208</v>
      </c>
      <c r="C379" s="160">
        <f t="shared" si="17"/>
        <v>12516.46921</v>
      </c>
      <c r="D379" s="160">
        <f t="shared" si="18"/>
        <v>1480.091619</v>
      </c>
      <c r="E379" s="161">
        <f t="shared" si="19"/>
        <v>15273.59363</v>
      </c>
      <c r="F379" s="161">
        <f t="shared" si="4"/>
        <v>13121.61721</v>
      </c>
      <c r="G379" s="161">
        <f t="shared" si="20"/>
        <v>14618.95489</v>
      </c>
      <c r="H379" s="161">
        <f t="shared" si="21"/>
        <v>14275.55577</v>
      </c>
      <c r="I379" s="161">
        <f t="shared" si="22"/>
        <v>13975.42943</v>
      </c>
      <c r="J379" s="162">
        <f t="shared" si="8"/>
        <v>15429.49433</v>
      </c>
      <c r="K379" s="163">
        <f t="shared" si="23"/>
        <v>0.00885820908</v>
      </c>
      <c r="L379" s="163">
        <f t="shared" si="24"/>
        <v>0.007174463111</v>
      </c>
      <c r="M379" s="163">
        <f t="shared" si="25"/>
        <v>0.1370679253</v>
      </c>
      <c r="N379" s="163">
        <f t="shared" si="26"/>
        <v>-0.007743390887</v>
      </c>
      <c r="O379" s="164">
        <f t="shared" si="27"/>
        <v>-0.02362012695</v>
      </c>
      <c r="P379" s="164">
        <f t="shared" si="16"/>
        <v>0.1104847965</v>
      </c>
      <c r="U379" s="168">
        <f t="shared" si="15"/>
        <v>-0.6286182626</v>
      </c>
    </row>
    <row r="380">
      <c r="A380" s="158">
        <v>45720.0</v>
      </c>
      <c r="B380" s="167">
        <v>13873.12388941407</v>
      </c>
      <c r="C380" s="160">
        <f t="shared" si="17"/>
        <v>12513.15804</v>
      </c>
      <c r="D380" s="160">
        <f t="shared" si="18"/>
        <v>1359.965846</v>
      </c>
      <c r="E380" s="161">
        <f t="shared" si="19"/>
        <v>15275.00781</v>
      </c>
      <c r="F380" s="161">
        <f t="shared" si="4"/>
        <v>12961.3487</v>
      </c>
      <c r="G380" s="161">
        <f t="shared" si="20"/>
        <v>14644.35872</v>
      </c>
      <c r="H380" s="161">
        <f t="shared" si="21"/>
        <v>14315.41219</v>
      </c>
      <c r="I380" s="161">
        <f t="shared" si="22"/>
        <v>13964.86374</v>
      </c>
      <c r="J380" s="162">
        <f t="shared" si="8"/>
        <v>15669.47569</v>
      </c>
      <c r="K380" s="163">
        <f t="shared" si="23"/>
        <v>0.001860601818</v>
      </c>
      <c r="L380" s="163">
        <f t="shared" si="24"/>
        <v>0.007171853797</v>
      </c>
      <c r="M380" s="163">
        <f t="shared" si="25"/>
        <v>0.1370180744</v>
      </c>
      <c r="N380" s="163">
        <f t="shared" si="26"/>
        <v>-0.007777688452</v>
      </c>
      <c r="O380" s="164">
        <f t="shared" si="27"/>
        <v>-0.02362012695</v>
      </c>
      <c r="P380" s="164">
        <f t="shared" si="16"/>
        <v>0.1183295118</v>
      </c>
      <c r="U380" s="168">
        <f t="shared" si="15"/>
        <v>-0.8492582478</v>
      </c>
    </row>
    <row r="381">
      <c r="A381" s="158">
        <v>45719.0</v>
      </c>
      <c r="B381" s="167">
        <v>13847.33552825711</v>
      </c>
      <c r="C381" s="160">
        <f t="shared" si="17"/>
        <v>12510.10879</v>
      </c>
      <c r="D381" s="160">
        <f t="shared" si="18"/>
        <v>1337.226735</v>
      </c>
      <c r="E381" s="161">
        <f t="shared" si="19"/>
        <v>15277.7496</v>
      </c>
      <c r="F381" s="161">
        <f t="shared" si="4"/>
        <v>12762.78737</v>
      </c>
      <c r="G381" s="161">
        <f t="shared" si="20"/>
        <v>14675.8377</v>
      </c>
      <c r="H381" s="161">
        <f t="shared" si="21"/>
        <v>14378.59624</v>
      </c>
      <c r="I381" s="161">
        <f t="shared" si="22"/>
        <v>14010.73366</v>
      </c>
      <c r="J381" s="162">
        <f t="shared" si="8"/>
        <v>15994.40511</v>
      </c>
      <c r="K381" s="163">
        <f t="shared" si="23"/>
        <v>-0.01183097737</v>
      </c>
      <c r="L381" s="163">
        <f t="shared" si="24"/>
        <v>0.007181338096</v>
      </c>
      <c r="M381" s="163">
        <f t="shared" si="25"/>
        <v>0.1371992717</v>
      </c>
      <c r="N381" s="163">
        <f t="shared" si="26"/>
        <v>-0.007811986017</v>
      </c>
      <c r="O381" s="164">
        <f t="shared" si="27"/>
        <v>-0.02362012695</v>
      </c>
      <c r="P381" s="164">
        <f t="shared" si="16"/>
        <v>0.1199684244</v>
      </c>
      <c r="U381" s="168">
        <f t="shared" si="15"/>
        <v>-0.8548522463</v>
      </c>
    </row>
    <row r="382">
      <c r="A382" s="158">
        <v>45718.0</v>
      </c>
      <c r="B382" s="167">
        <v>14012.135994505934</v>
      </c>
      <c r="C382" s="160">
        <f t="shared" si="17"/>
        <v>12507.10379</v>
      </c>
      <c r="D382" s="160">
        <f t="shared" si="18"/>
        <v>1505.032205</v>
      </c>
      <c r="E382" s="161">
        <f t="shared" si="19"/>
        <v>15280.77939</v>
      </c>
      <c r="F382" s="161">
        <f t="shared" si="4"/>
        <v>12685.85054</v>
      </c>
      <c r="G382" s="161">
        <f t="shared" si="20"/>
        <v>14709.65411</v>
      </c>
      <c r="H382" s="161">
        <f t="shared" si="21"/>
        <v>14454.49062</v>
      </c>
      <c r="I382" s="161">
        <f t="shared" si="22"/>
        <v>14092.43272</v>
      </c>
      <c r="J382" s="162">
        <f t="shared" si="8"/>
        <v>16223.13071</v>
      </c>
      <c r="K382" s="163">
        <f t="shared" si="23"/>
        <v>0.0002119376146</v>
      </c>
      <c r="L382" s="163">
        <f t="shared" si="24"/>
        <v>0.007160981249</v>
      </c>
      <c r="M382" s="163">
        <f t="shared" si="25"/>
        <v>0.1368103547</v>
      </c>
      <c r="N382" s="163">
        <f t="shared" si="26"/>
        <v>-0.0073636375</v>
      </c>
      <c r="O382" s="164">
        <f t="shared" si="27"/>
        <v>-0.02362012695</v>
      </c>
      <c r="P382" s="164">
        <f t="shared" si="16"/>
        <v>0.1094949572</v>
      </c>
      <c r="U382" s="168">
        <f t="shared" si="15"/>
        <v>-0.6502860851</v>
      </c>
    </row>
    <row r="383">
      <c r="A383" s="158">
        <v>45717.0</v>
      </c>
      <c r="B383" s="167">
        <v>14009.166610501314</v>
      </c>
      <c r="C383" s="160">
        <f t="shared" si="17"/>
        <v>12503.71408</v>
      </c>
      <c r="D383" s="160">
        <f t="shared" si="18"/>
        <v>1505.452534</v>
      </c>
      <c r="E383" s="161">
        <f t="shared" si="19"/>
        <v>15282.03461</v>
      </c>
      <c r="F383" s="161">
        <f t="shared" si="4"/>
        <v>12635.96463</v>
      </c>
      <c r="G383" s="161">
        <f t="shared" si="20"/>
        <v>14738.12424</v>
      </c>
      <c r="H383" s="161">
        <f t="shared" si="21"/>
        <v>14517.68414</v>
      </c>
      <c r="I383" s="161">
        <f t="shared" si="22"/>
        <v>14132.58109</v>
      </c>
      <c r="J383" s="162">
        <f t="shared" si="8"/>
        <v>16399.40366</v>
      </c>
      <c r="K383" s="163">
        <f t="shared" si="23"/>
        <v>0.0002119825417</v>
      </c>
      <c r="L383" s="163">
        <f t="shared" si="24"/>
        <v>0.007170665686</v>
      </c>
      <c r="M383" s="163">
        <f t="shared" si="25"/>
        <v>0.1369953756</v>
      </c>
      <c r="N383" s="163">
        <f t="shared" si="26"/>
        <v>-0.007372521913</v>
      </c>
      <c r="O383" s="164">
        <f t="shared" si="27"/>
        <v>-0.02362012695</v>
      </c>
      <c r="P383" s="164">
        <f t="shared" si="16"/>
        <v>0.1096836687</v>
      </c>
      <c r="U383" s="168">
        <f t="shared" si="15"/>
        <v>-0.7026262803</v>
      </c>
    </row>
    <row r="384">
      <c r="A384" s="158">
        <v>45716.0</v>
      </c>
      <c r="B384" s="167">
        <v>14006.197226496695</v>
      </c>
      <c r="C384" s="160">
        <f t="shared" si="17"/>
        <v>12500.31576</v>
      </c>
      <c r="D384" s="160">
        <f t="shared" si="18"/>
        <v>1505.881462</v>
      </c>
      <c r="E384" s="161">
        <f t="shared" si="19"/>
        <v>15283.31707</v>
      </c>
      <c r="F384" s="161">
        <f t="shared" si="4"/>
        <v>12649.37414</v>
      </c>
      <c r="G384" s="161">
        <f t="shared" si="20"/>
        <v>14767.87761</v>
      </c>
      <c r="H384" s="161">
        <f t="shared" si="21"/>
        <v>14590.3295</v>
      </c>
      <c r="I384" s="161">
        <f t="shared" si="22"/>
        <v>14194.28833</v>
      </c>
      <c r="J384" s="162">
        <f t="shared" si="8"/>
        <v>16531.28487</v>
      </c>
      <c r="K384" s="163">
        <f t="shared" si="23"/>
        <v>-0.01994195307</v>
      </c>
      <c r="L384" s="163">
        <f t="shared" si="24"/>
        <v>0.007180389529</v>
      </c>
      <c r="M384" s="163">
        <f t="shared" si="25"/>
        <v>0.1371811493</v>
      </c>
      <c r="N384" s="163">
        <f t="shared" si="26"/>
        <v>-0.007381406326</v>
      </c>
      <c r="O384" s="164">
        <f t="shared" si="27"/>
        <v>-0.02362012695</v>
      </c>
      <c r="P384" s="164">
        <f t="shared" si="16"/>
        <v>0.1098723803</v>
      </c>
      <c r="U384" s="168">
        <f t="shared" si="15"/>
        <v>-0.7824723578</v>
      </c>
    </row>
    <row r="385">
      <c r="A385" s="158">
        <v>45715.0</v>
      </c>
      <c r="B385" s="167">
        <v>14288.31176242411</v>
      </c>
      <c r="C385" s="160">
        <f t="shared" si="17"/>
        <v>12496.90879</v>
      </c>
      <c r="D385" s="160">
        <f t="shared" si="18"/>
        <v>1791.40297</v>
      </c>
      <c r="E385" s="161">
        <f t="shared" si="19"/>
        <v>15284.62702</v>
      </c>
      <c r="F385" s="161">
        <f t="shared" si="4"/>
        <v>12740.88376</v>
      </c>
      <c r="G385" s="161">
        <f t="shared" si="20"/>
        <v>14798.96661</v>
      </c>
      <c r="H385" s="161">
        <f t="shared" si="21"/>
        <v>14673.77697</v>
      </c>
      <c r="I385" s="161">
        <f t="shared" si="22"/>
        <v>14288.33388</v>
      </c>
      <c r="J385" s="162">
        <f t="shared" si="8"/>
        <v>16606.67018</v>
      </c>
      <c r="K385" s="163">
        <f t="shared" si="23"/>
        <v>-0.0007835088158</v>
      </c>
      <c r="L385" s="163">
        <f t="shared" si="24"/>
        <v>0.007107558684</v>
      </c>
      <c r="M385" s="163">
        <f t="shared" si="25"/>
        <v>0.135789718</v>
      </c>
      <c r="N385" s="163">
        <f t="shared" si="26"/>
        <v>-0.007194488754</v>
      </c>
      <c r="O385" s="164">
        <f t="shared" si="27"/>
        <v>-0.0187667579</v>
      </c>
      <c r="P385" s="164">
        <f t="shared" si="16"/>
        <v>0.09194332098</v>
      </c>
      <c r="U385" s="168">
        <f t="shared" si="15"/>
        <v>-0.5185022835</v>
      </c>
    </row>
    <row r="386">
      <c r="A386" s="158">
        <v>45714.0</v>
      </c>
      <c r="B386" s="167">
        <v>14299.511167495848</v>
      </c>
      <c r="C386" s="160">
        <f t="shared" si="17"/>
        <v>12492.84665</v>
      </c>
      <c r="D386" s="160">
        <f t="shared" si="18"/>
        <v>1806.664513</v>
      </c>
      <c r="E386" s="161">
        <f t="shared" si="19"/>
        <v>15282.84906</v>
      </c>
      <c r="F386" s="161">
        <f t="shared" si="4"/>
        <v>12779.78424</v>
      </c>
      <c r="G386" s="161">
        <f t="shared" si="20"/>
        <v>14819.80966</v>
      </c>
      <c r="H386" s="161">
        <f t="shared" si="21"/>
        <v>14728.84343</v>
      </c>
      <c r="I386" s="161">
        <f t="shared" si="22"/>
        <v>14288.34494</v>
      </c>
      <c r="J386" s="162">
        <f t="shared" si="8"/>
        <v>16677.90262</v>
      </c>
      <c r="K386" s="163">
        <f t="shared" si="23"/>
        <v>0.005569483773</v>
      </c>
      <c r="L386" s="163">
        <f t="shared" si="24"/>
        <v>0.007116794871</v>
      </c>
      <c r="M386" s="163">
        <f t="shared" si="25"/>
        <v>0.1359661751</v>
      </c>
      <c r="N386" s="163">
        <f t="shared" si="26"/>
        <v>-0.007206995912</v>
      </c>
      <c r="O386" s="164">
        <f t="shared" si="27"/>
        <v>-0.0187667579</v>
      </c>
      <c r="P386" s="164">
        <f t="shared" si="16"/>
        <v>0.09123157177</v>
      </c>
      <c r="U386" s="168">
        <f t="shared" si="15"/>
        <v>-0.5727193348</v>
      </c>
    </row>
    <row r="387">
      <c r="A387" s="158">
        <v>45713.0</v>
      </c>
      <c r="B387" s="167">
        <v>14220.09164026779</v>
      </c>
      <c r="C387" s="160">
        <f t="shared" si="17"/>
        <v>12488.7406</v>
      </c>
      <c r="D387" s="160">
        <f t="shared" si="18"/>
        <v>1731.351042</v>
      </c>
      <c r="E387" s="161">
        <f t="shared" si="19"/>
        <v>15280.91396</v>
      </c>
      <c r="F387" s="161">
        <f t="shared" si="4"/>
        <v>12847.16591</v>
      </c>
      <c r="G387" s="161">
        <f t="shared" si="20"/>
        <v>14841.04634</v>
      </c>
      <c r="H387" s="161">
        <f t="shared" si="21"/>
        <v>14790.17661</v>
      </c>
      <c r="I387" s="161">
        <f t="shared" si="22"/>
        <v>14282.76183</v>
      </c>
      <c r="J387" s="162">
        <f t="shared" si="8"/>
        <v>16733.18731</v>
      </c>
      <c r="K387" s="163">
        <f t="shared" si="23"/>
        <v>0.006105670078</v>
      </c>
      <c r="L387" s="163">
        <f t="shared" si="24"/>
        <v>0.007122292039</v>
      </c>
      <c r="M387" s="163">
        <f t="shared" si="25"/>
        <v>0.1360711983</v>
      </c>
      <c r="N387" s="163">
        <f t="shared" si="26"/>
        <v>-0.00721950307</v>
      </c>
      <c r="O387" s="164">
        <f t="shared" si="27"/>
        <v>-0.0187667579</v>
      </c>
      <c r="P387" s="164">
        <f t="shared" si="16"/>
        <v>0.09627887431</v>
      </c>
      <c r="U387" s="168">
        <f t="shared" si="15"/>
        <v>-0.7628475343</v>
      </c>
    </row>
    <row r="388">
      <c r="A388" s="158">
        <v>45712.0</v>
      </c>
      <c r="B388" s="167">
        <v>14133.532970475759</v>
      </c>
      <c r="C388" s="160">
        <f t="shared" si="17"/>
        <v>12484.79675</v>
      </c>
      <c r="D388" s="160">
        <f t="shared" si="18"/>
        <v>1648.736224</v>
      </c>
      <c r="E388" s="161">
        <f t="shared" si="19"/>
        <v>15279.81553</v>
      </c>
      <c r="F388" s="161">
        <f t="shared" si="4"/>
        <v>12981.77491</v>
      </c>
      <c r="G388" s="161">
        <f t="shared" si="20"/>
        <v>14866.39143</v>
      </c>
      <c r="H388" s="161">
        <f t="shared" si="21"/>
        <v>14871.61732</v>
      </c>
      <c r="I388" s="161">
        <f t="shared" si="22"/>
        <v>14314.09692</v>
      </c>
      <c r="J388" s="162">
        <f t="shared" si="8"/>
        <v>16761.45973</v>
      </c>
      <c r="K388" s="163">
        <f t="shared" si="23"/>
        <v>0.01226472138</v>
      </c>
      <c r="L388" s="163">
        <f t="shared" si="24"/>
        <v>0.007126751699</v>
      </c>
      <c r="M388" s="163">
        <f t="shared" si="25"/>
        <v>0.1361564</v>
      </c>
      <c r="N388" s="163">
        <f t="shared" si="26"/>
        <v>-0.007232010228</v>
      </c>
      <c r="O388" s="164">
        <f t="shared" si="27"/>
        <v>-0.0187667579</v>
      </c>
      <c r="P388" s="164">
        <f t="shared" si="16"/>
        <v>0.1017798866</v>
      </c>
      <c r="U388" s="168">
        <f t="shared" si="15"/>
        <v>-1.0154388</v>
      </c>
    </row>
    <row r="389">
      <c r="A389" s="158">
        <v>45711.0</v>
      </c>
      <c r="B389" s="167">
        <v>13961.247800883812</v>
      </c>
      <c r="C389" s="160">
        <f t="shared" si="17"/>
        <v>12481.03251</v>
      </c>
      <c r="D389" s="160">
        <f t="shared" si="18"/>
        <v>1480.215292</v>
      </c>
      <c r="E389" s="161">
        <f t="shared" si="19"/>
        <v>15279.64276</v>
      </c>
      <c r="F389" s="161">
        <f t="shared" si="4"/>
        <v>13224.98623</v>
      </c>
      <c r="G389" s="161">
        <f t="shared" si="20"/>
        <v>14896.30402</v>
      </c>
      <c r="H389" s="161">
        <f t="shared" si="21"/>
        <v>14977.05794</v>
      </c>
      <c r="I389" s="161">
        <f t="shared" si="22"/>
        <v>14404.3789</v>
      </c>
      <c r="J389" s="162">
        <f t="shared" si="8"/>
        <v>16729.12965</v>
      </c>
      <c r="K389" s="163">
        <f t="shared" si="23"/>
        <v>0</v>
      </c>
      <c r="L389" s="163">
        <f t="shared" si="24"/>
        <v>0.007111138106</v>
      </c>
      <c r="M389" s="163">
        <f t="shared" si="25"/>
        <v>0.1358581028</v>
      </c>
      <c r="N389" s="163">
        <f t="shared" si="26"/>
        <v>-0.007244517386</v>
      </c>
      <c r="O389" s="164">
        <f t="shared" si="27"/>
        <v>-0.0187667579</v>
      </c>
      <c r="P389" s="164">
        <f t="shared" si="16"/>
        <v>0.1127290247</v>
      </c>
      <c r="U389" s="168">
        <f t="shared" si="15"/>
        <v>-1.507419103</v>
      </c>
    </row>
    <row r="390">
      <c r="A390" s="158">
        <v>45710.0</v>
      </c>
      <c r="B390" s="167">
        <v>13961.247800883812</v>
      </c>
      <c r="C390" s="160">
        <f t="shared" si="17"/>
        <v>12477.64529</v>
      </c>
      <c r="D390" s="160">
        <f t="shared" si="18"/>
        <v>1483.602513</v>
      </c>
      <c r="E390" s="161">
        <f t="shared" si="19"/>
        <v>15281.35434</v>
      </c>
      <c r="F390" s="161">
        <f t="shared" si="4"/>
        <v>13634.1241</v>
      </c>
      <c r="G390" s="161">
        <f t="shared" si="20"/>
        <v>14934.46958</v>
      </c>
      <c r="H390" s="161">
        <f t="shared" si="21"/>
        <v>15122.17368</v>
      </c>
      <c r="I390" s="161">
        <f t="shared" si="22"/>
        <v>14625.94444</v>
      </c>
      <c r="J390" s="162">
        <f t="shared" si="8"/>
        <v>16610.22326</v>
      </c>
      <c r="K390" s="163">
        <f t="shared" si="23"/>
        <v>-0.009156688512</v>
      </c>
      <c r="L390" s="163">
        <f t="shared" si="24"/>
        <v>0.007120882183</v>
      </c>
      <c r="M390" s="163">
        <f t="shared" si="25"/>
        <v>0.1360442631</v>
      </c>
      <c r="N390" s="163">
        <f t="shared" si="26"/>
        <v>-0.007257024544</v>
      </c>
      <c r="O390" s="164">
        <f t="shared" si="27"/>
        <v>-0.0187667579</v>
      </c>
      <c r="P390" s="164">
        <f t="shared" si="16"/>
        <v>0.1127290247</v>
      </c>
      <c r="U390" s="168">
        <f t="shared" si="15"/>
        <v>-2.028431927</v>
      </c>
    </row>
    <row r="391">
      <c r="A391" s="158">
        <v>45709.0</v>
      </c>
      <c r="B391" s="167">
        <v>14089.673678792866</v>
      </c>
      <c r="C391" s="160">
        <f t="shared" si="17"/>
        <v>12474.24253</v>
      </c>
      <c r="D391" s="160">
        <f t="shared" si="18"/>
        <v>1615.431149</v>
      </c>
      <c r="E391" s="161">
        <f t="shared" si="19"/>
        <v>15283.0647</v>
      </c>
      <c r="F391" s="161">
        <f t="shared" si="4"/>
        <v>14196.92169</v>
      </c>
      <c r="G391" s="161">
        <f t="shared" si="20"/>
        <v>14974.19291</v>
      </c>
      <c r="H391" s="161">
        <f t="shared" si="21"/>
        <v>15288.02023</v>
      </c>
      <c r="I391" s="161">
        <f t="shared" si="22"/>
        <v>14958.29277</v>
      </c>
      <c r="J391" s="162">
        <f t="shared" si="8"/>
        <v>16379.11877</v>
      </c>
      <c r="K391" s="163">
        <f t="shared" si="23"/>
        <v>-0.07844536484</v>
      </c>
      <c r="L391" s="163">
        <f t="shared" si="24"/>
        <v>0.007111335177</v>
      </c>
      <c r="M391" s="163">
        <f t="shared" si="25"/>
        <v>0.1358618678</v>
      </c>
      <c r="N391" s="163">
        <f t="shared" si="26"/>
        <v>-0.007019388541</v>
      </c>
      <c r="O391" s="164">
        <f t="shared" si="27"/>
        <v>-0.01750683748</v>
      </c>
      <c r="P391" s="164">
        <f t="shared" si="16"/>
        <v>0.1045672504</v>
      </c>
      <c r="U391" s="168">
        <f t="shared" si="15"/>
        <v>-2.855563385</v>
      </c>
    </row>
    <row r="392">
      <c r="A392" s="158">
        <v>45708.0</v>
      </c>
      <c r="B392" s="167">
        <v>15239.451071936901</v>
      </c>
      <c r="C392" s="160">
        <f t="shared" si="17"/>
        <v>12470.5289</v>
      </c>
      <c r="D392" s="160">
        <f t="shared" si="18"/>
        <v>2768.922177</v>
      </c>
      <c r="E392" s="161">
        <f t="shared" si="19"/>
        <v>15283.3468</v>
      </c>
      <c r="F392" s="161">
        <f t="shared" si="4"/>
        <v>15021.19162</v>
      </c>
      <c r="G392" s="161">
        <f t="shared" si="20"/>
        <v>15010.29574</v>
      </c>
      <c r="H392" s="161">
        <f t="shared" si="21"/>
        <v>15459.21259</v>
      </c>
      <c r="I392" s="161">
        <f t="shared" si="22"/>
        <v>15392.60231</v>
      </c>
      <c r="J392" s="162">
        <f t="shared" si="8"/>
        <v>15897.23357</v>
      </c>
      <c r="K392" s="163">
        <f t="shared" si="23"/>
        <v>-0.002146129945</v>
      </c>
      <c r="L392" s="163">
        <f t="shared" si="24"/>
        <v>0.005753964964</v>
      </c>
      <c r="M392" s="163">
        <f t="shared" si="25"/>
        <v>0.1099293463</v>
      </c>
      <c r="N392" s="163">
        <f t="shared" si="26"/>
        <v>-0.00698893795</v>
      </c>
      <c r="O392" s="164">
        <f t="shared" si="27"/>
        <v>-0.005726736328</v>
      </c>
      <c r="P392" s="164">
        <f t="shared" si="16"/>
        <v>0.03149612351</v>
      </c>
      <c r="U392" s="168">
        <f t="shared" si="15"/>
        <v>-1.304458003</v>
      </c>
    </row>
    <row r="393">
      <c r="A393" s="158">
        <v>45707.0</v>
      </c>
      <c r="B393" s="167">
        <v>15272.19203483572</v>
      </c>
      <c r="C393" s="160">
        <f t="shared" si="17"/>
        <v>12464.14889</v>
      </c>
      <c r="D393" s="160">
        <f t="shared" si="18"/>
        <v>2808.043145</v>
      </c>
      <c r="E393" s="161">
        <f t="shared" si="19"/>
        <v>15270.80269</v>
      </c>
      <c r="F393" s="161">
        <f t="shared" si="4"/>
        <v>15126.27071</v>
      </c>
      <c r="G393" s="161">
        <f t="shared" si="20"/>
        <v>15000.94246</v>
      </c>
      <c r="H393" s="161">
        <f t="shared" si="21"/>
        <v>15490.6071</v>
      </c>
      <c r="I393" s="161">
        <f t="shared" si="22"/>
        <v>15469.17793</v>
      </c>
      <c r="J393" s="162">
        <f t="shared" si="8"/>
        <v>15854.94349</v>
      </c>
      <c r="K393" s="163">
        <f t="shared" si="23"/>
        <v>-0.002488731721</v>
      </c>
      <c r="L393" s="163">
        <f t="shared" si="24"/>
        <v>0.005759524118</v>
      </c>
      <c r="M393" s="163">
        <f t="shared" si="25"/>
        <v>0.1100355538</v>
      </c>
      <c r="N393" s="163">
        <f t="shared" si="26"/>
        <v>-0.006989934808</v>
      </c>
      <c r="O393" s="164">
        <f t="shared" si="27"/>
        <v>-0.007326954669</v>
      </c>
      <c r="P393" s="164">
        <f t="shared" si="16"/>
        <v>0.02941535634</v>
      </c>
      <c r="U393" s="168">
        <f t="shared" si="15"/>
        <v>-1.558667159</v>
      </c>
    </row>
    <row r="394">
      <c r="A394" s="158">
        <v>45706.0</v>
      </c>
      <c r="B394" s="167">
        <v>15310.247759203112</v>
      </c>
      <c r="C394" s="160">
        <f t="shared" si="17"/>
        <v>12457.6638</v>
      </c>
      <c r="D394" s="160">
        <f t="shared" si="18"/>
        <v>2852.583957</v>
      </c>
      <c r="E394" s="161">
        <f t="shared" si="19"/>
        <v>15257.75191</v>
      </c>
      <c r="F394" s="161">
        <f t="shared" si="4"/>
        <v>15201.11781</v>
      </c>
      <c r="G394" s="161">
        <f t="shared" si="20"/>
        <v>14989.87105</v>
      </c>
      <c r="H394" s="161">
        <f t="shared" si="21"/>
        <v>15521.80925</v>
      </c>
      <c r="I394" s="161">
        <f t="shared" si="22"/>
        <v>15567.67087</v>
      </c>
      <c r="J394" s="162">
        <f t="shared" si="8"/>
        <v>15842.50069</v>
      </c>
      <c r="K394" s="163">
        <f t="shared" si="23"/>
        <v>-0.02662954194</v>
      </c>
      <c r="L394" s="163">
        <f t="shared" si="24"/>
        <v>0.005764529498</v>
      </c>
      <c r="M394" s="163">
        <f t="shared" si="25"/>
        <v>0.1101311814</v>
      </c>
      <c r="N394" s="163">
        <f t="shared" si="26"/>
        <v>-0.006990931665</v>
      </c>
      <c r="O394" s="164">
        <f t="shared" si="27"/>
        <v>-0.007326954669</v>
      </c>
      <c r="P394" s="164">
        <f t="shared" si="16"/>
        <v>0.02699682326</v>
      </c>
      <c r="U394" s="168">
        <f t="shared" si="15"/>
        <v>-1.715230914</v>
      </c>
    </row>
    <row r="395">
      <c r="A395" s="158">
        <v>45705.0</v>
      </c>
      <c r="B395" s="167">
        <v>15723.429649762747</v>
      </c>
      <c r="C395" s="160">
        <f t="shared" si="17"/>
        <v>12451.0606</v>
      </c>
      <c r="D395" s="160">
        <f t="shared" si="18"/>
        <v>3272.369051</v>
      </c>
      <c r="E395" s="161">
        <f t="shared" si="19"/>
        <v>15244.12853</v>
      </c>
      <c r="F395" s="161">
        <f t="shared" si="4"/>
        <v>15218.33944</v>
      </c>
      <c r="G395" s="161">
        <f t="shared" si="20"/>
        <v>14976.79445</v>
      </c>
      <c r="H395" s="161">
        <f t="shared" si="21"/>
        <v>15552.03232</v>
      </c>
      <c r="I395" s="161">
        <f t="shared" si="22"/>
        <v>15696.38243</v>
      </c>
      <c r="J395" s="162">
        <f t="shared" si="8"/>
        <v>15885.7252</v>
      </c>
      <c r="K395" s="163">
        <f t="shared" si="23"/>
        <v>0.001275301788</v>
      </c>
      <c r="L395" s="163">
        <f t="shared" si="24"/>
        <v>0.005581742416</v>
      </c>
      <c r="M395" s="163">
        <f t="shared" si="25"/>
        <v>0.1066390391</v>
      </c>
      <c r="N395" s="163">
        <f t="shared" si="26"/>
        <v>-0.006794737555</v>
      </c>
      <c r="O395" s="164">
        <f t="shared" si="27"/>
        <v>-0.005726736328</v>
      </c>
      <c r="P395" s="164">
        <f t="shared" si="16"/>
        <v>0.0007381174258</v>
      </c>
      <c r="U395" s="168">
        <f t="shared" si="15"/>
        <v>1.335458698</v>
      </c>
    </row>
    <row r="396">
      <c r="A396" s="158">
        <v>45704.0</v>
      </c>
      <c r="B396" s="167">
        <v>15703.390312637433</v>
      </c>
      <c r="C396" s="160">
        <f t="shared" si="17"/>
        <v>12443.4681</v>
      </c>
      <c r="D396" s="160">
        <f t="shared" si="18"/>
        <v>3259.922218</v>
      </c>
      <c r="E396" s="161">
        <f t="shared" si="19"/>
        <v>15225.71041</v>
      </c>
      <c r="F396" s="161">
        <f t="shared" si="4"/>
        <v>15166.29155</v>
      </c>
      <c r="G396" s="161">
        <f t="shared" si="20"/>
        <v>14946.31954</v>
      </c>
      <c r="H396" s="161">
        <f t="shared" si="21"/>
        <v>15527.54699</v>
      </c>
      <c r="I396" s="161">
        <f t="shared" si="22"/>
        <v>15682.85882</v>
      </c>
      <c r="J396" s="162">
        <f t="shared" si="8"/>
        <v>15888.80243</v>
      </c>
      <c r="K396" s="163">
        <f t="shared" si="23"/>
        <v>0</v>
      </c>
      <c r="L396" s="163">
        <f t="shared" si="24"/>
        <v>0.005589616627</v>
      </c>
      <c r="M396" s="163">
        <f t="shared" si="25"/>
        <v>0.1067894757</v>
      </c>
      <c r="N396" s="163">
        <f t="shared" si="26"/>
        <v>-0.006807551333</v>
      </c>
      <c r="O396" s="164">
        <f t="shared" si="27"/>
        <v>-0.005726736328</v>
      </c>
      <c r="P396" s="164">
        <f t="shared" si="16"/>
        <v>0.002011665639</v>
      </c>
      <c r="U396" s="168">
        <f t="shared" si="15"/>
        <v>1.265566122</v>
      </c>
    </row>
    <row r="397">
      <c r="A397" s="158">
        <v>45703.0</v>
      </c>
      <c r="B397" s="167">
        <v>15703.390312637433</v>
      </c>
      <c r="C397" s="160">
        <f t="shared" si="17"/>
        <v>12435.88688</v>
      </c>
      <c r="D397" s="160">
        <f t="shared" si="18"/>
        <v>3267.503432</v>
      </c>
      <c r="E397" s="161">
        <f t="shared" si="19"/>
        <v>15207.31815</v>
      </c>
      <c r="F397" s="161">
        <f t="shared" si="4"/>
        <v>15122.8917</v>
      </c>
      <c r="G397" s="161">
        <f t="shared" si="20"/>
        <v>14915.41869</v>
      </c>
      <c r="H397" s="161">
        <f t="shared" si="21"/>
        <v>15502.42651</v>
      </c>
      <c r="I397" s="161">
        <f t="shared" si="22"/>
        <v>15672.59308</v>
      </c>
      <c r="J397" s="162">
        <f t="shared" si="8"/>
        <v>15881.96132</v>
      </c>
      <c r="K397" s="163">
        <f t="shared" si="23"/>
        <v>0</v>
      </c>
      <c r="L397" s="163">
        <f t="shared" si="24"/>
        <v>0.005597193548</v>
      </c>
      <c r="M397" s="163">
        <f t="shared" si="25"/>
        <v>0.1069342326</v>
      </c>
      <c r="N397" s="163">
        <f t="shared" si="26"/>
        <v>-0.006820365112</v>
      </c>
      <c r="O397" s="164">
        <f t="shared" si="27"/>
        <v>-0.005726736328</v>
      </c>
      <c r="P397" s="164">
        <f t="shared" si="16"/>
        <v>0.002011665639</v>
      </c>
      <c r="U397" s="168">
        <f t="shared" si="15"/>
        <v>1.376700805</v>
      </c>
    </row>
    <row r="398">
      <c r="A398" s="158">
        <v>45702.0</v>
      </c>
      <c r="B398" s="167">
        <v>15703.390312637433</v>
      </c>
      <c r="C398" s="160">
        <f t="shared" si="17"/>
        <v>12428.27032</v>
      </c>
      <c r="D398" s="160">
        <f t="shared" si="18"/>
        <v>3275.11999</v>
      </c>
      <c r="E398" s="161">
        <f t="shared" si="19"/>
        <v>15188.72566</v>
      </c>
      <c r="F398" s="161">
        <f t="shared" si="4"/>
        <v>15086.54183</v>
      </c>
      <c r="G398" s="161">
        <f t="shared" si="20"/>
        <v>14883.25659</v>
      </c>
      <c r="H398" s="161">
        <f t="shared" si="21"/>
        <v>15473.7174</v>
      </c>
      <c r="I398" s="161">
        <f t="shared" si="22"/>
        <v>15657.19446</v>
      </c>
      <c r="J398" s="162">
        <f t="shared" si="8"/>
        <v>15860.89297</v>
      </c>
      <c r="K398" s="163">
        <f t="shared" si="23"/>
        <v>0.006028332261</v>
      </c>
      <c r="L398" s="163">
        <f t="shared" si="24"/>
        <v>0.005604801289</v>
      </c>
      <c r="M398" s="163">
        <f t="shared" si="25"/>
        <v>0.1070795783</v>
      </c>
      <c r="N398" s="163">
        <f t="shared" si="26"/>
        <v>-0.006833178891</v>
      </c>
      <c r="O398" s="164">
        <f t="shared" si="27"/>
        <v>-0.005726736328</v>
      </c>
      <c r="P398" s="164">
        <f t="shared" si="16"/>
        <v>0.002011665639</v>
      </c>
      <c r="U398" s="168">
        <f t="shared" si="15"/>
        <v>1.54232245</v>
      </c>
    </row>
    <row r="399">
      <c r="A399" s="158">
        <v>45701.0</v>
      </c>
      <c r="B399" s="167">
        <v>15609.009822504157</v>
      </c>
      <c r="C399" s="160">
        <f t="shared" si="17"/>
        <v>12420.61817</v>
      </c>
      <c r="D399" s="160">
        <f t="shared" si="18"/>
        <v>3188.39165</v>
      </c>
      <c r="E399" s="161">
        <f t="shared" si="19"/>
        <v>15169.93044</v>
      </c>
      <c r="F399" s="161">
        <f t="shared" si="4"/>
        <v>15069.86391</v>
      </c>
      <c r="G399" s="161">
        <f t="shared" si="20"/>
        <v>14849.78174</v>
      </c>
      <c r="H399" s="161">
        <f t="shared" si="21"/>
        <v>15440.90698</v>
      </c>
      <c r="I399" s="161">
        <f t="shared" si="22"/>
        <v>15634.09653</v>
      </c>
      <c r="J399" s="162">
        <f t="shared" si="8"/>
        <v>15811.95005</v>
      </c>
      <c r="K399" s="163">
        <f t="shared" si="23"/>
        <v>-0.003280477781</v>
      </c>
      <c r="L399" s="163">
        <f t="shared" si="24"/>
        <v>0.005606732014</v>
      </c>
      <c r="M399" s="163">
        <f t="shared" si="25"/>
        <v>0.1071164647</v>
      </c>
      <c r="N399" s="163">
        <f t="shared" si="26"/>
        <v>-0.00684599267</v>
      </c>
      <c r="O399" s="164">
        <f t="shared" si="27"/>
        <v>-0.005726736328</v>
      </c>
      <c r="P399" s="164">
        <f t="shared" si="16"/>
        <v>0.008009773454</v>
      </c>
      <c r="U399" s="168">
        <f t="shared" si="15"/>
        <v>1.177942466</v>
      </c>
    </row>
    <row r="400">
      <c r="A400" s="158">
        <v>45700.0</v>
      </c>
      <c r="B400" s="167">
        <v>15660.298912771672</v>
      </c>
      <c r="C400" s="160">
        <f t="shared" si="17"/>
        <v>12413.15121</v>
      </c>
      <c r="D400" s="160">
        <f t="shared" si="18"/>
        <v>3247.147699</v>
      </c>
      <c r="E400" s="161">
        <f t="shared" si="19"/>
        <v>15152.00242</v>
      </c>
      <c r="F400" s="161">
        <f t="shared" si="4"/>
        <v>14860.4869</v>
      </c>
      <c r="G400" s="161">
        <f t="shared" si="20"/>
        <v>14818.79284</v>
      </c>
      <c r="H400" s="161">
        <f t="shared" si="21"/>
        <v>15416.89229</v>
      </c>
      <c r="I400" s="161">
        <f t="shared" si="22"/>
        <v>15646.63989</v>
      </c>
      <c r="J400" s="162">
        <f t="shared" si="8"/>
        <v>15973.29768</v>
      </c>
      <c r="K400" s="163">
        <f t="shared" si="23"/>
        <v>-0.002839652963</v>
      </c>
      <c r="L400" s="163">
        <f t="shared" si="24"/>
        <v>0.005609744945</v>
      </c>
      <c r="M400" s="163">
        <f t="shared" si="25"/>
        <v>0.1071740267</v>
      </c>
      <c r="N400" s="163">
        <f t="shared" si="26"/>
        <v>-0.006858806448</v>
      </c>
      <c r="O400" s="164">
        <f t="shared" si="27"/>
        <v>-0.006064881497</v>
      </c>
      <c r="P400" s="164">
        <f t="shared" si="16"/>
        <v>0.004750228047</v>
      </c>
      <c r="U400" s="168">
        <f t="shared" si="15"/>
        <v>1.137403096</v>
      </c>
    </row>
    <row r="401">
      <c r="A401" s="158">
        <v>45699.0</v>
      </c>
      <c r="B401" s="167">
        <v>15704.831926213597</v>
      </c>
      <c r="C401" s="160">
        <f t="shared" si="17"/>
        <v>12405.5288</v>
      </c>
      <c r="D401" s="160">
        <f t="shared" si="18"/>
        <v>3299.303125</v>
      </c>
      <c r="E401" s="161">
        <f t="shared" si="19"/>
        <v>15133.29271</v>
      </c>
      <c r="F401" s="161">
        <f t="shared" si="4"/>
        <v>14704.99968</v>
      </c>
      <c r="G401" s="161">
        <f t="shared" si="20"/>
        <v>14784.44565</v>
      </c>
      <c r="H401" s="161">
        <f t="shared" si="21"/>
        <v>15382.11992</v>
      </c>
      <c r="I401" s="161">
        <f t="shared" si="22"/>
        <v>15639.81037</v>
      </c>
      <c r="J401" s="162">
        <f t="shared" si="8"/>
        <v>16059.24015</v>
      </c>
      <c r="K401" s="163">
        <f t="shared" si="23"/>
        <v>-0.001921893273</v>
      </c>
      <c r="L401" s="163">
        <f t="shared" si="24"/>
        <v>0.005613695852</v>
      </c>
      <c r="M401" s="163">
        <f t="shared" si="25"/>
        <v>0.1072495087</v>
      </c>
      <c r="N401" s="163">
        <f t="shared" si="26"/>
        <v>-0.006871620227</v>
      </c>
      <c r="O401" s="164">
        <f t="shared" si="27"/>
        <v>-0.006064881497</v>
      </c>
      <c r="P401" s="164">
        <f t="shared" si="16"/>
        <v>0.001920047619</v>
      </c>
      <c r="U401" s="168">
        <f t="shared" si="15"/>
        <v>1.239146583</v>
      </c>
    </row>
    <row r="402">
      <c r="A402" s="158">
        <v>45698.0</v>
      </c>
      <c r="B402" s="167">
        <v>15735.0439599055</v>
      </c>
      <c r="C402" s="160">
        <f t="shared" si="17"/>
        <v>12397.76573</v>
      </c>
      <c r="D402" s="160">
        <f t="shared" si="18"/>
        <v>3337.278225</v>
      </c>
      <c r="E402" s="161">
        <f t="shared" si="19"/>
        <v>15113.86851</v>
      </c>
      <c r="F402" s="161">
        <f t="shared" si="4"/>
        <v>14554.62098</v>
      </c>
      <c r="G402" s="161">
        <f t="shared" si="20"/>
        <v>14746.87887</v>
      </c>
      <c r="H402" s="161">
        <f t="shared" si="21"/>
        <v>15336.0182</v>
      </c>
      <c r="I402" s="161">
        <f t="shared" si="22"/>
        <v>15607.2996</v>
      </c>
      <c r="J402" s="162">
        <f t="shared" si="8"/>
        <v>16117.41542</v>
      </c>
      <c r="K402" s="163">
        <f t="shared" si="23"/>
        <v>0.01001609951</v>
      </c>
      <c r="L402" s="163">
        <f t="shared" si="24"/>
        <v>0.005619312451</v>
      </c>
      <c r="M402" s="163">
        <f t="shared" si="25"/>
        <v>0.1073568136</v>
      </c>
      <c r="N402" s="163">
        <f t="shared" si="26"/>
        <v>-0.006884434006</v>
      </c>
      <c r="O402" s="164">
        <f t="shared" si="27"/>
        <v>-0.006064881497</v>
      </c>
      <c r="P402" s="164">
        <f t="shared" si="16"/>
        <v>0</v>
      </c>
      <c r="U402" s="168">
        <f t="shared" si="15"/>
        <v>1.327707541</v>
      </c>
    </row>
    <row r="403">
      <c r="A403" s="158">
        <v>45697.0</v>
      </c>
      <c r="B403" s="167">
        <v>15578.226852742484</v>
      </c>
      <c r="C403" s="160">
        <f t="shared" si="17"/>
        <v>12389.8948</v>
      </c>
      <c r="D403" s="160">
        <f t="shared" si="18"/>
        <v>3188.332057</v>
      </c>
      <c r="E403" s="161">
        <f t="shared" si="19"/>
        <v>15093.88476</v>
      </c>
      <c r="F403" s="161">
        <f t="shared" si="4"/>
        <v>14447.0942</v>
      </c>
      <c r="G403" s="161">
        <f t="shared" si="20"/>
        <v>14706.5456</v>
      </c>
      <c r="H403" s="161">
        <f t="shared" si="21"/>
        <v>15279.01452</v>
      </c>
      <c r="I403" s="161">
        <f t="shared" si="22"/>
        <v>15543.42741</v>
      </c>
      <c r="J403" s="162">
        <f t="shared" si="8"/>
        <v>16110.93484</v>
      </c>
      <c r="K403" s="163">
        <f t="shared" si="23"/>
        <v>0</v>
      </c>
      <c r="L403" s="163">
        <f t="shared" si="24"/>
        <v>0.00560729158</v>
      </c>
      <c r="M403" s="163">
        <f t="shared" si="25"/>
        <v>0.1071271552</v>
      </c>
      <c r="N403" s="163">
        <f t="shared" si="26"/>
        <v>-0.006897247785</v>
      </c>
      <c r="O403" s="164">
        <f t="shared" si="27"/>
        <v>-0.006064881497</v>
      </c>
      <c r="P403" s="164">
        <f t="shared" si="16"/>
        <v>0.001804784705</v>
      </c>
      <c r="U403" s="168">
        <f t="shared" si="15"/>
        <v>0.9351280963</v>
      </c>
    </row>
    <row r="404">
      <c r="A404" s="158">
        <v>45696.0</v>
      </c>
      <c r="B404" s="167">
        <v>15578.226852742484</v>
      </c>
      <c r="C404" s="160">
        <f t="shared" si="17"/>
        <v>12382.35737</v>
      </c>
      <c r="D404" s="160">
        <f t="shared" si="18"/>
        <v>3195.869485</v>
      </c>
      <c r="E404" s="161">
        <f t="shared" si="19"/>
        <v>15075.48404</v>
      </c>
      <c r="F404" s="161">
        <f t="shared" si="4"/>
        <v>14356.10723</v>
      </c>
      <c r="G404" s="161">
        <f t="shared" si="20"/>
        <v>14670.96677</v>
      </c>
      <c r="H404" s="161">
        <f t="shared" si="21"/>
        <v>15236.2699</v>
      </c>
      <c r="I404" s="161">
        <f t="shared" si="22"/>
        <v>15526.02769</v>
      </c>
      <c r="J404" s="162">
        <f t="shared" si="8"/>
        <v>16116.43257</v>
      </c>
      <c r="K404" s="163">
        <f t="shared" si="23"/>
        <v>0</v>
      </c>
      <c r="L404" s="163">
        <f t="shared" si="24"/>
        <v>0.005615048202</v>
      </c>
      <c r="M404" s="163">
        <f t="shared" si="25"/>
        <v>0.1072753453</v>
      </c>
      <c r="N404" s="163">
        <f t="shared" si="26"/>
        <v>-0.006910061563</v>
      </c>
      <c r="O404" s="164">
        <f t="shared" si="27"/>
        <v>-0.006562457178</v>
      </c>
      <c r="P404" s="164">
        <f t="shared" si="16"/>
        <v>0.001804784705</v>
      </c>
      <c r="U404" s="168">
        <f t="shared" si="15"/>
        <v>1.010140635</v>
      </c>
    </row>
    <row r="405">
      <c r="A405" s="158">
        <v>45695.0</v>
      </c>
      <c r="B405" s="167">
        <v>15578.226852742484</v>
      </c>
      <c r="C405" s="160">
        <f t="shared" si="17"/>
        <v>12374.78422</v>
      </c>
      <c r="D405" s="160">
        <f t="shared" si="18"/>
        <v>3203.442635</v>
      </c>
      <c r="E405" s="161">
        <f t="shared" si="19"/>
        <v>15056.87923</v>
      </c>
      <c r="F405" s="161">
        <f t="shared" si="4"/>
        <v>14286.46105</v>
      </c>
      <c r="G405" s="161">
        <f t="shared" si="20"/>
        <v>14633.93575</v>
      </c>
      <c r="H405" s="161">
        <f t="shared" si="21"/>
        <v>15187.41891</v>
      </c>
      <c r="I405" s="161">
        <f t="shared" si="22"/>
        <v>15499.92811</v>
      </c>
      <c r="J405" s="162">
        <f t="shared" si="8"/>
        <v>16088.37677</v>
      </c>
      <c r="K405" s="163">
        <f t="shared" si="23"/>
        <v>-0.001806415291</v>
      </c>
      <c r="L405" s="163">
        <f t="shared" si="24"/>
        <v>0.005622837025</v>
      </c>
      <c r="M405" s="163">
        <f t="shared" si="25"/>
        <v>0.1074241505</v>
      </c>
      <c r="N405" s="163">
        <f t="shared" si="26"/>
        <v>-0.006922875342</v>
      </c>
      <c r="O405" s="164">
        <f t="shared" si="27"/>
        <v>-0.006562457178</v>
      </c>
      <c r="P405" s="164">
        <f t="shared" si="16"/>
        <v>0.001804784705</v>
      </c>
      <c r="U405" s="168">
        <f t="shared" si="15"/>
        <v>1.127800427</v>
      </c>
    </row>
    <row r="406">
      <c r="A406" s="158">
        <v>45694.0</v>
      </c>
      <c r="B406" s="167">
        <v>15606.393032184385</v>
      </c>
      <c r="C406" s="160">
        <f t="shared" si="17"/>
        <v>12367.17509</v>
      </c>
      <c r="D406" s="160">
        <f t="shared" si="18"/>
        <v>3239.217942</v>
      </c>
      <c r="E406" s="161">
        <f t="shared" si="19"/>
        <v>15038.06771</v>
      </c>
      <c r="F406" s="161">
        <f t="shared" si="4"/>
        <v>14189.60848</v>
      </c>
      <c r="G406" s="161">
        <f t="shared" si="20"/>
        <v>14595.39325</v>
      </c>
      <c r="H406" s="161">
        <f t="shared" si="21"/>
        <v>15131.5892</v>
      </c>
      <c r="I406" s="161">
        <f t="shared" si="22"/>
        <v>15460.77874</v>
      </c>
      <c r="J406" s="162">
        <f t="shared" si="8"/>
        <v>16073.56992</v>
      </c>
      <c r="K406" s="163">
        <f t="shared" si="23"/>
        <v>0.003148080128</v>
      </c>
      <c r="L406" s="163">
        <f t="shared" si="24"/>
        <v>0.00562873256</v>
      </c>
      <c r="M406" s="163">
        <f t="shared" si="25"/>
        <v>0.1075367846</v>
      </c>
      <c r="N406" s="163">
        <f t="shared" si="26"/>
        <v>-0.006935689121</v>
      </c>
      <c r="O406" s="164">
        <f t="shared" si="27"/>
        <v>-0.006562457178</v>
      </c>
      <c r="P406" s="164">
        <f t="shared" si="16"/>
        <v>0</v>
      </c>
      <c r="U406" s="168">
        <f t="shared" si="15"/>
        <v>1.310525716</v>
      </c>
    </row>
    <row r="407">
      <c r="A407" s="158">
        <v>45693.0</v>
      </c>
      <c r="B407" s="167">
        <v>15557.340108190128</v>
      </c>
      <c r="C407" s="160">
        <f t="shared" si="17"/>
        <v>12359.46267</v>
      </c>
      <c r="D407" s="160">
        <f t="shared" si="18"/>
        <v>3197.877442</v>
      </c>
      <c r="E407" s="161">
        <f t="shared" si="19"/>
        <v>15018.72026</v>
      </c>
      <c r="F407" s="161">
        <f t="shared" si="4"/>
        <v>14034.87137</v>
      </c>
      <c r="G407" s="161">
        <f t="shared" si="20"/>
        <v>14554.12796</v>
      </c>
      <c r="H407" s="161">
        <f t="shared" si="21"/>
        <v>15063.76008</v>
      </c>
      <c r="I407" s="161">
        <f t="shared" si="22"/>
        <v>15387.9716</v>
      </c>
      <c r="J407" s="162">
        <f t="shared" si="8"/>
        <v>16092.64879</v>
      </c>
      <c r="K407" s="163">
        <f t="shared" si="23"/>
        <v>0.01121450295</v>
      </c>
      <c r="L407" s="163">
        <f t="shared" si="24"/>
        <v>0.005635910595</v>
      </c>
      <c r="M407" s="163">
        <f t="shared" si="25"/>
        <v>0.1076739207</v>
      </c>
      <c r="N407" s="163">
        <f t="shared" si="26"/>
        <v>-0.006948502899</v>
      </c>
      <c r="O407" s="164">
        <f t="shared" si="27"/>
        <v>-0.006562457178</v>
      </c>
      <c r="P407" s="164">
        <f t="shared" si="16"/>
        <v>0</v>
      </c>
      <c r="U407" s="168">
        <f t="shared" si="15"/>
        <v>1.247275876</v>
      </c>
    </row>
    <row r="408">
      <c r="A408" s="158">
        <v>45692.0</v>
      </c>
      <c r="B408" s="167">
        <v>15383.846909989297</v>
      </c>
      <c r="C408" s="160">
        <f t="shared" si="17"/>
        <v>12351.8305</v>
      </c>
      <c r="D408" s="160">
        <f t="shared" si="18"/>
        <v>3032.01641</v>
      </c>
      <c r="E408" s="161">
        <f t="shared" si="19"/>
        <v>14999.72779</v>
      </c>
      <c r="F408" s="161">
        <f t="shared" si="4"/>
        <v>13924.04068</v>
      </c>
      <c r="G408" s="161">
        <f t="shared" si="20"/>
        <v>14513.18052</v>
      </c>
      <c r="H408" s="161">
        <f t="shared" si="21"/>
        <v>14993.24865</v>
      </c>
      <c r="I408" s="161">
        <f t="shared" si="22"/>
        <v>15303.28735</v>
      </c>
      <c r="J408" s="162">
        <f t="shared" si="8"/>
        <v>16062.45662</v>
      </c>
      <c r="K408" s="163">
        <f t="shared" si="23"/>
        <v>0.006641986806</v>
      </c>
      <c r="L408" s="163">
        <f t="shared" si="24"/>
        <v>0.005617810916</v>
      </c>
      <c r="M408" s="163">
        <f t="shared" si="25"/>
        <v>0.1073281269</v>
      </c>
      <c r="N408" s="163">
        <f t="shared" si="26"/>
        <v>-0.006961316678</v>
      </c>
      <c r="O408" s="164">
        <f t="shared" si="27"/>
        <v>-0.006562457178</v>
      </c>
      <c r="P408" s="164">
        <f t="shared" si="16"/>
        <v>0.004660562889</v>
      </c>
      <c r="U408" s="168">
        <f t="shared" si="15"/>
        <v>0.9498203343</v>
      </c>
    </row>
    <row r="409">
      <c r="A409" s="158">
        <v>45691.0</v>
      </c>
      <c r="B409" s="167">
        <v>15282.006188544383</v>
      </c>
      <c r="C409" s="160">
        <f t="shared" si="17"/>
        <v>12344.57687</v>
      </c>
      <c r="D409" s="160">
        <f t="shared" si="18"/>
        <v>2937.429316</v>
      </c>
      <c r="E409" s="161">
        <f t="shared" si="19"/>
        <v>14982.54622</v>
      </c>
      <c r="F409" s="161">
        <f t="shared" si="4"/>
        <v>13859.73197</v>
      </c>
      <c r="G409" s="161">
        <f t="shared" si="20"/>
        <v>14477.64312</v>
      </c>
      <c r="H409" s="161">
        <f t="shared" si="21"/>
        <v>14937.4489</v>
      </c>
      <c r="I409" s="161">
        <f t="shared" si="22"/>
        <v>15263.00756</v>
      </c>
      <c r="J409" s="162">
        <f t="shared" si="8"/>
        <v>16015.16583</v>
      </c>
      <c r="K409" s="163">
        <f t="shared" si="23"/>
        <v>-0.004956578616</v>
      </c>
      <c r="L409" s="163">
        <f t="shared" si="24"/>
        <v>0.005618091766</v>
      </c>
      <c r="M409" s="163">
        <f t="shared" si="25"/>
        <v>0.1073334925</v>
      </c>
      <c r="N409" s="163">
        <f t="shared" si="26"/>
        <v>-0.006974130457</v>
      </c>
      <c r="O409" s="164">
        <f t="shared" si="27"/>
        <v>-0.006562457178</v>
      </c>
      <c r="P409" s="164">
        <f t="shared" si="16"/>
        <v>0.01124968764</v>
      </c>
      <c r="U409" s="168">
        <f t="shared" si="15"/>
        <v>0.8312469852</v>
      </c>
    </row>
    <row r="410">
      <c r="A410" s="158">
        <v>45690.0</v>
      </c>
      <c r="B410" s="167">
        <v>15357.940685823562</v>
      </c>
      <c r="C410" s="160">
        <f t="shared" si="17"/>
        <v>12337.53268</v>
      </c>
      <c r="D410" s="160">
        <f t="shared" si="18"/>
        <v>3020.408008</v>
      </c>
      <c r="E410" s="161">
        <f t="shared" si="19"/>
        <v>14966.36135</v>
      </c>
      <c r="F410" s="161">
        <f t="shared" si="4"/>
        <v>13792.3023</v>
      </c>
      <c r="G410" s="161">
        <f t="shared" si="20"/>
        <v>14444.81197</v>
      </c>
      <c r="H410" s="161">
        <f t="shared" si="21"/>
        <v>14888.22643</v>
      </c>
      <c r="I410" s="161">
        <f t="shared" si="22"/>
        <v>15253.50825</v>
      </c>
      <c r="J410" s="162">
        <f t="shared" si="8"/>
        <v>15984.15056</v>
      </c>
      <c r="K410" s="163">
        <f t="shared" si="23"/>
        <v>0</v>
      </c>
      <c r="L410" s="163">
        <f t="shared" si="24"/>
        <v>0.005616682967</v>
      </c>
      <c r="M410" s="163">
        <f t="shared" si="25"/>
        <v>0.1073065774</v>
      </c>
      <c r="N410" s="163">
        <f t="shared" si="26"/>
        <v>-0.006986944236</v>
      </c>
      <c r="O410" s="164">
        <f t="shared" si="27"/>
        <v>-0.006562457178</v>
      </c>
      <c r="P410" s="164">
        <f t="shared" si="16"/>
        <v>0.006336703242</v>
      </c>
      <c r="U410" s="168">
        <f t="shared" si="15"/>
        <v>1.114362783</v>
      </c>
    </row>
    <row r="411">
      <c r="A411" s="158">
        <v>45689.0</v>
      </c>
      <c r="B411" s="167">
        <v>15357.940685823562</v>
      </c>
      <c r="C411" s="160">
        <f t="shared" si="17"/>
        <v>12330.27208</v>
      </c>
      <c r="D411" s="160">
        <f t="shared" si="18"/>
        <v>3027.668604</v>
      </c>
      <c r="E411" s="161">
        <f t="shared" si="19"/>
        <v>14949.10105</v>
      </c>
      <c r="F411" s="161">
        <f t="shared" si="4"/>
        <v>13756.08598</v>
      </c>
      <c r="G411" s="161">
        <f t="shared" si="20"/>
        <v>14407.54141</v>
      </c>
      <c r="H411" s="161">
        <f t="shared" si="21"/>
        <v>14821.12439</v>
      </c>
      <c r="I411" s="161">
        <f t="shared" si="22"/>
        <v>15201.29203</v>
      </c>
      <c r="J411" s="162">
        <f t="shared" si="8"/>
        <v>15886.16281</v>
      </c>
      <c r="K411" s="163">
        <f t="shared" si="23"/>
        <v>0</v>
      </c>
      <c r="L411" s="163">
        <f t="shared" si="24"/>
        <v>0.005624624944</v>
      </c>
      <c r="M411" s="163">
        <f t="shared" si="25"/>
        <v>0.1074583087</v>
      </c>
      <c r="N411" s="163">
        <f t="shared" si="26"/>
        <v>-0.006987941093</v>
      </c>
      <c r="O411" s="164">
        <f t="shared" si="27"/>
        <v>-0.006562457178</v>
      </c>
      <c r="P411" s="164">
        <f t="shared" si="16"/>
        <v>0.006336703242</v>
      </c>
      <c r="U411" s="168">
        <f t="shared" si="15"/>
        <v>1.310490155</v>
      </c>
    </row>
    <row r="412">
      <c r="A412" s="158">
        <v>45688.0</v>
      </c>
      <c r="B412" s="167">
        <v>15357.940685823562</v>
      </c>
      <c r="C412" s="160">
        <f t="shared" si="17"/>
        <v>12322.97649</v>
      </c>
      <c r="D412" s="160">
        <f t="shared" si="18"/>
        <v>3034.964191</v>
      </c>
      <c r="E412" s="161">
        <f t="shared" si="19"/>
        <v>14931.64444</v>
      </c>
      <c r="F412" s="161">
        <f t="shared" si="4"/>
        <v>13747.12567</v>
      </c>
      <c r="G412" s="161">
        <f t="shared" si="20"/>
        <v>14368.74961</v>
      </c>
      <c r="H412" s="161">
        <f t="shared" si="21"/>
        <v>14744.43635</v>
      </c>
      <c r="I412" s="161">
        <f t="shared" si="22"/>
        <v>15122.9677</v>
      </c>
      <c r="J412" s="162">
        <f t="shared" si="8"/>
        <v>15741.74703</v>
      </c>
      <c r="K412" s="163">
        <f t="shared" si="23"/>
        <v>-0.006356865365</v>
      </c>
      <c r="L412" s="163">
        <f t="shared" si="24"/>
        <v>0.005632600631</v>
      </c>
      <c r="M412" s="163">
        <f t="shared" si="25"/>
        <v>0.107610684</v>
      </c>
      <c r="N412" s="163">
        <f t="shared" si="26"/>
        <v>-0.00698893795</v>
      </c>
      <c r="O412" s="164">
        <f t="shared" si="27"/>
        <v>-0.006562457178</v>
      </c>
      <c r="P412" s="164">
        <f t="shared" si="16"/>
        <v>0.006336703242</v>
      </c>
      <c r="U412" s="168">
        <f t="shared" si="15"/>
        <v>1.599412607</v>
      </c>
    </row>
    <row r="413">
      <c r="A413" s="158">
        <v>45687.0</v>
      </c>
      <c r="B413" s="167">
        <v>15455.880010791727</v>
      </c>
      <c r="C413" s="160">
        <f t="shared" si="17"/>
        <v>12315.64566</v>
      </c>
      <c r="D413" s="160">
        <f t="shared" si="18"/>
        <v>3140.234348</v>
      </c>
      <c r="E413" s="161">
        <f t="shared" si="19"/>
        <v>14913.98894</v>
      </c>
      <c r="F413" s="161">
        <f t="shared" si="4"/>
        <v>13741.85116</v>
      </c>
      <c r="G413" s="161">
        <f t="shared" si="20"/>
        <v>14328.37446</v>
      </c>
      <c r="H413" s="161">
        <f t="shared" si="21"/>
        <v>14656.79287</v>
      </c>
      <c r="I413" s="161">
        <f t="shared" si="22"/>
        <v>15005.48121</v>
      </c>
      <c r="J413" s="162">
        <f t="shared" si="8"/>
        <v>15571.73459</v>
      </c>
      <c r="K413" s="163">
        <f t="shared" si="23"/>
        <v>0.03736998848</v>
      </c>
      <c r="L413" s="163">
        <f t="shared" si="24"/>
        <v>0.005626116846</v>
      </c>
      <c r="M413" s="163">
        <f t="shared" si="25"/>
        <v>0.1074868114</v>
      </c>
      <c r="N413" s="163">
        <f t="shared" si="26"/>
        <v>-0.006989934808</v>
      </c>
      <c r="O413" s="164">
        <f t="shared" si="27"/>
        <v>-0.00627047331</v>
      </c>
      <c r="P413" s="164">
        <f t="shared" si="16"/>
        <v>0</v>
      </c>
      <c r="U413" s="168">
        <f t="shared" si="15"/>
        <v>2.270774768</v>
      </c>
    </row>
    <row r="414">
      <c r="A414" s="158">
        <v>45686.0</v>
      </c>
      <c r="B414" s="167">
        <v>14888.95295688533</v>
      </c>
      <c r="C414" s="160">
        <f t="shared" si="17"/>
        <v>12308.04219</v>
      </c>
      <c r="D414" s="160">
        <f t="shared" si="18"/>
        <v>2580.910767</v>
      </c>
      <c r="E414" s="161">
        <f t="shared" si="19"/>
        <v>14894.9729</v>
      </c>
      <c r="F414" s="161">
        <f t="shared" si="4"/>
        <v>13844.33898</v>
      </c>
      <c r="G414" s="161">
        <f t="shared" si="20"/>
        <v>14282.35383</v>
      </c>
      <c r="H414" s="161">
        <f t="shared" si="21"/>
        <v>14542.63757</v>
      </c>
      <c r="I414" s="161">
        <f t="shared" si="22"/>
        <v>14780.28182</v>
      </c>
      <c r="J414" s="162">
        <f t="shared" si="8"/>
        <v>15240.93616</v>
      </c>
      <c r="K414" s="163">
        <f t="shared" si="23"/>
        <v>0.002642945121</v>
      </c>
      <c r="L414" s="163">
        <f t="shared" si="24"/>
        <v>0.005275737454</v>
      </c>
      <c r="M414" s="163">
        <f t="shared" si="25"/>
        <v>0.1007928225</v>
      </c>
      <c r="N414" s="163">
        <f t="shared" si="26"/>
        <v>-0.006990931665</v>
      </c>
      <c r="O414" s="164">
        <f t="shared" si="27"/>
        <v>-0.00627047331</v>
      </c>
      <c r="P414" s="164">
        <f t="shared" si="16"/>
        <v>0</v>
      </c>
      <c r="U414" s="168">
        <f t="shared" si="15"/>
        <v>1.289448411</v>
      </c>
    </row>
    <row r="415">
      <c r="A415" s="158">
        <v>45685.0</v>
      </c>
      <c r="B415" s="167">
        <v>14849.654226379742</v>
      </c>
      <c r="C415" s="160">
        <f t="shared" si="17"/>
        <v>12301.77784</v>
      </c>
      <c r="D415" s="160">
        <f t="shared" si="18"/>
        <v>2547.876383</v>
      </c>
      <c r="E415" s="161">
        <f t="shared" si="19"/>
        <v>14882.46977</v>
      </c>
      <c r="F415" s="161">
        <f t="shared" si="4"/>
        <v>13784.83289</v>
      </c>
      <c r="G415" s="161">
        <f t="shared" si="20"/>
        <v>14257.59468</v>
      </c>
      <c r="H415" s="161">
        <f t="shared" si="21"/>
        <v>14493.16394</v>
      </c>
      <c r="I415" s="161">
        <f t="shared" si="22"/>
        <v>14725.94625</v>
      </c>
      <c r="J415" s="162">
        <f t="shared" si="8"/>
        <v>15201.49499</v>
      </c>
      <c r="K415" s="163">
        <f t="shared" si="23"/>
        <v>0.00737366082</v>
      </c>
      <c r="L415" s="163">
        <f t="shared" si="24"/>
        <v>0.005282888558</v>
      </c>
      <c r="M415" s="163">
        <f t="shared" si="25"/>
        <v>0.1009294442</v>
      </c>
      <c r="N415" s="163">
        <f t="shared" si="26"/>
        <v>-0.006991928523</v>
      </c>
      <c r="O415" s="164">
        <f t="shared" si="27"/>
        <v>-0.00627047331</v>
      </c>
      <c r="P415" s="164">
        <f t="shared" si="16"/>
        <v>0</v>
      </c>
      <c r="U415" s="168">
        <f t="shared" si="15"/>
        <v>1.308533257</v>
      </c>
    </row>
    <row r="416">
      <c r="A416" s="158">
        <v>45684.0</v>
      </c>
      <c r="B416" s="167">
        <v>14740.56061674905</v>
      </c>
      <c r="C416" s="160">
        <f t="shared" si="17"/>
        <v>12295.57863</v>
      </c>
      <c r="D416" s="160">
        <f t="shared" si="18"/>
        <v>2444.981986</v>
      </c>
      <c r="E416" s="161">
        <f t="shared" si="19"/>
        <v>14870.28552</v>
      </c>
      <c r="F416" s="161">
        <f t="shared" si="4"/>
        <v>13766.37926</v>
      </c>
      <c r="G416" s="161">
        <f t="shared" si="20"/>
        <v>14233.42898</v>
      </c>
      <c r="H416" s="161">
        <f t="shared" si="21"/>
        <v>14442.23676</v>
      </c>
      <c r="I416" s="161">
        <f t="shared" si="22"/>
        <v>14664.09226</v>
      </c>
      <c r="J416" s="162">
        <f t="shared" si="8"/>
        <v>15118.09425</v>
      </c>
      <c r="K416" s="163">
        <f t="shared" si="23"/>
        <v>0.0002391785685</v>
      </c>
      <c r="L416" s="163">
        <f t="shared" si="24"/>
        <v>0.005279420378</v>
      </c>
      <c r="M416" s="163">
        <f t="shared" si="25"/>
        <v>0.1008631847</v>
      </c>
      <c r="N416" s="163">
        <f t="shared" si="26"/>
        <v>-0.00699292538</v>
      </c>
      <c r="O416" s="164">
        <f t="shared" si="27"/>
        <v>-0.00627047331</v>
      </c>
      <c r="P416" s="164">
        <f t="shared" si="16"/>
        <v>0</v>
      </c>
      <c r="U416" s="168">
        <f t="shared" si="15"/>
        <v>1.147641383</v>
      </c>
    </row>
    <row r="417">
      <c r="A417" s="158">
        <v>45683.0</v>
      </c>
      <c r="B417" s="167">
        <v>14737.035412154864</v>
      </c>
      <c r="C417" s="160">
        <f t="shared" si="17"/>
        <v>12289.61526</v>
      </c>
      <c r="D417" s="160">
        <f t="shared" si="18"/>
        <v>2447.420152</v>
      </c>
      <c r="E417" s="161">
        <f t="shared" si="19"/>
        <v>14859.25782</v>
      </c>
      <c r="F417" s="161">
        <f t="shared" si="4"/>
        <v>13756.78698</v>
      </c>
      <c r="G417" s="161">
        <f t="shared" si="20"/>
        <v>14212.72973</v>
      </c>
      <c r="H417" s="161">
        <f t="shared" si="21"/>
        <v>14399.61907</v>
      </c>
      <c r="I417" s="161">
        <f t="shared" si="22"/>
        <v>14625.85808</v>
      </c>
      <c r="J417" s="162">
        <f t="shared" si="8"/>
        <v>15042.45115</v>
      </c>
      <c r="K417" s="163">
        <f t="shared" si="23"/>
        <v>0</v>
      </c>
      <c r="L417" s="163">
        <f t="shared" si="24"/>
        <v>0.005287164131</v>
      </c>
      <c r="M417" s="163">
        <f t="shared" si="25"/>
        <v>0.1010111289</v>
      </c>
      <c r="N417" s="163">
        <f t="shared" si="26"/>
        <v>-0.006993922237</v>
      </c>
      <c r="O417" s="164">
        <f t="shared" si="27"/>
        <v>-0.00627047331</v>
      </c>
      <c r="P417" s="164">
        <f t="shared" si="16"/>
        <v>0</v>
      </c>
      <c r="U417" s="168">
        <f t="shared" si="15"/>
        <v>1.364714873</v>
      </c>
    </row>
    <row r="418">
      <c r="A418" s="158">
        <v>45682.0</v>
      </c>
      <c r="B418" s="167">
        <v>14737.035412154864</v>
      </c>
      <c r="C418" s="160">
        <f t="shared" si="17"/>
        <v>12283.63135</v>
      </c>
      <c r="D418" s="160">
        <f t="shared" si="18"/>
        <v>2453.404064</v>
      </c>
      <c r="E418" s="161">
        <f t="shared" si="19"/>
        <v>14848.13796</v>
      </c>
      <c r="F418" s="161">
        <f t="shared" si="4"/>
        <v>13763.43654</v>
      </c>
      <c r="G418" s="161">
        <f t="shared" si="20"/>
        <v>14191.3295</v>
      </c>
      <c r="H418" s="161">
        <f t="shared" si="21"/>
        <v>14351.41673</v>
      </c>
      <c r="I418" s="161">
        <f t="shared" si="22"/>
        <v>14570.26941</v>
      </c>
      <c r="J418" s="162">
        <f t="shared" si="8"/>
        <v>14939.39692</v>
      </c>
      <c r="K418" s="163">
        <f t="shared" si="23"/>
        <v>0</v>
      </c>
      <c r="L418" s="163">
        <f t="shared" si="24"/>
        <v>0.005294817708</v>
      </c>
      <c r="M418" s="163">
        <f t="shared" si="25"/>
        <v>0.1011573503</v>
      </c>
      <c r="N418" s="163">
        <f t="shared" si="26"/>
        <v>-0.006994919095</v>
      </c>
      <c r="O418" s="164">
        <f t="shared" si="27"/>
        <v>-0.00627047331</v>
      </c>
      <c r="P418" s="164">
        <f t="shared" si="16"/>
        <v>0</v>
      </c>
      <c r="U418" s="168">
        <f t="shared" si="15"/>
        <v>1.705174081</v>
      </c>
    </row>
    <row r="419">
      <c r="A419" s="158">
        <v>45681.0</v>
      </c>
      <c r="B419" s="167">
        <v>14737.035412154864</v>
      </c>
      <c r="C419" s="160">
        <f t="shared" si="17"/>
        <v>12277.6181</v>
      </c>
      <c r="D419" s="160">
        <f t="shared" si="18"/>
        <v>2459.417309</v>
      </c>
      <c r="E419" s="161">
        <f t="shared" si="19"/>
        <v>14836.88232</v>
      </c>
      <c r="F419" s="161">
        <f t="shared" si="4"/>
        <v>13793.3291</v>
      </c>
      <c r="G419" s="161">
        <f t="shared" si="20"/>
        <v>14169.05579</v>
      </c>
      <c r="H419" s="161">
        <f t="shared" si="21"/>
        <v>14296.32835</v>
      </c>
      <c r="I419" s="161">
        <f t="shared" si="22"/>
        <v>14486.88641</v>
      </c>
      <c r="J419" s="162">
        <f t="shared" si="8"/>
        <v>14799.32759</v>
      </c>
      <c r="K419" s="163">
        <f t="shared" si="23"/>
        <v>0.01268878754</v>
      </c>
      <c r="L419" s="163">
        <f t="shared" si="24"/>
        <v>0.005302504555</v>
      </c>
      <c r="M419" s="163">
        <f t="shared" si="25"/>
        <v>0.1013042073</v>
      </c>
      <c r="N419" s="163">
        <f t="shared" si="26"/>
        <v>-0.006995915952</v>
      </c>
      <c r="O419" s="164">
        <f t="shared" si="27"/>
        <v>-0.00627047331</v>
      </c>
      <c r="P419" s="164">
        <f t="shared" si="16"/>
        <v>0</v>
      </c>
      <c r="U419" s="168">
        <f t="shared" si="15"/>
        <v>2.27801211</v>
      </c>
    </row>
    <row r="420">
      <c r="A420" s="158">
        <v>45680.0</v>
      </c>
      <c r="B420" s="167">
        <v>14551.221669403389</v>
      </c>
      <c r="C420" s="160">
        <f t="shared" si="17"/>
        <v>12271.57531</v>
      </c>
      <c r="D420" s="160">
        <f t="shared" si="18"/>
        <v>2279.646361</v>
      </c>
      <c r="E420" s="161">
        <f t="shared" si="19"/>
        <v>14825.48906</v>
      </c>
      <c r="F420" s="161">
        <f t="shared" si="4"/>
        <v>13872.42763</v>
      </c>
      <c r="G420" s="161">
        <f t="shared" si="20"/>
        <v>14145.87295</v>
      </c>
      <c r="H420" s="161">
        <f t="shared" si="21"/>
        <v>14233.37019</v>
      </c>
      <c r="I420" s="161">
        <f t="shared" si="22"/>
        <v>14361.8119</v>
      </c>
      <c r="J420" s="162">
        <f t="shared" si="8"/>
        <v>14594.31276</v>
      </c>
      <c r="K420" s="163">
        <f t="shared" si="23"/>
        <v>0.02060087434</v>
      </c>
      <c r="L420" s="163">
        <f t="shared" si="24"/>
        <v>0.005271536439</v>
      </c>
      <c r="M420" s="163">
        <f t="shared" si="25"/>
        <v>0.1007125623</v>
      </c>
      <c r="N420" s="163">
        <f t="shared" si="26"/>
        <v>-0.006996912809</v>
      </c>
      <c r="O420" s="164">
        <f t="shared" si="27"/>
        <v>-0.00627047331</v>
      </c>
      <c r="P420" s="164">
        <f t="shared" si="16"/>
        <v>0.009610605842</v>
      </c>
      <c r="U420" s="168">
        <f t="shared" si="15"/>
        <v>2.289599291</v>
      </c>
    </row>
    <row r="421">
      <c r="A421" s="158">
        <v>45679.0</v>
      </c>
      <c r="B421" s="167">
        <v>14254.520425925955</v>
      </c>
      <c r="C421" s="160">
        <f t="shared" si="17"/>
        <v>12265.96042</v>
      </c>
      <c r="D421" s="160">
        <f t="shared" si="18"/>
        <v>1988.56001</v>
      </c>
      <c r="E421" s="161">
        <f t="shared" si="19"/>
        <v>14816.20178</v>
      </c>
      <c r="F421" s="161">
        <f t="shared" si="4"/>
        <v>13916.12472</v>
      </c>
      <c r="G421" s="161">
        <f t="shared" si="20"/>
        <v>14129.3281</v>
      </c>
      <c r="H421" s="161">
        <f t="shared" si="21"/>
        <v>14187.96284</v>
      </c>
      <c r="I421" s="161">
        <f t="shared" si="22"/>
        <v>14267.10702</v>
      </c>
      <c r="J421" s="162">
        <f t="shared" si="8"/>
        <v>14459.80096</v>
      </c>
      <c r="K421" s="163">
        <f t="shared" si="23"/>
        <v>0</v>
      </c>
      <c r="L421" s="163">
        <f t="shared" si="24"/>
        <v>0.005167441987</v>
      </c>
      <c r="M421" s="163">
        <f t="shared" si="25"/>
        <v>0.09872384055</v>
      </c>
      <c r="N421" s="163">
        <f t="shared" si="26"/>
        <v>-0.006997909667</v>
      </c>
      <c r="O421" s="164">
        <f t="shared" si="27"/>
        <v>-0.00627047331</v>
      </c>
      <c r="P421" s="164">
        <f t="shared" si="16"/>
        <v>0.02980477039</v>
      </c>
      <c r="U421" s="168">
        <f t="shared" si="15"/>
        <v>0.6365910677</v>
      </c>
    </row>
    <row r="422">
      <c r="A422" s="158">
        <v>45678.0</v>
      </c>
      <c r="B422" s="167">
        <v>14254.520425925955</v>
      </c>
      <c r="C422" s="160">
        <f t="shared" si="17"/>
        <v>12261.05039</v>
      </c>
      <c r="D422" s="160">
        <f t="shared" si="18"/>
        <v>1993.470035</v>
      </c>
      <c r="E422" s="161">
        <f t="shared" si="19"/>
        <v>14810.39329</v>
      </c>
      <c r="F422" s="161">
        <f t="shared" si="4"/>
        <v>13902.01962</v>
      </c>
      <c r="G422" s="161">
        <f t="shared" si="20"/>
        <v>14124.21821</v>
      </c>
      <c r="H422" s="161">
        <f t="shared" si="21"/>
        <v>14178.45461</v>
      </c>
      <c r="I422" s="161">
        <f t="shared" si="22"/>
        <v>14273.40031</v>
      </c>
      <c r="J422" s="162">
        <f t="shared" si="8"/>
        <v>14454.88961</v>
      </c>
      <c r="K422" s="163">
        <f t="shared" si="23"/>
        <v>-0.008120664099</v>
      </c>
      <c r="L422" s="163">
        <f t="shared" si="24"/>
        <v>0.005175050872</v>
      </c>
      <c r="M422" s="163">
        <f t="shared" si="25"/>
        <v>0.09886920808</v>
      </c>
      <c r="N422" s="163">
        <f t="shared" si="26"/>
        <v>-0.006998906524</v>
      </c>
      <c r="O422" s="164">
        <f t="shared" si="27"/>
        <v>-0.007495166152</v>
      </c>
      <c r="P422" s="164">
        <f t="shared" si="16"/>
        <v>0.02980477039</v>
      </c>
      <c r="U422" s="168">
        <f t="shared" si="15"/>
        <v>0.715434422</v>
      </c>
    </row>
    <row r="423">
      <c r="A423" s="158">
        <v>45677.0</v>
      </c>
      <c r="B423" s="167">
        <v>14370.747881540146</v>
      </c>
      <c r="C423" s="160">
        <f t="shared" si="17"/>
        <v>12256.11606</v>
      </c>
      <c r="D423" s="160">
        <f t="shared" si="18"/>
        <v>2114.631822</v>
      </c>
      <c r="E423" s="161">
        <f t="shared" si="19"/>
        <v>14804.50383</v>
      </c>
      <c r="F423" s="161">
        <f t="shared" si="4"/>
        <v>13873.91921</v>
      </c>
      <c r="G423" s="161">
        <f t="shared" si="20"/>
        <v>14118.89975</v>
      </c>
      <c r="H423" s="161">
        <f t="shared" si="21"/>
        <v>14167.58807</v>
      </c>
      <c r="I423" s="161">
        <f t="shared" si="22"/>
        <v>14282.84026</v>
      </c>
      <c r="J423" s="162">
        <f t="shared" si="8"/>
        <v>14461.25693</v>
      </c>
      <c r="K423" s="163">
        <f t="shared" si="23"/>
        <v>0.005384527551</v>
      </c>
      <c r="L423" s="163">
        <f t="shared" si="24"/>
        <v>0.005158579628</v>
      </c>
      <c r="M423" s="163">
        <f t="shared" si="25"/>
        <v>0.0985545254</v>
      </c>
      <c r="N423" s="163">
        <f t="shared" si="26"/>
        <v>-0.006897247785</v>
      </c>
      <c r="O423" s="164">
        <f t="shared" si="27"/>
        <v>-0.00627047331</v>
      </c>
      <c r="P423" s="164">
        <f t="shared" si="16"/>
        <v>0.0218940642</v>
      </c>
      <c r="U423" s="168">
        <f t="shared" si="15"/>
        <v>1.798677266</v>
      </c>
    </row>
    <row r="424">
      <c r="A424" s="158">
        <v>45676.0</v>
      </c>
      <c r="B424" s="167">
        <v>14293.57614676573</v>
      </c>
      <c r="C424" s="160">
        <f t="shared" si="17"/>
        <v>12250.86883</v>
      </c>
      <c r="D424" s="160">
        <f t="shared" si="18"/>
        <v>2042.707313</v>
      </c>
      <c r="E424" s="161">
        <f t="shared" si="19"/>
        <v>14797.11484</v>
      </c>
      <c r="F424" s="161">
        <f t="shared" si="4"/>
        <v>13861.43591</v>
      </c>
      <c r="G424" s="161">
        <f t="shared" si="20"/>
        <v>14108.62024</v>
      </c>
      <c r="H424" s="161">
        <f t="shared" si="21"/>
        <v>14138.56524</v>
      </c>
      <c r="I424" s="161">
        <f t="shared" si="22"/>
        <v>14238.88645</v>
      </c>
      <c r="J424" s="162">
        <f t="shared" si="8"/>
        <v>14415.69457</v>
      </c>
      <c r="K424" s="163">
        <f t="shared" si="23"/>
        <v>0</v>
      </c>
      <c r="L424" s="163">
        <f t="shared" si="24"/>
        <v>0.005160686521</v>
      </c>
      <c r="M424" s="163">
        <f t="shared" si="25"/>
        <v>0.09859477754</v>
      </c>
      <c r="N424" s="163">
        <f t="shared" si="26"/>
        <v>-0.006910061563</v>
      </c>
      <c r="O424" s="164">
        <f t="shared" si="27"/>
        <v>-0.00627047331</v>
      </c>
      <c r="P424" s="164">
        <f t="shared" si="16"/>
        <v>0.02714654879</v>
      </c>
      <c r="U424" s="168">
        <f t="shared" si="15"/>
        <v>1.454297012</v>
      </c>
    </row>
    <row r="425">
      <c r="A425" s="158">
        <v>45675.0</v>
      </c>
      <c r="B425" s="167">
        <v>14293.57614676573</v>
      </c>
      <c r="C425" s="160">
        <f t="shared" si="17"/>
        <v>12245.78747</v>
      </c>
      <c r="D425" s="160">
        <f t="shared" si="18"/>
        <v>2047.788674</v>
      </c>
      <c r="E425" s="161">
        <f t="shared" si="19"/>
        <v>14790.57138</v>
      </c>
      <c r="F425" s="161">
        <f t="shared" si="4"/>
        <v>13845.09978</v>
      </c>
      <c r="G425" s="161">
        <f t="shared" si="20"/>
        <v>14101.07102</v>
      </c>
      <c r="H425" s="161">
        <f t="shared" si="21"/>
        <v>14116.42083</v>
      </c>
      <c r="I425" s="161">
        <f t="shared" si="22"/>
        <v>14211.5416</v>
      </c>
      <c r="J425" s="162">
        <f t="shared" si="8"/>
        <v>14387.74187</v>
      </c>
      <c r="K425" s="163">
        <f t="shared" si="23"/>
        <v>0</v>
      </c>
      <c r="L425" s="163">
        <f t="shared" si="24"/>
        <v>0.005168345191</v>
      </c>
      <c r="M425" s="163">
        <f t="shared" si="25"/>
        <v>0.09874109623</v>
      </c>
      <c r="N425" s="163">
        <f t="shared" si="26"/>
        <v>-0.006922875342</v>
      </c>
      <c r="O425" s="164">
        <f t="shared" si="27"/>
        <v>-0.006481910445</v>
      </c>
      <c r="P425" s="164">
        <f t="shared" si="16"/>
        <v>0.02714654879</v>
      </c>
      <c r="U425" s="168">
        <f t="shared" si="15"/>
        <v>1.69763399</v>
      </c>
    </row>
    <row r="426">
      <c r="A426" s="158">
        <v>45674.0</v>
      </c>
      <c r="B426" s="167">
        <v>14293.57614676573</v>
      </c>
      <c r="C426" s="160">
        <f t="shared" si="17"/>
        <v>12240.68077</v>
      </c>
      <c r="D426" s="160">
        <f t="shared" si="18"/>
        <v>2052.895379</v>
      </c>
      <c r="E426" s="161">
        <f t="shared" si="19"/>
        <v>14783.93817</v>
      </c>
      <c r="F426" s="161">
        <f t="shared" si="4"/>
        <v>13839.28286</v>
      </c>
      <c r="G426" s="161">
        <f t="shared" si="20"/>
        <v>14093.21366</v>
      </c>
      <c r="H426" s="161">
        <f t="shared" si="21"/>
        <v>14091.11292</v>
      </c>
      <c r="I426" s="161">
        <f t="shared" si="22"/>
        <v>14170.52432</v>
      </c>
      <c r="J426" s="162">
        <f t="shared" si="8"/>
        <v>14342.94299</v>
      </c>
      <c r="K426" s="163">
        <f t="shared" si="23"/>
        <v>0.01105275935</v>
      </c>
      <c r="L426" s="163">
        <f t="shared" si="24"/>
        <v>0.005176038006</v>
      </c>
      <c r="M426" s="163">
        <f t="shared" si="25"/>
        <v>0.09888806726</v>
      </c>
      <c r="N426" s="163">
        <f t="shared" si="26"/>
        <v>-0.006935689121</v>
      </c>
      <c r="O426" s="164">
        <f t="shared" si="27"/>
        <v>-0.006481910445</v>
      </c>
      <c r="P426" s="164">
        <f t="shared" si="16"/>
        <v>0.02714654879</v>
      </c>
      <c r="U426" s="168">
        <f t="shared" si="15"/>
        <v>2.090315891</v>
      </c>
    </row>
    <row r="427">
      <c r="A427" s="158">
        <v>45673.0</v>
      </c>
      <c r="B427" s="167">
        <v>14136.462558201092</v>
      </c>
      <c r="C427" s="160">
        <f t="shared" si="17"/>
        <v>12235.54853</v>
      </c>
      <c r="D427" s="160">
        <f t="shared" si="18"/>
        <v>1900.914029</v>
      </c>
      <c r="E427" s="161">
        <f t="shared" si="19"/>
        <v>14777.21395</v>
      </c>
      <c r="F427" s="161">
        <f t="shared" si="4"/>
        <v>13810.54523</v>
      </c>
      <c r="G427" s="161">
        <f t="shared" si="20"/>
        <v>14085.0356</v>
      </c>
      <c r="H427" s="161">
        <f t="shared" si="21"/>
        <v>14062.1896</v>
      </c>
      <c r="I427" s="161">
        <f t="shared" si="22"/>
        <v>14108.99841</v>
      </c>
      <c r="J427" s="162">
        <f t="shared" si="8"/>
        <v>14313.83398</v>
      </c>
      <c r="K427" s="163">
        <f t="shared" si="23"/>
        <v>-0.001972387461</v>
      </c>
      <c r="L427" s="163">
        <f t="shared" si="24"/>
        <v>0.005153474367</v>
      </c>
      <c r="M427" s="163">
        <f t="shared" si="25"/>
        <v>0.09845698953</v>
      </c>
      <c r="N427" s="163">
        <f t="shared" si="26"/>
        <v>-0.006948502899</v>
      </c>
      <c r="O427" s="164">
        <f t="shared" si="27"/>
        <v>-0.0107098277</v>
      </c>
      <c r="P427" s="164">
        <f t="shared" si="16"/>
        <v>0.03784005861</v>
      </c>
      <c r="U427" s="168">
        <f t="shared" si="15"/>
        <v>0.767391213</v>
      </c>
    </row>
    <row r="428">
      <c r="A428" s="158">
        <v>45672.0</v>
      </c>
      <c r="B428" s="167">
        <v>14164.37265540242</v>
      </c>
      <c r="C428" s="160">
        <f t="shared" si="17"/>
        <v>12230.78433</v>
      </c>
      <c r="D428" s="160">
        <f t="shared" si="18"/>
        <v>1933.588322</v>
      </c>
      <c r="E428" s="161">
        <f t="shared" si="19"/>
        <v>14772.33707</v>
      </c>
      <c r="F428" s="161">
        <f t="shared" si="4"/>
        <v>13790.77475</v>
      </c>
      <c r="G428" s="161">
        <f t="shared" si="20"/>
        <v>14082.93654</v>
      </c>
      <c r="H428" s="161">
        <f t="shared" si="21"/>
        <v>14051.57918</v>
      </c>
      <c r="I428" s="161">
        <f t="shared" si="22"/>
        <v>14095.26634</v>
      </c>
      <c r="J428" s="162">
        <f t="shared" si="8"/>
        <v>14312.38361</v>
      </c>
      <c r="K428" s="163">
        <f t="shared" si="23"/>
        <v>0.01221612345</v>
      </c>
      <c r="L428" s="163">
        <f t="shared" si="24"/>
        <v>0.005158920632</v>
      </c>
      <c r="M428" s="163">
        <f t="shared" si="25"/>
        <v>0.09856104029</v>
      </c>
      <c r="N428" s="163">
        <f t="shared" si="26"/>
        <v>-0.006961316678</v>
      </c>
      <c r="O428" s="164">
        <f t="shared" si="27"/>
        <v>-0.0107098277</v>
      </c>
      <c r="P428" s="164">
        <f t="shared" si="16"/>
        <v>0.03594043363</v>
      </c>
      <c r="U428" s="168">
        <f t="shared" si="15"/>
        <v>1.124455706</v>
      </c>
    </row>
    <row r="429">
      <c r="A429" s="158">
        <v>45671.0</v>
      </c>
      <c r="B429" s="167">
        <v>13992.391540554172</v>
      </c>
      <c r="C429" s="160">
        <f t="shared" si="17"/>
        <v>12225.92607</v>
      </c>
      <c r="D429" s="160">
        <f t="shared" si="18"/>
        <v>1766.465469</v>
      </c>
      <c r="E429" s="161">
        <f t="shared" si="19"/>
        <v>14767.04192</v>
      </c>
      <c r="F429" s="161">
        <f t="shared" si="4"/>
        <v>13778.10623</v>
      </c>
      <c r="G429" s="161">
        <f t="shared" si="20"/>
        <v>14079.61262</v>
      </c>
      <c r="H429" s="161">
        <f t="shared" si="21"/>
        <v>14035.46583</v>
      </c>
      <c r="I429" s="161">
        <f t="shared" si="22"/>
        <v>14060.71318</v>
      </c>
      <c r="J429" s="162">
        <f t="shared" si="8"/>
        <v>14292.82543</v>
      </c>
      <c r="K429" s="163">
        <f t="shared" si="23"/>
        <v>-0.005708012325</v>
      </c>
      <c r="L429" s="163">
        <f t="shared" si="24"/>
        <v>0.005128376766</v>
      </c>
      <c r="M429" s="163">
        <f t="shared" si="25"/>
        <v>0.09797750054</v>
      </c>
      <c r="N429" s="163">
        <f t="shared" si="26"/>
        <v>-0.006974130457</v>
      </c>
      <c r="O429" s="164">
        <f t="shared" si="27"/>
        <v>-0.012137182</v>
      </c>
      <c r="P429" s="164">
        <f t="shared" si="16"/>
        <v>0.04764586125</v>
      </c>
      <c r="U429" s="168">
        <f t="shared" si="15"/>
        <v>-0.4351621165</v>
      </c>
    </row>
    <row r="430">
      <c r="A430" s="158">
        <v>45670.0</v>
      </c>
      <c r="B430" s="167">
        <v>14072.488664136145</v>
      </c>
      <c r="C430" s="160">
        <f t="shared" si="17"/>
        <v>12221.47654</v>
      </c>
      <c r="D430" s="160">
        <f t="shared" si="18"/>
        <v>1851.012128</v>
      </c>
      <c r="E430" s="161">
        <f t="shared" si="19"/>
        <v>14763.8057</v>
      </c>
      <c r="F430" s="161">
        <f t="shared" si="4"/>
        <v>13774.78531</v>
      </c>
      <c r="G430" s="161">
        <f t="shared" si="20"/>
        <v>14083.17266</v>
      </c>
      <c r="H430" s="161">
        <f t="shared" si="21"/>
        <v>14041.6193</v>
      </c>
      <c r="I430" s="161">
        <f t="shared" si="22"/>
        <v>14094.874</v>
      </c>
      <c r="J430" s="162">
        <f t="shared" si="8"/>
        <v>14308.45329</v>
      </c>
      <c r="K430" s="163">
        <f t="shared" si="23"/>
        <v>-0.002761157942</v>
      </c>
      <c r="L430" s="163">
        <f t="shared" si="24"/>
        <v>0.005123009163</v>
      </c>
      <c r="M430" s="163">
        <f t="shared" si="25"/>
        <v>0.09787495263</v>
      </c>
      <c r="N430" s="163">
        <f t="shared" si="26"/>
        <v>-0.006986944236</v>
      </c>
      <c r="O430" s="164">
        <f t="shared" si="27"/>
        <v>-0.012137182</v>
      </c>
      <c r="P430" s="164">
        <f t="shared" si="16"/>
        <v>0.04219426801</v>
      </c>
      <c r="U430" s="168">
        <f t="shared" si="15"/>
        <v>0.3007875777</v>
      </c>
    </row>
    <row r="431">
      <c r="A431" s="158">
        <v>45669.0</v>
      </c>
      <c r="B431" s="167">
        <v>14111.398721662168</v>
      </c>
      <c r="C431" s="160">
        <f t="shared" si="17"/>
        <v>12216.80226</v>
      </c>
      <c r="D431" s="160">
        <f t="shared" si="18"/>
        <v>1894.596458</v>
      </c>
      <c r="E431" s="161">
        <f t="shared" si="19"/>
        <v>14759.51608</v>
      </c>
      <c r="F431" s="161">
        <f t="shared" si="4"/>
        <v>13719.5978</v>
      </c>
      <c r="G431" s="161">
        <f t="shared" si="20"/>
        <v>14083.60875</v>
      </c>
      <c r="H431" s="161">
        <f t="shared" si="21"/>
        <v>14037.20939</v>
      </c>
      <c r="I431" s="161">
        <f t="shared" si="22"/>
        <v>14106.06666</v>
      </c>
      <c r="J431" s="162">
        <f t="shared" si="8"/>
        <v>14354.82098</v>
      </c>
      <c r="K431" s="163">
        <f t="shared" si="23"/>
        <v>0</v>
      </c>
      <c r="L431" s="163">
        <f t="shared" si="24"/>
        <v>0.005126859069</v>
      </c>
      <c r="M431" s="163">
        <f t="shared" si="25"/>
        <v>0.09794850499</v>
      </c>
      <c r="N431" s="163">
        <f t="shared" si="26"/>
        <v>-0.006987941093</v>
      </c>
      <c r="O431" s="164">
        <f t="shared" si="27"/>
        <v>-0.012137182</v>
      </c>
      <c r="P431" s="164">
        <f t="shared" si="16"/>
        <v>0.03954596059</v>
      </c>
      <c r="U431" s="168">
        <f t="shared" si="15"/>
        <v>0.6073212436</v>
      </c>
    </row>
    <row r="432">
      <c r="A432" s="158">
        <v>45668.0</v>
      </c>
      <c r="B432" s="167">
        <v>14111.398721662168</v>
      </c>
      <c r="C432" s="160">
        <f t="shared" si="17"/>
        <v>12212.00582</v>
      </c>
      <c r="D432" s="160">
        <f t="shared" si="18"/>
        <v>1899.392905</v>
      </c>
      <c r="E432" s="161">
        <f t="shared" si="19"/>
        <v>14754.673</v>
      </c>
      <c r="F432" s="161">
        <f t="shared" si="4"/>
        <v>13680.74989</v>
      </c>
      <c r="G432" s="161">
        <f t="shared" si="20"/>
        <v>14082.47446</v>
      </c>
      <c r="H432" s="161">
        <f t="shared" si="21"/>
        <v>14026.61091</v>
      </c>
      <c r="I432" s="161">
        <f t="shared" si="22"/>
        <v>14103.40064</v>
      </c>
      <c r="J432" s="162">
        <f t="shared" si="8"/>
        <v>14372.47193</v>
      </c>
      <c r="K432" s="163">
        <f t="shared" si="23"/>
        <v>0</v>
      </c>
      <c r="L432" s="163">
        <f t="shared" si="24"/>
        <v>0.005134642326</v>
      </c>
      <c r="M432" s="163">
        <f t="shared" si="25"/>
        <v>0.0980972039</v>
      </c>
      <c r="N432" s="163">
        <f t="shared" si="26"/>
        <v>-0.00698893795</v>
      </c>
      <c r="O432" s="164">
        <f t="shared" si="27"/>
        <v>-0.012137182</v>
      </c>
      <c r="P432" s="164">
        <f t="shared" si="16"/>
        <v>0.03954596059</v>
      </c>
      <c r="U432" s="168">
        <f t="shared" si="15"/>
        <v>0.6373898445</v>
      </c>
    </row>
    <row r="433">
      <c r="A433" s="158">
        <v>45667.0</v>
      </c>
      <c r="B433" s="167">
        <v>14111.398721662168</v>
      </c>
      <c r="C433" s="160">
        <f t="shared" si="17"/>
        <v>12207.18502</v>
      </c>
      <c r="D433" s="160">
        <f t="shared" si="18"/>
        <v>1904.213699</v>
      </c>
      <c r="E433" s="161">
        <f t="shared" si="19"/>
        <v>14749.75649</v>
      </c>
      <c r="F433" s="161">
        <f t="shared" si="4"/>
        <v>13653.80929</v>
      </c>
      <c r="G433" s="161">
        <f t="shared" si="20"/>
        <v>14081.29388</v>
      </c>
      <c r="H433" s="161">
        <f t="shared" si="21"/>
        <v>14014.49837</v>
      </c>
      <c r="I433" s="161">
        <f t="shared" si="22"/>
        <v>14099.40159</v>
      </c>
      <c r="J433" s="162">
        <f t="shared" si="8"/>
        <v>14375.18745</v>
      </c>
      <c r="K433" s="163">
        <f t="shared" si="23"/>
        <v>-0.006730668661</v>
      </c>
      <c r="L433" s="163">
        <f t="shared" si="24"/>
        <v>0.005142461086</v>
      </c>
      <c r="M433" s="163">
        <f t="shared" si="25"/>
        <v>0.0982465811</v>
      </c>
      <c r="N433" s="163">
        <f t="shared" si="26"/>
        <v>-0.006989934808</v>
      </c>
      <c r="O433" s="164">
        <f t="shared" si="27"/>
        <v>-0.012137182</v>
      </c>
      <c r="P433" s="164">
        <f t="shared" si="16"/>
        <v>0.03954596059</v>
      </c>
      <c r="U433" s="168">
        <f t="shared" si="15"/>
        <v>0.6984988786</v>
      </c>
    </row>
    <row r="434">
      <c r="A434" s="158">
        <v>45666.0</v>
      </c>
      <c r="B434" s="167">
        <v>14206.698225723329</v>
      </c>
      <c r="C434" s="160">
        <f t="shared" si="17"/>
        <v>12202.33969</v>
      </c>
      <c r="D434" s="160">
        <f t="shared" si="18"/>
        <v>2004.358531</v>
      </c>
      <c r="E434" s="161">
        <f t="shared" si="19"/>
        <v>14744.76546</v>
      </c>
      <c r="F434" s="161">
        <f t="shared" si="4"/>
        <v>13644.40464</v>
      </c>
      <c r="G434" s="161">
        <f t="shared" si="20"/>
        <v>14080.06511</v>
      </c>
      <c r="H434" s="161">
        <f t="shared" si="21"/>
        <v>14000.65546</v>
      </c>
      <c r="I434" s="161">
        <f t="shared" si="22"/>
        <v>14093.40303</v>
      </c>
      <c r="J434" s="162">
        <f t="shared" si="8"/>
        <v>14356.90629</v>
      </c>
      <c r="K434" s="163">
        <f t="shared" si="23"/>
        <v>0.006136662413</v>
      </c>
      <c r="L434" s="163">
        <f t="shared" si="24"/>
        <v>0.005132397957</v>
      </c>
      <c r="M434" s="163">
        <f t="shared" si="25"/>
        <v>0.0980543253</v>
      </c>
      <c r="N434" s="163">
        <f t="shared" si="26"/>
        <v>-0.006990931665</v>
      </c>
      <c r="O434" s="164">
        <f t="shared" si="27"/>
        <v>-0.012137182</v>
      </c>
      <c r="P434" s="164">
        <f t="shared" si="16"/>
        <v>0.0330596586</v>
      </c>
      <c r="U434" s="168">
        <f t="shared" si="15"/>
        <v>1.503747212</v>
      </c>
    </row>
    <row r="435">
      <c r="A435" s="158">
        <v>45665.0</v>
      </c>
      <c r="B435" s="167">
        <v>14119.78347071941</v>
      </c>
      <c r="C435" s="160">
        <f t="shared" si="17"/>
        <v>12197.22654</v>
      </c>
      <c r="D435" s="160">
        <f t="shared" si="18"/>
        <v>1922.556935</v>
      </c>
      <c r="E435" s="161">
        <f t="shared" si="19"/>
        <v>14738.49627</v>
      </c>
      <c r="F435" s="161">
        <f t="shared" si="4"/>
        <v>13655.72805</v>
      </c>
      <c r="G435" s="161">
        <f t="shared" si="20"/>
        <v>14074.89641</v>
      </c>
      <c r="H435" s="161">
        <f t="shared" si="21"/>
        <v>13971.22078</v>
      </c>
      <c r="I435" s="161">
        <f t="shared" si="22"/>
        <v>14036.75543</v>
      </c>
      <c r="J435" s="162">
        <f t="shared" si="8"/>
        <v>14286.71351</v>
      </c>
      <c r="K435" s="163">
        <f t="shared" si="23"/>
        <v>0.003110344102</v>
      </c>
      <c r="L435" s="163">
        <f t="shared" si="24"/>
        <v>0.005132263653</v>
      </c>
      <c r="M435" s="163">
        <f t="shared" si="25"/>
        <v>0.09805175942</v>
      </c>
      <c r="N435" s="163">
        <f t="shared" si="26"/>
        <v>-0.006991928523</v>
      </c>
      <c r="O435" s="164">
        <f t="shared" si="27"/>
        <v>-0.012137182</v>
      </c>
      <c r="P435" s="164">
        <f t="shared" si="16"/>
        <v>0.03897527542</v>
      </c>
      <c r="U435" s="168">
        <f t="shared" si="15"/>
        <v>1.224316624</v>
      </c>
    </row>
    <row r="436">
      <c r="A436" s="158">
        <v>45664.0</v>
      </c>
      <c r="B436" s="167">
        <v>14075.934313808628</v>
      </c>
      <c r="C436" s="160">
        <f t="shared" si="17"/>
        <v>12192.30951</v>
      </c>
      <c r="D436" s="160">
        <f t="shared" si="18"/>
        <v>1883.624804</v>
      </c>
      <c r="E436" s="161">
        <f t="shared" si="19"/>
        <v>14733.23717</v>
      </c>
      <c r="F436" s="161">
        <f t="shared" si="4"/>
        <v>13662.07309</v>
      </c>
      <c r="G436" s="161">
        <f t="shared" si="20"/>
        <v>14073.06429</v>
      </c>
      <c r="H436" s="161">
        <f t="shared" si="21"/>
        <v>13949.99754</v>
      </c>
      <c r="I436" s="161">
        <f t="shared" si="22"/>
        <v>13995.24141</v>
      </c>
      <c r="J436" s="162">
        <f t="shared" si="8"/>
        <v>14237.92199</v>
      </c>
      <c r="K436" s="163">
        <f t="shared" si="23"/>
        <v>0.00561928764</v>
      </c>
      <c r="L436" s="163">
        <f t="shared" si="24"/>
        <v>0.00513898433</v>
      </c>
      <c r="M436" s="163">
        <f t="shared" si="25"/>
        <v>0.09818015777</v>
      </c>
      <c r="N436" s="163">
        <f t="shared" si="26"/>
        <v>-0.00699292538</v>
      </c>
      <c r="O436" s="164">
        <f t="shared" si="27"/>
        <v>-0.012137182</v>
      </c>
      <c r="P436" s="164">
        <f t="shared" si="16"/>
        <v>0.04195974922</v>
      </c>
      <c r="U436" s="168">
        <f t="shared" si="15"/>
        <v>1.137227523</v>
      </c>
    </row>
    <row r="437">
      <c r="A437" s="158">
        <v>45663.0</v>
      </c>
      <c r="B437" s="167">
        <v>13997.059408040512</v>
      </c>
      <c r="C437" s="160">
        <f t="shared" si="17"/>
        <v>12187.4797</v>
      </c>
      <c r="D437" s="160">
        <f t="shared" si="18"/>
        <v>1809.579705</v>
      </c>
      <c r="E437" s="161">
        <f t="shared" si="19"/>
        <v>14728.45566</v>
      </c>
      <c r="F437" s="161">
        <f t="shared" si="4"/>
        <v>13631.91758</v>
      </c>
      <c r="G437" s="161">
        <f t="shared" si="20"/>
        <v>14072.94714</v>
      </c>
      <c r="H437" s="161">
        <f t="shared" si="21"/>
        <v>13932.00657</v>
      </c>
      <c r="I437" s="161">
        <f t="shared" si="22"/>
        <v>13954.89496</v>
      </c>
      <c r="J437" s="162">
        <f t="shared" si="8"/>
        <v>14232.09556</v>
      </c>
      <c r="K437" s="163">
        <f t="shared" si="23"/>
        <v>0.002395184336</v>
      </c>
      <c r="L437" s="163">
        <f t="shared" si="24"/>
        <v>0.005140386174</v>
      </c>
      <c r="M437" s="163">
        <f t="shared" si="25"/>
        <v>0.09820693997</v>
      </c>
      <c r="N437" s="163">
        <f t="shared" si="26"/>
        <v>-0.006993922237</v>
      </c>
      <c r="O437" s="164">
        <f t="shared" si="27"/>
        <v>-0.012137182</v>
      </c>
      <c r="P437" s="164">
        <f t="shared" si="16"/>
        <v>0.04732815553</v>
      </c>
      <c r="U437" s="168">
        <f t="shared" si="15"/>
        <v>0.5636240636</v>
      </c>
    </row>
    <row r="438">
      <c r="A438" s="158">
        <v>45662.0</v>
      </c>
      <c r="B438" s="167">
        <v>13963.57398848283</v>
      </c>
      <c r="C438" s="160">
        <f t="shared" si="17"/>
        <v>12182.82783</v>
      </c>
      <c r="D438" s="160">
        <f t="shared" si="18"/>
        <v>1780.746162</v>
      </c>
      <c r="E438" s="161">
        <f t="shared" si="19"/>
        <v>14724.60473</v>
      </c>
      <c r="F438" s="161">
        <f t="shared" si="4"/>
        <v>13643.97245</v>
      </c>
      <c r="G438" s="161">
        <f t="shared" si="20"/>
        <v>14076.0446</v>
      </c>
      <c r="H438" s="161">
        <f t="shared" si="21"/>
        <v>13922.71331</v>
      </c>
      <c r="I438" s="161">
        <f t="shared" si="22"/>
        <v>13933.81274</v>
      </c>
      <c r="J438" s="162">
        <f t="shared" si="8"/>
        <v>14201.45416</v>
      </c>
      <c r="K438" s="163">
        <f t="shared" si="23"/>
        <v>0</v>
      </c>
      <c r="L438" s="163">
        <f t="shared" si="24"/>
        <v>0.005147949035</v>
      </c>
      <c r="M438" s="163">
        <f t="shared" si="25"/>
        <v>0.09835142822</v>
      </c>
      <c r="N438" s="163">
        <f t="shared" si="26"/>
        <v>-0.006994919095</v>
      </c>
      <c r="O438" s="164">
        <f t="shared" si="27"/>
        <v>-0.012137182</v>
      </c>
      <c r="P438" s="164">
        <f t="shared" si="16"/>
        <v>0.04960724969</v>
      </c>
      <c r="U438" s="168">
        <f t="shared" si="15"/>
        <v>0.3811345336</v>
      </c>
    </row>
    <row r="439">
      <c r="A439" s="158">
        <v>45661.0</v>
      </c>
      <c r="B439" s="167">
        <v>13963.57398848283</v>
      </c>
      <c r="C439" s="160">
        <f t="shared" si="17"/>
        <v>12178.23827</v>
      </c>
      <c r="D439" s="160">
        <f t="shared" si="18"/>
        <v>1785.335714</v>
      </c>
      <c r="E439" s="161">
        <f t="shared" si="19"/>
        <v>14721.11763</v>
      </c>
      <c r="F439" s="161">
        <f t="shared" si="4"/>
        <v>13654.22283</v>
      </c>
      <c r="G439" s="161">
        <f t="shared" si="20"/>
        <v>14080.63524</v>
      </c>
      <c r="H439" s="161">
        <f t="shared" si="21"/>
        <v>13916.87607</v>
      </c>
      <c r="I439" s="161">
        <f t="shared" si="22"/>
        <v>13918.93211</v>
      </c>
      <c r="J439" s="162">
        <f t="shared" si="8"/>
        <v>14179.52931</v>
      </c>
      <c r="K439" s="163">
        <f t="shared" si="23"/>
        <v>0</v>
      </c>
      <c r="L439" s="163">
        <f t="shared" si="24"/>
        <v>0.005155949712</v>
      </c>
      <c r="M439" s="163">
        <f t="shared" si="25"/>
        <v>0.09850428094</v>
      </c>
      <c r="N439" s="163">
        <f t="shared" si="26"/>
        <v>-0.006995915952</v>
      </c>
      <c r="O439" s="164">
        <f t="shared" si="27"/>
        <v>-0.012137182</v>
      </c>
      <c r="P439" s="164">
        <f t="shared" si="16"/>
        <v>0.04960724969</v>
      </c>
      <c r="U439" s="168">
        <f t="shared" si="15"/>
        <v>0.4622619086</v>
      </c>
    </row>
    <row r="440">
      <c r="A440" s="158">
        <v>45660.0</v>
      </c>
      <c r="B440" s="167">
        <v>13963.57398848283</v>
      </c>
      <c r="C440" s="160">
        <f t="shared" si="17"/>
        <v>12173.625</v>
      </c>
      <c r="D440" s="160">
        <f t="shared" si="18"/>
        <v>1789.948984</v>
      </c>
      <c r="E440" s="161">
        <f t="shared" si="19"/>
        <v>14717.57024</v>
      </c>
      <c r="F440" s="161">
        <f t="shared" si="4"/>
        <v>13666.47029</v>
      </c>
      <c r="G440" s="161">
        <f t="shared" si="20"/>
        <v>14085.41325</v>
      </c>
      <c r="H440" s="161">
        <f t="shared" si="21"/>
        <v>13910.20494</v>
      </c>
      <c r="I440" s="161">
        <f t="shared" si="22"/>
        <v>13896.61117</v>
      </c>
      <c r="J440" s="162">
        <f t="shared" si="8"/>
        <v>14153.93958</v>
      </c>
      <c r="K440" s="163">
        <f t="shared" si="23"/>
        <v>0.008287150333</v>
      </c>
      <c r="L440" s="163">
        <f t="shared" si="24"/>
        <v>0.005163987757</v>
      </c>
      <c r="M440" s="163">
        <f t="shared" si="25"/>
        <v>0.09865784757</v>
      </c>
      <c r="N440" s="163">
        <f t="shared" si="26"/>
        <v>-0.006996912809</v>
      </c>
      <c r="O440" s="164">
        <f t="shared" si="27"/>
        <v>-0.012137182</v>
      </c>
      <c r="P440" s="164">
        <f t="shared" si="16"/>
        <v>0.04960724969</v>
      </c>
      <c r="U440" s="168">
        <f t="shared" si="15"/>
        <v>0.5693057319</v>
      </c>
    </row>
    <row r="441">
      <c r="A441" s="158">
        <v>45659.0</v>
      </c>
      <c r="B441" s="167">
        <v>13848.333917075071</v>
      </c>
      <c r="C441" s="160">
        <f t="shared" si="17"/>
        <v>12168.98783</v>
      </c>
      <c r="D441" s="160">
        <f t="shared" si="18"/>
        <v>1679.346086</v>
      </c>
      <c r="E441" s="161">
        <f t="shared" si="19"/>
        <v>14713.96161</v>
      </c>
      <c r="F441" s="161">
        <f t="shared" si="4"/>
        <v>13667.01639</v>
      </c>
      <c r="G441" s="161">
        <f t="shared" si="20"/>
        <v>14090.38628</v>
      </c>
      <c r="H441" s="161">
        <f t="shared" si="21"/>
        <v>13902.58079</v>
      </c>
      <c r="I441" s="161">
        <f t="shared" si="22"/>
        <v>13863.12976</v>
      </c>
      <c r="J441" s="162">
        <f t="shared" si="8"/>
        <v>14138.14518</v>
      </c>
      <c r="K441" s="163">
        <f t="shared" si="23"/>
        <v>-0.004908344314</v>
      </c>
      <c r="L441" s="163">
        <f t="shared" si="24"/>
        <v>0.005155337259</v>
      </c>
      <c r="M441" s="163">
        <f t="shared" si="25"/>
        <v>0.09849258004</v>
      </c>
      <c r="N441" s="163">
        <f t="shared" si="26"/>
        <v>-0.006997909667</v>
      </c>
      <c r="O441" s="164">
        <f t="shared" si="27"/>
        <v>-0.012137182</v>
      </c>
      <c r="P441" s="164">
        <f t="shared" si="16"/>
        <v>0.05745075226</v>
      </c>
      <c r="U441" s="168">
        <f t="shared" si="15"/>
        <v>-0.5987401629</v>
      </c>
    </row>
    <row r="442">
      <c r="A442" s="158">
        <v>45658.0</v>
      </c>
      <c r="B442" s="167">
        <v>13916.473397332997</v>
      </c>
      <c r="C442" s="160">
        <f t="shared" si="17"/>
        <v>12164.62589</v>
      </c>
      <c r="D442" s="160">
        <f t="shared" si="18"/>
        <v>1751.847504</v>
      </c>
      <c r="E442" s="161">
        <f t="shared" si="19"/>
        <v>14711.77775</v>
      </c>
      <c r="F442" s="161">
        <f t="shared" si="4"/>
        <v>13646.21226</v>
      </c>
      <c r="G442" s="161">
        <f t="shared" si="20"/>
        <v>14100.26597</v>
      </c>
      <c r="H442" s="161">
        <f t="shared" si="21"/>
        <v>13910.33034</v>
      </c>
      <c r="I442" s="161">
        <f t="shared" si="22"/>
        <v>13870.52768</v>
      </c>
      <c r="J442" s="162">
        <f t="shared" si="8"/>
        <v>14174.44842</v>
      </c>
      <c r="K442" s="163">
        <f t="shared" si="23"/>
        <v>0</v>
      </c>
      <c r="L442" s="163">
        <f t="shared" si="24"/>
        <v>0.005153011948</v>
      </c>
      <c r="M442" s="163">
        <f t="shared" si="25"/>
        <v>0.09844815503</v>
      </c>
      <c r="N442" s="163">
        <f t="shared" si="26"/>
        <v>-0.006998906524</v>
      </c>
      <c r="O442" s="164">
        <f t="shared" si="27"/>
        <v>-0.012137182</v>
      </c>
      <c r="P442" s="164">
        <f t="shared" si="16"/>
        <v>0.05281302354</v>
      </c>
      <c r="U442" s="168">
        <f t="shared" si="15"/>
        <v>0.06047274619</v>
      </c>
    </row>
    <row r="443">
      <c r="A443" s="158">
        <v>45657.0</v>
      </c>
      <c r="B443" s="167">
        <v>13916.473397332997</v>
      </c>
      <c r="C443" s="160">
        <f t="shared" si="17"/>
        <v>12160.06379</v>
      </c>
      <c r="D443" s="160">
        <f t="shared" si="18"/>
        <v>1756.409607</v>
      </c>
      <c r="E443" s="161">
        <f t="shared" si="19"/>
        <v>14708.66547</v>
      </c>
      <c r="F443" s="161">
        <f t="shared" si="4"/>
        <v>13551.6729</v>
      </c>
      <c r="G443" s="161">
        <f t="shared" si="20"/>
        <v>14107.7677</v>
      </c>
      <c r="H443" s="161">
        <f t="shared" si="21"/>
        <v>13909.45276</v>
      </c>
      <c r="I443" s="161">
        <f t="shared" si="22"/>
        <v>13847.55482</v>
      </c>
      <c r="J443" s="162">
        <f t="shared" si="8"/>
        <v>14267.23262</v>
      </c>
      <c r="K443" s="163">
        <f t="shared" si="23"/>
        <v>0</v>
      </c>
      <c r="L443" s="163">
        <f t="shared" si="24"/>
        <v>0.005161124652</v>
      </c>
      <c r="M443" s="163">
        <f t="shared" si="25"/>
        <v>0.09860314802</v>
      </c>
      <c r="N443" s="163">
        <f t="shared" si="26"/>
        <v>-0.006999903381</v>
      </c>
      <c r="O443" s="164">
        <f t="shared" si="27"/>
        <v>-0.012137182</v>
      </c>
      <c r="P443" s="164">
        <f t="shared" si="16"/>
        <v>0.05281302354</v>
      </c>
      <c r="U443" s="168">
        <f t="shared" si="15"/>
        <v>0.0510192285</v>
      </c>
    </row>
    <row r="444">
      <c r="A444" s="158">
        <v>45656.0</v>
      </c>
      <c r="B444" s="167">
        <v>13916.473397332997</v>
      </c>
      <c r="C444" s="160">
        <f t="shared" si="17"/>
        <v>12155.47786</v>
      </c>
      <c r="D444" s="160">
        <f t="shared" si="18"/>
        <v>1760.995533</v>
      </c>
      <c r="E444" s="161">
        <f t="shared" si="19"/>
        <v>14705.49607</v>
      </c>
      <c r="F444" s="161">
        <f t="shared" si="4"/>
        <v>13446.73237</v>
      </c>
      <c r="G444" s="161">
        <f t="shared" si="20"/>
        <v>14115.57564</v>
      </c>
      <c r="H444" s="161">
        <f t="shared" si="21"/>
        <v>13908.44981</v>
      </c>
      <c r="I444" s="161">
        <f t="shared" si="22"/>
        <v>13813.09554</v>
      </c>
      <c r="J444" s="162">
        <f t="shared" si="8"/>
        <v>14370.16725</v>
      </c>
      <c r="K444" s="163">
        <f t="shared" si="23"/>
        <v>0.0118103819</v>
      </c>
      <c r="L444" s="163">
        <f t="shared" si="24"/>
        <v>0.005169275741</v>
      </c>
      <c r="M444" s="163">
        <f t="shared" si="25"/>
        <v>0.09875887436</v>
      </c>
      <c r="N444" s="163">
        <f t="shared" si="26"/>
        <v>-0.007000900239</v>
      </c>
      <c r="O444" s="164">
        <f t="shared" si="27"/>
        <v>-0.012137182</v>
      </c>
      <c r="P444" s="164">
        <f t="shared" si="16"/>
        <v>0.05281302354</v>
      </c>
      <c r="U444" s="168">
        <f t="shared" si="15"/>
        <v>0.045181999</v>
      </c>
    </row>
    <row r="445">
      <c r="A445" s="158">
        <v>45655.0</v>
      </c>
      <c r="B445" s="167">
        <v>13753.081292601295</v>
      </c>
      <c r="C445" s="160">
        <f t="shared" si="17"/>
        <v>12150.86793</v>
      </c>
      <c r="D445" s="160">
        <f t="shared" si="18"/>
        <v>1602.213364</v>
      </c>
      <c r="E445" s="161">
        <f t="shared" si="19"/>
        <v>14702.26861</v>
      </c>
      <c r="F445" s="161">
        <f t="shared" si="4"/>
        <v>13313.75435</v>
      </c>
      <c r="G445" s="161">
        <f t="shared" si="20"/>
        <v>14123.70226</v>
      </c>
      <c r="H445" s="161">
        <f t="shared" si="21"/>
        <v>13907.30359</v>
      </c>
      <c r="I445" s="161">
        <f t="shared" si="22"/>
        <v>13761.4066</v>
      </c>
      <c r="J445" s="162">
        <f t="shared" si="8"/>
        <v>14500.85283</v>
      </c>
      <c r="K445" s="163">
        <f t="shared" si="23"/>
        <v>0</v>
      </c>
      <c r="L445" s="163">
        <f t="shared" si="24"/>
        <v>0.00514003394</v>
      </c>
      <c r="M445" s="163">
        <f t="shared" si="25"/>
        <v>0.09820021054</v>
      </c>
      <c r="N445" s="163">
        <f t="shared" si="26"/>
        <v>-0.007001897096</v>
      </c>
      <c r="O445" s="164">
        <f t="shared" si="27"/>
        <v>-0.012137182</v>
      </c>
      <c r="P445" s="164">
        <f t="shared" si="16"/>
        <v>0.06393386352</v>
      </c>
      <c r="U445" s="168">
        <f t="shared" si="15"/>
        <v>-0.6755597362</v>
      </c>
    </row>
    <row r="446">
      <c r="A446" s="158">
        <v>45654.0</v>
      </c>
      <c r="B446" s="167">
        <v>13753.081292601295</v>
      </c>
      <c r="C446" s="160">
        <f t="shared" si="17"/>
        <v>12146.66264</v>
      </c>
      <c r="D446" s="160">
        <f t="shared" si="18"/>
        <v>1606.418649</v>
      </c>
      <c r="E446" s="161">
        <f t="shared" si="19"/>
        <v>14701.11801</v>
      </c>
      <c r="F446" s="161">
        <f t="shared" si="4"/>
        <v>13253.03296</v>
      </c>
      <c r="G446" s="161">
        <f t="shared" si="20"/>
        <v>14138.82964</v>
      </c>
      <c r="H446" s="161">
        <f t="shared" si="21"/>
        <v>13929.33534</v>
      </c>
      <c r="I446" s="161">
        <f t="shared" si="22"/>
        <v>13765.56926</v>
      </c>
      <c r="J446" s="162">
        <f t="shared" si="8"/>
        <v>14605.63773</v>
      </c>
      <c r="K446" s="163">
        <f t="shared" si="23"/>
        <v>0</v>
      </c>
      <c r="L446" s="163">
        <f t="shared" si="24"/>
        <v>0.005148221884</v>
      </c>
      <c r="M446" s="163">
        <f t="shared" si="25"/>
        <v>0.098356641</v>
      </c>
      <c r="N446" s="163">
        <f t="shared" si="26"/>
        <v>-0.007002893954</v>
      </c>
      <c r="O446" s="164">
        <f t="shared" si="27"/>
        <v>-0.012137182</v>
      </c>
      <c r="P446" s="164">
        <f t="shared" si="16"/>
        <v>0.06393386352</v>
      </c>
      <c r="U446" s="168">
        <f t="shared" si="15"/>
        <v>-0.6775970972</v>
      </c>
    </row>
    <row r="447">
      <c r="A447" s="158">
        <v>45653.0</v>
      </c>
      <c r="B447" s="167">
        <v>13753.081292601295</v>
      </c>
      <c r="C447" s="160">
        <f t="shared" si="17"/>
        <v>12142.43523</v>
      </c>
      <c r="D447" s="160">
        <f t="shared" si="18"/>
        <v>1610.646066</v>
      </c>
      <c r="E447" s="161">
        <f t="shared" si="19"/>
        <v>14699.93198</v>
      </c>
      <c r="F447" s="161">
        <f t="shared" si="4"/>
        <v>13224.51904</v>
      </c>
      <c r="G447" s="161">
        <f t="shared" si="20"/>
        <v>14154.57447</v>
      </c>
      <c r="H447" s="161">
        <f t="shared" si="21"/>
        <v>13954.51449</v>
      </c>
      <c r="I447" s="161">
        <f t="shared" si="22"/>
        <v>13771.81324</v>
      </c>
      <c r="J447" s="162">
        <f t="shared" si="8"/>
        <v>14684.50995</v>
      </c>
      <c r="K447" s="163">
        <f t="shared" si="23"/>
        <v>-0.002582771691</v>
      </c>
      <c r="L447" s="163">
        <f t="shared" si="24"/>
        <v>0.005156449036</v>
      </c>
      <c r="M447" s="163">
        <f t="shared" si="25"/>
        <v>0.09851382051</v>
      </c>
      <c r="N447" s="163">
        <f t="shared" si="26"/>
        <v>-0.007003890811</v>
      </c>
      <c r="O447" s="164">
        <f t="shared" si="27"/>
        <v>-0.012137182</v>
      </c>
      <c r="P447" s="164">
        <f t="shared" si="16"/>
        <v>0.06393386352</v>
      </c>
      <c r="U447" s="168">
        <f t="shared" si="15"/>
        <v>-0.7174377887</v>
      </c>
    </row>
    <row r="448">
      <c r="A448" s="158">
        <v>45652.0</v>
      </c>
      <c r="B448" s="167">
        <v>13788.648272556622</v>
      </c>
      <c r="C448" s="160">
        <f t="shared" si="17"/>
        <v>12138.1855</v>
      </c>
      <c r="D448" s="160">
        <f t="shared" si="18"/>
        <v>1650.462772</v>
      </c>
      <c r="E448" s="161">
        <f t="shared" si="19"/>
        <v>14698.70989</v>
      </c>
      <c r="F448" s="161">
        <f t="shared" si="4"/>
        <v>13193.38837</v>
      </c>
      <c r="G448" s="161">
        <f t="shared" si="20"/>
        <v>14170.96195</v>
      </c>
      <c r="H448" s="161">
        <f t="shared" si="21"/>
        <v>13983.29067</v>
      </c>
      <c r="I448" s="161">
        <f t="shared" si="22"/>
        <v>13781.17922</v>
      </c>
      <c r="J448" s="162">
        <f t="shared" si="8"/>
        <v>14773.19296</v>
      </c>
      <c r="K448" s="163">
        <f t="shared" si="23"/>
        <v>0.003339606427</v>
      </c>
      <c r="L448" s="163">
        <f t="shared" si="24"/>
        <v>0.005161065353</v>
      </c>
      <c r="M448" s="163">
        <f t="shared" si="25"/>
        <v>0.09860201513</v>
      </c>
      <c r="N448" s="163">
        <f t="shared" si="26"/>
        <v>-0.007004887668</v>
      </c>
      <c r="O448" s="164">
        <f t="shared" si="27"/>
        <v>-0.012137182</v>
      </c>
      <c r="P448" s="164">
        <f t="shared" si="16"/>
        <v>0.0615130936</v>
      </c>
      <c r="U448" s="168">
        <f t="shared" si="15"/>
        <v>-0.6406744578</v>
      </c>
    </row>
    <row r="449">
      <c r="A449" s="158">
        <v>45651.0</v>
      </c>
      <c r="B449" s="167">
        <v>13742.676420836162</v>
      </c>
      <c r="C449" s="160">
        <f t="shared" si="17"/>
        <v>12133.8192</v>
      </c>
      <c r="D449" s="160">
        <f t="shared" si="18"/>
        <v>1608.857224</v>
      </c>
      <c r="E449" s="161">
        <f t="shared" si="19"/>
        <v>14696.98158</v>
      </c>
      <c r="F449" s="161">
        <f t="shared" si="4"/>
        <v>13192.12771</v>
      </c>
      <c r="G449" s="161">
        <f t="shared" si="20"/>
        <v>14186.56659</v>
      </c>
      <c r="H449" s="161">
        <f t="shared" si="21"/>
        <v>14011.09672</v>
      </c>
      <c r="I449" s="161">
        <f t="shared" si="22"/>
        <v>13777.44469</v>
      </c>
      <c r="J449" s="162">
        <f t="shared" si="8"/>
        <v>14830.06573</v>
      </c>
      <c r="K449" s="163">
        <f t="shared" si="23"/>
        <v>0</v>
      </c>
      <c r="L449" s="163">
        <f t="shared" si="24"/>
        <v>0.005167738302</v>
      </c>
      <c r="M449" s="163">
        <f t="shared" si="25"/>
        <v>0.09872950162</v>
      </c>
      <c r="N449" s="163">
        <f t="shared" si="26"/>
        <v>-0.007005884526</v>
      </c>
      <c r="O449" s="164">
        <f t="shared" si="27"/>
        <v>-0.012137182</v>
      </c>
      <c r="P449" s="164">
        <f t="shared" si="16"/>
        <v>0.06464204286</v>
      </c>
      <c r="U449" s="168">
        <f t="shared" si="15"/>
        <v>-0.8521601885</v>
      </c>
    </row>
    <row r="450">
      <c r="A450" s="158">
        <v>45650.0</v>
      </c>
      <c r="B450" s="167">
        <v>13742.676420836162</v>
      </c>
      <c r="C450" s="160">
        <f t="shared" si="17"/>
        <v>12129.55167</v>
      </c>
      <c r="D450" s="160">
        <f t="shared" si="18"/>
        <v>1613.12475</v>
      </c>
      <c r="E450" s="161">
        <f t="shared" si="19"/>
        <v>14695.81939</v>
      </c>
      <c r="F450" s="161">
        <f t="shared" si="4"/>
        <v>13241.7912</v>
      </c>
      <c r="G450" s="161">
        <f t="shared" si="20"/>
        <v>14204.68456</v>
      </c>
      <c r="H450" s="161">
        <f t="shared" si="21"/>
        <v>14049.44248</v>
      </c>
      <c r="I450" s="161">
        <f t="shared" si="22"/>
        <v>13794.82883</v>
      </c>
      <c r="J450" s="162">
        <f t="shared" si="8"/>
        <v>14857.09376</v>
      </c>
      <c r="K450" s="163">
        <f t="shared" si="23"/>
        <v>0.009908826132</v>
      </c>
      <c r="L450" s="163">
        <f t="shared" si="24"/>
        <v>0.005176077371</v>
      </c>
      <c r="M450" s="163">
        <f t="shared" si="25"/>
        <v>0.09888881933</v>
      </c>
      <c r="N450" s="163">
        <f t="shared" si="26"/>
        <v>-0.007006881383</v>
      </c>
      <c r="O450" s="164">
        <f t="shared" si="27"/>
        <v>-0.012137182</v>
      </c>
      <c r="P450" s="164">
        <f t="shared" si="16"/>
        <v>0.06464204286</v>
      </c>
      <c r="U450" s="168">
        <f t="shared" si="15"/>
        <v>-0.9875447119</v>
      </c>
    </row>
    <row r="451">
      <c r="A451" s="158">
        <v>45649.0</v>
      </c>
      <c r="B451" s="167">
        <v>13607.175067947084</v>
      </c>
      <c r="C451" s="160">
        <f t="shared" si="17"/>
        <v>12125.26145</v>
      </c>
      <c r="D451" s="160">
        <f t="shared" si="18"/>
        <v>1481.913622</v>
      </c>
      <c r="E451" s="161">
        <f t="shared" si="19"/>
        <v>14694.62076</v>
      </c>
      <c r="F451" s="161">
        <f t="shared" si="4"/>
        <v>13317.31936</v>
      </c>
      <c r="G451" s="161">
        <f t="shared" si="20"/>
        <v>14223.54203</v>
      </c>
      <c r="H451" s="161">
        <f t="shared" si="21"/>
        <v>14093.2662</v>
      </c>
      <c r="I451" s="161">
        <f t="shared" si="22"/>
        <v>13820.90503</v>
      </c>
      <c r="J451" s="162">
        <f t="shared" si="8"/>
        <v>14869.21305</v>
      </c>
      <c r="K451" s="163">
        <f t="shared" si="23"/>
        <v>-0.01749302023</v>
      </c>
      <c r="L451" s="163">
        <f t="shared" si="24"/>
        <v>0.005158462976</v>
      </c>
      <c r="M451" s="163">
        <f t="shared" si="25"/>
        <v>0.09855229678</v>
      </c>
      <c r="N451" s="163">
        <f t="shared" si="26"/>
        <v>-0.007019388541</v>
      </c>
      <c r="O451" s="164">
        <f t="shared" si="27"/>
        <v>-0.012137182</v>
      </c>
      <c r="P451" s="164">
        <f t="shared" si="16"/>
        <v>0.07386457454</v>
      </c>
      <c r="U451" s="168">
        <f t="shared" si="15"/>
        <v>-1.628767434</v>
      </c>
    </row>
    <row r="452">
      <c r="A452" s="158">
        <v>45648.0</v>
      </c>
      <c r="B452" s="167">
        <v>13847.299786634005</v>
      </c>
      <c r="C452" s="160">
        <f t="shared" si="17"/>
        <v>12121.30968</v>
      </c>
      <c r="D452" s="160">
        <f t="shared" si="18"/>
        <v>1725.990111</v>
      </c>
      <c r="E452" s="161">
        <f t="shared" si="19"/>
        <v>14695.19172</v>
      </c>
      <c r="F452" s="161">
        <f t="shared" si="4"/>
        <v>13468.65827</v>
      </c>
      <c r="G452" s="161">
        <f t="shared" si="20"/>
        <v>14248.69987</v>
      </c>
      <c r="H452" s="161">
        <f t="shared" si="21"/>
        <v>14162.70779</v>
      </c>
      <c r="I452" s="161">
        <f t="shared" si="22"/>
        <v>13927.77002</v>
      </c>
      <c r="J452" s="162">
        <f t="shared" si="8"/>
        <v>14856.75731</v>
      </c>
      <c r="K452" s="163">
        <f t="shared" si="23"/>
        <v>0</v>
      </c>
      <c r="L452" s="163">
        <f t="shared" si="24"/>
        <v>0.00505591482</v>
      </c>
      <c r="M452" s="163">
        <f t="shared" si="25"/>
        <v>0.09659311702</v>
      </c>
      <c r="N452" s="163">
        <f t="shared" si="26"/>
        <v>-0.00698893795</v>
      </c>
      <c r="O452" s="164">
        <f t="shared" si="27"/>
        <v>-0.009483353786</v>
      </c>
      <c r="P452" s="164">
        <f t="shared" si="16"/>
        <v>0.05752113754</v>
      </c>
      <c r="U452" s="168">
        <f t="shared" si="15"/>
        <v>-1.181559517</v>
      </c>
    </row>
    <row r="453">
      <c r="A453" s="158">
        <v>45647.0</v>
      </c>
      <c r="B453" s="167">
        <v>13847.299786634005</v>
      </c>
      <c r="C453" s="160">
        <f t="shared" si="17"/>
        <v>12116.69473</v>
      </c>
      <c r="D453" s="160">
        <f t="shared" si="18"/>
        <v>1730.605057</v>
      </c>
      <c r="E453" s="161">
        <f t="shared" si="19"/>
        <v>14692.5337</v>
      </c>
      <c r="F453" s="161">
        <f t="shared" si="4"/>
        <v>13547.6374</v>
      </c>
      <c r="G453" s="161">
        <f t="shared" si="20"/>
        <v>14265.08354</v>
      </c>
      <c r="H453" s="161">
        <f t="shared" si="21"/>
        <v>14207.76608</v>
      </c>
      <c r="I453" s="161">
        <f t="shared" si="22"/>
        <v>13968.00513</v>
      </c>
      <c r="J453" s="162">
        <f t="shared" si="8"/>
        <v>14867.89476</v>
      </c>
      <c r="K453" s="163">
        <f t="shared" si="23"/>
        <v>0</v>
      </c>
      <c r="L453" s="163">
        <f t="shared" si="24"/>
        <v>0.005064122696</v>
      </c>
      <c r="M453" s="163">
        <f t="shared" si="25"/>
        <v>0.09674992826</v>
      </c>
      <c r="N453" s="163">
        <f t="shared" si="26"/>
        <v>-0.006989934808</v>
      </c>
      <c r="O453" s="164">
        <f t="shared" si="27"/>
        <v>-0.009483353786</v>
      </c>
      <c r="P453" s="164">
        <f t="shared" si="16"/>
        <v>0.05752113754</v>
      </c>
      <c r="U453" s="168">
        <f t="shared" si="15"/>
        <v>-1.419741933</v>
      </c>
    </row>
    <row r="454">
      <c r="A454" s="158">
        <v>45646.0</v>
      </c>
      <c r="B454" s="167">
        <v>13847.299786634005</v>
      </c>
      <c r="C454" s="160">
        <f t="shared" si="17"/>
        <v>12112.05504</v>
      </c>
      <c r="D454" s="160">
        <f t="shared" si="18"/>
        <v>1735.244749</v>
      </c>
      <c r="E454" s="161">
        <f t="shared" si="19"/>
        <v>14689.82097</v>
      </c>
      <c r="F454" s="161">
        <f t="shared" si="4"/>
        <v>13660.04593</v>
      </c>
      <c r="G454" s="161">
        <f t="shared" si="20"/>
        <v>14282.13594</v>
      </c>
      <c r="H454" s="161">
        <f t="shared" si="21"/>
        <v>14259.26126</v>
      </c>
      <c r="I454" s="161">
        <f t="shared" si="22"/>
        <v>14028.35781</v>
      </c>
      <c r="J454" s="162">
        <f t="shared" si="8"/>
        <v>14858.4766</v>
      </c>
      <c r="K454" s="163">
        <f t="shared" si="23"/>
        <v>-0.006177872626</v>
      </c>
      <c r="L454" s="163">
        <f t="shared" si="24"/>
        <v>0.005072370613</v>
      </c>
      <c r="M454" s="163">
        <f t="shared" si="25"/>
        <v>0.09690750448</v>
      </c>
      <c r="N454" s="163">
        <f t="shared" si="26"/>
        <v>-0.006990931665</v>
      </c>
      <c r="O454" s="164">
        <f t="shared" si="27"/>
        <v>-0.009483353786</v>
      </c>
      <c r="P454" s="164">
        <f t="shared" si="16"/>
        <v>0.05752113754</v>
      </c>
      <c r="U454" s="168">
        <f t="shared" si="15"/>
        <v>-1.787504062</v>
      </c>
    </row>
    <row r="455">
      <c r="A455" s="158">
        <v>45645.0</v>
      </c>
      <c r="B455" s="167">
        <v>13933.111434716044</v>
      </c>
      <c r="C455" s="160">
        <f t="shared" si="17"/>
        <v>12107.3904</v>
      </c>
      <c r="D455" s="160">
        <f t="shared" si="18"/>
        <v>1825.721034</v>
      </c>
      <c r="E455" s="161">
        <f t="shared" si="19"/>
        <v>14687.0526</v>
      </c>
      <c r="F455" s="161">
        <f t="shared" si="4"/>
        <v>13809.63459</v>
      </c>
      <c r="G455" s="161">
        <f t="shared" si="20"/>
        <v>14299.88436</v>
      </c>
      <c r="H455" s="161">
        <f t="shared" si="21"/>
        <v>14318.1129</v>
      </c>
      <c r="I455" s="161">
        <f t="shared" si="22"/>
        <v>14118.88682</v>
      </c>
      <c r="J455" s="162">
        <f t="shared" si="8"/>
        <v>14826.59121</v>
      </c>
      <c r="K455" s="163">
        <f t="shared" si="23"/>
        <v>-0.004319278528</v>
      </c>
      <c r="L455" s="163">
        <f t="shared" si="24"/>
        <v>0.005063929659</v>
      </c>
      <c r="M455" s="163">
        <f t="shared" si="25"/>
        <v>0.0967462403</v>
      </c>
      <c r="N455" s="163">
        <f t="shared" si="26"/>
        <v>-0.006991928523</v>
      </c>
      <c r="O455" s="164">
        <f t="shared" si="27"/>
        <v>-0.009483353786</v>
      </c>
      <c r="P455" s="164">
        <f t="shared" si="16"/>
        <v>0.0516806007</v>
      </c>
      <c r="U455" s="168">
        <f t="shared" si="15"/>
        <v>-1.96862639</v>
      </c>
    </row>
    <row r="456">
      <c r="A456" s="158">
        <v>45644.0</v>
      </c>
      <c r="B456" s="167">
        <v>13993.422580313632</v>
      </c>
      <c r="C456" s="160">
        <f t="shared" si="17"/>
        <v>12102.46932</v>
      </c>
      <c r="D456" s="160">
        <f t="shared" si="18"/>
        <v>1890.95326</v>
      </c>
      <c r="E456" s="161">
        <f t="shared" si="19"/>
        <v>14683.06804</v>
      </c>
      <c r="F456" s="161">
        <f t="shared" si="4"/>
        <v>13963.23091</v>
      </c>
      <c r="G456" s="161">
        <f t="shared" si="20"/>
        <v>14314.85468</v>
      </c>
      <c r="H456" s="161">
        <f t="shared" si="21"/>
        <v>14373.11311</v>
      </c>
      <c r="I456" s="161">
        <f t="shared" si="22"/>
        <v>14211.77451</v>
      </c>
      <c r="J456" s="162">
        <f t="shared" si="8"/>
        <v>14782.99532</v>
      </c>
      <c r="K456" s="163">
        <f t="shared" si="23"/>
        <v>-0.01396550327</v>
      </c>
      <c r="L456" s="163">
        <f t="shared" si="24"/>
        <v>0.005063101909</v>
      </c>
      <c r="M456" s="163">
        <f t="shared" si="25"/>
        <v>0.09673042615</v>
      </c>
      <c r="N456" s="163">
        <f t="shared" si="26"/>
        <v>-0.00699292538</v>
      </c>
      <c r="O456" s="164">
        <f t="shared" si="27"/>
        <v>-0.009483353786</v>
      </c>
      <c r="P456" s="164">
        <f t="shared" si="16"/>
        <v>0.04757568633</v>
      </c>
      <c r="U456" s="168">
        <f t="shared" si="15"/>
        <v>-2.408485598</v>
      </c>
    </row>
    <row r="457">
      <c r="A457" s="158">
        <v>45643.0</v>
      </c>
      <c r="B457" s="167">
        <v>14190.218749379917</v>
      </c>
      <c r="C457" s="160">
        <f t="shared" si="17"/>
        <v>12097.35864</v>
      </c>
      <c r="D457" s="160">
        <f t="shared" si="18"/>
        <v>2092.860114</v>
      </c>
      <c r="E457" s="161">
        <f t="shared" si="19"/>
        <v>14678.19441</v>
      </c>
      <c r="F457" s="161">
        <f t="shared" si="4"/>
        <v>14131.16451</v>
      </c>
      <c r="G457" s="161">
        <f t="shared" si="20"/>
        <v>14327.97436</v>
      </c>
      <c r="H457" s="161">
        <f t="shared" si="21"/>
        <v>14427.35462</v>
      </c>
      <c r="I457" s="161">
        <f t="shared" si="22"/>
        <v>14320.95047</v>
      </c>
      <c r="J457" s="162">
        <f t="shared" si="8"/>
        <v>14723.54473</v>
      </c>
      <c r="K457" s="163">
        <f t="shared" si="23"/>
        <v>-0.006223250488</v>
      </c>
      <c r="L457" s="163">
        <f t="shared" si="24"/>
        <v>0.004995636596</v>
      </c>
      <c r="M457" s="163">
        <f t="shared" si="25"/>
        <v>0.09544150316</v>
      </c>
      <c r="N457" s="163">
        <f t="shared" si="26"/>
        <v>-0.0064905433</v>
      </c>
      <c r="O457" s="164">
        <f t="shared" si="27"/>
        <v>-0.00819970111</v>
      </c>
      <c r="P457" s="164">
        <f t="shared" si="16"/>
        <v>0.03418128942</v>
      </c>
      <c r="U457" s="168">
        <f t="shared" si="15"/>
        <v>-2.081613282</v>
      </c>
    </row>
    <row r="458">
      <c r="A458" s="158">
        <v>45642.0</v>
      </c>
      <c r="B458" s="167">
        <v>14278.803391450378</v>
      </c>
      <c r="C458" s="160">
        <f t="shared" si="17"/>
        <v>12091.68693</v>
      </c>
      <c r="D458" s="160">
        <f t="shared" si="18"/>
        <v>2187.116464</v>
      </c>
      <c r="E458" s="161">
        <f t="shared" si="19"/>
        <v>14670.56107</v>
      </c>
      <c r="F458" s="161">
        <f t="shared" si="4"/>
        <v>14209.35294</v>
      </c>
      <c r="G458" s="161">
        <f t="shared" si="20"/>
        <v>14333.59704</v>
      </c>
      <c r="H458" s="161">
        <f t="shared" si="21"/>
        <v>14461.23117</v>
      </c>
      <c r="I458" s="161">
        <f t="shared" si="22"/>
        <v>14386.31633</v>
      </c>
      <c r="J458" s="162">
        <f t="shared" si="8"/>
        <v>14713.1094</v>
      </c>
      <c r="K458" s="163">
        <f t="shared" si="23"/>
        <v>-0.009902567117</v>
      </c>
      <c r="L458" s="163">
        <f t="shared" si="24"/>
        <v>0.004986026019</v>
      </c>
      <c r="M458" s="163">
        <f t="shared" si="25"/>
        <v>0.09525789333</v>
      </c>
      <c r="N458" s="163">
        <f t="shared" si="26"/>
        <v>-0.006420102779</v>
      </c>
      <c r="O458" s="164">
        <f t="shared" si="27"/>
        <v>-0.00819970111</v>
      </c>
      <c r="P458" s="164">
        <f t="shared" si="16"/>
        <v>0.02815201627</v>
      </c>
      <c r="U458" s="168">
        <f t="shared" si="15"/>
        <v>-1.883101342</v>
      </c>
    </row>
    <row r="459">
      <c r="A459" s="158">
        <v>45641.0</v>
      </c>
      <c r="B459" s="167">
        <v>14420.902612726597</v>
      </c>
      <c r="C459" s="160">
        <f t="shared" si="17"/>
        <v>12085.74368</v>
      </c>
      <c r="D459" s="160">
        <f t="shared" si="18"/>
        <v>2335.158936</v>
      </c>
      <c r="E459" s="161">
        <f t="shared" si="19"/>
        <v>14661.60284</v>
      </c>
      <c r="F459" s="161">
        <f t="shared" si="4"/>
        <v>14268.31299</v>
      </c>
      <c r="G459" s="161">
        <f t="shared" si="20"/>
        <v>14335.83351</v>
      </c>
      <c r="H459" s="161">
        <f t="shared" si="21"/>
        <v>14487.29228</v>
      </c>
      <c r="I459" s="161">
        <f t="shared" si="22"/>
        <v>14440.0728</v>
      </c>
      <c r="J459" s="162">
        <f t="shared" si="8"/>
        <v>14706.27158</v>
      </c>
      <c r="K459" s="163">
        <f t="shared" si="23"/>
        <v>0.0001824703217</v>
      </c>
      <c r="L459" s="163">
        <f t="shared" si="24"/>
        <v>0.004952873522</v>
      </c>
      <c r="M459" s="163">
        <f t="shared" si="25"/>
        <v>0.09462451578</v>
      </c>
      <c r="N459" s="163">
        <f t="shared" si="26"/>
        <v>-0.006016189457</v>
      </c>
      <c r="O459" s="164">
        <f t="shared" si="27"/>
        <v>-0.006400472236</v>
      </c>
      <c r="P459" s="164">
        <f t="shared" si="16"/>
        <v>0.0184804186</v>
      </c>
      <c r="U459" s="168">
        <f t="shared" si="15"/>
        <v>-0.7882623838</v>
      </c>
    </row>
    <row r="460">
      <c r="A460" s="158">
        <v>45640.0</v>
      </c>
      <c r="B460" s="167">
        <v>14418.271466047718</v>
      </c>
      <c r="C460" s="160">
        <f t="shared" si="17"/>
        <v>12079.38085</v>
      </c>
      <c r="D460" s="160">
        <f t="shared" si="18"/>
        <v>2338.89062</v>
      </c>
      <c r="E460" s="161">
        <f t="shared" si="19"/>
        <v>14650.56617</v>
      </c>
      <c r="F460" s="161">
        <f t="shared" si="4"/>
        <v>14276.60221</v>
      </c>
      <c r="G460" s="161">
        <f t="shared" si="20"/>
        <v>14332.3613</v>
      </c>
      <c r="H460" s="161">
        <f t="shared" si="21"/>
        <v>14496.77652</v>
      </c>
      <c r="I460" s="161">
        <f t="shared" si="22"/>
        <v>14449.65789</v>
      </c>
      <c r="J460" s="162">
        <f t="shared" si="8"/>
        <v>14716.95083</v>
      </c>
      <c r="K460" s="163">
        <f t="shared" si="23"/>
        <v>0.0001825036232</v>
      </c>
      <c r="L460" s="163">
        <f t="shared" si="24"/>
        <v>0.004961109075</v>
      </c>
      <c r="M460" s="163">
        <f t="shared" si="25"/>
        <v>0.09478185579</v>
      </c>
      <c r="N460" s="163">
        <f t="shared" si="26"/>
        <v>-0.006018554822</v>
      </c>
      <c r="O460" s="164">
        <f t="shared" si="27"/>
        <v>-0.006400472236</v>
      </c>
      <c r="P460" s="164">
        <f t="shared" si="16"/>
        <v>0.01865950045</v>
      </c>
      <c r="U460" s="168">
        <f t="shared" si="15"/>
        <v>-0.9270524937</v>
      </c>
    </row>
    <row r="461">
      <c r="A461" s="158">
        <v>45639.0</v>
      </c>
      <c r="B461" s="167">
        <v>14415.640319368835</v>
      </c>
      <c r="C461" s="160">
        <f t="shared" si="17"/>
        <v>12072.99043</v>
      </c>
      <c r="D461" s="160">
        <f t="shared" si="18"/>
        <v>2342.649885</v>
      </c>
      <c r="E461" s="161">
        <f t="shared" si="19"/>
        <v>14639.4083</v>
      </c>
      <c r="F461" s="161">
        <f t="shared" si="4"/>
        <v>14295.38924</v>
      </c>
      <c r="G461" s="161">
        <f t="shared" si="20"/>
        <v>14328.85477</v>
      </c>
      <c r="H461" s="161">
        <f t="shared" si="21"/>
        <v>14507.99153</v>
      </c>
      <c r="I461" s="161">
        <f t="shared" si="22"/>
        <v>14465.3511</v>
      </c>
      <c r="J461" s="162">
        <f t="shared" si="8"/>
        <v>14720.59382</v>
      </c>
      <c r="K461" s="163">
        <f t="shared" si="23"/>
        <v>-0.007257024544</v>
      </c>
      <c r="L461" s="163">
        <f t="shared" si="24"/>
        <v>0.004969385803</v>
      </c>
      <c r="M461" s="163">
        <f t="shared" si="25"/>
        <v>0.09493998245</v>
      </c>
      <c r="N461" s="163">
        <f t="shared" si="26"/>
        <v>-0.006020920187</v>
      </c>
      <c r="O461" s="164">
        <f t="shared" si="27"/>
        <v>-0.006400472236</v>
      </c>
      <c r="P461" s="164">
        <f t="shared" si="16"/>
        <v>0.01883858231</v>
      </c>
      <c r="U461" s="168">
        <f t="shared" si="15"/>
        <v>-1.129400555</v>
      </c>
    </row>
    <row r="462">
      <c r="A462" s="158">
        <v>45638.0</v>
      </c>
      <c r="B462" s="167">
        <v>14520.635490456223</v>
      </c>
      <c r="C462" s="160">
        <f t="shared" si="17"/>
        <v>12066.57222</v>
      </c>
      <c r="D462" s="160">
        <f t="shared" si="18"/>
        <v>2454.063275</v>
      </c>
      <c r="E462" s="161">
        <f t="shared" si="19"/>
        <v>14628.12731</v>
      </c>
      <c r="F462" s="161">
        <f t="shared" si="4"/>
        <v>14305.57405</v>
      </c>
      <c r="G462" s="161">
        <f t="shared" si="20"/>
        <v>14325.3125</v>
      </c>
      <c r="H462" s="161">
        <f t="shared" si="21"/>
        <v>14521.18456</v>
      </c>
      <c r="I462" s="161">
        <f t="shared" si="22"/>
        <v>14490.20649</v>
      </c>
      <c r="J462" s="162">
        <f t="shared" si="8"/>
        <v>14736.79507</v>
      </c>
      <c r="K462" s="163">
        <f t="shared" si="23"/>
        <v>0.003000435732</v>
      </c>
      <c r="L462" s="163">
        <f t="shared" si="24"/>
        <v>0.004953439448</v>
      </c>
      <c r="M462" s="163">
        <f t="shared" si="25"/>
        <v>0.09463532778</v>
      </c>
      <c r="N462" s="163">
        <f t="shared" si="26"/>
        <v>-0.005913053221</v>
      </c>
      <c r="O462" s="164">
        <f t="shared" si="27"/>
        <v>-0.004964792212</v>
      </c>
      <c r="P462" s="164">
        <f t="shared" si="16"/>
        <v>0.01169237107</v>
      </c>
      <c r="U462" s="168">
        <f t="shared" si="15"/>
        <v>-0.006621099312</v>
      </c>
    </row>
    <row r="463">
      <c r="A463" s="158">
        <v>45637.0</v>
      </c>
      <c r="B463" s="167">
        <v>14477.132553392736</v>
      </c>
      <c r="C463" s="160">
        <f t="shared" si="17"/>
        <v>12059.83028</v>
      </c>
      <c r="D463" s="160">
        <f t="shared" si="18"/>
        <v>2417.30227</v>
      </c>
      <c r="E463" s="161">
        <f t="shared" si="19"/>
        <v>14615.23162</v>
      </c>
      <c r="F463" s="161">
        <f t="shared" si="4"/>
        <v>14305.20322</v>
      </c>
      <c r="G463" s="161">
        <f t="shared" si="20"/>
        <v>14317.34013</v>
      </c>
      <c r="H463" s="161">
        <f t="shared" si="21"/>
        <v>14521.263</v>
      </c>
      <c r="I463" s="161">
        <f t="shared" si="22"/>
        <v>14474.99199</v>
      </c>
      <c r="J463" s="162">
        <f t="shared" si="8"/>
        <v>14737.32277</v>
      </c>
      <c r="K463" s="163">
        <f t="shared" si="23"/>
        <v>0.004182937595</v>
      </c>
      <c r="L463" s="163">
        <f t="shared" si="24"/>
        <v>0.00496084196</v>
      </c>
      <c r="M463" s="163">
        <f t="shared" si="25"/>
        <v>0.09477675256</v>
      </c>
      <c r="N463" s="163">
        <f t="shared" si="26"/>
        <v>-0.005923284215</v>
      </c>
      <c r="O463" s="164">
        <f t="shared" si="27"/>
        <v>-0.004964792212</v>
      </c>
      <c r="P463" s="164">
        <f t="shared" si="16"/>
        <v>0.01465328036</v>
      </c>
      <c r="U463" s="168">
        <f t="shared" si="15"/>
        <v>-0.5310528289</v>
      </c>
    </row>
    <row r="464">
      <c r="A464" s="158">
        <v>45636.0</v>
      </c>
      <c r="B464" s="167">
        <v>14416.702087913447</v>
      </c>
      <c r="C464" s="160">
        <f t="shared" si="17"/>
        <v>12053.17105</v>
      </c>
      <c r="D464" s="160">
        <f t="shared" si="18"/>
        <v>2363.53104</v>
      </c>
      <c r="E464" s="161">
        <f t="shared" si="19"/>
        <v>14602.75845</v>
      </c>
      <c r="F464" s="161">
        <f t="shared" si="4"/>
        <v>14320.77349</v>
      </c>
      <c r="G464" s="161">
        <f t="shared" si="20"/>
        <v>14310.81799</v>
      </c>
      <c r="H464" s="161">
        <f t="shared" si="21"/>
        <v>14527.56735</v>
      </c>
      <c r="I464" s="161">
        <f t="shared" si="22"/>
        <v>14473.92171</v>
      </c>
      <c r="J464" s="162">
        <f t="shared" si="8"/>
        <v>14734.3612</v>
      </c>
      <c r="K464" s="163">
        <f t="shared" si="23"/>
        <v>0.0007755694037</v>
      </c>
      <c r="L464" s="163">
        <f t="shared" si="24"/>
        <v>0.00496622329</v>
      </c>
      <c r="M464" s="163">
        <f t="shared" si="25"/>
        <v>0.09487956274</v>
      </c>
      <c r="N464" s="163">
        <f t="shared" si="26"/>
        <v>-0.005933515208</v>
      </c>
      <c r="O464" s="164">
        <f t="shared" si="27"/>
        <v>-0.004964792212</v>
      </c>
      <c r="P464" s="164">
        <f t="shared" si="16"/>
        <v>0.01876631592</v>
      </c>
      <c r="U464" s="168">
        <f t="shared" si="15"/>
        <v>-1.393898619</v>
      </c>
    </row>
    <row r="465">
      <c r="A465" s="158">
        <v>45635.0</v>
      </c>
      <c r="B465" s="167">
        <v>14405.525269631107</v>
      </c>
      <c r="C465" s="160">
        <f t="shared" si="17"/>
        <v>12046.64196</v>
      </c>
      <c r="D465" s="160">
        <f t="shared" si="18"/>
        <v>2358.883313</v>
      </c>
      <c r="E465" s="161">
        <f t="shared" si="19"/>
        <v>14590.95034</v>
      </c>
      <c r="F465" s="161">
        <f t="shared" si="4"/>
        <v>14367.60336</v>
      </c>
      <c r="G465" s="161">
        <f t="shared" si="20"/>
        <v>14306.49619</v>
      </c>
      <c r="H465" s="161">
        <f t="shared" si="21"/>
        <v>14543.40524</v>
      </c>
      <c r="I465" s="161">
        <f t="shared" si="22"/>
        <v>14502.53152</v>
      </c>
      <c r="J465" s="162">
        <f t="shared" si="8"/>
        <v>14719.20712</v>
      </c>
      <c r="K465" s="163">
        <f t="shared" si="23"/>
        <v>-0.008970981938</v>
      </c>
      <c r="L465" s="163">
        <f t="shared" si="24"/>
        <v>0.004974885653</v>
      </c>
      <c r="M465" s="163">
        <f t="shared" si="25"/>
        <v>0.09504505695</v>
      </c>
      <c r="N465" s="163">
        <f t="shared" si="26"/>
        <v>-0.005943746202</v>
      </c>
      <c r="O465" s="164">
        <f t="shared" si="27"/>
        <v>-0.004964792212</v>
      </c>
      <c r="P465" s="164">
        <f t="shared" si="16"/>
        <v>0.01952703571</v>
      </c>
      <c r="U465" s="168">
        <f t="shared" si="15"/>
        <v>-2.039158632</v>
      </c>
    </row>
    <row r="466">
      <c r="A466" s="158">
        <v>45634.0</v>
      </c>
      <c r="B466" s="167">
        <v>14535.338381573276</v>
      </c>
      <c r="C466" s="160">
        <f t="shared" si="17"/>
        <v>12040.10765</v>
      </c>
      <c r="D466" s="160">
        <f t="shared" si="18"/>
        <v>2495.230727</v>
      </c>
      <c r="E466" s="161">
        <f t="shared" si="19"/>
        <v>14579.12886</v>
      </c>
      <c r="F466" s="161">
        <f t="shared" si="4"/>
        <v>14440.85336</v>
      </c>
      <c r="G466" s="161">
        <f t="shared" si="20"/>
        <v>14302.45419</v>
      </c>
      <c r="H466" s="161">
        <f t="shared" si="21"/>
        <v>14563.10238</v>
      </c>
      <c r="I466" s="161">
        <f t="shared" si="22"/>
        <v>14551.03465</v>
      </c>
      <c r="J466" s="162">
        <f t="shared" si="8"/>
        <v>14685.3514</v>
      </c>
      <c r="K466" s="163">
        <f t="shared" si="23"/>
        <v>0.0001899544498</v>
      </c>
      <c r="L466" s="163">
        <f t="shared" si="24"/>
        <v>0.004947376689</v>
      </c>
      <c r="M466" s="163">
        <f t="shared" si="25"/>
        <v>0.09451949893</v>
      </c>
      <c r="N466" s="163">
        <f t="shared" si="26"/>
        <v>-0.005702940033</v>
      </c>
      <c r="O466" s="164">
        <f t="shared" si="27"/>
        <v>-0.004150521832</v>
      </c>
      <c r="P466" s="164">
        <f t="shared" si="16"/>
        <v>0.0106916587</v>
      </c>
      <c r="U466" s="168">
        <f t="shared" si="15"/>
        <v>-0.5904864866</v>
      </c>
    </row>
    <row r="467">
      <c r="A467" s="158">
        <v>45633.0</v>
      </c>
      <c r="B467" s="167">
        <v>14532.577591589143</v>
      </c>
      <c r="C467" s="160">
        <f t="shared" si="17"/>
        <v>12033.17646</v>
      </c>
      <c r="D467" s="160">
        <f t="shared" si="18"/>
        <v>2499.401134</v>
      </c>
      <c r="E467" s="161">
        <f t="shared" si="19"/>
        <v>14565.31498</v>
      </c>
      <c r="F467" s="161">
        <f t="shared" si="4"/>
        <v>14453.09411</v>
      </c>
      <c r="G467" s="161">
        <f t="shared" si="20"/>
        <v>14292.94871</v>
      </c>
      <c r="H467" s="161">
        <f t="shared" si="21"/>
        <v>14567.06866</v>
      </c>
      <c r="I467" s="161">
        <f t="shared" si="22"/>
        <v>14558.88278</v>
      </c>
      <c r="J467" s="162">
        <f t="shared" si="8"/>
        <v>14681.04322</v>
      </c>
      <c r="K467" s="163">
        <f t="shared" si="23"/>
        <v>0.0001899905393</v>
      </c>
      <c r="L467" s="163">
        <f t="shared" si="24"/>
        <v>0.004955773642</v>
      </c>
      <c r="M467" s="163">
        <f t="shared" si="25"/>
        <v>0.09467992249</v>
      </c>
      <c r="N467" s="163">
        <f t="shared" si="26"/>
        <v>-0.005724775349</v>
      </c>
      <c r="O467" s="164">
        <f t="shared" si="27"/>
        <v>-0.004504044832</v>
      </c>
      <c r="P467" s="164">
        <f t="shared" si="16"/>
        <v>0.01087956438</v>
      </c>
      <c r="U467" s="168">
        <f t="shared" si="15"/>
        <v>-0.78681413</v>
      </c>
    </row>
    <row r="468">
      <c r="A468" s="158">
        <v>45632.0</v>
      </c>
      <c r="B468" s="167">
        <v>14529.816801605008</v>
      </c>
      <c r="C468" s="160">
        <f t="shared" si="17"/>
        <v>12026.21434</v>
      </c>
      <c r="D468" s="160">
        <f t="shared" si="18"/>
        <v>2503.602464</v>
      </c>
      <c r="E468" s="161">
        <f t="shared" si="19"/>
        <v>14551.34433</v>
      </c>
      <c r="F468" s="161">
        <f t="shared" si="4"/>
        <v>14469.75075</v>
      </c>
      <c r="G468" s="161">
        <f t="shared" si="20"/>
        <v>14283.16794</v>
      </c>
      <c r="H468" s="161">
        <f t="shared" si="21"/>
        <v>14571.99596</v>
      </c>
      <c r="I468" s="161">
        <f t="shared" si="22"/>
        <v>14572.03538</v>
      </c>
      <c r="J468" s="162">
        <f t="shared" si="8"/>
        <v>14674.24117</v>
      </c>
      <c r="K468" s="163">
        <f t="shared" si="23"/>
        <v>-0.002535539143</v>
      </c>
      <c r="L468" s="163">
        <f t="shared" si="24"/>
        <v>0.004964213437</v>
      </c>
      <c r="M468" s="163">
        <f t="shared" si="25"/>
        <v>0.09484116454</v>
      </c>
      <c r="N468" s="163">
        <f t="shared" si="26"/>
        <v>-0.005746610666</v>
      </c>
      <c r="O468" s="164">
        <f t="shared" si="27"/>
        <v>-0.004504044832</v>
      </c>
      <c r="P468" s="164">
        <f t="shared" si="16"/>
        <v>0.01106747005</v>
      </c>
      <c r="U468" s="168">
        <f t="shared" si="15"/>
        <v>-1.072576534</v>
      </c>
    </row>
    <row r="469">
      <c r="A469" s="158">
        <v>45631.0</v>
      </c>
      <c r="B469" s="167">
        <v>14566.704466144589</v>
      </c>
      <c r="C469" s="160">
        <f t="shared" si="17"/>
        <v>12019.22103</v>
      </c>
      <c r="D469" s="160">
        <f t="shared" si="18"/>
        <v>2547.483431</v>
      </c>
      <c r="E469" s="161">
        <f t="shared" si="19"/>
        <v>14537.21443</v>
      </c>
      <c r="F469" s="161">
        <f t="shared" si="4"/>
        <v>14484.78131</v>
      </c>
      <c r="G469" s="161">
        <f t="shared" si="20"/>
        <v>14273.10064</v>
      </c>
      <c r="H469" s="161">
        <f t="shared" si="21"/>
        <v>14578.02156</v>
      </c>
      <c r="I469" s="161">
        <f t="shared" si="22"/>
        <v>14593.14467</v>
      </c>
      <c r="J469" s="162">
        <f t="shared" si="8"/>
        <v>14671.2618</v>
      </c>
      <c r="K469" s="163">
        <f t="shared" si="23"/>
        <v>0.0003319685663</v>
      </c>
      <c r="L469" s="163">
        <f t="shared" si="24"/>
        <v>0.004968115609</v>
      </c>
      <c r="M469" s="163">
        <f t="shared" si="25"/>
        <v>0.09491571543</v>
      </c>
      <c r="N469" s="163">
        <f t="shared" si="26"/>
        <v>-0.005768445982</v>
      </c>
      <c r="O469" s="164">
        <f t="shared" si="27"/>
        <v>-0.004504044832</v>
      </c>
      <c r="P469" s="164">
        <f t="shared" si="16"/>
        <v>0.00855681132</v>
      </c>
      <c r="U469" s="168">
        <f t="shared" si="15"/>
        <v>-0.3155765122</v>
      </c>
    </row>
    <row r="470">
      <c r="A470" s="158">
        <v>45630.0</v>
      </c>
      <c r="B470" s="167">
        <v>14561.869580707047</v>
      </c>
      <c r="C470" s="160">
        <f t="shared" si="17"/>
        <v>12012.08523</v>
      </c>
      <c r="D470" s="160">
        <f t="shared" si="18"/>
        <v>2549.784354</v>
      </c>
      <c r="E470" s="161">
        <f t="shared" si="19"/>
        <v>14522.36034</v>
      </c>
      <c r="F470" s="161">
        <f t="shared" si="4"/>
        <v>14483.94444</v>
      </c>
      <c r="G470" s="161">
        <f t="shared" si="20"/>
        <v>14261.11681</v>
      </c>
      <c r="H470" s="161">
        <f t="shared" si="21"/>
        <v>14579.63828</v>
      </c>
      <c r="I470" s="161">
        <f t="shared" si="22"/>
        <v>14606.36477</v>
      </c>
      <c r="J470" s="162">
        <f t="shared" si="8"/>
        <v>14675.33213</v>
      </c>
      <c r="K470" s="163">
        <f t="shared" si="23"/>
        <v>-0.003736076724</v>
      </c>
      <c r="L470" s="163">
        <f t="shared" si="24"/>
        <v>0.004976720706</v>
      </c>
      <c r="M470" s="163">
        <f t="shared" si="25"/>
        <v>0.09508011559</v>
      </c>
      <c r="N470" s="163">
        <f t="shared" si="26"/>
        <v>-0.005790281298</v>
      </c>
      <c r="O470" s="164">
        <f t="shared" si="27"/>
        <v>-0.004504044832</v>
      </c>
      <c r="P470" s="164">
        <f t="shared" si="16"/>
        <v>0.00888588467</v>
      </c>
      <c r="U470" s="168">
        <f t="shared" si="15"/>
        <v>-0.4827752973</v>
      </c>
    </row>
    <row r="471">
      <c r="A471" s="158">
        <v>45629.0</v>
      </c>
      <c r="B471" s="167">
        <v>14616.375598633862</v>
      </c>
      <c r="C471" s="160">
        <f t="shared" si="17"/>
        <v>12004.92291</v>
      </c>
      <c r="D471" s="160">
        <f t="shared" si="18"/>
        <v>2611.452687</v>
      </c>
      <c r="E471" s="161">
        <f t="shared" si="19"/>
        <v>14507.36437</v>
      </c>
      <c r="F471" s="161">
        <f t="shared" si="4"/>
        <v>14491.76786</v>
      </c>
      <c r="G471" s="161">
        <f t="shared" si="20"/>
        <v>14248.84119</v>
      </c>
      <c r="H471" s="161">
        <f t="shared" si="21"/>
        <v>14582.17667</v>
      </c>
      <c r="I471" s="161">
        <f t="shared" si="22"/>
        <v>14628.61237</v>
      </c>
      <c r="J471" s="162">
        <f t="shared" si="8"/>
        <v>14672.58547</v>
      </c>
      <c r="K471" s="163">
        <f t="shared" si="23"/>
        <v>-0.002223490384</v>
      </c>
      <c r="L471" s="163">
        <f t="shared" si="24"/>
        <v>0.00497689683</v>
      </c>
      <c r="M471" s="163">
        <f t="shared" si="25"/>
        <v>0.09508348043</v>
      </c>
      <c r="N471" s="163">
        <f t="shared" si="26"/>
        <v>-0.005800512292</v>
      </c>
      <c r="O471" s="164">
        <f t="shared" si="27"/>
        <v>-0.004504044832</v>
      </c>
      <c r="P471" s="164">
        <f t="shared" si="16"/>
        <v>0.005176080552</v>
      </c>
      <c r="U471" s="168">
        <f t="shared" si="15"/>
        <v>0.9835017709</v>
      </c>
    </row>
    <row r="472">
      <c r="A472" s="158">
        <v>45628.0</v>
      </c>
      <c r="B472" s="167">
        <v>14648.911127032798</v>
      </c>
      <c r="C472" s="160">
        <f t="shared" si="17"/>
        <v>11997.56671</v>
      </c>
      <c r="D472" s="160">
        <f t="shared" si="18"/>
        <v>2651.344421</v>
      </c>
      <c r="E472" s="161">
        <f t="shared" si="19"/>
        <v>14491.37652</v>
      </c>
      <c r="F472" s="161">
        <f t="shared" si="4"/>
        <v>14454.13479</v>
      </c>
      <c r="G472" s="161">
        <f t="shared" si="20"/>
        <v>14233.83978</v>
      </c>
      <c r="H472" s="161">
        <f t="shared" si="21"/>
        <v>14577.29111</v>
      </c>
      <c r="I472" s="161">
        <f t="shared" si="22"/>
        <v>14634.73075</v>
      </c>
      <c r="J472" s="162">
        <f t="shared" si="8"/>
        <v>14700.44742</v>
      </c>
      <c r="K472" s="163">
        <f t="shared" si="23"/>
        <v>0.001026741653</v>
      </c>
      <c r="L472" s="163">
        <f t="shared" si="24"/>
        <v>0.004981595058</v>
      </c>
      <c r="M472" s="163">
        <f t="shared" si="25"/>
        <v>0.09517323994</v>
      </c>
      <c r="N472" s="163">
        <f t="shared" si="26"/>
        <v>-0.005810743285</v>
      </c>
      <c r="O472" s="164">
        <f t="shared" si="27"/>
        <v>-0.004504044832</v>
      </c>
      <c r="P472" s="164">
        <f t="shared" si="16"/>
        <v>0.00296163815</v>
      </c>
      <c r="U472" s="168">
        <f t="shared" si="15"/>
        <v>1.511997607</v>
      </c>
    </row>
    <row r="473">
      <c r="A473" s="158">
        <v>45627.0</v>
      </c>
      <c r="B473" s="167">
        <v>14633.87819860073</v>
      </c>
      <c r="C473" s="160">
        <f t="shared" si="17"/>
        <v>11990.07703</v>
      </c>
      <c r="D473" s="160">
        <f t="shared" si="18"/>
        <v>2643.801166</v>
      </c>
      <c r="E473" s="161">
        <f t="shared" si="19"/>
        <v>14474.69578</v>
      </c>
      <c r="F473" s="161">
        <f t="shared" si="4"/>
        <v>14381.56933</v>
      </c>
      <c r="G473" s="161">
        <f t="shared" si="20"/>
        <v>14216.8981</v>
      </c>
      <c r="H473" s="161">
        <f t="shared" si="21"/>
        <v>14567.05968</v>
      </c>
      <c r="I473" s="161">
        <f t="shared" si="22"/>
        <v>14627.64057</v>
      </c>
      <c r="J473" s="162">
        <f t="shared" si="8"/>
        <v>14752.55002</v>
      </c>
      <c r="K473" s="163">
        <f t="shared" si="23"/>
        <v>0.0006258818653</v>
      </c>
      <c r="L473" s="163">
        <f t="shared" si="24"/>
        <v>0.004990566504</v>
      </c>
      <c r="M473" s="163">
        <f t="shared" si="25"/>
        <v>0.09534463919</v>
      </c>
      <c r="N473" s="163">
        <f t="shared" si="26"/>
        <v>-0.005820974279</v>
      </c>
      <c r="O473" s="164">
        <f t="shared" si="27"/>
        <v>-0.004504044832</v>
      </c>
      <c r="P473" s="164">
        <f t="shared" si="16"/>
        <v>0.003984813607</v>
      </c>
      <c r="U473" s="168">
        <f t="shared" si="15"/>
        <v>0.9365886742</v>
      </c>
    </row>
    <row r="474">
      <c r="A474" s="158">
        <v>45626.0</v>
      </c>
      <c r="B474" s="167">
        <v>14624.721985270693</v>
      </c>
      <c r="C474" s="160">
        <f t="shared" si="17"/>
        <v>11982.58751</v>
      </c>
      <c r="D474" s="160">
        <f t="shared" si="18"/>
        <v>2642.134474</v>
      </c>
      <c r="E474" s="161">
        <f t="shared" si="19"/>
        <v>14457.9954</v>
      </c>
      <c r="F474" s="161">
        <f t="shared" si="4"/>
        <v>14328.19896</v>
      </c>
      <c r="G474" s="161">
        <f t="shared" si="20"/>
        <v>14199.8785</v>
      </c>
      <c r="H474" s="161">
        <f t="shared" si="21"/>
        <v>14557.51417</v>
      </c>
      <c r="I474" s="161">
        <f t="shared" si="22"/>
        <v>14624.52175</v>
      </c>
      <c r="J474" s="162">
        <f t="shared" si="8"/>
        <v>14786.82938</v>
      </c>
      <c r="K474" s="163">
        <f t="shared" si="23"/>
        <v>0.0007349189735</v>
      </c>
      <c r="L474" s="163">
        <f t="shared" si="24"/>
        <v>0.004999473859</v>
      </c>
      <c r="M474" s="163">
        <f t="shared" si="25"/>
        <v>0.09551481396</v>
      </c>
      <c r="N474" s="163">
        <f t="shared" si="26"/>
        <v>-0.005831205273</v>
      </c>
      <c r="O474" s="164">
        <f t="shared" si="27"/>
        <v>-0.004976599841</v>
      </c>
      <c r="P474" s="164">
        <f t="shared" si="16"/>
        <v>0.004608006407</v>
      </c>
      <c r="U474" s="168">
        <f t="shared" si="15"/>
        <v>0.7620092584</v>
      </c>
    </row>
    <row r="475">
      <c r="A475" s="158">
        <v>45625.0</v>
      </c>
      <c r="B475" s="167">
        <v>14613.977948082944</v>
      </c>
      <c r="C475" s="160">
        <f t="shared" si="17"/>
        <v>11975.08145</v>
      </c>
      <c r="D475" s="160">
        <f t="shared" si="18"/>
        <v>2638.896501</v>
      </c>
      <c r="E475" s="161">
        <f t="shared" si="19"/>
        <v>14441.19021</v>
      </c>
      <c r="F475" s="161">
        <f t="shared" si="4"/>
        <v>14284.28224</v>
      </c>
      <c r="G475" s="161">
        <f t="shared" si="20"/>
        <v>14182.53795</v>
      </c>
      <c r="H475" s="161">
        <f t="shared" si="21"/>
        <v>14547.91306</v>
      </c>
      <c r="I475" s="161">
        <f t="shared" si="22"/>
        <v>14624.42163</v>
      </c>
      <c r="J475" s="162">
        <f t="shared" si="8"/>
        <v>14811.54387</v>
      </c>
      <c r="K475" s="163">
        <f t="shared" si="23"/>
        <v>-0.005353574971</v>
      </c>
      <c r="L475" s="163">
        <f t="shared" si="24"/>
        <v>0.005008471554</v>
      </c>
      <c r="M475" s="163">
        <f t="shared" si="25"/>
        <v>0.09568671469</v>
      </c>
      <c r="N475" s="163">
        <f t="shared" si="26"/>
        <v>-0.005841436266</v>
      </c>
      <c r="O475" s="164">
        <f t="shared" si="27"/>
        <v>-0.004976599841</v>
      </c>
      <c r="P475" s="164">
        <f t="shared" si="16"/>
        <v>0.005339270127</v>
      </c>
      <c r="U475" s="168">
        <f t="shared" si="15"/>
        <v>0.6515502412</v>
      </c>
    </row>
    <row r="476">
      <c r="A476" s="158">
        <v>45624.0</v>
      </c>
      <c r="B476" s="167">
        <v>14692.424772762297</v>
      </c>
      <c r="C476" s="160">
        <f t="shared" si="17"/>
        <v>11967.56322</v>
      </c>
      <c r="D476" s="160">
        <f t="shared" si="18"/>
        <v>2724.861549</v>
      </c>
      <c r="E476" s="161">
        <f t="shared" si="19"/>
        <v>14424.30154</v>
      </c>
      <c r="F476" s="161">
        <f t="shared" si="4"/>
        <v>14240.90031</v>
      </c>
      <c r="G476" s="161">
        <f t="shared" si="20"/>
        <v>14164.92815</v>
      </c>
      <c r="H476" s="161">
        <f t="shared" si="21"/>
        <v>14538.47521</v>
      </c>
      <c r="I476" s="161">
        <f t="shared" si="22"/>
        <v>14629.64347</v>
      </c>
      <c r="J476" s="162">
        <f t="shared" si="8"/>
        <v>14836.05012</v>
      </c>
      <c r="K476" s="163">
        <f t="shared" si="23"/>
        <v>0.005855329799</v>
      </c>
      <c r="L476" s="163">
        <f t="shared" si="24"/>
        <v>0.005001820495</v>
      </c>
      <c r="M476" s="163">
        <f t="shared" si="25"/>
        <v>0.09555964638</v>
      </c>
      <c r="N476" s="163">
        <f t="shared" si="26"/>
        <v>-0.00585166726</v>
      </c>
      <c r="O476" s="164">
        <f t="shared" si="27"/>
        <v>-0.004504044832</v>
      </c>
      <c r="P476" s="164">
        <f t="shared" si="16"/>
        <v>0</v>
      </c>
      <c r="U476" s="168">
        <f t="shared" si="15"/>
        <v>1.345102831</v>
      </c>
    </row>
    <row r="477">
      <c r="A477" s="158">
        <v>45623.0</v>
      </c>
      <c r="B477" s="167">
        <v>14606.64715336889</v>
      </c>
      <c r="C477" s="160">
        <f t="shared" si="17"/>
        <v>11959.7779</v>
      </c>
      <c r="D477" s="160">
        <f t="shared" si="18"/>
        <v>2646.869248</v>
      </c>
      <c r="E477" s="161">
        <f t="shared" si="19"/>
        <v>14406.03072</v>
      </c>
      <c r="F477" s="161">
        <f t="shared" si="4"/>
        <v>14179.11919</v>
      </c>
      <c r="G477" s="161">
        <f t="shared" si="20"/>
        <v>14143.39768</v>
      </c>
      <c r="H477" s="161">
        <f t="shared" si="21"/>
        <v>14516.48242</v>
      </c>
      <c r="I477" s="161">
        <f t="shared" si="22"/>
        <v>14598.25282</v>
      </c>
      <c r="J477" s="162">
        <f t="shared" si="8"/>
        <v>14853.84565</v>
      </c>
      <c r="K477" s="163">
        <f t="shared" si="23"/>
        <v>0.002604725591</v>
      </c>
      <c r="L477" s="163">
        <f t="shared" si="24"/>
        <v>0.005003155384</v>
      </c>
      <c r="M477" s="163">
        <f t="shared" si="25"/>
        <v>0.09558514939</v>
      </c>
      <c r="N477" s="163">
        <f t="shared" si="26"/>
        <v>-0.005861898253</v>
      </c>
      <c r="O477" s="164">
        <f t="shared" si="27"/>
        <v>-0.004504044832</v>
      </c>
      <c r="P477" s="164">
        <f t="shared" si="16"/>
        <v>0.005170805327</v>
      </c>
      <c r="U477" s="168">
        <f t="shared" si="15"/>
        <v>0.6948839847</v>
      </c>
    </row>
    <row r="478">
      <c r="A478" s="158">
        <v>45622.0</v>
      </c>
      <c r="B478" s="167">
        <v>14568.65035283286</v>
      </c>
      <c r="C478" s="160">
        <f t="shared" si="17"/>
        <v>11952.19375</v>
      </c>
      <c r="D478" s="160">
        <f t="shared" si="18"/>
        <v>2616.4566</v>
      </c>
      <c r="E478" s="161">
        <f t="shared" si="19"/>
        <v>14388.75252</v>
      </c>
      <c r="F478" s="161">
        <f t="shared" si="4"/>
        <v>14126.98818</v>
      </c>
      <c r="G478" s="161">
        <f t="shared" si="20"/>
        <v>14124.48954</v>
      </c>
      <c r="H478" s="161">
        <f t="shared" si="21"/>
        <v>14503.60174</v>
      </c>
      <c r="I478" s="161">
        <f t="shared" si="22"/>
        <v>14594.05565</v>
      </c>
      <c r="J478" s="162">
        <f t="shared" si="8"/>
        <v>14880.2153</v>
      </c>
      <c r="K478" s="163">
        <f t="shared" si="23"/>
        <v>-0.002757067161</v>
      </c>
      <c r="L478" s="163">
        <f t="shared" si="24"/>
        <v>0.005011642053</v>
      </c>
      <c r="M478" s="163">
        <f t="shared" si="25"/>
        <v>0.09574728698</v>
      </c>
      <c r="N478" s="163">
        <f t="shared" si="26"/>
        <v>-0.005872129247</v>
      </c>
      <c r="O478" s="164">
        <f t="shared" si="27"/>
        <v>-0.004613814931</v>
      </c>
      <c r="P478" s="164">
        <f t="shared" si="16"/>
        <v>0.00775869056</v>
      </c>
      <c r="U478" s="168">
        <f t="shared" si="15"/>
        <v>0.4490714115</v>
      </c>
    </row>
    <row r="479">
      <c r="A479" s="158">
        <v>45621.0</v>
      </c>
      <c r="B479" s="167">
        <v>14608.87252242631</v>
      </c>
      <c r="C479" s="160">
        <f t="shared" si="17"/>
        <v>11944.6752</v>
      </c>
      <c r="D479" s="160">
        <f t="shared" si="18"/>
        <v>2664.197323</v>
      </c>
      <c r="E479" s="161">
        <f t="shared" si="19"/>
        <v>14371.78325</v>
      </c>
      <c r="F479" s="161">
        <f t="shared" si="4"/>
        <v>14084.5154</v>
      </c>
      <c r="G479" s="161">
        <f t="shared" si="20"/>
        <v>14106.36052</v>
      </c>
      <c r="H479" s="161">
        <f t="shared" si="21"/>
        <v>14494.30909</v>
      </c>
      <c r="I479" s="161">
        <f t="shared" si="22"/>
        <v>14606.7583</v>
      </c>
      <c r="J479" s="162">
        <f t="shared" si="8"/>
        <v>14904.10277</v>
      </c>
      <c r="K479" s="163">
        <f t="shared" si="23"/>
        <v>-0.00100840335</v>
      </c>
      <c r="L479" s="163">
        <f t="shared" si="24"/>
        <v>0.005015046469</v>
      </c>
      <c r="M479" s="163">
        <f t="shared" si="25"/>
        <v>0.09581232827</v>
      </c>
      <c r="N479" s="163">
        <f t="shared" si="26"/>
        <v>-0.00588236024</v>
      </c>
      <c r="O479" s="164">
        <f t="shared" si="27"/>
        <v>-0.004613814931</v>
      </c>
      <c r="P479" s="164">
        <f t="shared" si="16"/>
        <v>0.005019239942</v>
      </c>
      <c r="U479" s="168">
        <f t="shared" si="15"/>
        <v>0.7268656081</v>
      </c>
    </row>
    <row r="480">
      <c r="A480" s="158">
        <v>45620.0</v>
      </c>
      <c r="B480" s="167">
        <v>14623.611588629163</v>
      </c>
      <c r="C480" s="160">
        <f t="shared" si="17"/>
        <v>11936.9974</v>
      </c>
      <c r="D480" s="160">
        <f t="shared" si="18"/>
        <v>2686.614192</v>
      </c>
      <c r="E480" s="161">
        <f t="shared" si="19"/>
        <v>14353.97778</v>
      </c>
      <c r="F480" s="161">
        <f t="shared" si="4"/>
        <v>14049.0314</v>
      </c>
      <c r="G480" s="161">
        <f t="shared" si="20"/>
        <v>14085.84983</v>
      </c>
      <c r="H480" s="161">
        <f t="shared" si="21"/>
        <v>14477.94288</v>
      </c>
      <c r="I480" s="161">
        <f t="shared" si="22"/>
        <v>14605.70119</v>
      </c>
      <c r="J480" s="162">
        <f t="shared" si="8"/>
        <v>14906.85436</v>
      </c>
      <c r="K480" s="163">
        <f t="shared" si="23"/>
        <v>0.0007349747977</v>
      </c>
      <c r="L480" s="163">
        <f t="shared" si="24"/>
        <v>0.005022465381</v>
      </c>
      <c r="M480" s="163">
        <f t="shared" si="25"/>
        <v>0.09595406637</v>
      </c>
      <c r="N480" s="163">
        <f t="shared" si="26"/>
        <v>-0.005892591234</v>
      </c>
      <c r="O480" s="164">
        <f t="shared" si="27"/>
        <v>-0.004613814931</v>
      </c>
      <c r="P480" s="164">
        <f t="shared" si="16"/>
        <v>0.004015391953</v>
      </c>
      <c r="U480" s="168">
        <f t="shared" si="15"/>
        <v>0.8830228669</v>
      </c>
    </row>
    <row r="481">
      <c r="A481" s="158">
        <v>45619.0</v>
      </c>
      <c r="B481" s="167">
        <v>14612.867551441414</v>
      </c>
      <c r="C481" s="160">
        <f t="shared" si="17"/>
        <v>11929.23262</v>
      </c>
      <c r="D481" s="160">
        <f t="shared" si="18"/>
        <v>2683.634935</v>
      </c>
      <c r="E481" s="161">
        <f t="shared" si="19"/>
        <v>14335.69838</v>
      </c>
      <c r="F481" s="161">
        <f t="shared" si="4"/>
        <v>14021.17301</v>
      </c>
      <c r="G481" s="161">
        <f t="shared" si="20"/>
        <v>14063.90037</v>
      </c>
      <c r="H481" s="161">
        <f t="shared" si="21"/>
        <v>14457.13306</v>
      </c>
      <c r="I481" s="161">
        <f t="shared" si="22"/>
        <v>14596.746</v>
      </c>
      <c r="J481" s="162">
        <f t="shared" si="8"/>
        <v>14893.09312</v>
      </c>
      <c r="K481" s="163">
        <f t="shared" si="23"/>
        <v>0.000735515383</v>
      </c>
      <c r="L481" s="163">
        <f t="shared" si="24"/>
        <v>0.005031696944</v>
      </c>
      <c r="M481" s="163">
        <f t="shared" si="25"/>
        <v>0.09613043513</v>
      </c>
      <c r="N481" s="163">
        <f t="shared" si="26"/>
        <v>-0.005902822227</v>
      </c>
      <c r="O481" s="164">
        <f t="shared" si="27"/>
        <v>-0.004613814931</v>
      </c>
      <c r="P481" s="164">
        <f t="shared" si="16"/>
        <v>0.004747146596</v>
      </c>
      <c r="U481" s="168">
        <f t="shared" si="15"/>
        <v>0.9287769802</v>
      </c>
    </row>
    <row r="482">
      <c r="A482" s="158">
        <v>45618.0</v>
      </c>
      <c r="B482" s="167">
        <v>14602.123514253664</v>
      </c>
      <c r="C482" s="160">
        <f t="shared" si="17"/>
        <v>11921.45396</v>
      </c>
      <c r="D482" s="160">
        <f t="shared" si="18"/>
        <v>2680.66955</v>
      </c>
      <c r="E482" s="161">
        <f t="shared" si="19"/>
        <v>14317.31472</v>
      </c>
      <c r="F482" s="161">
        <f t="shared" si="4"/>
        <v>13999.21614</v>
      </c>
      <c r="G482" s="161">
        <f t="shared" si="20"/>
        <v>14041.49355</v>
      </c>
      <c r="H482" s="161">
        <f t="shared" si="21"/>
        <v>14434.88528</v>
      </c>
      <c r="I482" s="161">
        <f t="shared" si="22"/>
        <v>14588.68522</v>
      </c>
      <c r="J482" s="162">
        <f t="shared" si="8"/>
        <v>14870.55442</v>
      </c>
      <c r="K482" s="163">
        <f t="shared" si="23"/>
        <v>-0.004489613285</v>
      </c>
      <c r="L482" s="163">
        <f t="shared" si="24"/>
        <v>0.005040979798</v>
      </c>
      <c r="M482" s="163">
        <f t="shared" si="25"/>
        <v>0.09630778382</v>
      </c>
      <c r="N482" s="163">
        <f t="shared" si="26"/>
        <v>-0.005913053221</v>
      </c>
      <c r="O482" s="164">
        <f t="shared" si="27"/>
        <v>-0.004613814931</v>
      </c>
      <c r="P482" s="164">
        <f t="shared" si="16"/>
        <v>0.005478901238</v>
      </c>
      <c r="U482" s="168">
        <f t="shared" si="15"/>
        <v>0.9980495856</v>
      </c>
    </row>
    <row r="483">
      <c r="A483" s="158">
        <v>45617.0</v>
      </c>
      <c r="B483" s="167">
        <v>14667.828787237717</v>
      </c>
      <c r="C483" s="160">
        <f t="shared" si="17"/>
        <v>11913.66132</v>
      </c>
      <c r="D483" s="160">
        <f t="shared" si="18"/>
        <v>2754.167467</v>
      </c>
      <c r="E483" s="161">
        <f t="shared" si="19"/>
        <v>14298.82508</v>
      </c>
      <c r="F483" s="161">
        <f t="shared" si="4"/>
        <v>13993.97798</v>
      </c>
      <c r="G483" s="161">
        <f t="shared" si="20"/>
        <v>14018.61069</v>
      </c>
      <c r="H483" s="161">
        <f t="shared" si="21"/>
        <v>14410.9941</v>
      </c>
      <c r="I483" s="161">
        <f t="shared" si="22"/>
        <v>14581.96608</v>
      </c>
      <c r="J483" s="162">
        <f t="shared" si="8"/>
        <v>14828.01023</v>
      </c>
      <c r="K483" s="163">
        <f t="shared" si="23"/>
        <v>-0.001004352181</v>
      </c>
      <c r="L483" s="163">
        <f t="shared" si="24"/>
        <v>0.005038154687</v>
      </c>
      <c r="M483" s="163">
        <f t="shared" si="25"/>
        <v>0.09625381014</v>
      </c>
      <c r="N483" s="163">
        <f t="shared" si="26"/>
        <v>-0.005923284215</v>
      </c>
      <c r="O483" s="164">
        <f t="shared" si="27"/>
        <v>-0.005966069479</v>
      </c>
      <c r="P483" s="164">
        <f t="shared" si="16"/>
        <v>0.001003847988</v>
      </c>
      <c r="U483" s="168">
        <f t="shared" si="15"/>
        <v>1.601305419</v>
      </c>
    </row>
    <row r="484">
      <c r="A484" s="158">
        <v>45616.0</v>
      </c>
      <c r="B484" s="167">
        <v>14682.567853440569</v>
      </c>
      <c r="C484" s="160">
        <f t="shared" si="17"/>
        <v>11905.63168</v>
      </c>
      <c r="D484" s="160">
        <f t="shared" si="18"/>
        <v>2776.936176</v>
      </c>
      <c r="E484" s="161">
        <f t="shared" si="19"/>
        <v>14279.08671</v>
      </c>
      <c r="F484" s="161">
        <f t="shared" si="4"/>
        <v>14011.00794</v>
      </c>
      <c r="G484" s="161">
        <f t="shared" si="20"/>
        <v>13992.11199</v>
      </c>
      <c r="H484" s="161">
        <f t="shared" si="21"/>
        <v>14374.30344</v>
      </c>
      <c r="I484" s="161">
        <f t="shared" si="22"/>
        <v>14539.03472</v>
      </c>
      <c r="J484" s="162">
        <f t="shared" si="8"/>
        <v>14737.59894</v>
      </c>
      <c r="K484" s="163">
        <f t="shared" si="23"/>
        <v>0.006950994092</v>
      </c>
      <c r="L484" s="163">
        <f t="shared" si="24"/>
        <v>0.005045687437</v>
      </c>
      <c r="M484" s="163">
        <f t="shared" si="25"/>
        <v>0.09639772314</v>
      </c>
      <c r="N484" s="163">
        <f t="shared" si="26"/>
        <v>-0.005933515208</v>
      </c>
      <c r="O484" s="164">
        <f t="shared" si="27"/>
        <v>-0.005966069479</v>
      </c>
      <c r="P484" s="164">
        <f t="shared" si="16"/>
        <v>0</v>
      </c>
      <c r="U484" s="168">
        <f t="shared" si="15"/>
        <v>2.206158583</v>
      </c>
    </row>
    <row r="485">
      <c r="A485" s="158">
        <v>45615.0</v>
      </c>
      <c r="B485" s="167">
        <v>14580.863294428034</v>
      </c>
      <c r="C485" s="160">
        <f t="shared" si="17"/>
        <v>11897.51198</v>
      </c>
      <c r="D485" s="160">
        <f t="shared" si="18"/>
        <v>2683.351314</v>
      </c>
      <c r="E485" s="161">
        <f t="shared" si="19"/>
        <v>14258.84213</v>
      </c>
      <c r="F485" s="161">
        <f t="shared" si="4"/>
        <v>14052.92781</v>
      </c>
      <c r="G485" s="161">
        <f t="shared" si="20"/>
        <v>13963.93012</v>
      </c>
      <c r="H485" s="161">
        <f t="shared" si="21"/>
        <v>14330.26566</v>
      </c>
      <c r="I485" s="161">
        <f t="shared" si="22"/>
        <v>14467.26815</v>
      </c>
      <c r="J485" s="162">
        <f t="shared" si="8"/>
        <v>14607.60351</v>
      </c>
      <c r="K485" s="163">
        <f t="shared" si="23"/>
        <v>0.005470609131</v>
      </c>
      <c r="L485" s="163">
        <f t="shared" si="24"/>
        <v>0.005043116131</v>
      </c>
      <c r="M485" s="163">
        <f t="shared" si="25"/>
        <v>0.0963485984</v>
      </c>
      <c r="N485" s="163">
        <f t="shared" si="26"/>
        <v>-0.005943746202</v>
      </c>
      <c r="O485" s="164">
        <f t="shared" si="27"/>
        <v>-0.005966069479</v>
      </c>
      <c r="P485" s="164">
        <f t="shared" si="16"/>
        <v>0</v>
      </c>
      <c r="U485" s="168">
        <f t="shared" si="15"/>
        <v>2.349314551</v>
      </c>
    </row>
    <row r="486">
      <c r="A486" s="158">
        <v>45614.0</v>
      </c>
      <c r="B486" s="167">
        <v>14501.314878085663</v>
      </c>
      <c r="C486" s="160">
        <f t="shared" si="17"/>
        <v>11889.64292</v>
      </c>
      <c r="D486" s="160">
        <f t="shared" si="18"/>
        <v>2611.671963</v>
      </c>
      <c r="E486" s="161">
        <f t="shared" si="19"/>
        <v>14239.83388</v>
      </c>
      <c r="F486" s="161">
        <f t="shared" si="4"/>
        <v>14074.26676</v>
      </c>
      <c r="G486" s="161">
        <f t="shared" si="20"/>
        <v>13938.74918</v>
      </c>
      <c r="H486" s="161">
        <f t="shared" si="21"/>
        <v>14294.466</v>
      </c>
      <c r="I486" s="161">
        <f t="shared" si="22"/>
        <v>14410.47058</v>
      </c>
      <c r="J486" s="162">
        <f t="shared" si="8"/>
        <v>14514.66524</v>
      </c>
      <c r="K486" s="163">
        <f t="shared" si="23"/>
        <v>0.006561457225</v>
      </c>
      <c r="L486" s="163">
        <f t="shared" si="24"/>
        <v>0.005045964506</v>
      </c>
      <c r="M486" s="163">
        <f t="shared" si="25"/>
        <v>0.09640301652</v>
      </c>
      <c r="N486" s="163">
        <f t="shared" si="26"/>
        <v>-0.005953977195</v>
      </c>
      <c r="O486" s="164">
        <f t="shared" si="27"/>
        <v>-0.005966069479</v>
      </c>
      <c r="P486" s="164">
        <f t="shared" si="16"/>
        <v>0</v>
      </c>
      <c r="U486" s="168">
        <f t="shared" si="15"/>
        <v>2.4423657</v>
      </c>
    </row>
    <row r="487">
      <c r="A487" s="158">
        <v>45613.0</v>
      </c>
      <c r="B487" s="167">
        <v>14406.47659970893</v>
      </c>
      <c r="C487" s="160">
        <f t="shared" si="17"/>
        <v>11881.96153</v>
      </c>
      <c r="D487" s="160">
        <f t="shared" si="18"/>
        <v>2524.515072</v>
      </c>
      <c r="E487" s="161">
        <f t="shared" si="19"/>
        <v>14221.74858</v>
      </c>
      <c r="F487" s="161">
        <f t="shared" si="4"/>
        <v>14085.8668</v>
      </c>
      <c r="G487" s="161">
        <f t="shared" si="20"/>
        <v>13915.78731</v>
      </c>
      <c r="H487" s="161">
        <f t="shared" si="21"/>
        <v>14264.91616</v>
      </c>
      <c r="I487" s="161">
        <f t="shared" si="22"/>
        <v>14365.04843</v>
      </c>
      <c r="J487" s="162">
        <f t="shared" si="8"/>
        <v>14443.96552</v>
      </c>
      <c r="K487" s="163">
        <f t="shared" si="23"/>
        <v>0.0007460565004</v>
      </c>
      <c r="L487" s="163">
        <f t="shared" si="24"/>
        <v>0.005044840442</v>
      </c>
      <c r="M487" s="163">
        <f t="shared" si="25"/>
        <v>0.09638154132</v>
      </c>
      <c r="N487" s="163">
        <f t="shared" si="26"/>
        <v>-0.005964208189</v>
      </c>
      <c r="O487" s="164">
        <f t="shared" si="27"/>
        <v>-0.005966069479</v>
      </c>
      <c r="P487" s="164">
        <f t="shared" si="16"/>
        <v>0</v>
      </c>
      <c r="U487" s="168">
        <f t="shared" si="15"/>
        <v>2.055618331</v>
      </c>
    </row>
    <row r="488">
      <c r="A488" s="158">
        <v>45612.0</v>
      </c>
      <c r="B488" s="167">
        <v>14395.732562521182</v>
      </c>
      <c r="C488" s="160">
        <f t="shared" si="17"/>
        <v>11874.51458</v>
      </c>
      <c r="D488" s="160">
        <f t="shared" si="18"/>
        <v>2521.217982</v>
      </c>
      <c r="E488" s="161">
        <f t="shared" si="19"/>
        <v>14204.83368</v>
      </c>
      <c r="F488" s="161">
        <f t="shared" si="4"/>
        <v>14078.70072</v>
      </c>
      <c r="G488" s="161">
        <f t="shared" si="20"/>
        <v>13895.75918</v>
      </c>
      <c r="H488" s="161">
        <f t="shared" si="21"/>
        <v>14244.69324</v>
      </c>
      <c r="I488" s="161">
        <f t="shared" si="22"/>
        <v>14344.33435</v>
      </c>
      <c r="J488" s="162">
        <f t="shared" si="8"/>
        <v>14410.68576</v>
      </c>
      <c r="K488" s="163">
        <f t="shared" si="23"/>
        <v>0.0007466135163</v>
      </c>
      <c r="L488" s="163">
        <f t="shared" si="24"/>
        <v>0.005054374418</v>
      </c>
      <c r="M488" s="163">
        <f t="shared" si="25"/>
        <v>0.09656368768</v>
      </c>
      <c r="N488" s="163">
        <f t="shared" si="26"/>
        <v>-0.005974439182</v>
      </c>
      <c r="O488" s="164">
        <f t="shared" si="27"/>
        <v>-0.005966069479</v>
      </c>
      <c r="P488" s="164">
        <f t="shared" si="16"/>
        <v>0</v>
      </c>
      <c r="U488" s="168">
        <f t="shared" si="15"/>
        <v>2.36578272</v>
      </c>
    </row>
    <row r="489">
      <c r="A489" s="158">
        <v>45611.0</v>
      </c>
      <c r="B489" s="167">
        <v>14384.988525333432</v>
      </c>
      <c r="C489" s="160">
        <f t="shared" si="17"/>
        <v>11867.05536</v>
      </c>
      <c r="D489" s="160">
        <f t="shared" si="18"/>
        <v>2517.93317</v>
      </c>
      <c r="E489" s="161">
        <f t="shared" si="19"/>
        <v>14187.83025</v>
      </c>
      <c r="F489" s="161">
        <f t="shared" si="4"/>
        <v>14024.7984</v>
      </c>
      <c r="G489" s="161">
        <f t="shared" si="20"/>
        <v>13875.3521</v>
      </c>
      <c r="H489" s="161">
        <f t="shared" si="21"/>
        <v>14223.11619</v>
      </c>
      <c r="I489" s="161">
        <f t="shared" si="22"/>
        <v>14318.63524</v>
      </c>
      <c r="J489" s="162">
        <f t="shared" si="8"/>
        <v>14421.43399</v>
      </c>
      <c r="K489" s="163">
        <f t="shared" si="23"/>
        <v>0.00202836955</v>
      </c>
      <c r="L489" s="163">
        <f t="shared" si="24"/>
        <v>0.00506396285</v>
      </c>
      <c r="M489" s="163">
        <f t="shared" si="25"/>
        <v>0.0967468744</v>
      </c>
      <c r="N489" s="163">
        <f t="shared" si="26"/>
        <v>-0.005984670176</v>
      </c>
      <c r="O489" s="164">
        <f t="shared" si="27"/>
        <v>-0.005966069479</v>
      </c>
      <c r="P489" s="164">
        <f t="shared" si="16"/>
        <v>0</v>
      </c>
      <c r="U489" s="168">
        <f t="shared" si="15"/>
        <v>2.122190068</v>
      </c>
    </row>
    <row r="490">
      <c r="A490" s="158">
        <v>45610.0</v>
      </c>
      <c r="B490" s="167">
        <v>14355.840024585803</v>
      </c>
      <c r="C490" s="160">
        <f t="shared" si="17"/>
        <v>11859.58374</v>
      </c>
      <c r="D490" s="160">
        <f t="shared" si="18"/>
        <v>2496.256281</v>
      </c>
      <c r="E490" s="161">
        <f t="shared" si="19"/>
        <v>14170.73679</v>
      </c>
      <c r="F490" s="161">
        <f t="shared" si="4"/>
        <v>14016.99695</v>
      </c>
      <c r="G490" s="161">
        <f t="shared" si="20"/>
        <v>13854.55061</v>
      </c>
      <c r="H490" s="161">
        <f t="shared" si="21"/>
        <v>14199.99158</v>
      </c>
      <c r="I490" s="161">
        <f t="shared" si="22"/>
        <v>14285.4586</v>
      </c>
      <c r="J490" s="162">
        <f t="shared" si="8"/>
        <v>14382.9862</v>
      </c>
      <c r="K490" s="163">
        <f t="shared" si="23"/>
        <v>0.006513949456</v>
      </c>
      <c r="L490" s="163">
        <f t="shared" si="24"/>
        <v>0.005073444236</v>
      </c>
      <c r="M490" s="163">
        <f t="shared" si="25"/>
        <v>0.09692801603</v>
      </c>
      <c r="N490" s="163">
        <f t="shared" si="26"/>
        <v>-0.005994901169</v>
      </c>
      <c r="O490" s="164">
        <f t="shared" si="27"/>
        <v>-0.005966069479</v>
      </c>
      <c r="P490" s="164">
        <f t="shared" si="16"/>
        <v>0</v>
      </c>
      <c r="U490" s="168">
        <f t="shared" si="15"/>
        <v>2.214305274</v>
      </c>
    </row>
    <row r="491">
      <c r="A491" s="158">
        <v>45609.0</v>
      </c>
      <c r="B491" s="167">
        <v>14262.630718200115</v>
      </c>
      <c r="C491" s="160">
        <f t="shared" si="17"/>
        <v>11852.15441</v>
      </c>
      <c r="D491" s="160">
        <f t="shared" si="18"/>
        <v>2410.476309</v>
      </c>
      <c r="E491" s="161">
        <f t="shared" si="19"/>
        <v>14153.83385</v>
      </c>
      <c r="F491" s="161">
        <f t="shared" si="4"/>
        <v>13998.75178</v>
      </c>
      <c r="G491" s="161">
        <f t="shared" si="20"/>
        <v>13834.08982</v>
      </c>
      <c r="H491" s="161">
        <f t="shared" si="21"/>
        <v>14177.72751</v>
      </c>
      <c r="I491" s="161">
        <f t="shared" si="22"/>
        <v>14250.26789</v>
      </c>
      <c r="J491" s="162">
        <f t="shared" si="8"/>
        <v>14356.70325</v>
      </c>
      <c r="K491" s="163">
        <f t="shared" si="23"/>
        <v>0.0006353002153</v>
      </c>
      <c r="L491" s="163">
        <f t="shared" si="24"/>
        <v>0.005072527197</v>
      </c>
      <c r="M491" s="163">
        <f t="shared" si="25"/>
        <v>0.09691049602</v>
      </c>
      <c r="N491" s="163">
        <f t="shared" si="26"/>
        <v>-0.005997266535</v>
      </c>
      <c r="O491" s="164">
        <f t="shared" si="27"/>
        <v>-0.005966069479</v>
      </c>
      <c r="P491" s="164">
        <f t="shared" si="16"/>
        <v>0.003742407019</v>
      </c>
      <c r="U491" s="168">
        <f t="shared" si="15"/>
        <v>1.23339812</v>
      </c>
    </row>
    <row r="492">
      <c r="A492" s="158">
        <v>45608.0</v>
      </c>
      <c r="B492" s="167">
        <v>14253.572543469374</v>
      </c>
      <c r="C492" s="160">
        <f t="shared" si="17"/>
        <v>11844.95896</v>
      </c>
      <c r="D492" s="160">
        <f t="shared" si="18"/>
        <v>2408.613586</v>
      </c>
      <c r="E492" s="161">
        <f t="shared" si="19"/>
        <v>14138.11032</v>
      </c>
      <c r="F492" s="161">
        <f t="shared" si="4"/>
        <v>13889.18455</v>
      </c>
      <c r="G492" s="161">
        <f t="shared" si="20"/>
        <v>13816.59836</v>
      </c>
      <c r="H492" s="161">
        <f t="shared" si="21"/>
        <v>14165.59848</v>
      </c>
      <c r="I492" s="161">
        <f t="shared" si="22"/>
        <v>14244.08647</v>
      </c>
      <c r="J492" s="162">
        <f t="shared" si="8"/>
        <v>14442.01242</v>
      </c>
      <c r="K492" s="163">
        <f t="shared" si="23"/>
        <v>0.0006566524326</v>
      </c>
      <c r="L492" s="163">
        <f t="shared" si="24"/>
        <v>0.005082226907</v>
      </c>
      <c r="M492" s="163">
        <f t="shared" si="25"/>
        <v>0.09709580873</v>
      </c>
      <c r="N492" s="163">
        <f t="shared" si="26"/>
        <v>-0.0059996319</v>
      </c>
      <c r="O492" s="164">
        <f t="shared" si="27"/>
        <v>-0.005966069479</v>
      </c>
      <c r="P492" s="164">
        <f t="shared" si="16"/>
        <v>0.004375128677</v>
      </c>
      <c r="U492" s="168">
        <f t="shared" si="15"/>
        <v>0.8275000989</v>
      </c>
    </row>
    <row r="493">
      <c r="A493" s="158">
        <v>45607.0</v>
      </c>
      <c r="B493" s="167">
        <v>14244.215972729191</v>
      </c>
      <c r="C493" s="160">
        <f t="shared" si="17"/>
        <v>11837.74754</v>
      </c>
      <c r="D493" s="160">
        <f t="shared" si="18"/>
        <v>2406.468433</v>
      </c>
      <c r="E493" s="161">
        <f t="shared" si="19"/>
        <v>14122.28707</v>
      </c>
      <c r="F493" s="161">
        <f t="shared" si="4"/>
        <v>13763.81393</v>
      </c>
      <c r="G493" s="161">
        <f t="shared" si="20"/>
        <v>13798.76267</v>
      </c>
      <c r="H493" s="161">
        <f t="shared" si="21"/>
        <v>14153.03076</v>
      </c>
      <c r="I493" s="161">
        <f t="shared" si="22"/>
        <v>14239.34343</v>
      </c>
      <c r="J493" s="162">
        <f t="shared" si="8"/>
        <v>14542.24759</v>
      </c>
      <c r="K493" s="163">
        <f t="shared" si="23"/>
        <v>0.0006361217848</v>
      </c>
      <c r="L493" s="163">
        <f t="shared" si="24"/>
        <v>0.005091991546</v>
      </c>
      <c r="M493" s="163">
        <f t="shared" si="25"/>
        <v>0.09728236189</v>
      </c>
      <c r="N493" s="163">
        <f t="shared" si="26"/>
        <v>-0.006001997265</v>
      </c>
      <c r="O493" s="164">
        <f t="shared" si="27"/>
        <v>-0.005966069479</v>
      </c>
      <c r="P493" s="164">
        <f t="shared" si="16"/>
        <v>0.005028693565</v>
      </c>
      <c r="U493" s="168">
        <f t="shared" si="15"/>
        <v>0.6091246204</v>
      </c>
    </row>
    <row r="494">
      <c r="A494" s="158">
        <v>45606.0</v>
      </c>
      <c r="B494" s="167">
        <v>14235.15779799845</v>
      </c>
      <c r="C494" s="160">
        <f t="shared" si="17"/>
        <v>11830.52091</v>
      </c>
      <c r="D494" s="160">
        <f t="shared" si="18"/>
        <v>2404.63689</v>
      </c>
      <c r="E494" s="161">
        <f t="shared" si="19"/>
        <v>14106.36702</v>
      </c>
      <c r="F494" s="161">
        <f t="shared" si="4"/>
        <v>13700.78755</v>
      </c>
      <c r="G494" s="161">
        <f t="shared" si="20"/>
        <v>13780.58091</v>
      </c>
      <c r="H494" s="161">
        <f t="shared" si="21"/>
        <v>14140.0043</v>
      </c>
      <c r="I494" s="161">
        <f t="shared" si="22"/>
        <v>14236.90716</v>
      </c>
      <c r="J494" s="162">
        <f t="shared" si="8"/>
        <v>14579.22106</v>
      </c>
      <c r="K494" s="163">
        <f t="shared" si="23"/>
        <v>0.0006365266933</v>
      </c>
      <c r="L494" s="163">
        <f t="shared" si="24"/>
        <v>0.005101803904</v>
      </c>
      <c r="M494" s="163">
        <f t="shared" si="25"/>
        <v>0.09746982673</v>
      </c>
      <c r="N494" s="163">
        <f t="shared" si="26"/>
        <v>-0.00600436263</v>
      </c>
      <c r="O494" s="164">
        <f t="shared" si="27"/>
        <v>-0.005966069479</v>
      </c>
      <c r="P494" s="164">
        <f t="shared" si="16"/>
        <v>0.005661415223</v>
      </c>
      <c r="U494" s="168">
        <f t="shared" si="15"/>
        <v>0.5632733496</v>
      </c>
    </row>
    <row r="495">
      <c r="A495" s="158">
        <v>45605.0</v>
      </c>
      <c r="B495" s="167">
        <v>14226.09962326771</v>
      </c>
      <c r="C495" s="160">
        <f t="shared" si="17"/>
        <v>11823.27803</v>
      </c>
      <c r="D495" s="160">
        <f t="shared" si="18"/>
        <v>2402.821598</v>
      </c>
      <c r="E495" s="161">
        <f t="shared" si="19"/>
        <v>14090.34385</v>
      </c>
      <c r="F495" s="161">
        <f t="shared" si="4"/>
        <v>13645.03136</v>
      </c>
      <c r="G495" s="161">
        <f t="shared" si="20"/>
        <v>13762.02675</v>
      </c>
      <c r="H495" s="161">
        <f t="shared" si="21"/>
        <v>14126.41094</v>
      </c>
      <c r="I495" s="161">
        <f t="shared" si="22"/>
        <v>14237.78184</v>
      </c>
      <c r="J495" s="162">
        <f t="shared" si="8"/>
        <v>14607.79053</v>
      </c>
      <c r="K495" s="163">
        <f t="shared" si="23"/>
        <v>0.0006369321176</v>
      </c>
      <c r="L495" s="163">
        <f t="shared" si="24"/>
        <v>0.005111673377</v>
      </c>
      <c r="M495" s="163">
        <f t="shared" si="25"/>
        <v>0.09765838274</v>
      </c>
      <c r="N495" s="163">
        <f t="shared" si="26"/>
        <v>-0.006006727996</v>
      </c>
      <c r="O495" s="164">
        <f t="shared" si="27"/>
        <v>-0.005966069479</v>
      </c>
      <c r="P495" s="164">
        <f t="shared" si="16"/>
        <v>0.006294136881</v>
      </c>
      <c r="U495" s="168">
        <f t="shared" si="15"/>
        <v>0.53843282</v>
      </c>
    </row>
    <row r="496">
      <c r="A496" s="158">
        <v>45604.0</v>
      </c>
      <c r="B496" s="167">
        <v>14217.04144853697</v>
      </c>
      <c r="C496" s="160">
        <f t="shared" si="17"/>
        <v>11816.01875</v>
      </c>
      <c r="D496" s="160">
        <f t="shared" si="18"/>
        <v>2401.022703</v>
      </c>
      <c r="E496" s="161">
        <f t="shared" si="19"/>
        <v>14074.21576</v>
      </c>
      <c r="F496" s="161">
        <f t="shared" si="4"/>
        <v>13597.84409</v>
      </c>
      <c r="G496" s="161">
        <f t="shared" si="20"/>
        <v>13743.085</v>
      </c>
      <c r="H496" s="161">
        <f t="shared" si="21"/>
        <v>14112.1697</v>
      </c>
      <c r="I496" s="161">
        <f t="shared" si="22"/>
        <v>14243.62295</v>
      </c>
      <c r="J496" s="162">
        <f t="shared" si="8"/>
        <v>14626.49531</v>
      </c>
      <c r="K496" s="163">
        <f t="shared" si="23"/>
        <v>-0.004515852461</v>
      </c>
      <c r="L496" s="163">
        <f t="shared" si="24"/>
        <v>0.005121600519</v>
      </c>
      <c r="M496" s="163">
        <f t="shared" si="25"/>
        <v>0.09784804053</v>
      </c>
      <c r="N496" s="163">
        <f t="shared" si="26"/>
        <v>-0.006009093361</v>
      </c>
      <c r="O496" s="164">
        <f t="shared" si="27"/>
        <v>-0.005966069479</v>
      </c>
      <c r="P496" s="164">
        <f t="shared" si="16"/>
        <v>0.006926858539</v>
      </c>
      <c r="U496" s="168">
        <f t="shared" si="15"/>
        <v>0.5301438053</v>
      </c>
    </row>
    <row r="497">
      <c r="A497" s="158">
        <v>45603.0</v>
      </c>
      <c r="B497" s="167">
        <v>14281.388692129241</v>
      </c>
      <c r="C497" s="160">
        <f t="shared" si="17"/>
        <v>11808.74292</v>
      </c>
      <c r="D497" s="160">
        <f t="shared" si="18"/>
        <v>2472.645773</v>
      </c>
      <c r="E497" s="161">
        <f t="shared" si="19"/>
        <v>14057.98094</v>
      </c>
      <c r="F497" s="161">
        <f t="shared" si="4"/>
        <v>13557.73083</v>
      </c>
      <c r="G497" s="161">
        <f t="shared" si="20"/>
        <v>13723.73984</v>
      </c>
      <c r="H497" s="161">
        <f t="shared" si="21"/>
        <v>14097.18803</v>
      </c>
      <c r="I497" s="161">
        <f t="shared" si="22"/>
        <v>14256.91371</v>
      </c>
      <c r="J497" s="162">
        <f t="shared" si="8"/>
        <v>14636.64522</v>
      </c>
      <c r="K497" s="163">
        <f t="shared" si="23"/>
        <v>-0.002100647996</v>
      </c>
      <c r="L497" s="163">
        <f t="shared" si="24"/>
        <v>0.00511902495</v>
      </c>
      <c r="M497" s="163">
        <f t="shared" si="25"/>
        <v>0.09779883434</v>
      </c>
      <c r="N497" s="163">
        <f t="shared" si="26"/>
        <v>-0.006011458726</v>
      </c>
      <c r="O497" s="164">
        <f t="shared" si="27"/>
        <v>-0.005966069479</v>
      </c>
      <c r="P497" s="164">
        <f t="shared" si="16"/>
        <v>0.002432145657</v>
      </c>
      <c r="U497" s="168">
        <f t="shared" si="15"/>
        <v>0.8877844856</v>
      </c>
    </row>
    <row r="498">
      <c r="A498" s="158">
        <v>45602.0</v>
      </c>
      <c r="B498" s="167">
        <v>14311.420394635554</v>
      </c>
      <c r="C498" s="160">
        <f t="shared" si="17"/>
        <v>11801.22728</v>
      </c>
      <c r="D498" s="160">
        <f t="shared" si="18"/>
        <v>2510.193116</v>
      </c>
      <c r="E498" s="161">
        <f t="shared" si="19"/>
        <v>14040.48151</v>
      </c>
      <c r="F498" s="161">
        <f t="shared" si="4"/>
        <v>13527.54264</v>
      </c>
      <c r="G498" s="161">
        <f t="shared" si="20"/>
        <v>13700.97866</v>
      </c>
      <c r="H498" s="161">
        <f t="shared" si="21"/>
        <v>14070.87365</v>
      </c>
      <c r="I498" s="161">
        <f t="shared" si="22"/>
        <v>14244.67622</v>
      </c>
      <c r="J498" s="162">
        <f t="shared" si="8"/>
        <v>14614.20465</v>
      </c>
      <c r="K498" s="163">
        <f t="shared" si="23"/>
        <v>-0.000334460132</v>
      </c>
      <c r="L498" s="163">
        <f t="shared" si="24"/>
        <v>0.005124857539</v>
      </c>
      <c r="M498" s="163">
        <f t="shared" si="25"/>
        <v>0.0979102658</v>
      </c>
      <c r="N498" s="163">
        <f t="shared" si="26"/>
        <v>-0.006013824092</v>
      </c>
      <c r="O498" s="164">
        <f t="shared" si="27"/>
        <v>-0.005966069479</v>
      </c>
      <c r="P498" s="164">
        <f t="shared" si="16"/>
        <v>0.0003344042065</v>
      </c>
      <c r="U498" s="168">
        <f t="shared" si="15"/>
        <v>1.151087528</v>
      </c>
    </row>
    <row r="499">
      <c r="A499" s="158">
        <v>45601.0</v>
      </c>
      <c r="B499" s="167">
        <v>14316.207794742975</v>
      </c>
      <c r="C499" s="160">
        <f t="shared" si="17"/>
        <v>11793.57425</v>
      </c>
      <c r="D499" s="160">
        <f t="shared" si="18"/>
        <v>2522.633544</v>
      </c>
      <c r="E499" s="161">
        <f t="shared" si="19"/>
        <v>14022.23756</v>
      </c>
      <c r="F499" s="161">
        <f t="shared" si="4"/>
        <v>13533.19394</v>
      </c>
      <c r="G499" s="161">
        <f t="shared" si="20"/>
        <v>13676.06267</v>
      </c>
      <c r="H499" s="161">
        <f t="shared" si="21"/>
        <v>14036.50982</v>
      </c>
      <c r="I499" s="161">
        <f t="shared" si="22"/>
        <v>14211.30413</v>
      </c>
      <c r="J499" s="162">
        <f t="shared" si="8"/>
        <v>14539.82571</v>
      </c>
      <c r="K499" s="163">
        <f t="shared" si="23"/>
        <v>0.006552778335</v>
      </c>
      <c r="L499" s="163">
        <f t="shared" si="24"/>
        <v>0.005134084846</v>
      </c>
      <c r="M499" s="163">
        <f t="shared" si="25"/>
        <v>0.09808655326</v>
      </c>
      <c r="N499" s="163">
        <f t="shared" si="26"/>
        <v>-0.006016189457</v>
      </c>
      <c r="O499" s="164">
        <f t="shared" si="27"/>
        <v>-0.005966069479</v>
      </c>
      <c r="P499" s="164">
        <f t="shared" si="16"/>
        <v>0</v>
      </c>
      <c r="U499" s="168">
        <f t="shared" si="15"/>
        <v>1.44484754</v>
      </c>
    </row>
    <row r="500">
      <c r="A500" s="158">
        <v>45600.0</v>
      </c>
      <c r="B500" s="167">
        <v>14222.703549339827</v>
      </c>
      <c r="C500" s="160">
        <f t="shared" si="17"/>
        <v>11785.85978</v>
      </c>
      <c r="D500" s="160">
        <f t="shared" si="18"/>
        <v>2436.843774</v>
      </c>
      <c r="E500" s="161">
        <f t="shared" si="19"/>
        <v>14003.63653</v>
      </c>
      <c r="F500" s="161">
        <f t="shared" si="4"/>
        <v>13547.61482</v>
      </c>
      <c r="G500" s="161">
        <f t="shared" si="20"/>
        <v>13649.9343</v>
      </c>
      <c r="H500" s="161">
        <f t="shared" si="21"/>
        <v>13996.55297</v>
      </c>
      <c r="I500" s="161">
        <f t="shared" si="22"/>
        <v>14158.85229</v>
      </c>
      <c r="J500" s="162">
        <f t="shared" si="8"/>
        <v>14445.49112</v>
      </c>
      <c r="K500" s="163">
        <f t="shared" si="23"/>
        <v>0.0007117740636</v>
      </c>
      <c r="L500" s="163">
        <f t="shared" si="24"/>
        <v>0.005133359638</v>
      </c>
      <c r="M500" s="163">
        <f t="shared" si="25"/>
        <v>0.09807269819</v>
      </c>
      <c r="N500" s="163">
        <f t="shared" si="26"/>
        <v>-0.006018554822</v>
      </c>
      <c r="O500" s="164">
        <f t="shared" si="27"/>
        <v>-0.005966069479</v>
      </c>
      <c r="P500" s="164">
        <f t="shared" si="16"/>
        <v>0</v>
      </c>
      <c r="U500" s="168">
        <f t="shared" si="15"/>
        <v>1.309738329</v>
      </c>
    </row>
    <row r="501">
      <c r="A501" s="158">
        <v>45599.0</v>
      </c>
      <c r="B501" s="167">
        <v>14212.583799753564</v>
      </c>
      <c r="C501" s="160">
        <f t="shared" si="17"/>
        <v>11778.38479</v>
      </c>
      <c r="D501" s="160">
        <f t="shared" si="18"/>
        <v>2434.199005</v>
      </c>
      <c r="E501" s="161">
        <f t="shared" si="19"/>
        <v>13986.23847</v>
      </c>
      <c r="F501" s="161">
        <f t="shared" si="4"/>
        <v>13548.81359</v>
      </c>
      <c r="G501" s="161">
        <f t="shared" si="20"/>
        <v>13626.55596</v>
      </c>
      <c r="H501" s="161">
        <f t="shared" si="21"/>
        <v>13964.24575</v>
      </c>
      <c r="I501" s="161">
        <f t="shared" si="22"/>
        <v>14126.92666</v>
      </c>
      <c r="J501" s="162">
        <f t="shared" si="8"/>
        <v>14379.6779</v>
      </c>
      <c r="K501" s="163">
        <f t="shared" si="23"/>
        <v>0.0007122810468</v>
      </c>
      <c r="L501" s="163">
        <f t="shared" si="24"/>
        <v>0.005143552028</v>
      </c>
      <c r="M501" s="163">
        <f t="shared" si="25"/>
        <v>0.09826742352</v>
      </c>
      <c r="N501" s="163">
        <f t="shared" si="26"/>
        <v>-0.006020920187</v>
      </c>
      <c r="O501" s="164">
        <f t="shared" si="27"/>
        <v>-0.005966069479</v>
      </c>
      <c r="P501" s="164">
        <f t="shared" si="16"/>
        <v>0</v>
      </c>
      <c r="U501" s="168">
        <f t="shared" si="15"/>
        <v>1.554234393</v>
      </c>
    </row>
    <row r="502">
      <c r="A502" s="158">
        <v>45598.0</v>
      </c>
      <c r="B502" s="167">
        <v>14202.464050167302</v>
      </c>
      <c r="C502" s="160">
        <f t="shared" si="17"/>
        <v>11770.89495</v>
      </c>
      <c r="D502" s="160">
        <f t="shared" si="18"/>
        <v>2431.569099</v>
      </c>
      <c r="E502" s="161">
        <f t="shared" si="19"/>
        <v>13968.73094</v>
      </c>
      <c r="F502" s="161">
        <f t="shared" si="4"/>
        <v>13555.89662</v>
      </c>
      <c r="G502" s="161">
        <f t="shared" si="20"/>
        <v>13602.63646</v>
      </c>
      <c r="H502" s="161">
        <f t="shared" si="21"/>
        <v>13928.76888</v>
      </c>
      <c r="I502" s="161">
        <f t="shared" si="22"/>
        <v>14084.09809</v>
      </c>
      <c r="J502" s="162">
        <f t="shared" si="8"/>
        <v>14301.64114</v>
      </c>
      <c r="K502" s="163">
        <f t="shared" si="23"/>
        <v>0.01015293974</v>
      </c>
      <c r="L502" s="163">
        <f t="shared" si="24"/>
        <v>0.005153805574</v>
      </c>
      <c r="M502" s="163">
        <f t="shared" si="25"/>
        <v>0.09846331724</v>
      </c>
      <c r="N502" s="163">
        <f t="shared" si="26"/>
        <v>-0.006023285553</v>
      </c>
      <c r="O502" s="164">
        <f t="shared" si="27"/>
        <v>-0.005966069479</v>
      </c>
      <c r="P502" s="164">
        <f t="shared" si="16"/>
        <v>0</v>
      </c>
      <c r="U502" s="168">
        <f t="shared" si="15"/>
        <v>1.908448311</v>
      </c>
    </row>
    <row r="503">
      <c r="A503" s="158">
        <v>45597.0</v>
      </c>
      <c r="B503" s="167">
        <v>14058.996828007463</v>
      </c>
      <c r="C503" s="160">
        <f t="shared" si="17"/>
        <v>11763.39011</v>
      </c>
      <c r="D503" s="160">
        <f t="shared" si="18"/>
        <v>2295.60672</v>
      </c>
      <c r="E503" s="161">
        <f t="shared" si="19"/>
        <v>13951.11201</v>
      </c>
      <c r="F503" s="161">
        <f t="shared" si="4"/>
        <v>13572.37296</v>
      </c>
      <c r="G503" s="161">
        <f t="shared" si="20"/>
        <v>13578.1537</v>
      </c>
      <c r="H503" s="161">
        <f t="shared" si="21"/>
        <v>13889.66957</v>
      </c>
      <c r="I503" s="161">
        <f t="shared" si="22"/>
        <v>14024.91511</v>
      </c>
      <c r="J503" s="162">
        <f t="shared" si="8"/>
        <v>14206.96619</v>
      </c>
      <c r="K503" s="163">
        <f t="shared" si="23"/>
        <v>-0.007006881383</v>
      </c>
      <c r="L503" s="163">
        <f t="shared" si="24"/>
        <v>0.005132825941</v>
      </c>
      <c r="M503" s="163">
        <f t="shared" si="25"/>
        <v>0.09806250191</v>
      </c>
      <c r="N503" s="163">
        <f t="shared" si="26"/>
        <v>-0.006025650918</v>
      </c>
      <c r="O503" s="164">
        <f t="shared" si="27"/>
        <v>-0.005966069479</v>
      </c>
      <c r="P503" s="164">
        <f t="shared" si="16"/>
        <v>0.006982390425</v>
      </c>
      <c r="U503" s="168">
        <f t="shared" si="15"/>
        <v>1.38750572</v>
      </c>
    </row>
    <row r="504">
      <c r="A504" s="158">
        <v>45596.0</v>
      </c>
      <c r="B504" s="167">
        <v>14157.852481610566</v>
      </c>
      <c r="C504" s="160">
        <f t="shared" si="17"/>
        <v>11756.28297</v>
      </c>
      <c r="D504" s="160">
        <f t="shared" si="18"/>
        <v>2401.569515</v>
      </c>
      <c r="E504" s="161">
        <f t="shared" si="19"/>
        <v>13935.53045</v>
      </c>
      <c r="F504" s="161">
        <f t="shared" si="4"/>
        <v>13558.73682</v>
      </c>
      <c r="G504" s="161">
        <f t="shared" si="20"/>
        <v>13558.52745</v>
      </c>
      <c r="H504" s="161">
        <f t="shared" si="21"/>
        <v>13865.47996</v>
      </c>
      <c r="I504" s="161">
        <f t="shared" si="22"/>
        <v>14007.87426</v>
      </c>
      <c r="J504" s="162">
        <f t="shared" si="8"/>
        <v>14172.22311</v>
      </c>
      <c r="K504" s="163">
        <f t="shared" si="23"/>
        <v>0.003028406579</v>
      </c>
      <c r="L504" s="163">
        <f t="shared" si="24"/>
        <v>0.005116466003</v>
      </c>
      <c r="M504" s="163">
        <f t="shared" si="25"/>
        <v>0.09774994573</v>
      </c>
      <c r="N504" s="163">
        <f t="shared" si="26"/>
        <v>-0.005933515208</v>
      </c>
      <c r="O504" s="164">
        <f t="shared" si="27"/>
        <v>-0.003730830314</v>
      </c>
      <c r="P504" s="164">
        <f t="shared" si="16"/>
        <v>0</v>
      </c>
      <c r="U504" s="168">
        <f t="shared" si="15"/>
        <v>2.478192442</v>
      </c>
    </row>
    <row r="505">
      <c r="A505" s="158">
        <v>45595.0</v>
      </c>
      <c r="B505" s="167">
        <v>14115.041605100343</v>
      </c>
      <c r="C505" s="160">
        <f t="shared" si="17"/>
        <v>11748.82468</v>
      </c>
      <c r="D505" s="160">
        <f t="shared" si="18"/>
        <v>2366.216929</v>
      </c>
      <c r="E505" s="161">
        <f t="shared" si="19"/>
        <v>13918.09919</v>
      </c>
      <c r="F505" s="161">
        <f t="shared" si="4"/>
        <v>13547.91302</v>
      </c>
      <c r="G505" s="161">
        <f t="shared" si="20"/>
        <v>13534.0652</v>
      </c>
      <c r="H505" s="161">
        <f t="shared" si="21"/>
        <v>13823.71246</v>
      </c>
      <c r="I505" s="161">
        <f t="shared" si="22"/>
        <v>13932.88514</v>
      </c>
      <c r="J505" s="162">
        <f t="shared" si="8"/>
        <v>14099.5119</v>
      </c>
      <c r="K505" s="163">
        <f t="shared" si="23"/>
        <v>0.01525985037</v>
      </c>
      <c r="L505" s="163">
        <f t="shared" si="24"/>
        <v>0.005125606233</v>
      </c>
      <c r="M505" s="163">
        <f t="shared" si="25"/>
        <v>0.09792456959</v>
      </c>
      <c r="N505" s="163">
        <f t="shared" si="26"/>
        <v>-0.005943746202</v>
      </c>
      <c r="O505" s="164">
        <f t="shared" si="27"/>
        <v>-0.003730830314</v>
      </c>
      <c r="P505" s="164">
        <f t="shared" si="16"/>
        <v>0</v>
      </c>
      <c r="U505" s="168">
        <f t="shared" si="15"/>
        <v>2.746400692</v>
      </c>
    </row>
    <row r="506">
      <c r="A506" s="158">
        <v>45594.0</v>
      </c>
      <c r="B506" s="167">
        <v>13901.28329024601</v>
      </c>
      <c r="C506" s="160">
        <f t="shared" si="17"/>
        <v>11741.45328</v>
      </c>
      <c r="D506" s="160">
        <f t="shared" si="18"/>
        <v>2159.830006</v>
      </c>
      <c r="E506" s="161">
        <f t="shared" si="19"/>
        <v>13901.08792</v>
      </c>
      <c r="F506" s="161">
        <f t="shared" si="4"/>
        <v>13533.84327</v>
      </c>
      <c r="G506" s="161">
        <f t="shared" si="20"/>
        <v>13510.35188</v>
      </c>
      <c r="H506" s="161">
        <f t="shared" si="21"/>
        <v>13782.09401</v>
      </c>
      <c r="I506" s="161">
        <f t="shared" si="22"/>
        <v>13841.80691</v>
      </c>
      <c r="J506" s="162">
        <f t="shared" si="8"/>
        <v>14030.34475</v>
      </c>
      <c r="K506" s="163">
        <f t="shared" si="23"/>
        <v>0.008734592439</v>
      </c>
      <c r="L506" s="163">
        <f t="shared" si="24"/>
        <v>0.005056562209</v>
      </c>
      <c r="M506" s="163">
        <f t="shared" si="25"/>
        <v>0.09660548535</v>
      </c>
      <c r="N506" s="163">
        <f t="shared" si="26"/>
        <v>-0.005953977195</v>
      </c>
      <c r="O506" s="164">
        <f t="shared" si="27"/>
        <v>-0.006201376761</v>
      </c>
      <c r="P506" s="164">
        <f t="shared" si="16"/>
        <v>0.00283809513</v>
      </c>
      <c r="U506" s="168">
        <f t="shared" si="15"/>
        <v>1.248302918</v>
      </c>
    </row>
    <row r="507">
      <c r="A507" s="158">
        <v>45593.0</v>
      </c>
      <c r="B507" s="167">
        <v>13780.389991787039</v>
      </c>
      <c r="C507" s="160">
        <f t="shared" si="17"/>
        <v>11734.70382</v>
      </c>
      <c r="D507" s="160">
        <f t="shared" si="18"/>
        <v>2045.686176</v>
      </c>
      <c r="E507" s="161">
        <f t="shared" si="19"/>
        <v>13887.29538</v>
      </c>
      <c r="F507" s="161">
        <f t="shared" si="4"/>
        <v>13499.13329</v>
      </c>
      <c r="G507" s="161">
        <f t="shared" si="20"/>
        <v>13494.3955</v>
      </c>
      <c r="H507" s="161">
        <f t="shared" si="21"/>
        <v>13765.06697</v>
      </c>
      <c r="I507" s="161">
        <f t="shared" si="22"/>
        <v>13812.06872</v>
      </c>
      <c r="J507" s="162">
        <f t="shared" si="8"/>
        <v>14031.00065</v>
      </c>
      <c r="K507" s="163">
        <f t="shared" si="23"/>
        <v>-0.004693966042</v>
      </c>
      <c r="L507" s="163">
        <f t="shared" si="24"/>
        <v>0.005043549193</v>
      </c>
      <c r="M507" s="163">
        <f t="shared" si="25"/>
        <v>0.09635687203</v>
      </c>
      <c r="N507" s="163">
        <f t="shared" si="26"/>
        <v>-0.005964208189</v>
      </c>
      <c r="O507" s="164">
        <f t="shared" si="27"/>
        <v>-0.006201376761</v>
      </c>
      <c r="P507" s="164">
        <f t="shared" si="16"/>
        <v>0.01150997018</v>
      </c>
      <c r="U507" s="168">
        <f t="shared" si="15"/>
        <v>0.1498112408</v>
      </c>
    </row>
    <row r="508">
      <c r="A508" s="158">
        <v>45592.0</v>
      </c>
      <c r="B508" s="167">
        <v>13845.226726118783</v>
      </c>
      <c r="C508" s="160">
        <f t="shared" si="17"/>
        <v>11728.29101</v>
      </c>
      <c r="D508" s="160">
        <f t="shared" si="18"/>
        <v>2116.93572</v>
      </c>
      <c r="E508" s="161">
        <f t="shared" si="19"/>
        <v>13875.25859</v>
      </c>
      <c r="F508" s="161">
        <f t="shared" si="4"/>
        <v>13472.09811</v>
      </c>
      <c r="G508" s="161">
        <f t="shared" si="20"/>
        <v>13482.72225</v>
      </c>
      <c r="H508" s="161">
        <f t="shared" si="21"/>
        <v>13762.87797</v>
      </c>
      <c r="I508" s="161">
        <f t="shared" si="22"/>
        <v>13827.90809</v>
      </c>
      <c r="J508" s="162">
        <f t="shared" si="8"/>
        <v>14053.65783</v>
      </c>
      <c r="K508" s="163">
        <f t="shared" si="23"/>
        <v>0.001752164431</v>
      </c>
      <c r="L508" s="163">
        <f t="shared" si="24"/>
        <v>0.005039988922</v>
      </c>
      <c r="M508" s="163">
        <f t="shared" si="25"/>
        <v>0.09628885315</v>
      </c>
      <c r="N508" s="163">
        <f t="shared" si="26"/>
        <v>-0.005974439182</v>
      </c>
      <c r="O508" s="164">
        <f t="shared" si="27"/>
        <v>-0.005238241034</v>
      </c>
      <c r="P508" s="164">
        <f t="shared" si="16"/>
        <v>0.006859124635</v>
      </c>
      <c r="U508" s="168">
        <f t="shared" si="15"/>
        <v>0.7363191217</v>
      </c>
    </row>
    <row r="509">
      <c r="A509" s="158">
        <v>45591.0</v>
      </c>
      <c r="B509" s="167">
        <v>13820.988852887629</v>
      </c>
      <c r="C509" s="160">
        <f t="shared" si="17"/>
        <v>11721.63398</v>
      </c>
      <c r="D509" s="160">
        <f t="shared" si="18"/>
        <v>2099.354877</v>
      </c>
      <c r="E509" s="161">
        <f t="shared" si="19"/>
        <v>13861.9528</v>
      </c>
      <c r="F509" s="161">
        <f t="shared" si="4"/>
        <v>13442.09305</v>
      </c>
      <c r="G509" s="161">
        <f t="shared" si="20"/>
        <v>13467.92615</v>
      </c>
      <c r="H509" s="161">
        <f t="shared" si="21"/>
        <v>13751.11386</v>
      </c>
      <c r="I509" s="161">
        <f t="shared" si="22"/>
        <v>13819.24877</v>
      </c>
      <c r="J509" s="162">
        <f t="shared" si="8"/>
        <v>14060.13467</v>
      </c>
      <c r="K509" s="163">
        <f t="shared" si="23"/>
        <v>0.001041191723</v>
      </c>
      <c r="L509" s="163">
        <f t="shared" si="24"/>
        <v>0.005050289724</v>
      </c>
      <c r="M509" s="163">
        <f t="shared" si="25"/>
        <v>0.0964856497</v>
      </c>
      <c r="N509" s="163">
        <f t="shared" si="26"/>
        <v>-0.005984670176</v>
      </c>
      <c r="O509" s="164">
        <f t="shared" si="27"/>
        <v>-0.005238241034</v>
      </c>
      <c r="P509" s="164">
        <f t="shared" si="16"/>
        <v>0.00859774713</v>
      </c>
      <c r="U509" s="168">
        <f t="shared" si="15"/>
        <v>0.5879053331</v>
      </c>
    </row>
    <row r="510">
      <c r="A510" s="158">
        <v>45590.0</v>
      </c>
      <c r="B510" s="167">
        <v>13806.606042620884</v>
      </c>
      <c r="C510" s="160">
        <f t="shared" si="17"/>
        <v>11715.0114</v>
      </c>
      <c r="D510" s="160">
        <f t="shared" si="18"/>
        <v>2091.594638</v>
      </c>
      <c r="E510" s="161">
        <f t="shared" si="19"/>
        <v>13848.82667</v>
      </c>
      <c r="F510" s="161">
        <f t="shared" si="4"/>
        <v>13414.82074</v>
      </c>
      <c r="G510" s="161">
        <f t="shared" si="20"/>
        <v>13453.51543</v>
      </c>
      <c r="H510" s="161">
        <f t="shared" si="21"/>
        <v>13741.13172</v>
      </c>
      <c r="I510" s="161">
        <f t="shared" si="22"/>
        <v>13818.37872</v>
      </c>
      <c r="J510" s="162">
        <f t="shared" si="8"/>
        <v>14067.44269</v>
      </c>
      <c r="K510" s="163">
        <f t="shared" si="23"/>
        <v>0.001042276933</v>
      </c>
      <c r="L510" s="163">
        <f t="shared" si="24"/>
        <v>0.005060794654</v>
      </c>
      <c r="M510" s="163">
        <f t="shared" si="25"/>
        <v>0.0966863461</v>
      </c>
      <c r="N510" s="163">
        <f t="shared" si="26"/>
        <v>-0.005994901169</v>
      </c>
      <c r="O510" s="164">
        <f t="shared" si="27"/>
        <v>-0.005238241034</v>
      </c>
      <c r="P510" s="164">
        <f t="shared" si="16"/>
        <v>0.009629449757</v>
      </c>
      <c r="U510" s="168">
        <f t="shared" si="15"/>
        <v>0.5216902237</v>
      </c>
    </row>
    <row r="511">
      <c r="A511" s="158">
        <v>45589.0</v>
      </c>
      <c r="B511" s="167">
        <v>13792.223232354138</v>
      </c>
      <c r="C511" s="160">
        <f t="shared" si="17"/>
        <v>11708.39243</v>
      </c>
      <c r="D511" s="160">
        <f t="shared" si="18"/>
        <v>2083.830798</v>
      </c>
      <c r="E511" s="161">
        <f t="shared" si="19"/>
        <v>13835.72</v>
      </c>
      <c r="F511" s="161">
        <f t="shared" si="4"/>
        <v>13376.25142</v>
      </c>
      <c r="G511" s="161">
        <f t="shared" si="20"/>
        <v>13439.10357</v>
      </c>
      <c r="H511" s="161">
        <f t="shared" si="21"/>
        <v>13731.77824</v>
      </c>
      <c r="I511" s="161">
        <f t="shared" si="22"/>
        <v>13824.26507</v>
      </c>
      <c r="J511" s="162">
        <f t="shared" si="8"/>
        <v>14087.30507</v>
      </c>
      <c r="K511" s="163">
        <f t="shared" si="23"/>
        <v>0.001043364408</v>
      </c>
      <c r="L511" s="163">
        <f t="shared" si="24"/>
        <v>0.005071365515</v>
      </c>
      <c r="M511" s="163">
        <f t="shared" si="25"/>
        <v>0.09688830211</v>
      </c>
      <c r="N511" s="163">
        <f t="shared" si="26"/>
        <v>-0.005997266535</v>
      </c>
      <c r="O511" s="164">
        <f t="shared" si="27"/>
        <v>-0.006178583237</v>
      </c>
      <c r="P511" s="164">
        <f t="shared" si="16"/>
        <v>0.01066115238</v>
      </c>
      <c r="U511" s="168">
        <f t="shared" si="15"/>
        <v>0.4420397065</v>
      </c>
    </row>
    <row r="512">
      <c r="A512" s="158">
        <v>45588.0</v>
      </c>
      <c r="B512" s="167">
        <v>13777.840422087393</v>
      </c>
      <c r="C512" s="160">
        <f t="shared" si="17"/>
        <v>11701.7771</v>
      </c>
      <c r="D512" s="160">
        <f t="shared" si="18"/>
        <v>2076.063323</v>
      </c>
      <c r="E512" s="161">
        <f t="shared" si="19"/>
        <v>13822.63314</v>
      </c>
      <c r="F512" s="161">
        <f t="shared" si="4"/>
        <v>13337.97182</v>
      </c>
      <c r="G512" s="161">
        <f t="shared" si="20"/>
        <v>13424.69052</v>
      </c>
      <c r="H512" s="161">
        <f t="shared" si="21"/>
        <v>13723.14324</v>
      </c>
      <c r="I512" s="161">
        <f t="shared" si="22"/>
        <v>13840.28598</v>
      </c>
      <c r="J512" s="162">
        <f t="shared" si="8"/>
        <v>14108.31467</v>
      </c>
      <c r="K512" s="163">
        <f t="shared" si="23"/>
        <v>-0.01176175405</v>
      </c>
      <c r="L512" s="163">
        <f t="shared" si="24"/>
        <v>0.005082002998</v>
      </c>
      <c r="M512" s="163">
        <f t="shared" si="25"/>
        <v>0.09709153095</v>
      </c>
      <c r="N512" s="163">
        <f t="shared" si="26"/>
        <v>-0.0059996319</v>
      </c>
      <c r="O512" s="164">
        <f t="shared" si="27"/>
        <v>-0.006178583237</v>
      </c>
      <c r="P512" s="164">
        <f t="shared" si="16"/>
        <v>0.01169285501</v>
      </c>
      <c r="U512" s="168">
        <f t="shared" si="15"/>
        <v>0.3692191372</v>
      </c>
    </row>
    <row r="513">
      <c r="A513" s="158">
        <v>45587.0</v>
      </c>
      <c r="B513" s="167">
        <v>13940.848745179945</v>
      </c>
      <c r="C513" s="160">
        <f t="shared" si="17"/>
        <v>11695.16543</v>
      </c>
      <c r="D513" s="160">
        <f t="shared" si="18"/>
        <v>2245.683313</v>
      </c>
      <c r="E513" s="161">
        <f t="shared" si="19"/>
        <v>13809.56645</v>
      </c>
      <c r="F513" s="161">
        <f t="shared" si="4"/>
        <v>13293.52552</v>
      </c>
      <c r="G513" s="161">
        <f t="shared" si="20"/>
        <v>13410.27624</v>
      </c>
      <c r="H513" s="161">
        <f t="shared" si="21"/>
        <v>13715.32936</v>
      </c>
      <c r="I513" s="161">
        <f t="shared" si="22"/>
        <v>13871.50876</v>
      </c>
      <c r="J513" s="162">
        <f t="shared" si="8"/>
        <v>14137.1332</v>
      </c>
      <c r="K513" s="163">
        <f t="shared" si="23"/>
        <v>0.001032235198</v>
      </c>
      <c r="L513" s="163">
        <f t="shared" si="24"/>
        <v>0.005022786721</v>
      </c>
      <c r="M513" s="163">
        <f t="shared" si="25"/>
        <v>0.09596020557</v>
      </c>
      <c r="N513" s="163">
        <f t="shared" si="26"/>
        <v>-0.005820974279</v>
      </c>
      <c r="O513" s="164">
        <f t="shared" si="27"/>
        <v>-0.003702971562</v>
      </c>
      <c r="P513" s="164">
        <f t="shared" si="16"/>
        <v>0</v>
      </c>
      <c r="U513" s="168">
        <f t="shared" si="15"/>
        <v>1.390102088</v>
      </c>
    </row>
    <row r="514">
      <c r="A514" s="158">
        <v>45586.0</v>
      </c>
      <c r="B514" s="167">
        <v>13926.4659349132</v>
      </c>
      <c r="C514" s="160">
        <f t="shared" si="17"/>
        <v>11687.99073</v>
      </c>
      <c r="D514" s="160">
        <f t="shared" si="18"/>
        <v>2238.47521</v>
      </c>
      <c r="E514" s="161">
        <f t="shared" si="19"/>
        <v>13793.53895</v>
      </c>
      <c r="F514" s="161">
        <f t="shared" si="4"/>
        <v>13277.3199</v>
      </c>
      <c r="G514" s="161">
        <f t="shared" si="20"/>
        <v>13388.62021</v>
      </c>
      <c r="H514" s="161">
        <f t="shared" si="21"/>
        <v>13683.11231</v>
      </c>
      <c r="I514" s="161">
        <f t="shared" si="22"/>
        <v>13836.83877</v>
      </c>
      <c r="J514" s="162">
        <f t="shared" si="8"/>
        <v>14088.90472</v>
      </c>
      <c r="K514" s="163">
        <f t="shared" si="23"/>
        <v>0.004781068438</v>
      </c>
      <c r="L514" s="163">
        <f t="shared" si="24"/>
        <v>0.005033403157</v>
      </c>
      <c r="M514" s="163">
        <f t="shared" si="25"/>
        <v>0.09616303229</v>
      </c>
      <c r="N514" s="163">
        <f t="shared" si="26"/>
        <v>-0.005831205273</v>
      </c>
      <c r="O514" s="164">
        <f t="shared" si="27"/>
        <v>-0.003702971562</v>
      </c>
      <c r="P514" s="164">
        <f t="shared" si="16"/>
        <v>0</v>
      </c>
      <c r="U514" s="168">
        <f t="shared" si="15"/>
        <v>1.559219485</v>
      </c>
    </row>
    <row r="515">
      <c r="A515" s="158">
        <v>45585.0</v>
      </c>
      <c r="B515" s="167">
        <v>13860.041464673672</v>
      </c>
      <c r="C515" s="160">
        <f t="shared" si="17"/>
        <v>11680.81613</v>
      </c>
      <c r="D515" s="160">
        <f t="shared" si="18"/>
        <v>2179.22534</v>
      </c>
      <c r="E515" s="161">
        <f t="shared" si="19"/>
        <v>13777.48834</v>
      </c>
      <c r="F515" s="161">
        <f t="shared" si="4"/>
        <v>13272.33991</v>
      </c>
      <c r="G515" s="161">
        <f t="shared" si="20"/>
        <v>13366.66733</v>
      </c>
      <c r="H515" s="161">
        <f t="shared" si="21"/>
        <v>13648.3475</v>
      </c>
      <c r="I515" s="161">
        <f t="shared" si="22"/>
        <v>13792.02519</v>
      </c>
      <c r="J515" s="162">
        <f t="shared" si="8"/>
        <v>14024.3551</v>
      </c>
      <c r="K515" s="163">
        <f t="shared" si="23"/>
        <v>0.001065791428</v>
      </c>
      <c r="L515" s="163">
        <f t="shared" si="24"/>
        <v>0.005038707707</v>
      </c>
      <c r="M515" s="163">
        <f t="shared" si="25"/>
        <v>0.09626437558</v>
      </c>
      <c r="N515" s="163">
        <f t="shared" si="26"/>
        <v>-0.005841436266</v>
      </c>
      <c r="O515" s="164">
        <f t="shared" si="27"/>
        <v>-0.003702971562</v>
      </c>
      <c r="P515" s="164">
        <f t="shared" si="16"/>
        <v>0</v>
      </c>
      <c r="U515" s="168">
        <f t="shared" si="15"/>
        <v>1.463811654</v>
      </c>
    </row>
    <row r="516">
      <c r="A516" s="158">
        <v>45584.0</v>
      </c>
      <c r="B516" s="167">
        <v>13845.277420382132</v>
      </c>
      <c r="C516" s="160">
        <f t="shared" si="17"/>
        <v>11673.80897</v>
      </c>
      <c r="D516" s="160">
        <f t="shared" si="18"/>
        <v>2171.468451</v>
      </c>
      <c r="E516" s="161">
        <f t="shared" si="19"/>
        <v>13762.29627</v>
      </c>
      <c r="F516" s="161">
        <f t="shared" si="4"/>
        <v>13265.20513</v>
      </c>
      <c r="G516" s="161">
        <f t="shared" si="20"/>
        <v>13346.52961</v>
      </c>
      <c r="H516" s="161">
        <f t="shared" si="21"/>
        <v>13618.10551</v>
      </c>
      <c r="I516" s="161">
        <f t="shared" si="22"/>
        <v>13758.01705</v>
      </c>
      <c r="J516" s="162">
        <f t="shared" si="8"/>
        <v>13971.00589</v>
      </c>
      <c r="K516" s="163">
        <f t="shared" si="23"/>
        <v>0.001066928551</v>
      </c>
      <c r="L516" s="163">
        <f t="shared" si="24"/>
        <v>0.005049455197</v>
      </c>
      <c r="M516" s="163">
        <f t="shared" si="25"/>
        <v>0.09646970608</v>
      </c>
      <c r="N516" s="163">
        <f t="shared" si="26"/>
        <v>-0.00585166726</v>
      </c>
      <c r="O516" s="164">
        <f t="shared" si="27"/>
        <v>-0.003702971562</v>
      </c>
      <c r="P516" s="164">
        <f t="shared" si="16"/>
        <v>0</v>
      </c>
      <c r="U516" s="168">
        <f t="shared" si="15"/>
        <v>1.673693199</v>
      </c>
    </row>
    <row r="517">
      <c r="A517" s="158">
        <v>45583.0</v>
      </c>
      <c r="B517" s="167">
        <v>13830.513376090594</v>
      </c>
      <c r="C517" s="160">
        <f t="shared" si="17"/>
        <v>11666.80423</v>
      </c>
      <c r="D517" s="160">
        <f t="shared" si="18"/>
        <v>2163.709143</v>
      </c>
      <c r="E517" s="161">
        <f t="shared" si="19"/>
        <v>13747.0999</v>
      </c>
      <c r="F517" s="161">
        <f t="shared" si="4"/>
        <v>13266.60464</v>
      </c>
      <c r="G517" s="161">
        <f t="shared" si="20"/>
        <v>13326.17255</v>
      </c>
      <c r="H517" s="161">
        <f t="shared" si="21"/>
        <v>13585.65238</v>
      </c>
      <c r="I517" s="161">
        <f t="shared" si="22"/>
        <v>13714.38687</v>
      </c>
      <c r="J517" s="162">
        <f t="shared" si="8"/>
        <v>13904.70012</v>
      </c>
      <c r="K517" s="163">
        <f t="shared" si="23"/>
        <v>0.004990355697</v>
      </c>
      <c r="L517" s="163">
        <f t="shared" si="24"/>
        <v>0.005060271883</v>
      </c>
      <c r="M517" s="163">
        <f t="shared" si="25"/>
        <v>0.09667635859</v>
      </c>
      <c r="N517" s="163">
        <f t="shared" si="26"/>
        <v>-0.005861898253</v>
      </c>
      <c r="O517" s="164">
        <f t="shared" si="27"/>
        <v>-0.003702971562</v>
      </c>
      <c r="P517" s="164">
        <f t="shared" si="16"/>
        <v>0</v>
      </c>
      <c r="U517" s="168">
        <f t="shared" si="15"/>
        <v>1.99543363</v>
      </c>
    </row>
    <row r="518">
      <c r="A518" s="158">
        <v>45582.0</v>
      </c>
      <c r="B518" s="167">
        <v>13761.666123887499</v>
      </c>
      <c r="C518" s="160">
        <f t="shared" si="17"/>
        <v>11659.80194</v>
      </c>
      <c r="D518" s="160">
        <f t="shared" si="18"/>
        <v>2101.864186</v>
      </c>
      <c r="E518" s="161">
        <f t="shared" si="19"/>
        <v>13731.89916</v>
      </c>
      <c r="F518" s="161">
        <f t="shared" si="4"/>
        <v>13274.48137</v>
      </c>
      <c r="G518" s="161">
        <f t="shared" si="20"/>
        <v>13305.58722</v>
      </c>
      <c r="H518" s="161">
        <f t="shared" si="21"/>
        <v>13550.67224</v>
      </c>
      <c r="I518" s="161">
        <f t="shared" si="22"/>
        <v>13656.32362</v>
      </c>
      <c r="J518" s="162">
        <f t="shared" si="8"/>
        <v>13826.8631</v>
      </c>
      <c r="K518" s="163">
        <f t="shared" si="23"/>
        <v>0.009370167402</v>
      </c>
      <c r="L518" s="163">
        <f t="shared" si="24"/>
        <v>0.00506502961</v>
      </c>
      <c r="M518" s="163">
        <f t="shared" si="25"/>
        <v>0.09676725483</v>
      </c>
      <c r="N518" s="163">
        <f t="shared" si="26"/>
        <v>-0.005872129247</v>
      </c>
      <c r="O518" s="164">
        <f t="shared" si="27"/>
        <v>-0.003702971562</v>
      </c>
      <c r="P518" s="164">
        <f t="shared" si="16"/>
        <v>0</v>
      </c>
      <c r="U518" s="168">
        <f t="shared" si="15"/>
        <v>1.986250005</v>
      </c>
    </row>
    <row r="519">
      <c r="A519" s="158">
        <v>45581.0</v>
      </c>
      <c r="B519" s="167">
        <v>13633.319263423786</v>
      </c>
      <c r="C519" s="160">
        <f t="shared" si="17"/>
        <v>11652.9777</v>
      </c>
      <c r="D519" s="160">
        <f t="shared" si="18"/>
        <v>1980.34156</v>
      </c>
      <c r="E519" s="161">
        <f t="shared" si="19"/>
        <v>13717.62245</v>
      </c>
      <c r="F519" s="161">
        <f t="shared" si="4"/>
        <v>13283.60026</v>
      </c>
      <c r="G519" s="161">
        <f t="shared" si="20"/>
        <v>13286.97175</v>
      </c>
      <c r="H519" s="161">
        <f t="shared" si="21"/>
        <v>13520.53025</v>
      </c>
      <c r="I519" s="161">
        <f t="shared" si="22"/>
        <v>13603.65236</v>
      </c>
      <c r="J519" s="162">
        <f t="shared" si="8"/>
        <v>13757.46025</v>
      </c>
      <c r="K519" s="163">
        <f t="shared" si="23"/>
        <v>0.003010045564</v>
      </c>
      <c r="L519" s="163">
        <f t="shared" si="24"/>
        <v>0.005047196984</v>
      </c>
      <c r="M519" s="163">
        <f t="shared" si="25"/>
        <v>0.09642656298</v>
      </c>
      <c r="N519" s="163">
        <f t="shared" si="26"/>
        <v>-0.00588236024</v>
      </c>
      <c r="O519" s="164">
        <f t="shared" si="27"/>
        <v>-0.003702971562</v>
      </c>
      <c r="P519" s="164">
        <f t="shared" si="16"/>
        <v>0</v>
      </c>
      <c r="U519" s="168">
        <f t="shared" si="15"/>
        <v>1.237713408</v>
      </c>
    </row>
    <row r="520">
      <c r="A520" s="158">
        <v>45580.0</v>
      </c>
      <c r="B520" s="167">
        <v>13592.344050817157</v>
      </c>
      <c r="C520" s="160">
        <f t="shared" si="17"/>
        <v>11646.52708</v>
      </c>
      <c r="D520" s="160">
        <f t="shared" si="18"/>
        <v>1945.816971</v>
      </c>
      <c r="E520" s="161">
        <f t="shared" si="19"/>
        <v>13705.31356</v>
      </c>
      <c r="F520" s="161">
        <f t="shared" si="4"/>
        <v>13274.54049</v>
      </c>
      <c r="G520" s="161">
        <f t="shared" si="20"/>
        <v>13272.83512</v>
      </c>
      <c r="H520" s="161">
        <f t="shared" si="21"/>
        <v>13504.41754</v>
      </c>
      <c r="I520" s="161">
        <f t="shared" si="22"/>
        <v>13588.81891</v>
      </c>
      <c r="J520" s="162">
        <f t="shared" si="8"/>
        <v>13734.29458</v>
      </c>
      <c r="K520" s="163">
        <f t="shared" si="23"/>
        <v>-0.002553664425</v>
      </c>
      <c r="L520" s="163">
        <f t="shared" si="24"/>
        <v>0.00505666079</v>
      </c>
      <c r="M520" s="163">
        <f t="shared" si="25"/>
        <v>0.09660736874</v>
      </c>
      <c r="N520" s="163">
        <f t="shared" si="26"/>
        <v>-0.005892591234</v>
      </c>
      <c r="O520" s="164">
        <f t="shared" si="27"/>
        <v>-0.003702971562</v>
      </c>
      <c r="P520" s="164">
        <f t="shared" si="16"/>
        <v>0.002550406597</v>
      </c>
      <c r="U520" s="168">
        <f t="shared" si="15"/>
        <v>0.9944835515</v>
      </c>
    </row>
    <row r="521">
      <c r="A521" s="158">
        <v>45579.0</v>
      </c>
      <c r="B521" s="167">
        <v>13627.098693226762</v>
      </c>
      <c r="C521" s="160">
        <f t="shared" si="17"/>
        <v>11640.1682</v>
      </c>
      <c r="D521" s="160">
        <f t="shared" si="18"/>
        <v>1986.930493</v>
      </c>
      <c r="E521" s="161">
        <f t="shared" si="19"/>
        <v>13693.49792</v>
      </c>
      <c r="F521" s="161">
        <f t="shared" si="4"/>
        <v>13245.06762</v>
      </c>
      <c r="G521" s="161">
        <f t="shared" si="20"/>
        <v>13259.79394</v>
      </c>
      <c r="H521" s="161">
        <f t="shared" si="21"/>
        <v>13491.8566</v>
      </c>
      <c r="I521" s="161">
        <f t="shared" si="22"/>
        <v>13587.05634</v>
      </c>
      <c r="J521" s="162">
        <f t="shared" si="8"/>
        <v>13738.64559</v>
      </c>
      <c r="K521" s="163">
        <f t="shared" si="23"/>
        <v>0.0009195102979</v>
      </c>
      <c r="L521" s="163">
        <f t="shared" si="24"/>
        <v>0.005061781843</v>
      </c>
      <c r="M521" s="163">
        <f t="shared" si="25"/>
        <v>0.09670520632</v>
      </c>
      <c r="N521" s="163">
        <f t="shared" si="26"/>
        <v>-0.005902822227</v>
      </c>
      <c r="O521" s="164">
        <f t="shared" si="27"/>
        <v>-0.003118458903</v>
      </c>
      <c r="P521" s="164">
        <f t="shared" si="16"/>
        <v>0</v>
      </c>
      <c r="U521" s="168">
        <f t="shared" si="15"/>
        <v>1.424818155</v>
      </c>
    </row>
    <row r="522">
      <c r="A522" s="158">
        <v>45578.0</v>
      </c>
      <c r="B522" s="167">
        <v>13614.574194732415</v>
      </c>
      <c r="C522" s="160">
        <f t="shared" si="17"/>
        <v>11633.65367</v>
      </c>
      <c r="D522" s="160">
        <f t="shared" si="18"/>
        <v>1980.920521</v>
      </c>
      <c r="E522" s="161">
        <f t="shared" si="19"/>
        <v>13680.8681</v>
      </c>
      <c r="F522" s="161">
        <f t="shared" si="4"/>
        <v>13248.58205</v>
      </c>
      <c r="G522" s="161">
        <f t="shared" si="20"/>
        <v>13244.8019</v>
      </c>
      <c r="H522" s="161">
        <f t="shared" si="21"/>
        <v>13472.53631</v>
      </c>
      <c r="I522" s="161">
        <f t="shared" si="22"/>
        <v>13567.03516</v>
      </c>
      <c r="J522" s="162">
        <f t="shared" si="8"/>
        <v>13696.49057</v>
      </c>
      <c r="K522" s="163">
        <f t="shared" si="23"/>
        <v>0.0009200723837</v>
      </c>
      <c r="L522" s="163">
        <f t="shared" si="24"/>
        <v>0.005072845767</v>
      </c>
      <c r="M522" s="163">
        <f t="shared" si="25"/>
        <v>0.0969165823</v>
      </c>
      <c r="N522" s="163">
        <f t="shared" si="26"/>
        <v>-0.005913053221</v>
      </c>
      <c r="O522" s="164">
        <f t="shared" si="27"/>
        <v>-0.003118458903</v>
      </c>
      <c r="P522" s="164">
        <f t="shared" si="16"/>
        <v>0</v>
      </c>
      <c r="U522" s="168">
        <f t="shared" si="15"/>
        <v>1.648990778</v>
      </c>
    </row>
    <row r="523">
      <c r="A523" s="158">
        <v>45577.0</v>
      </c>
      <c r="B523" s="167">
        <v>13602.053561827775</v>
      </c>
      <c r="C523" s="160">
        <f t="shared" si="17"/>
        <v>11627.13749</v>
      </c>
      <c r="D523" s="160">
        <f t="shared" si="18"/>
        <v>1974.916074</v>
      </c>
      <c r="E523" s="161">
        <f t="shared" si="19"/>
        <v>13668.23392</v>
      </c>
      <c r="F523" s="161">
        <f t="shared" si="4"/>
        <v>13254.48731</v>
      </c>
      <c r="G523" s="161">
        <f t="shared" si="20"/>
        <v>13229.70916</v>
      </c>
      <c r="H523" s="161">
        <f t="shared" si="21"/>
        <v>13452.24518</v>
      </c>
      <c r="I523" s="161">
        <f t="shared" si="22"/>
        <v>13543.26565</v>
      </c>
      <c r="J523" s="162">
        <f t="shared" si="8"/>
        <v>13650.00305</v>
      </c>
      <c r="K523" s="163">
        <f t="shared" si="23"/>
        <v>0.0009206355256</v>
      </c>
      <c r="L523" s="163">
        <f t="shared" si="24"/>
        <v>0.005083982677</v>
      </c>
      <c r="M523" s="163">
        <f t="shared" si="25"/>
        <v>0.09712935266</v>
      </c>
      <c r="N523" s="163">
        <f t="shared" si="26"/>
        <v>-0.005923284215</v>
      </c>
      <c r="O523" s="164">
        <f t="shared" si="27"/>
        <v>-0.00428895294</v>
      </c>
      <c r="P523" s="164">
        <f t="shared" si="16"/>
        <v>0</v>
      </c>
      <c r="U523" s="168">
        <f t="shared" si="15"/>
        <v>1.969589307</v>
      </c>
    </row>
    <row r="524">
      <c r="A524" s="158">
        <v>45576.0</v>
      </c>
      <c r="B524" s="167">
        <v>13589.536790674136</v>
      </c>
      <c r="C524" s="160">
        <f t="shared" si="17"/>
        <v>11620.61961</v>
      </c>
      <c r="D524" s="160">
        <f t="shared" si="18"/>
        <v>1968.917177</v>
      </c>
      <c r="E524" s="161">
        <f t="shared" si="19"/>
        <v>13655.59522</v>
      </c>
      <c r="F524" s="161">
        <f t="shared" si="4"/>
        <v>13264.23322</v>
      </c>
      <c r="G524" s="161">
        <f t="shared" si="20"/>
        <v>13214.51143</v>
      </c>
      <c r="H524" s="161">
        <f t="shared" si="21"/>
        <v>13430.84398</v>
      </c>
      <c r="I524" s="161">
        <f t="shared" si="22"/>
        <v>13513.87169</v>
      </c>
      <c r="J524" s="162">
        <f t="shared" si="8"/>
        <v>13597.45475</v>
      </c>
      <c r="K524" s="163">
        <f t="shared" si="23"/>
        <v>0.004938516164</v>
      </c>
      <c r="L524" s="163">
        <f t="shared" si="24"/>
        <v>0.005095193377</v>
      </c>
      <c r="M524" s="163">
        <f t="shared" si="25"/>
        <v>0.09734353279</v>
      </c>
      <c r="N524" s="163">
        <f t="shared" si="26"/>
        <v>-0.005933515208</v>
      </c>
      <c r="O524" s="164">
        <f t="shared" si="27"/>
        <v>-0.00428895294</v>
      </c>
      <c r="P524" s="164">
        <f t="shared" si="16"/>
        <v>0</v>
      </c>
      <c r="U524" s="168">
        <f t="shared" si="15"/>
        <v>2.476438428</v>
      </c>
    </row>
    <row r="525">
      <c r="A525" s="158">
        <v>45575.0</v>
      </c>
      <c r="B525" s="167">
        <v>13522.590088327046</v>
      </c>
      <c r="C525" s="160">
        <f t="shared" si="17"/>
        <v>11614.10002</v>
      </c>
      <c r="D525" s="160">
        <f t="shared" si="18"/>
        <v>1908.490068</v>
      </c>
      <c r="E525" s="161">
        <f t="shared" si="19"/>
        <v>13642.9518</v>
      </c>
      <c r="F525" s="161">
        <f t="shared" si="4"/>
        <v>13282.89144</v>
      </c>
      <c r="G525" s="161">
        <f t="shared" si="20"/>
        <v>13199.20427</v>
      </c>
      <c r="H525" s="161">
        <f t="shared" si="21"/>
        <v>13408.17358</v>
      </c>
      <c r="I525" s="161">
        <f t="shared" si="22"/>
        <v>13476.03914</v>
      </c>
      <c r="J525" s="162">
        <f t="shared" si="8"/>
        <v>13533.45572</v>
      </c>
      <c r="K525" s="163">
        <f t="shared" si="23"/>
        <v>0.002274406765</v>
      </c>
      <c r="L525" s="163">
        <f t="shared" si="24"/>
        <v>0.005100256935</v>
      </c>
      <c r="M525" s="163">
        <f t="shared" si="25"/>
        <v>0.09744027193</v>
      </c>
      <c r="N525" s="163">
        <f t="shared" si="26"/>
        <v>-0.005943746202</v>
      </c>
      <c r="O525" s="164">
        <f t="shared" si="27"/>
        <v>-0.00428895294</v>
      </c>
      <c r="P525" s="164">
        <f t="shared" si="16"/>
        <v>0</v>
      </c>
      <c r="U525" s="168">
        <f t="shared" si="15"/>
        <v>2.37450374</v>
      </c>
    </row>
    <row r="526">
      <c r="A526" s="158">
        <v>45574.0</v>
      </c>
      <c r="B526" s="167">
        <v>13491.86916712295</v>
      </c>
      <c r="C526" s="160">
        <f t="shared" si="17"/>
        <v>11607.75952</v>
      </c>
      <c r="D526" s="160">
        <f t="shared" si="18"/>
        <v>1884.109646</v>
      </c>
      <c r="E526" s="161">
        <f t="shared" si="19"/>
        <v>13631.26693</v>
      </c>
      <c r="F526" s="161">
        <f t="shared" si="4"/>
        <v>13269.03882</v>
      </c>
      <c r="G526" s="161">
        <f t="shared" si="20"/>
        <v>13186.00485</v>
      </c>
      <c r="H526" s="161">
        <f t="shared" si="21"/>
        <v>13391.82837</v>
      </c>
      <c r="I526" s="161">
        <f t="shared" si="22"/>
        <v>13452.76367</v>
      </c>
      <c r="J526" s="162">
        <f t="shared" si="8"/>
        <v>13514.61792</v>
      </c>
      <c r="K526" s="163">
        <f t="shared" si="23"/>
        <v>0.004162470058</v>
      </c>
      <c r="L526" s="163">
        <f t="shared" si="24"/>
        <v>0.005111066887</v>
      </c>
      <c r="M526" s="163">
        <f t="shared" si="25"/>
        <v>0.09764679578</v>
      </c>
      <c r="N526" s="163">
        <f t="shared" si="26"/>
        <v>-0.005953977195</v>
      </c>
      <c r="O526" s="164">
        <f t="shared" si="27"/>
        <v>-0.00428895294</v>
      </c>
      <c r="P526" s="164">
        <f t="shared" si="16"/>
        <v>0</v>
      </c>
      <c r="U526" s="168">
        <f t="shared" si="15"/>
        <v>2.118307979</v>
      </c>
    </row>
    <row r="527">
      <c r="A527" s="158">
        <v>45573.0</v>
      </c>
      <c r="B527" s="167">
        <v>13435.826384803417</v>
      </c>
      <c r="C527" s="160">
        <f t="shared" si="17"/>
        <v>11601.47916</v>
      </c>
      <c r="D527" s="160">
        <f t="shared" si="18"/>
        <v>1834.347229</v>
      </c>
      <c r="E527" s="161">
        <f t="shared" si="19"/>
        <v>13619.91575</v>
      </c>
      <c r="F527" s="161">
        <f t="shared" si="4"/>
        <v>13269.57659</v>
      </c>
      <c r="G527" s="161">
        <f t="shared" si="20"/>
        <v>13173.52059</v>
      </c>
      <c r="H527" s="161">
        <f t="shared" si="21"/>
        <v>13377.53682</v>
      </c>
      <c r="I527" s="161">
        <f t="shared" si="22"/>
        <v>13433.21092</v>
      </c>
      <c r="J527" s="162">
        <f t="shared" si="8"/>
        <v>13485.49705</v>
      </c>
      <c r="K527" s="163">
        <f t="shared" si="23"/>
        <v>-0.001254747404</v>
      </c>
      <c r="L527" s="163">
        <f t="shared" si="24"/>
        <v>0.005118489452</v>
      </c>
      <c r="M527" s="163">
        <f t="shared" si="25"/>
        <v>0.09778860368</v>
      </c>
      <c r="N527" s="163">
        <f t="shared" si="26"/>
        <v>-0.005964208189</v>
      </c>
      <c r="O527" s="164">
        <f t="shared" si="27"/>
        <v>-0.00428895294</v>
      </c>
      <c r="P527" s="164">
        <f t="shared" si="16"/>
        <v>0.001253960538</v>
      </c>
      <c r="U527" s="168">
        <f t="shared" si="15"/>
        <v>1.403784194</v>
      </c>
    </row>
    <row r="528">
      <c r="A528" s="158">
        <v>45572.0</v>
      </c>
      <c r="B528" s="167">
        <v>13452.695534128516</v>
      </c>
      <c r="C528" s="160">
        <f t="shared" si="17"/>
        <v>11595.34422</v>
      </c>
      <c r="D528" s="160">
        <f t="shared" si="18"/>
        <v>1857.351319</v>
      </c>
      <c r="E528" s="161">
        <f t="shared" si="19"/>
        <v>13609.3571</v>
      </c>
      <c r="F528" s="161">
        <f t="shared" si="4"/>
        <v>13250.43725</v>
      </c>
      <c r="G528" s="161">
        <f t="shared" si="20"/>
        <v>13162.81423</v>
      </c>
      <c r="H528" s="161">
        <f t="shared" si="21"/>
        <v>13369.20974</v>
      </c>
      <c r="I528" s="161">
        <f t="shared" si="22"/>
        <v>13431.90318</v>
      </c>
      <c r="J528" s="162">
        <f t="shared" si="8"/>
        <v>13487.98223</v>
      </c>
      <c r="K528" s="163">
        <f t="shared" si="23"/>
        <v>0.0004303305999</v>
      </c>
      <c r="L528" s="163">
        <f t="shared" si="24"/>
        <v>0.005127508436</v>
      </c>
      <c r="M528" s="163">
        <f t="shared" si="25"/>
        <v>0.09796091113</v>
      </c>
      <c r="N528" s="163">
        <f t="shared" si="26"/>
        <v>-0.005974439182</v>
      </c>
      <c r="O528" s="164">
        <f t="shared" si="27"/>
        <v>-0.00428895294</v>
      </c>
      <c r="P528" s="164">
        <f t="shared" si="16"/>
        <v>0</v>
      </c>
      <c r="U528" s="168">
        <f t="shared" si="15"/>
        <v>1.827553306</v>
      </c>
    </row>
    <row r="529">
      <c r="A529" s="158">
        <v>45571.0</v>
      </c>
      <c r="B529" s="167">
        <v>13446.907673025677</v>
      </c>
      <c r="C529" s="160">
        <f t="shared" si="17"/>
        <v>11589.11149</v>
      </c>
      <c r="D529" s="160">
        <f t="shared" si="18"/>
        <v>1857.79618</v>
      </c>
      <c r="E529" s="161">
        <f t="shared" si="19"/>
        <v>13598.2991</v>
      </c>
      <c r="F529" s="161">
        <f t="shared" si="4"/>
        <v>13211.12436</v>
      </c>
      <c r="G529" s="161">
        <f t="shared" si="20"/>
        <v>13150.98234</v>
      </c>
      <c r="H529" s="161">
        <f t="shared" si="21"/>
        <v>13357.2832</v>
      </c>
      <c r="I529" s="161">
        <f t="shared" si="22"/>
        <v>13421.50701</v>
      </c>
      <c r="J529" s="162">
        <f t="shared" si="8"/>
        <v>13503.44204</v>
      </c>
      <c r="K529" s="163">
        <f t="shared" si="23"/>
        <v>0.0009330046922</v>
      </c>
      <c r="L529" s="163">
        <f t="shared" si="24"/>
        <v>0.005138876596</v>
      </c>
      <c r="M529" s="163">
        <f t="shared" si="25"/>
        <v>0.09817809951</v>
      </c>
      <c r="N529" s="163">
        <f t="shared" si="26"/>
        <v>-0.005984670176</v>
      </c>
      <c r="O529" s="164">
        <f t="shared" si="27"/>
        <v>-0.00428895294</v>
      </c>
      <c r="P529" s="164">
        <f t="shared" si="16"/>
        <v>0</v>
      </c>
      <c r="U529" s="168">
        <f t="shared" si="15"/>
        <v>1.59431768</v>
      </c>
    </row>
    <row r="530">
      <c r="A530" s="158">
        <v>45570.0</v>
      </c>
      <c r="B530" s="167">
        <v>13434.367496002626</v>
      </c>
      <c r="C530" s="160">
        <f t="shared" si="17"/>
        <v>11582.85629</v>
      </c>
      <c r="D530" s="160">
        <f t="shared" si="18"/>
        <v>1851.511209</v>
      </c>
      <c r="E530" s="161">
        <f t="shared" si="19"/>
        <v>13587.13981</v>
      </c>
      <c r="F530" s="161">
        <f t="shared" si="4"/>
        <v>13177.6737</v>
      </c>
      <c r="G530" s="161">
        <f t="shared" si="20"/>
        <v>13138.90376</v>
      </c>
      <c r="H530" s="161">
        <f t="shared" si="21"/>
        <v>13344.4797</v>
      </c>
      <c r="I530" s="161">
        <f t="shared" si="22"/>
        <v>13408.80667</v>
      </c>
      <c r="J530" s="162">
        <f t="shared" si="8"/>
        <v>13511.28571</v>
      </c>
      <c r="K530" s="163">
        <f t="shared" si="23"/>
        <v>0.0009336034308</v>
      </c>
      <c r="L530" s="163">
        <f t="shared" si="24"/>
        <v>0.005150524004</v>
      </c>
      <c r="M530" s="163">
        <f t="shared" si="25"/>
        <v>0.09840062294</v>
      </c>
      <c r="N530" s="163">
        <f t="shared" si="26"/>
        <v>-0.005994901169</v>
      </c>
      <c r="O530" s="164">
        <f t="shared" si="27"/>
        <v>-0.006178583237</v>
      </c>
      <c r="P530" s="164">
        <f t="shared" si="16"/>
        <v>0</v>
      </c>
      <c r="U530" s="168">
        <f t="shared" si="15"/>
        <v>1.401078176</v>
      </c>
    </row>
    <row r="531">
      <c r="A531" s="158">
        <v>45569.0</v>
      </c>
      <c r="B531" s="167">
        <v>13421.830977397125</v>
      </c>
      <c r="C531" s="160">
        <f t="shared" si="17"/>
        <v>11576.60118</v>
      </c>
      <c r="D531" s="160">
        <f t="shared" si="18"/>
        <v>1845.229796</v>
      </c>
      <c r="E531" s="161">
        <f t="shared" si="19"/>
        <v>13575.99934</v>
      </c>
      <c r="F531" s="161">
        <f t="shared" si="4"/>
        <v>13147.48016</v>
      </c>
      <c r="G531" s="161">
        <f t="shared" si="20"/>
        <v>13126.84401</v>
      </c>
      <c r="H531" s="161">
        <f t="shared" si="21"/>
        <v>13331.63859</v>
      </c>
      <c r="I531" s="161">
        <f t="shared" si="22"/>
        <v>13396.02626</v>
      </c>
      <c r="J531" s="162">
        <f t="shared" si="8"/>
        <v>13515.79702</v>
      </c>
      <c r="K531" s="163">
        <f t="shared" si="23"/>
        <v>0.002636069686</v>
      </c>
      <c r="L531" s="163">
        <f t="shared" si="24"/>
        <v>0.005162251081</v>
      </c>
      <c r="M531" s="163">
        <f t="shared" si="25"/>
        <v>0.09862466842</v>
      </c>
      <c r="N531" s="163">
        <f t="shared" si="26"/>
        <v>-0.005997266535</v>
      </c>
      <c r="O531" s="164">
        <f t="shared" si="27"/>
        <v>-0.006178583237</v>
      </c>
      <c r="P531" s="164">
        <f t="shared" si="16"/>
        <v>0</v>
      </c>
      <c r="U531" s="168">
        <f t="shared" si="15"/>
        <v>1.273361206</v>
      </c>
    </row>
    <row r="532">
      <c r="A532" s="158">
        <v>45568.0</v>
      </c>
      <c r="B532" s="167">
        <v>13386.496687912779</v>
      </c>
      <c r="C532" s="160">
        <f t="shared" si="17"/>
        <v>11570.34617</v>
      </c>
      <c r="D532" s="160">
        <f t="shared" si="18"/>
        <v>1816.150523</v>
      </c>
      <c r="E532" s="161">
        <f t="shared" si="19"/>
        <v>13564.87798</v>
      </c>
      <c r="F532" s="161">
        <f t="shared" si="4"/>
        <v>13104.09549</v>
      </c>
      <c r="G532" s="161">
        <f t="shared" si="20"/>
        <v>13114.80373</v>
      </c>
      <c r="H532" s="161">
        <f t="shared" si="21"/>
        <v>13318.75397</v>
      </c>
      <c r="I532" s="161">
        <f t="shared" si="22"/>
        <v>13383.1239</v>
      </c>
      <c r="J532" s="162">
        <f t="shared" si="8"/>
        <v>13533.41244</v>
      </c>
      <c r="K532" s="163">
        <f t="shared" si="23"/>
        <v>-0.0007670620647</v>
      </c>
      <c r="L532" s="163">
        <f t="shared" si="24"/>
        <v>0.00517308049</v>
      </c>
      <c r="M532" s="163">
        <f t="shared" si="25"/>
        <v>0.09883156399</v>
      </c>
      <c r="N532" s="163">
        <f t="shared" si="26"/>
        <v>-0.0059996319</v>
      </c>
      <c r="O532" s="164">
        <f t="shared" si="27"/>
        <v>-0.006178583237</v>
      </c>
      <c r="P532" s="164">
        <f t="shared" si="16"/>
        <v>0.002249710355</v>
      </c>
      <c r="U532" s="168">
        <f t="shared" si="15"/>
        <v>0.8205177231</v>
      </c>
    </row>
    <row r="533">
      <c r="A533" s="158">
        <v>45567.0</v>
      </c>
      <c r="B533" s="167">
        <v>13396.768900910445</v>
      </c>
      <c r="C533" s="160">
        <f t="shared" si="17"/>
        <v>11564.16878</v>
      </c>
      <c r="D533" s="160">
        <f t="shared" si="18"/>
        <v>1832.600118</v>
      </c>
      <c r="E533" s="161">
        <f t="shared" si="19"/>
        <v>13554.19246</v>
      </c>
      <c r="F533" s="161">
        <f t="shared" si="4"/>
        <v>13034.90289</v>
      </c>
      <c r="G533" s="161">
        <f t="shared" si="20"/>
        <v>13103.71422</v>
      </c>
      <c r="H533" s="161">
        <f t="shared" si="21"/>
        <v>13309.07643</v>
      </c>
      <c r="I533" s="161">
        <f t="shared" si="22"/>
        <v>13381.43751</v>
      </c>
      <c r="J533" s="162">
        <f t="shared" si="8"/>
        <v>13583.24998</v>
      </c>
      <c r="K533" s="163">
        <f t="shared" si="23"/>
        <v>-0.0002523004991</v>
      </c>
      <c r="L533" s="163">
        <f t="shared" si="24"/>
        <v>0.005183374442</v>
      </c>
      <c r="M533" s="163">
        <f t="shared" si="25"/>
        <v>0.09902822966</v>
      </c>
      <c r="N533" s="163">
        <f t="shared" si="26"/>
        <v>-0.006001997265</v>
      </c>
      <c r="O533" s="164">
        <f t="shared" si="27"/>
        <v>-0.006178583237</v>
      </c>
      <c r="P533" s="164">
        <f t="shared" si="16"/>
        <v>0.001484080353</v>
      </c>
      <c r="U533" s="168">
        <f t="shared" si="15"/>
        <v>0.8315915913</v>
      </c>
    </row>
    <row r="534">
      <c r="A534" s="158">
        <v>45566.0</v>
      </c>
      <c r="B534" s="167">
        <v>13400.149338815678</v>
      </c>
      <c r="C534" s="160">
        <f t="shared" si="17"/>
        <v>11557.91417</v>
      </c>
      <c r="D534" s="160">
        <f t="shared" si="18"/>
        <v>1842.235164</v>
      </c>
      <c r="E534" s="161">
        <f t="shared" si="19"/>
        <v>13543.11492</v>
      </c>
      <c r="F534" s="161">
        <f t="shared" si="4"/>
        <v>12984.13426</v>
      </c>
      <c r="G534" s="161">
        <f t="shared" si="20"/>
        <v>13091.7528</v>
      </c>
      <c r="H534" s="161">
        <f t="shared" si="21"/>
        <v>13296.54894</v>
      </c>
      <c r="I534" s="161">
        <f t="shared" si="22"/>
        <v>13373.77181</v>
      </c>
      <c r="J534" s="162">
        <f t="shared" si="8"/>
        <v>13608.96361</v>
      </c>
      <c r="K534" s="163">
        <f t="shared" si="23"/>
        <v>0.006201830613</v>
      </c>
      <c r="L534" s="163">
        <f t="shared" si="24"/>
        <v>0.005194489288</v>
      </c>
      <c r="M534" s="163">
        <f t="shared" si="25"/>
        <v>0.09924057851</v>
      </c>
      <c r="N534" s="163">
        <f t="shared" si="26"/>
        <v>-0.00600436263</v>
      </c>
      <c r="O534" s="164">
        <f t="shared" si="27"/>
        <v>-0.006178583237</v>
      </c>
      <c r="P534" s="164">
        <f t="shared" si="16"/>
        <v>0.001232122505</v>
      </c>
      <c r="U534" s="168">
        <f t="shared" si="15"/>
        <v>0.8621907521</v>
      </c>
    </row>
    <row r="535">
      <c r="A535" s="158">
        <v>45565.0</v>
      </c>
      <c r="B535" s="167">
        <v>13317.301053493202</v>
      </c>
      <c r="C535" s="160">
        <f t="shared" si="17"/>
        <v>11551.60515</v>
      </c>
      <c r="D535" s="160">
        <f t="shared" si="18"/>
        <v>1765.695903</v>
      </c>
      <c r="E535" s="161">
        <f t="shared" si="19"/>
        <v>13531.76421</v>
      </c>
      <c r="F535" s="161">
        <f t="shared" si="4"/>
        <v>12942.9205</v>
      </c>
      <c r="G535" s="161">
        <f t="shared" si="20"/>
        <v>13079.16519</v>
      </c>
      <c r="H535" s="161">
        <f t="shared" si="21"/>
        <v>13281.74888</v>
      </c>
      <c r="I535" s="161">
        <f t="shared" si="22"/>
        <v>13360.58305</v>
      </c>
      <c r="J535" s="162">
        <f t="shared" si="8"/>
        <v>13620.57726</v>
      </c>
      <c r="K535" s="163">
        <f t="shared" si="23"/>
        <v>-0.007434712805</v>
      </c>
      <c r="L535" s="163">
        <f t="shared" si="24"/>
        <v>0.005195082135</v>
      </c>
      <c r="M535" s="163">
        <f t="shared" si="25"/>
        <v>0.09925190483</v>
      </c>
      <c r="N535" s="163">
        <f t="shared" si="26"/>
        <v>-0.006006727996</v>
      </c>
      <c r="O535" s="164">
        <f t="shared" si="27"/>
        <v>-0.006178583237</v>
      </c>
      <c r="P535" s="164">
        <f t="shared" si="16"/>
        <v>0.007407143693</v>
      </c>
      <c r="U535" s="168">
        <f t="shared" si="15"/>
        <v>0.2728096412</v>
      </c>
    </row>
    <row r="536">
      <c r="A536" s="158">
        <v>45564.0</v>
      </c>
      <c r="B536" s="167">
        <v>13416.68033259342</v>
      </c>
      <c r="C536" s="160">
        <f t="shared" si="17"/>
        <v>11545.53747</v>
      </c>
      <c r="D536" s="160">
        <f t="shared" si="18"/>
        <v>1871.142866</v>
      </c>
      <c r="E536" s="161">
        <f t="shared" si="19"/>
        <v>13521.73144</v>
      </c>
      <c r="F536" s="161">
        <f t="shared" si="4"/>
        <v>12902.52867</v>
      </c>
      <c r="G536" s="161">
        <f t="shared" si="20"/>
        <v>13069.44536</v>
      </c>
      <c r="H536" s="161">
        <f t="shared" si="21"/>
        <v>13276.67</v>
      </c>
      <c r="I536" s="161">
        <f t="shared" si="22"/>
        <v>13382.22405</v>
      </c>
      <c r="J536" s="162">
        <f t="shared" si="8"/>
        <v>13650.81133</v>
      </c>
      <c r="K536" s="163">
        <f t="shared" si="23"/>
        <v>0.0009470648098</v>
      </c>
      <c r="L536" s="163">
        <f t="shared" si="24"/>
        <v>0.005174074709</v>
      </c>
      <c r="M536" s="163">
        <f t="shared" si="25"/>
        <v>0.09885055852</v>
      </c>
      <c r="N536" s="163">
        <f t="shared" si="26"/>
        <v>-0.00585166726</v>
      </c>
      <c r="O536" s="164">
        <f t="shared" si="27"/>
        <v>-0.00428895294</v>
      </c>
      <c r="P536" s="164">
        <f t="shared" si="16"/>
        <v>0</v>
      </c>
      <c r="U536" s="168">
        <f t="shared" si="15"/>
        <v>0.9729661983</v>
      </c>
    </row>
    <row r="537">
      <c r="A537" s="158">
        <v>45563.0</v>
      </c>
      <c r="B537" s="167">
        <v>13403.979881810401</v>
      </c>
      <c r="C537" s="160">
        <f t="shared" si="17"/>
        <v>11539.08525</v>
      </c>
      <c r="D537" s="160">
        <f t="shared" si="18"/>
        <v>1864.894632</v>
      </c>
      <c r="E537" s="161">
        <f t="shared" si="19"/>
        <v>13509.65386</v>
      </c>
      <c r="F537" s="161">
        <f t="shared" si="4"/>
        <v>12879.54991</v>
      </c>
      <c r="G537" s="161">
        <f t="shared" si="20"/>
        <v>13055.2725</v>
      </c>
      <c r="H537" s="161">
        <f t="shared" si="21"/>
        <v>13256.66852</v>
      </c>
      <c r="I537" s="161">
        <f t="shared" si="22"/>
        <v>13364.9959</v>
      </c>
      <c r="J537" s="162">
        <f t="shared" si="8"/>
        <v>13633.78714</v>
      </c>
      <c r="K537" s="163">
        <f t="shared" si="23"/>
        <v>0.0009476775126</v>
      </c>
      <c r="L537" s="163">
        <f t="shared" si="24"/>
        <v>0.0051861847</v>
      </c>
      <c r="M537" s="163">
        <f t="shared" si="25"/>
        <v>0.09908191958</v>
      </c>
      <c r="N537" s="163">
        <f t="shared" si="26"/>
        <v>-0.005861898253</v>
      </c>
      <c r="O537" s="164">
        <f t="shared" si="27"/>
        <v>-0.00428895294</v>
      </c>
      <c r="P537" s="164">
        <f t="shared" si="16"/>
        <v>0</v>
      </c>
      <c r="U537" s="168">
        <f t="shared" si="15"/>
        <v>1.01562086</v>
      </c>
    </row>
    <row r="538">
      <c r="A538" s="158">
        <v>45562.0</v>
      </c>
      <c r="B538" s="167">
        <v>13391.283248604263</v>
      </c>
      <c r="C538" s="160">
        <f t="shared" si="17"/>
        <v>11532.63233</v>
      </c>
      <c r="D538" s="160">
        <f t="shared" si="18"/>
        <v>1858.650921</v>
      </c>
      <c r="E538" s="161">
        <f t="shared" si="19"/>
        <v>13497.58335</v>
      </c>
      <c r="F538" s="161">
        <f t="shared" si="4"/>
        <v>12862.48747</v>
      </c>
      <c r="G538" s="161">
        <f t="shared" si="20"/>
        <v>13041.03955</v>
      </c>
      <c r="H538" s="161">
        <f t="shared" si="21"/>
        <v>13235.62404</v>
      </c>
      <c r="I538" s="161">
        <f t="shared" si="22"/>
        <v>13345.50391</v>
      </c>
      <c r="J538" s="162">
        <f t="shared" si="8"/>
        <v>13608.76062</v>
      </c>
      <c r="K538" s="163">
        <f t="shared" si="23"/>
        <v>0.00006145540525</v>
      </c>
      <c r="L538" s="163">
        <f t="shared" si="24"/>
        <v>0.005198380245</v>
      </c>
      <c r="M538" s="163">
        <f t="shared" si="25"/>
        <v>0.09931491512</v>
      </c>
      <c r="N538" s="163">
        <f t="shared" si="26"/>
        <v>-0.005872129247</v>
      </c>
      <c r="O538" s="164">
        <f t="shared" si="27"/>
        <v>-0.00428895294</v>
      </c>
      <c r="P538" s="164">
        <f t="shared" si="16"/>
        <v>0</v>
      </c>
      <c r="U538" s="168">
        <f t="shared" si="15"/>
        <v>1.084626822</v>
      </c>
    </row>
    <row r="539">
      <c r="A539" s="158">
        <v>45561.0</v>
      </c>
      <c r="B539" s="167">
        <v>13390.460307152784</v>
      </c>
      <c r="C539" s="160">
        <f t="shared" si="17"/>
        <v>11526.17868</v>
      </c>
      <c r="D539" s="160">
        <f t="shared" si="18"/>
        <v>1864.281629</v>
      </c>
      <c r="E539" s="161">
        <f t="shared" si="19"/>
        <v>13485.51997</v>
      </c>
      <c r="F539" s="161">
        <f t="shared" si="4"/>
        <v>12861.88589</v>
      </c>
      <c r="G539" s="161">
        <f t="shared" si="20"/>
        <v>13026.74389</v>
      </c>
      <c r="H539" s="161">
        <f t="shared" si="21"/>
        <v>13213.38701</v>
      </c>
      <c r="I539" s="161">
        <f t="shared" si="22"/>
        <v>13322.61424</v>
      </c>
      <c r="J539" s="162">
        <f t="shared" si="8"/>
        <v>13564.88814</v>
      </c>
      <c r="K539" s="163">
        <f t="shared" si="23"/>
        <v>0.005986338453</v>
      </c>
      <c r="L539" s="163">
        <f t="shared" si="24"/>
        <v>0.005210126086</v>
      </c>
      <c r="M539" s="163">
        <f t="shared" si="25"/>
        <v>0.09953931912</v>
      </c>
      <c r="N539" s="163">
        <f t="shared" si="26"/>
        <v>-0.00588236024</v>
      </c>
      <c r="O539" s="164">
        <f t="shared" si="27"/>
        <v>-0.004673224888</v>
      </c>
      <c r="P539" s="164">
        <f t="shared" si="16"/>
        <v>0</v>
      </c>
      <c r="U539" s="168">
        <f t="shared" si="15"/>
        <v>1.309784033</v>
      </c>
    </row>
    <row r="540">
      <c r="A540" s="158">
        <v>45560.0</v>
      </c>
      <c r="B540" s="167">
        <v>13310.539933583606</v>
      </c>
      <c r="C540" s="160">
        <f t="shared" si="17"/>
        <v>11519.68292</v>
      </c>
      <c r="D540" s="160">
        <f t="shared" si="18"/>
        <v>1790.85701</v>
      </c>
      <c r="E540" s="161">
        <f t="shared" si="19"/>
        <v>13473.23979</v>
      </c>
      <c r="F540" s="161">
        <f t="shared" si="4"/>
        <v>12860.91231</v>
      </c>
      <c r="G540" s="161">
        <f t="shared" si="20"/>
        <v>13011.89832</v>
      </c>
      <c r="H540" s="161">
        <f t="shared" si="21"/>
        <v>13188.09083</v>
      </c>
      <c r="I540" s="161">
        <f t="shared" si="22"/>
        <v>13288.69121</v>
      </c>
      <c r="J540" s="162">
        <f t="shared" si="8"/>
        <v>13515.26935</v>
      </c>
      <c r="K540" s="163">
        <f t="shared" si="23"/>
        <v>-0.004643313766</v>
      </c>
      <c r="L540" s="163">
        <f t="shared" si="24"/>
        <v>0.005211887669</v>
      </c>
      <c r="M540" s="163">
        <f t="shared" si="25"/>
        <v>0.0995729741</v>
      </c>
      <c r="N540" s="163">
        <f t="shared" si="26"/>
        <v>-0.005892591234</v>
      </c>
      <c r="O540" s="164">
        <f t="shared" si="27"/>
        <v>-0.004673224888</v>
      </c>
      <c r="P540" s="164">
        <f t="shared" si="16"/>
        <v>0.00463255025</v>
      </c>
      <c r="U540" s="168">
        <f t="shared" si="15"/>
        <v>0.973070207</v>
      </c>
    </row>
    <row r="541">
      <c r="A541" s="158">
        <v>45559.0</v>
      </c>
      <c r="B541" s="167">
        <v>13372.488659267214</v>
      </c>
      <c r="C541" s="160">
        <f t="shared" si="17"/>
        <v>11513.42119</v>
      </c>
      <c r="D541" s="160">
        <f t="shared" si="18"/>
        <v>1859.067474</v>
      </c>
      <c r="E541" s="161">
        <f t="shared" si="19"/>
        <v>13462.23764</v>
      </c>
      <c r="F541" s="161">
        <f t="shared" si="4"/>
        <v>12860.64414</v>
      </c>
      <c r="G541" s="161">
        <f t="shared" si="20"/>
        <v>12999.70887</v>
      </c>
      <c r="H541" s="161">
        <f t="shared" si="21"/>
        <v>13170.5981</v>
      </c>
      <c r="I541" s="161">
        <f t="shared" si="22"/>
        <v>13277.76685</v>
      </c>
      <c r="J541" s="162">
        <f t="shared" si="8"/>
        <v>13480.55206</v>
      </c>
      <c r="K541" s="163">
        <f t="shared" si="23"/>
        <v>0.004536363108</v>
      </c>
      <c r="L541" s="163">
        <f t="shared" si="24"/>
        <v>0.00520888195</v>
      </c>
      <c r="M541" s="163">
        <f t="shared" si="25"/>
        <v>0.09951554992</v>
      </c>
      <c r="N541" s="163">
        <f t="shared" si="26"/>
        <v>-0.005902822227</v>
      </c>
      <c r="O541" s="164">
        <f t="shared" si="27"/>
        <v>-0.004318864063</v>
      </c>
      <c r="P541" s="164">
        <f t="shared" si="16"/>
        <v>0</v>
      </c>
      <c r="U541" s="168">
        <f t="shared" si="15"/>
        <v>1.693527169</v>
      </c>
    </row>
    <row r="542">
      <c r="A542" s="158">
        <v>45558.0</v>
      </c>
      <c r="B542" s="167">
        <v>13311.96358071601</v>
      </c>
      <c r="C542" s="160">
        <f t="shared" si="17"/>
        <v>11506.89814</v>
      </c>
      <c r="D542" s="160">
        <f t="shared" si="18"/>
        <v>1805.065439</v>
      </c>
      <c r="E542" s="161">
        <f t="shared" si="19"/>
        <v>13449.83861</v>
      </c>
      <c r="F542" s="161">
        <f t="shared" si="4"/>
        <v>12886.64143</v>
      </c>
      <c r="G542" s="161">
        <f t="shared" si="20"/>
        <v>12984.49336</v>
      </c>
      <c r="H542" s="161">
        <f t="shared" si="21"/>
        <v>13141.75659</v>
      </c>
      <c r="I542" s="161">
        <f t="shared" si="22"/>
        <v>13230.40595</v>
      </c>
      <c r="J542" s="162">
        <f t="shared" si="8"/>
        <v>13396.87175</v>
      </c>
      <c r="K542" s="163">
        <f t="shared" si="23"/>
        <v>0.005242082796</v>
      </c>
      <c r="L542" s="163">
        <f t="shared" si="24"/>
        <v>0.005216163765</v>
      </c>
      <c r="M542" s="163">
        <f t="shared" si="25"/>
        <v>0.0996546688</v>
      </c>
      <c r="N542" s="163">
        <f t="shared" si="26"/>
        <v>-0.005913053221</v>
      </c>
      <c r="O542" s="164">
        <f t="shared" si="27"/>
        <v>-0.004318864063</v>
      </c>
      <c r="P542" s="164">
        <f t="shared" si="16"/>
        <v>0</v>
      </c>
      <c r="U542" s="168">
        <f t="shared" si="15"/>
        <v>1.734660427</v>
      </c>
    </row>
    <row r="543">
      <c r="A543" s="158">
        <v>45557.0</v>
      </c>
      <c r="B543" s="167">
        <v>13242.363748869002</v>
      </c>
      <c r="C543" s="160">
        <f t="shared" si="17"/>
        <v>11500.54228</v>
      </c>
      <c r="D543" s="160">
        <f t="shared" si="18"/>
        <v>1741.821471</v>
      </c>
      <c r="E543" s="161">
        <f t="shared" si="19"/>
        <v>13438.35656</v>
      </c>
      <c r="F543" s="161">
        <f t="shared" si="4"/>
        <v>12907.52106</v>
      </c>
      <c r="G543" s="161">
        <f t="shared" si="20"/>
        <v>12971.12723</v>
      </c>
      <c r="H543" s="161">
        <f t="shared" si="21"/>
        <v>13117.44131</v>
      </c>
      <c r="I543" s="161">
        <f t="shared" si="22"/>
        <v>13189.62713</v>
      </c>
      <c r="J543" s="162">
        <f t="shared" si="8"/>
        <v>13327.36155</v>
      </c>
      <c r="K543" s="163">
        <f t="shared" si="23"/>
        <v>0.0009705647232</v>
      </c>
      <c r="L543" s="163">
        <f t="shared" si="24"/>
        <v>0.005221009217</v>
      </c>
      <c r="M543" s="163">
        <f t="shared" si="25"/>
        <v>0.09974724103</v>
      </c>
      <c r="N543" s="163">
        <f t="shared" si="26"/>
        <v>-0.005923284215</v>
      </c>
      <c r="O543" s="164">
        <f t="shared" si="27"/>
        <v>-0.004318864063</v>
      </c>
      <c r="P543" s="164">
        <f t="shared" si="16"/>
        <v>0</v>
      </c>
      <c r="U543" s="168">
        <f t="shared" si="15"/>
        <v>1.54724645</v>
      </c>
    </row>
    <row r="544">
      <c r="A544" s="158">
        <v>45556.0</v>
      </c>
      <c r="B544" s="167">
        <v>13229.517412871675</v>
      </c>
      <c r="C544" s="160">
        <f t="shared" si="17"/>
        <v>11494.38743</v>
      </c>
      <c r="D544" s="160">
        <f t="shared" si="18"/>
        <v>1735.129982</v>
      </c>
      <c r="E544" s="161">
        <f t="shared" si="19"/>
        <v>13427.98582</v>
      </c>
      <c r="F544" s="161">
        <f t="shared" si="4"/>
        <v>12918.99662</v>
      </c>
      <c r="G544" s="161">
        <f t="shared" si="20"/>
        <v>12960.05635</v>
      </c>
      <c r="H544" s="161">
        <f t="shared" si="21"/>
        <v>13099.59524</v>
      </c>
      <c r="I544" s="161">
        <f t="shared" si="22"/>
        <v>13163.25882</v>
      </c>
      <c r="J544" s="162">
        <f t="shared" si="8"/>
        <v>13280.19387</v>
      </c>
      <c r="K544" s="163">
        <f t="shared" si="23"/>
        <v>0.0009712617032</v>
      </c>
      <c r="L544" s="163">
        <f t="shared" si="24"/>
        <v>0.005233652718</v>
      </c>
      <c r="M544" s="163">
        <f t="shared" si="25"/>
        <v>0.09998879478</v>
      </c>
      <c r="N544" s="163">
        <f t="shared" si="26"/>
        <v>-0.005933515208</v>
      </c>
      <c r="O544" s="164">
        <f t="shared" si="27"/>
        <v>-0.004318864063</v>
      </c>
      <c r="P544" s="164">
        <f t="shared" si="16"/>
        <v>0</v>
      </c>
      <c r="U544" s="168">
        <f t="shared" si="15"/>
        <v>1.870433063</v>
      </c>
    </row>
    <row r="545">
      <c r="A545" s="158">
        <v>45555.0</v>
      </c>
      <c r="B545" s="167">
        <v>13216.67432726431</v>
      </c>
      <c r="C545" s="160">
        <f t="shared" si="17"/>
        <v>11488.23449</v>
      </c>
      <c r="D545" s="160">
        <f t="shared" si="18"/>
        <v>1728.439839</v>
      </c>
      <c r="E545" s="161">
        <f t="shared" si="19"/>
        <v>13417.65381</v>
      </c>
      <c r="F545" s="161">
        <f t="shared" si="4"/>
        <v>12936.38764</v>
      </c>
      <c r="G545" s="161">
        <f t="shared" si="20"/>
        <v>12949.05794</v>
      </c>
      <c r="H545" s="161">
        <f t="shared" si="21"/>
        <v>13081.03493</v>
      </c>
      <c r="I545" s="161">
        <f t="shared" si="22"/>
        <v>13130.12952</v>
      </c>
      <c r="J545" s="162">
        <f t="shared" si="8"/>
        <v>13225.68223</v>
      </c>
      <c r="K545" s="163">
        <f t="shared" si="23"/>
        <v>0.004357712739</v>
      </c>
      <c r="L545" s="163">
        <f t="shared" si="24"/>
        <v>0.005246388632</v>
      </c>
      <c r="M545" s="163">
        <f t="shared" si="25"/>
        <v>0.1002321141</v>
      </c>
      <c r="N545" s="163">
        <f t="shared" si="26"/>
        <v>-0.005943746202</v>
      </c>
      <c r="O545" s="164">
        <f t="shared" si="27"/>
        <v>-0.004318864063</v>
      </c>
      <c r="P545" s="164">
        <f t="shared" si="16"/>
        <v>0</v>
      </c>
      <c r="U545" s="168">
        <f t="shared" si="15"/>
        <v>2.438085208</v>
      </c>
    </row>
    <row r="546">
      <c r="A546" s="158">
        <v>45554.0</v>
      </c>
      <c r="B546" s="167">
        <v>13159.205165171868</v>
      </c>
      <c r="C546" s="160">
        <f t="shared" si="17"/>
        <v>11482.08346</v>
      </c>
      <c r="D546" s="160">
        <f t="shared" si="18"/>
        <v>1677.121708</v>
      </c>
      <c r="E546" s="161">
        <f t="shared" si="19"/>
        <v>13407.36125</v>
      </c>
      <c r="F546" s="161">
        <f t="shared" si="4"/>
        <v>12943.01299</v>
      </c>
      <c r="G546" s="161">
        <f t="shared" si="20"/>
        <v>12938.13483</v>
      </c>
      <c r="H546" s="161">
        <f t="shared" si="21"/>
        <v>13061.65788</v>
      </c>
      <c r="I546" s="161">
        <f t="shared" si="22"/>
        <v>13086.85712</v>
      </c>
      <c r="J546" s="162">
        <f t="shared" si="8"/>
        <v>13180.30276</v>
      </c>
      <c r="K546" s="163">
        <f t="shared" si="23"/>
        <v>0.007229564905</v>
      </c>
      <c r="L546" s="163">
        <f t="shared" si="24"/>
        <v>0.005254388248</v>
      </c>
      <c r="M546" s="163">
        <f t="shared" si="25"/>
        <v>0.1003849465</v>
      </c>
      <c r="N546" s="163">
        <f t="shared" si="26"/>
        <v>-0.005953977195</v>
      </c>
      <c r="O546" s="164">
        <f t="shared" si="27"/>
        <v>-0.004318864063</v>
      </c>
      <c r="P546" s="164">
        <f t="shared" si="16"/>
        <v>0.002276706078</v>
      </c>
      <c r="U546" s="168">
        <f t="shared" si="15"/>
        <v>2.137664445</v>
      </c>
    </row>
    <row r="547">
      <c r="A547" s="158">
        <v>45553.0</v>
      </c>
      <c r="B547" s="167">
        <v>13064.412903602954</v>
      </c>
      <c r="C547" s="160">
        <f t="shared" si="17"/>
        <v>11476.09374</v>
      </c>
      <c r="D547" s="160">
        <f t="shared" si="18"/>
        <v>1588.319167</v>
      </c>
      <c r="E547" s="161">
        <f t="shared" si="19"/>
        <v>13397.97969</v>
      </c>
      <c r="F547" s="161">
        <f t="shared" si="4"/>
        <v>12942.1368</v>
      </c>
      <c r="G547" s="161">
        <f t="shared" si="20"/>
        <v>12929.11155</v>
      </c>
      <c r="H547" s="161">
        <f t="shared" si="21"/>
        <v>13047.72255</v>
      </c>
      <c r="I547" s="161">
        <f t="shared" si="22"/>
        <v>13050.6831</v>
      </c>
      <c r="J547" s="162">
        <f t="shared" si="8"/>
        <v>13153.3083</v>
      </c>
      <c r="K547" s="163">
        <f t="shared" si="23"/>
        <v>0.0003756192532</v>
      </c>
      <c r="L547" s="163">
        <f t="shared" si="24"/>
        <v>0.005249784045</v>
      </c>
      <c r="M547" s="163">
        <f t="shared" si="25"/>
        <v>0.1002969833</v>
      </c>
      <c r="N547" s="163">
        <f t="shared" si="26"/>
        <v>-0.005964208189</v>
      </c>
      <c r="O547" s="164">
        <f t="shared" si="27"/>
        <v>-0.004318864063</v>
      </c>
      <c r="P547" s="164">
        <f t="shared" si="16"/>
        <v>0.009463800303</v>
      </c>
      <c r="U547" s="168">
        <f t="shared" si="15"/>
        <v>0.4109921957</v>
      </c>
    </row>
    <row r="548">
      <c r="A548" s="158">
        <v>45552.0</v>
      </c>
      <c r="B548" s="167">
        <v>13059.506580097352</v>
      </c>
      <c r="C548" s="160">
        <f t="shared" si="17"/>
        <v>11470.40084</v>
      </c>
      <c r="D548" s="160">
        <f t="shared" si="18"/>
        <v>1589.105744</v>
      </c>
      <c r="E548" s="161">
        <f t="shared" si="19"/>
        <v>13390.26099</v>
      </c>
      <c r="F548" s="161">
        <f t="shared" si="4"/>
        <v>12929.15082</v>
      </c>
      <c r="G548" s="161">
        <f t="shared" si="20"/>
        <v>12923.58904</v>
      </c>
      <c r="H548" s="161">
        <f t="shared" si="21"/>
        <v>13045.33821</v>
      </c>
      <c r="I548" s="161">
        <f t="shared" si="22"/>
        <v>13043.81819</v>
      </c>
      <c r="J548" s="162">
        <f t="shared" si="8"/>
        <v>13161.5256</v>
      </c>
      <c r="K548" s="163">
        <f t="shared" si="23"/>
        <v>0.0009602278523</v>
      </c>
      <c r="L548" s="163">
        <f t="shared" si="24"/>
        <v>0.005262516631</v>
      </c>
      <c r="M548" s="163">
        <f t="shared" si="25"/>
        <v>0.1005402391</v>
      </c>
      <c r="N548" s="163">
        <f t="shared" si="26"/>
        <v>-0.005974439182</v>
      </c>
      <c r="O548" s="164">
        <f t="shared" si="27"/>
        <v>-0.004318864063</v>
      </c>
      <c r="P548" s="164">
        <f t="shared" si="16"/>
        <v>0.009835794902</v>
      </c>
      <c r="U548" s="168">
        <f t="shared" si="15"/>
        <v>0.3170546607</v>
      </c>
    </row>
    <row r="549">
      <c r="A549" s="158">
        <v>45551.0</v>
      </c>
      <c r="B549" s="167">
        <v>13046.97249689273</v>
      </c>
      <c r="C549" s="160">
        <f t="shared" si="17"/>
        <v>11464.68463</v>
      </c>
      <c r="D549" s="160">
        <f t="shared" si="18"/>
        <v>1582.287869</v>
      </c>
      <c r="E549" s="161">
        <f t="shared" si="19"/>
        <v>13382.47076</v>
      </c>
      <c r="F549" s="161">
        <f t="shared" si="4"/>
        <v>12917.01446</v>
      </c>
      <c r="G549" s="161">
        <f t="shared" si="20"/>
        <v>12918.04139</v>
      </c>
      <c r="H549" s="161">
        <f t="shared" si="21"/>
        <v>13043.31416</v>
      </c>
      <c r="I549" s="161">
        <f t="shared" si="22"/>
        <v>13035.974</v>
      </c>
      <c r="J549" s="162">
        <f t="shared" si="8"/>
        <v>13169.61386</v>
      </c>
      <c r="K549" s="163">
        <f t="shared" si="23"/>
        <v>0.002478672368</v>
      </c>
      <c r="L549" s="163">
        <f t="shared" si="24"/>
        <v>0.005275581911</v>
      </c>
      <c r="M549" s="163">
        <f t="shared" si="25"/>
        <v>0.1007898509</v>
      </c>
      <c r="N549" s="163">
        <f t="shared" si="26"/>
        <v>-0.005984670176</v>
      </c>
      <c r="O549" s="164">
        <f t="shared" si="27"/>
        <v>-0.004318864063</v>
      </c>
      <c r="P549" s="164">
        <f t="shared" si="16"/>
        <v>0.01078612181</v>
      </c>
      <c r="U549" s="168">
        <f t="shared" si="15"/>
        <v>0.0753103399</v>
      </c>
    </row>
    <row r="550">
      <c r="A550" s="158">
        <v>45550.0</v>
      </c>
      <c r="B550" s="167">
        <v>13014.673372685334</v>
      </c>
      <c r="C550" s="160">
        <f t="shared" si="17"/>
        <v>11458.9724</v>
      </c>
      <c r="D550" s="160">
        <f t="shared" si="18"/>
        <v>1555.700975</v>
      </c>
      <c r="E550" s="161">
        <f t="shared" si="19"/>
        <v>13374.75833</v>
      </c>
      <c r="F550" s="161">
        <f t="shared" si="4"/>
        <v>12906.48915</v>
      </c>
      <c r="G550" s="161">
        <f t="shared" si="20"/>
        <v>12912.77889</v>
      </c>
      <c r="H550" s="161">
        <f t="shared" si="21"/>
        <v>13042.79154</v>
      </c>
      <c r="I550" s="161">
        <f t="shared" si="22"/>
        <v>13030.47475</v>
      </c>
      <c r="J550" s="162">
        <f t="shared" si="8"/>
        <v>13179.09394</v>
      </c>
      <c r="K550" s="163">
        <f t="shared" si="23"/>
        <v>-0.001149705691</v>
      </c>
      <c r="L550" s="163">
        <f t="shared" si="24"/>
        <v>0.00528785287</v>
      </c>
      <c r="M550" s="163">
        <f t="shared" si="25"/>
        <v>0.1010242872</v>
      </c>
      <c r="N550" s="163">
        <f t="shared" si="26"/>
        <v>-0.005994901169</v>
      </c>
      <c r="O550" s="164">
        <f t="shared" si="27"/>
        <v>-0.004318864063</v>
      </c>
      <c r="P550" s="164">
        <f t="shared" si="16"/>
        <v>0.01323502265</v>
      </c>
      <c r="U550" s="168">
        <f t="shared" si="15"/>
        <v>-0.5363606333</v>
      </c>
    </row>
    <row r="551">
      <c r="A551" s="158">
        <v>45549.0</v>
      </c>
      <c r="B551" s="167">
        <v>13029.645021568691</v>
      </c>
      <c r="C551" s="160">
        <f t="shared" si="17"/>
        <v>11453.3358</v>
      </c>
      <c r="D551" s="160">
        <f t="shared" si="18"/>
        <v>1576.309222</v>
      </c>
      <c r="E551" s="161">
        <f t="shared" si="19"/>
        <v>13367.51866</v>
      </c>
      <c r="F551" s="161">
        <f t="shared" si="4"/>
        <v>12896.57533</v>
      </c>
      <c r="G551" s="161">
        <f t="shared" si="20"/>
        <v>12908.61993</v>
      </c>
      <c r="H551" s="161">
        <f t="shared" si="21"/>
        <v>13046.80842</v>
      </c>
      <c r="I551" s="161">
        <f t="shared" si="22"/>
        <v>13038.37544</v>
      </c>
      <c r="J551" s="162">
        <f t="shared" si="8"/>
        <v>13197.04152</v>
      </c>
      <c r="K551" s="163">
        <f t="shared" si="23"/>
        <v>0.0008243902429</v>
      </c>
      <c r="L551" s="163">
        <f t="shared" si="24"/>
        <v>0.005298723166</v>
      </c>
      <c r="M551" s="163">
        <f t="shared" si="25"/>
        <v>0.101231964</v>
      </c>
      <c r="N551" s="163">
        <f t="shared" si="26"/>
        <v>-0.005997266535</v>
      </c>
      <c r="O551" s="164">
        <f t="shared" si="27"/>
        <v>-0.004318864063</v>
      </c>
      <c r="P551" s="164">
        <f t="shared" si="16"/>
        <v>0.01209988093</v>
      </c>
      <c r="U551" s="168">
        <f t="shared" si="15"/>
        <v>-0.297037371</v>
      </c>
    </row>
    <row r="552">
      <c r="A552" s="158">
        <v>45548.0</v>
      </c>
      <c r="B552" s="167">
        <v>13018.907935726558</v>
      </c>
      <c r="C552" s="160">
        <f t="shared" si="17"/>
        <v>11447.60377</v>
      </c>
      <c r="D552" s="160">
        <f t="shared" si="18"/>
        <v>1571.304169</v>
      </c>
      <c r="E552" s="161">
        <f t="shared" si="19"/>
        <v>13359.81686</v>
      </c>
      <c r="F552" s="161">
        <f t="shared" si="4"/>
        <v>12891.99934</v>
      </c>
      <c r="G552" s="161">
        <f t="shared" si="20"/>
        <v>12903.68014</v>
      </c>
      <c r="H552" s="161">
        <f t="shared" si="21"/>
        <v>13049.26034</v>
      </c>
      <c r="I552" s="161">
        <f t="shared" si="22"/>
        <v>13042.74064</v>
      </c>
      <c r="J552" s="162">
        <f t="shared" si="8"/>
        <v>13206.52134</v>
      </c>
      <c r="K552" s="163">
        <f t="shared" si="23"/>
        <v>-0.003855845265</v>
      </c>
      <c r="L552" s="163">
        <f t="shared" si="24"/>
        <v>0.005312049175</v>
      </c>
      <c r="M552" s="163">
        <f t="shared" si="25"/>
        <v>0.101486557</v>
      </c>
      <c r="N552" s="163">
        <f t="shared" si="26"/>
        <v>-0.0059996319</v>
      </c>
      <c r="O552" s="164">
        <f t="shared" si="27"/>
        <v>-0.004318864063</v>
      </c>
      <c r="P552" s="164">
        <f t="shared" si="16"/>
        <v>0.01291396054</v>
      </c>
      <c r="U552" s="168">
        <f t="shared" si="15"/>
        <v>-0.5018170028</v>
      </c>
    </row>
    <row r="553">
      <c r="A553" s="158">
        <v>45547.0</v>
      </c>
      <c r="B553" s="167">
        <v>13069.203734338078</v>
      </c>
      <c r="C553" s="160">
        <f t="shared" si="17"/>
        <v>11441.86908</v>
      </c>
      <c r="D553" s="160">
        <f t="shared" si="18"/>
        <v>1627.334655</v>
      </c>
      <c r="E553" s="161">
        <f t="shared" si="19"/>
        <v>13352.15908</v>
      </c>
      <c r="F553" s="161">
        <f t="shared" si="4"/>
        <v>12902.20188</v>
      </c>
      <c r="G553" s="161">
        <f t="shared" si="20"/>
        <v>12898.97696</v>
      </c>
      <c r="H553" s="161">
        <f t="shared" si="21"/>
        <v>13053.59639</v>
      </c>
      <c r="I553" s="161">
        <f t="shared" si="22"/>
        <v>13054.657</v>
      </c>
      <c r="J553" s="162">
        <f t="shared" si="8"/>
        <v>13204.99091</v>
      </c>
      <c r="K553" s="163">
        <f t="shared" si="23"/>
        <v>0.004293063983</v>
      </c>
      <c r="L553" s="163">
        <f t="shared" si="24"/>
        <v>0.005313704273</v>
      </c>
      <c r="M553" s="163">
        <f t="shared" si="25"/>
        <v>0.1015181776</v>
      </c>
      <c r="N553" s="163">
        <f t="shared" si="26"/>
        <v>-0.006001997265</v>
      </c>
      <c r="O553" s="164">
        <f t="shared" si="27"/>
        <v>-0.004055485101</v>
      </c>
      <c r="P553" s="164">
        <f t="shared" si="16"/>
        <v>0.009100562299</v>
      </c>
      <c r="U553" s="168">
        <f t="shared" si="15"/>
        <v>0.2680353552</v>
      </c>
    </row>
    <row r="554">
      <c r="A554" s="158">
        <v>45546.0</v>
      </c>
      <c r="B554" s="167">
        <v>13013.217069658676</v>
      </c>
      <c r="C554" s="160">
        <f t="shared" si="17"/>
        <v>11435.90815</v>
      </c>
      <c r="D554" s="160">
        <f t="shared" si="18"/>
        <v>1577.308923</v>
      </c>
      <c r="E554" s="161">
        <f t="shared" si="19"/>
        <v>13343.31323</v>
      </c>
      <c r="F554" s="161">
        <f t="shared" si="4"/>
        <v>12884.93777</v>
      </c>
      <c r="G554" s="161">
        <f t="shared" si="20"/>
        <v>12892.02893</v>
      </c>
      <c r="H554" s="161">
        <f t="shared" si="21"/>
        <v>13051.36677</v>
      </c>
      <c r="I554" s="161">
        <f t="shared" si="22"/>
        <v>13047.38363</v>
      </c>
      <c r="J554" s="162">
        <f t="shared" si="8"/>
        <v>13217.79578</v>
      </c>
      <c r="K554" s="163">
        <f t="shared" si="23"/>
        <v>-0.002471305046</v>
      </c>
      <c r="L554" s="163">
        <f t="shared" si="24"/>
        <v>0.005322430888</v>
      </c>
      <c r="M554" s="163">
        <f t="shared" si="25"/>
        <v>0.1016848993</v>
      </c>
      <c r="N554" s="163">
        <f t="shared" si="26"/>
        <v>-0.00600436263</v>
      </c>
      <c r="O554" s="164">
        <f t="shared" si="27"/>
        <v>-0.004055485101</v>
      </c>
      <c r="P554" s="164">
        <f t="shared" si="16"/>
        <v>0.0133454387</v>
      </c>
      <c r="U554" s="168">
        <f t="shared" si="15"/>
        <v>-0.5959852446</v>
      </c>
    </row>
    <row r="555">
      <c r="A555" s="158">
        <v>45545.0</v>
      </c>
      <c r="B555" s="167">
        <v>13045.416469544502</v>
      </c>
      <c r="C555" s="160">
        <f t="shared" si="17"/>
        <v>11430.10922</v>
      </c>
      <c r="D555" s="160">
        <f t="shared" si="18"/>
        <v>1615.307252</v>
      </c>
      <c r="E555" s="161">
        <f t="shared" si="19"/>
        <v>13335.41003</v>
      </c>
      <c r="F555" s="161">
        <f t="shared" si="4"/>
        <v>12897.26061</v>
      </c>
      <c r="G555" s="161">
        <f t="shared" si="20"/>
        <v>12887.08247</v>
      </c>
      <c r="H555" s="161">
        <f t="shared" si="21"/>
        <v>13056.81673</v>
      </c>
      <c r="I555" s="161">
        <f t="shared" si="22"/>
        <v>13064.46691</v>
      </c>
      <c r="J555" s="162">
        <f t="shared" si="8"/>
        <v>13216.37286</v>
      </c>
      <c r="K555" s="163">
        <f t="shared" si="23"/>
        <v>-0.002639430698</v>
      </c>
      <c r="L555" s="163">
        <f t="shared" si="24"/>
        <v>0.005329842041</v>
      </c>
      <c r="M555" s="163">
        <f t="shared" si="25"/>
        <v>0.1018264892</v>
      </c>
      <c r="N555" s="163">
        <f t="shared" si="26"/>
        <v>-0.006006727996</v>
      </c>
      <c r="O555" s="164">
        <f t="shared" ref="O555:O690" si="28">PERCENTILE(K554:K583, 0.05)
</f>
        <v>-0.004055485101</v>
      </c>
      <c r="P555" s="164">
        <f t="shared" si="16"/>
        <v>0.0109040989</v>
      </c>
      <c r="U555" s="168">
        <f t="shared" si="15"/>
        <v>-0.1857696421</v>
      </c>
    </row>
    <row r="556">
      <c r="A556" s="158">
        <v>45544.0</v>
      </c>
      <c r="B556" s="167">
        <v>13079.894423310392</v>
      </c>
      <c r="C556" s="160">
        <f t="shared" si="17"/>
        <v>11424.14867</v>
      </c>
      <c r="D556" s="160">
        <f t="shared" si="18"/>
        <v>1655.74575</v>
      </c>
      <c r="E556" s="161">
        <f t="shared" si="19"/>
        <v>13326.67132</v>
      </c>
      <c r="F556" s="161">
        <f t="shared" si="4"/>
        <v>12885.47634</v>
      </c>
      <c r="G556" s="161">
        <f t="shared" si="20"/>
        <v>12880.61986</v>
      </c>
      <c r="H556" s="161">
        <f t="shared" si="21"/>
        <v>13058.44534</v>
      </c>
      <c r="I556" s="161">
        <f t="shared" si="22"/>
        <v>13073.99213</v>
      </c>
      <c r="J556" s="162">
        <f t="shared" si="8"/>
        <v>13231.41435</v>
      </c>
      <c r="K556" s="163">
        <f t="shared" si="23"/>
        <v>0.0022180773</v>
      </c>
      <c r="L556" s="163">
        <f t="shared" si="24"/>
        <v>0.005336652892</v>
      </c>
      <c r="M556" s="163">
        <f t="shared" si="25"/>
        <v>0.1019566104</v>
      </c>
      <c r="N556" s="163">
        <f t="shared" si="26"/>
        <v>-0.006009093361</v>
      </c>
      <c r="O556" s="164">
        <f t="shared" si="28"/>
        <v>-0.004055485101</v>
      </c>
      <c r="P556" s="164">
        <f t="shared" si="16"/>
        <v>0.008290000469</v>
      </c>
      <c r="U556" s="168">
        <f t="shared" si="15"/>
        <v>0.3224139018</v>
      </c>
    </row>
    <row r="557">
      <c r="A557" s="158">
        <v>45543.0</v>
      </c>
      <c r="B557" s="167">
        <v>13050.914358298776</v>
      </c>
      <c r="C557" s="160">
        <f t="shared" si="17"/>
        <v>11418.01628</v>
      </c>
      <c r="D557" s="160">
        <f t="shared" si="18"/>
        <v>1632.898076</v>
      </c>
      <c r="E557" s="161">
        <f t="shared" si="19"/>
        <v>13317.03094</v>
      </c>
      <c r="F557" s="161">
        <f t="shared" si="4"/>
        <v>12850.95377</v>
      </c>
      <c r="G557" s="161">
        <f t="shared" si="20"/>
        <v>12872.48621</v>
      </c>
      <c r="H557" s="161">
        <f t="shared" si="21"/>
        <v>13055.38119</v>
      </c>
      <c r="I557" s="161">
        <f t="shared" si="22"/>
        <v>13071.04099</v>
      </c>
      <c r="J557" s="162">
        <f t="shared" si="8"/>
        <v>13259.80861</v>
      </c>
      <c r="K557" s="163">
        <f t="shared" si="23"/>
        <v>0.0008217303555</v>
      </c>
      <c r="L557" s="163">
        <f t="shared" si="24"/>
        <v>0.005349909029</v>
      </c>
      <c r="M557" s="163">
        <f t="shared" si="25"/>
        <v>0.1022098685</v>
      </c>
      <c r="N557" s="163">
        <f t="shared" si="26"/>
        <v>-0.006011458726</v>
      </c>
      <c r="O557" s="164">
        <f t="shared" si="28"/>
        <v>-0.004055485101</v>
      </c>
      <c r="P557" s="164">
        <f t="shared" si="16"/>
        <v>0.01048725217</v>
      </c>
      <c r="U557" s="168">
        <f t="shared" si="15"/>
        <v>-0.05681114307</v>
      </c>
    </row>
    <row r="558">
      <c r="A558" s="158">
        <v>45542.0</v>
      </c>
      <c r="B558" s="167">
        <v>13040.194430851252</v>
      </c>
      <c r="C558" s="160">
        <f t="shared" si="17"/>
        <v>11411.94603</v>
      </c>
      <c r="D558" s="160">
        <f t="shared" si="18"/>
        <v>1628.248402</v>
      </c>
      <c r="E558" s="161">
        <f t="shared" si="19"/>
        <v>13307.77627</v>
      </c>
      <c r="F558" s="161">
        <f t="shared" si="4"/>
        <v>12825.59443</v>
      </c>
      <c r="G558" s="161">
        <f t="shared" si="20"/>
        <v>12865.20342</v>
      </c>
      <c r="H558" s="161">
        <f t="shared" si="21"/>
        <v>13056.01931</v>
      </c>
      <c r="I558" s="161">
        <f t="shared" si="22"/>
        <v>13081.1043</v>
      </c>
      <c r="J558" s="162">
        <f t="shared" si="8"/>
        <v>13286.44418</v>
      </c>
      <c r="K558" s="163">
        <f t="shared" si="23"/>
        <v>0.0007017830533</v>
      </c>
      <c r="L558" s="163">
        <f t="shared" si="24"/>
        <v>0.00536377101</v>
      </c>
      <c r="M558" s="163">
        <f t="shared" si="25"/>
        <v>0.1024747013</v>
      </c>
      <c r="N558" s="163">
        <f t="shared" si="26"/>
        <v>-0.006013824092</v>
      </c>
      <c r="O558" s="164">
        <f t="shared" si="28"/>
        <v>-0.004055485101</v>
      </c>
      <c r="P558" s="164">
        <f t="shared" si="16"/>
        <v>0.01130003084</v>
      </c>
      <c r="U558" s="168">
        <f t="shared" si="15"/>
        <v>-0.1785600396</v>
      </c>
    </row>
    <row r="559">
      <c r="A559" s="158">
        <v>45541.0</v>
      </c>
      <c r="B559" s="167">
        <v>13031.046253781367</v>
      </c>
      <c r="C559" s="160">
        <f t="shared" si="17"/>
        <v>11405.87048</v>
      </c>
      <c r="D559" s="160">
        <f t="shared" si="18"/>
        <v>1625.175779</v>
      </c>
      <c r="E559" s="161">
        <f t="shared" si="19"/>
        <v>13298.53775</v>
      </c>
      <c r="F559" s="161">
        <f t="shared" si="4"/>
        <v>12804.94914</v>
      </c>
      <c r="G559" s="161">
        <f t="shared" si="20"/>
        <v>12858.06093</v>
      </c>
      <c r="H559" s="161">
        <f t="shared" si="21"/>
        <v>13058.28</v>
      </c>
      <c r="I559" s="161">
        <f t="shared" si="22"/>
        <v>13101.55924</v>
      </c>
      <c r="J559" s="162">
        <f t="shared" si="8"/>
        <v>13311.61086</v>
      </c>
      <c r="K559" s="163">
        <f t="shared" si="23"/>
        <v>-0.009952149968</v>
      </c>
      <c r="L559" s="163">
        <f t="shared" si="24"/>
        <v>0.005377695756</v>
      </c>
      <c r="M559" s="163">
        <f t="shared" si="25"/>
        <v>0.1027407332</v>
      </c>
      <c r="N559" s="163">
        <f t="shared" si="26"/>
        <v>-0.006016189457</v>
      </c>
      <c r="O559" s="164">
        <f t="shared" si="28"/>
        <v>-0.004055485101</v>
      </c>
      <c r="P559" s="164">
        <f t="shared" si="16"/>
        <v>0.01199364032</v>
      </c>
      <c r="U559" s="168">
        <f t="shared" si="15"/>
        <v>-0.2795069906</v>
      </c>
    </row>
    <row r="560">
      <c r="A560" s="158">
        <v>45540.0</v>
      </c>
      <c r="B560" s="167">
        <v>13161.380658354608</v>
      </c>
      <c r="C560" s="160">
        <f t="shared" si="17"/>
        <v>11399.78367</v>
      </c>
      <c r="D560" s="160">
        <f t="shared" si="18"/>
        <v>1761.596984</v>
      </c>
      <c r="E560" s="161">
        <f t="shared" si="19"/>
        <v>13289.28291</v>
      </c>
      <c r="F560" s="161">
        <f t="shared" si="4"/>
        <v>12792.494</v>
      </c>
      <c r="G560" s="161">
        <f t="shared" si="20"/>
        <v>12851.00031</v>
      </c>
      <c r="H560" s="161">
        <f t="shared" si="21"/>
        <v>13062.17054</v>
      </c>
      <c r="I560" s="161">
        <f t="shared" si="22"/>
        <v>13136.81573</v>
      </c>
      <c r="J560" s="162">
        <f t="shared" si="8"/>
        <v>13331.84707</v>
      </c>
      <c r="K560" s="163">
        <f t="shared" si="23"/>
        <v>0.002937649417</v>
      </c>
      <c r="L560" s="163">
        <f t="shared" si="24"/>
        <v>0.005330989598</v>
      </c>
      <c r="M560" s="163">
        <f t="shared" si="25"/>
        <v>0.1018484133</v>
      </c>
      <c r="N560" s="163">
        <f t="shared" si="26"/>
        <v>-0.005892591234</v>
      </c>
      <c r="O560" s="164">
        <f t="shared" si="28"/>
        <v>-0.005298618645</v>
      </c>
      <c r="P560" s="164">
        <f t="shared" si="16"/>
        <v>0.002111761448</v>
      </c>
      <c r="U560" s="168">
        <f t="shared" si="15"/>
        <v>0.9565026338</v>
      </c>
    </row>
    <row r="561">
      <c r="A561" s="158">
        <v>45539.0</v>
      </c>
      <c r="B561" s="167">
        <v>13122.77387050412</v>
      </c>
      <c r="C561" s="160">
        <f t="shared" si="17"/>
        <v>11393.16113</v>
      </c>
      <c r="D561" s="160">
        <f t="shared" si="18"/>
        <v>1729.612741</v>
      </c>
      <c r="E561" s="161">
        <f t="shared" si="19"/>
        <v>13277.09014</v>
      </c>
      <c r="F561" s="161">
        <f t="shared" si="4"/>
        <v>12767.89017</v>
      </c>
      <c r="G561" s="161">
        <f t="shared" si="20"/>
        <v>12838.33172</v>
      </c>
      <c r="H561" s="161">
        <f t="shared" si="21"/>
        <v>13047.99766</v>
      </c>
      <c r="I561" s="161">
        <f t="shared" si="22"/>
        <v>13124.53327</v>
      </c>
      <c r="J561" s="162">
        <f t="shared" si="8"/>
        <v>13328.10516</v>
      </c>
      <c r="K561" s="163">
        <f t="shared" si="23"/>
        <v>-0.0004516086191</v>
      </c>
      <c r="L561" s="163">
        <f t="shared" si="24"/>
        <v>0.005343589304</v>
      </c>
      <c r="M561" s="163">
        <f t="shared" si="25"/>
        <v>0.1020891303</v>
      </c>
      <c r="N561" s="163">
        <f t="shared" si="26"/>
        <v>-0.005902822227</v>
      </c>
      <c r="O561" s="164">
        <f t="shared" si="28"/>
        <v>-0.004055485101</v>
      </c>
      <c r="P561" s="164">
        <f t="shared" si="16"/>
        <v>0.005038905684</v>
      </c>
      <c r="U561" s="168">
        <f t="shared" si="15"/>
        <v>0.6940840332</v>
      </c>
    </row>
    <row r="562">
      <c r="A562" s="158">
        <v>45538.0</v>
      </c>
      <c r="B562" s="167">
        <v>13128.7015666889</v>
      </c>
      <c r="C562" s="160">
        <f t="shared" si="17"/>
        <v>11386.63429</v>
      </c>
      <c r="D562" s="160">
        <f t="shared" si="18"/>
        <v>1742.067278</v>
      </c>
      <c r="E562" s="161">
        <f t="shared" si="19"/>
        <v>13265.44641</v>
      </c>
      <c r="F562" s="161">
        <f t="shared" si="4"/>
        <v>12749.40488</v>
      </c>
      <c r="G562" s="161">
        <f t="shared" si="20"/>
        <v>12826.72184</v>
      </c>
      <c r="H562" s="161">
        <f t="shared" si="21"/>
        <v>13037.31535</v>
      </c>
      <c r="I562" s="161">
        <f t="shared" si="22"/>
        <v>13125.41297</v>
      </c>
      <c r="J562" s="162">
        <f t="shared" si="8"/>
        <v>13325.22581</v>
      </c>
      <c r="K562" s="163">
        <f t="shared" si="23"/>
        <v>-0.0004569095691</v>
      </c>
      <c r="L562" s="163">
        <f t="shared" si="24"/>
        <v>0.005356418804</v>
      </c>
      <c r="M562" s="163">
        <f t="shared" si="25"/>
        <v>0.1023342376</v>
      </c>
      <c r="N562" s="163">
        <f t="shared" si="26"/>
        <v>-0.005913053221</v>
      </c>
      <c r="O562" s="164">
        <f t="shared" si="28"/>
        <v>-0.004055485101</v>
      </c>
      <c r="P562" s="164">
        <f t="shared" si="16"/>
        <v>0.004589471201</v>
      </c>
      <c r="U562" s="168">
        <f t="shared" si="15"/>
        <v>0.8252710405</v>
      </c>
    </row>
    <row r="563">
      <c r="A563" s="158">
        <v>45537.0</v>
      </c>
      <c r="B563" s="167">
        <v>13134.70156668889</v>
      </c>
      <c r="C563" s="160">
        <f t="shared" si="17"/>
        <v>11380.03555</v>
      </c>
      <c r="D563" s="160">
        <f t="shared" si="18"/>
        <v>1754.666017</v>
      </c>
      <c r="E563" s="161">
        <f t="shared" si="19"/>
        <v>13253.42221</v>
      </c>
      <c r="F563" s="161">
        <f t="shared" si="4"/>
        <v>12734.23735</v>
      </c>
      <c r="G563" s="161">
        <f t="shared" si="20"/>
        <v>12814.39614</v>
      </c>
      <c r="H563" s="161">
        <f t="shared" si="21"/>
        <v>13024.26017</v>
      </c>
      <c r="I563" s="161">
        <f t="shared" si="22"/>
        <v>13123.76867</v>
      </c>
      <c r="J563" s="162">
        <f t="shared" si="8"/>
        <v>13314.283</v>
      </c>
      <c r="K563" s="163">
        <f t="shared" si="23"/>
        <v>-0.0008725669081</v>
      </c>
      <c r="L563" s="163">
        <f t="shared" si="24"/>
        <v>0.005369330989</v>
      </c>
      <c r="M563" s="163">
        <f t="shared" si="25"/>
        <v>0.1025809245</v>
      </c>
      <c r="N563" s="163">
        <f t="shared" si="26"/>
        <v>-0.005923284215</v>
      </c>
      <c r="O563" s="164">
        <f t="shared" si="28"/>
        <v>-0.004445420135</v>
      </c>
      <c r="P563" s="164">
        <f t="shared" si="16"/>
        <v>0.004134554686</v>
      </c>
      <c r="U563" s="168">
        <f t="shared" si="15"/>
        <v>0.9900862747</v>
      </c>
    </row>
    <row r="564">
      <c r="A564" s="158">
        <v>45536.0</v>
      </c>
      <c r="B564" s="167">
        <v>13146.167474281468</v>
      </c>
      <c r="C564" s="160">
        <f t="shared" si="17"/>
        <v>11373.36382</v>
      </c>
      <c r="D564" s="160">
        <f t="shared" si="18"/>
        <v>1772.803659</v>
      </c>
      <c r="E564" s="161">
        <f t="shared" si="19"/>
        <v>13241.00681</v>
      </c>
      <c r="F564" s="161">
        <f t="shared" si="4"/>
        <v>12722.98609</v>
      </c>
      <c r="G564" s="161">
        <f t="shared" si="20"/>
        <v>12801.32245</v>
      </c>
      <c r="H564" s="161">
        <f t="shared" si="21"/>
        <v>13008.48283</v>
      </c>
      <c r="I564" s="161">
        <f t="shared" si="22"/>
        <v>13118.30222</v>
      </c>
      <c r="J564" s="162">
        <f t="shared" si="8"/>
        <v>13293.97957</v>
      </c>
      <c r="K564" s="163">
        <f t="shared" si="23"/>
        <v>-0.003270558682</v>
      </c>
      <c r="L564" s="163">
        <f t="shared" si="24"/>
        <v>0.005381549355</v>
      </c>
      <c r="M564" s="163">
        <f t="shared" si="25"/>
        <v>0.1028143561</v>
      </c>
      <c r="N564" s="163">
        <f t="shared" si="26"/>
        <v>-0.005933515208</v>
      </c>
      <c r="O564" s="164">
        <f t="shared" si="28"/>
        <v>-0.004445420135</v>
      </c>
      <c r="P564" s="164">
        <f t="shared" si="16"/>
        <v>0.00326521623</v>
      </c>
      <c r="U564" s="168">
        <f t="shared" si="15"/>
        <v>1.253884956</v>
      </c>
    </row>
    <row r="565">
      <c r="A565" s="158">
        <v>45535.0</v>
      </c>
      <c r="B565" s="167">
        <v>13189.233172502734</v>
      </c>
      <c r="C565" s="160">
        <f t="shared" si="17"/>
        <v>11366.59739</v>
      </c>
      <c r="D565" s="160">
        <f t="shared" si="18"/>
        <v>1822.635783</v>
      </c>
      <c r="E565" s="161">
        <f t="shared" si="19"/>
        <v>13228.07383</v>
      </c>
      <c r="F565" s="161">
        <f t="shared" si="4"/>
        <v>12712.80543</v>
      </c>
      <c r="G565" s="161">
        <f t="shared" si="20"/>
        <v>12787.24714</v>
      </c>
      <c r="H565" s="161">
        <f t="shared" si="21"/>
        <v>12988.8136</v>
      </c>
      <c r="I565" s="161">
        <f t="shared" si="22"/>
        <v>13104.3696</v>
      </c>
      <c r="J565" s="162">
        <f t="shared" si="8"/>
        <v>13264.82177</v>
      </c>
      <c r="K565" s="163">
        <f t="shared" si="23"/>
        <v>0.0008120157275</v>
      </c>
      <c r="L565" s="163">
        <f t="shared" si="24"/>
        <v>0.005385865449</v>
      </c>
      <c r="M565" s="163">
        <f t="shared" si="25"/>
        <v>0.1028968149</v>
      </c>
      <c r="N565" s="163">
        <f t="shared" si="26"/>
        <v>-0.005943746202</v>
      </c>
      <c r="O565" s="164">
        <f t="shared" si="28"/>
        <v>-0.004445420135</v>
      </c>
      <c r="P565" s="164">
        <f t="shared" si="16"/>
        <v>0</v>
      </c>
      <c r="U565" s="168">
        <f t="shared" si="15"/>
        <v>1.88795459</v>
      </c>
    </row>
    <row r="566">
      <c r="A566" s="158">
        <v>45534.0</v>
      </c>
      <c r="B566" s="167">
        <v>13178.52765484578</v>
      </c>
      <c r="C566" s="160">
        <f t="shared" si="17"/>
        <v>11359.61411</v>
      </c>
      <c r="D566" s="160">
        <f t="shared" si="18"/>
        <v>1818.913544</v>
      </c>
      <c r="E566" s="161">
        <f t="shared" si="19"/>
        <v>13213.93112</v>
      </c>
      <c r="F566" s="161">
        <f t="shared" si="4"/>
        <v>12721.80372</v>
      </c>
      <c r="G566" s="161">
        <f t="shared" si="20"/>
        <v>12770.83954</v>
      </c>
      <c r="H566" s="161">
        <f t="shared" si="21"/>
        <v>12960.18223</v>
      </c>
      <c r="I566" s="161">
        <f t="shared" si="22"/>
        <v>13061.93781</v>
      </c>
      <c r="J566" s="162">
        <f t="shared" si="8"/>
        <v>13198.56074</v>
      </c>
      <c r="K566" s="163">
        <f t="shared" si="23"/>
        <v>0.009815951954</v>
      </c>
      <c r="L566" s="163">
        <f t="shared" si="24"/>
        <v>0.005400382225</v>
      </c>
      <c r="M566" s="163">
        <f t="shared" si="25"/>
        <v>0.1031741575</v>
      </c>
      <c r="N566" s="163">
        <f t="shared" si="26"/>
        <v>-0.005953977195</v>
      </c>
      <c r="O566" s="164">
        <f t="shared" si="28"/>
        <v>-0.005298618645</v>
      </c>
      <c r="P566" s="164">
        <f t="shared" si="16"/>
        <v>0</v>
      </c>
      <c r="U566" s="168">
        <f t="shared" si="15"/>
        <v>2.381498677</v>
      </c>
    </row>
    <row r="567">
      <c r="A567" s="158">
        <v>45533.0</v>
      </c>
      <c r="B567" s="167">
        <v>13049.800683050222</v>
      </c>
      <c r="C567" s="160">
        <f t="shared" si="17"/>
        <v>11352.61829</v>
      </c>
      <c r="D567" s="160">
        <f t="shared" si="18"/>
        <v>1697.182394</v>
      </c>
      <c r="E567" s="161">
        <f t="shared" si="19"/>
        <v>13199.71184</v>
      </c>
      <c r="F567" s="161">
        <f t="shared" si="4"/>
        <v>12742.7225</v>
      </c>
      <c r="G567" s="161">
        <f t="shared" si="20"/>
        <v>12754.19921</v>
      </c>
      <c r="H567" s="161">
        <f t="shared" si="21"/>
        <v>12928.99003</v>
      </c>
      <c r="I567" s="161">
        <f t="shared" si="22"/>
        <v>13003.64289</v>
      </c>
      <c r="J567" s="162">
        <f t="shared" si="8"/>
        <v>13115.25755</v>
      </c>
      <c r="K567" s="163">
        <f t="shared" si="23"/>
        <v>0.004510053736</v>
      </c>
      <c r="L567" s="163">
        <f t="shared" si="24"/>
        <v>0.005377822266</v>
      </c>
      <c r="M567" s="163">
        <f t="shared" si="25"/>
        <v>0.1027431501</v>
      </c>
      <c r="N567" s="163">
        <f t="shared" si="26"/>
        <v>-0.005964208189</v>
      </c>
      <c r="O567" s="164">
        <f t="shared" si="28"/>
        <v>-0.005298618645</v>
      </c>
      <c r="P567" s="164">
        <f t="shared" si="16"/>
        <v>0.0001876262855</v>
      </c>
      <c r="U567" s="168">
        <f t="shared" si="15"/>
        <v>1.68632569</v>
      </c>
    </row>
    <row r="568">
      <c r="A568" s="158">
        <v>45532.0</v>
      </c>
      <c r="B568" s="167">
        <v>12991.07790171846</v>
      </c>
      <c r="C568" s="160">
        <f t="shared" si="17"/>
        <v>11346.06546</v>
      </c>
      <c r="D568" s="160">
        <f t="shared" si="18"/>
        <v>1645.01244</v>
      </c>
      <c r="E568" s="161">
        <f t="shared" si="19"/>
        <v>13187.97977</v>
      </c>
      <c r="F568" s="161">
        <f t="shared" si="4"/>
        <v>12744.37201</v>
      </c>
      <c r="G568" s="161">
        <f t="shared" si="20"/>
        <v>12742.13385</v>
      </c>
      <c r="H568" s="161">
        <f t="shared" si="21"/>
        <v>12911.73136</v>
      </c>
      <c r="I568" s="161">
        <f t="shared" si="22"/>
        <v>12980.56399</v>
      </c>
      <c r="J568" s="162">
        <f t="shared" si="8"/>
        <v>13079.09071</v>
      </c>
      <c r="K568" s="163">
        <f t="shared" si="23"/>
        <v>-0.004697697625</v>
      </c>
      <c r="L568" s="163">
        <f t="shared" si="24"/>
        <v>0.005386995041</v>
      </c>
      <c r="M568" s="163">
        <f t="shared" si="25"/>
        <v>0.1029183957</v>
      </c>
      <c r="N568" s="163">
        <f t="shared" si="26"/>
        <v>-0.005974439182</v>
      </c>
      <c r="O568" s="164">
        <f t="shared" si="28"/>
        <v>-0.005298618645</v>
      </c>
      <c r="P568" s="164">
        <f t="shared" si="16"/>
        <v>0.004686680702</v>
      </c>
      <c r="U568" s="168">
        <f t="shared" si="15"/>
        <v>1.232682914</v>
      </c>
    </row>
    <row r="569">
      <c r="A569" s="158">
        <v>45531.0</v>
      </c>
      <c r="B569" s="167">
        <v>13052.249628165373</v>
      </c>
      <c r="C569" s="160">
        <f t="shared" si="17"/>
        <v>11339.68944</v>
      </c>
      <c r="D569" s="160">
        <f t="shared" si="18"/>
        <v>1712.560184</v>
      </c>
      <c r="E569" s="161">
        <f t="shared" si="19"/>
        <v>13177.26592</v>
      </c>
      <c r="F569" s="161">
        <f t="shared" si="4"/>
        <v>12738.75174</v>
      </c>
      <c r="G569" s="161">
        <f t="shared" si="20"/>
        <v>12731.97287</v>
      </c>
      <c r="H569" s="161">
        <f t="shared" si="21"/>
        <v>12900.39614</v>
      </c>
      <c r="I569" s="161">
        <f t="shared" si="22"/>
        <v>12975.30704</v>
      </c>
      <c r="J569" s="162">
        <f t="shared" si="8"/>
        <v>13062.04054</v>
      </c>
      <c r="K569" s="163">
        <f t="shared" si="23"/>
        <v>0.005174294859</v>
      </c>
      <c r="L569" s="163">
        <f t="shared" si="24"/>
        <v>0.005383989565</v>
      </c>
      <c r="M569" s="163">
        <f t="shared" si="25"/>
        <v>0.1028609762</v>
      </c>
      <c r="N569" s="163">
        <f t="shared" si="26"/>
        <v>-0.005984670176</v>
      </c>
      <c r="O569" s="164">
        <f t="shared" si="28"/>
        <v>-0.005298618645</v>
      </c>
      <c r="P569" s="164">
        <f t="shared" si="16"/>
        <v>0</v>
      </c>
      <c r="U569" s="168">
        <f t="shared" si="15"/>
        <v>2.442516228</v>
      </c>
    </row>
    <row r="570">
      <c r="A570" s="158">
        <v>45530.0</v>
      </c>
      <c r="B570" s="167">
        <v>12984.887865117456</v>
      </c>
      <c r="C570" s="160">
        <f t="shared" si="17"/>
        <v>11333.02579</v>
      </c>
      <c r="D570" s="160">
        <f t="shared" si="18"/>
        <v>1651.862079</v>
      </c>
      <c r="E570" s="161">
        <f t="shared" si="19"/>
        <v>13164.96035</v>
      </c>
      <c r="F570" s="161">
        <f t="shared" si="4"/>
        <v>12733.98315</v>
      </c>
      <c r="G570" s="161">
        <f t="shared" si="20"/>
        <v>12718.90034</v>
      </c>
      <c r="H570" s="161">
        <f t="shared" si="21"/>
        <v>12878.70279</v>
      </c>
      <c r="I570" s="161">
        <f t="shared" si="22"/>
        <v>12936.83575</v>
      </c>
      <c r="J570" s="162">
        <f t="shared" si="8"/>
        <v>13023.42242</v>
      </c>
      <c r="K570" s="163">
        <f t="shared" si="23"/>
        <v>0.004430250587</v>
      </c>
      <c r="L570" s="163">
        <f t="shared" si="24"/>
        <v>0.005390846643</v>
      </c>
      <c r="M570" s="163">
        <f t="shared" si="25"/>
        <v>0.1029919805</v>
      </c>
      <c r="N570" s="163">
        <f t="shared" si="26"/>
        <v>-0.005994901169</v>
      </c>
      <c r="O570" s="164">
        <f t="shared" si="28"/>
        <v>-0.005046341155</v>
      </c>
      <c r="P570" s="164">
        <f t="shared" si="16"/>
        <v>0</v>
      </c>
      <c r="U570" s="168">
        <f t="shared" si="15"/>
        <v>1.907696974</v>
      </c>
    </row>
    <row r="571">
      <c r="A571" s="158">
        <v>45529.0</v>
      </c>
      <c r="B571" s="167">
        <v>12927.488798040904</v>
      </c>
      <c r="C571" s="160">
        <f t="shared" si="17"/>
        <v>11326.5732</v>
      </c>
      <c r="D571" s="160">
        <f t="shared" si="18"/>
        <v>1600.915599</v>
      </c>
      <c r="E571" s="161">
        <f t="shared" si="19"/>
        <v>13153.86389</v>
      </c>
      <c r="F571" s="161">
        <f t="shared" si="4"/>
        <v>12699.807</v>
      </c>
      <c r="G571" s="161">
        <f t="shared" si="20"/>
        <v>12708.04371</v>
      </c>
      <c r="H571" s="161">
        <f t="shared" si="21"/>
        <v>12863.53349</v>
      </c>
      <c r="I571" s="161">
        <f t="shared" si="22"/>
        <v>12912.80969</v>
      </c>
      <c r="J571" s="162">
        <f t="shared" si="8"/>
        <v>13027.25997</v>
      </c>
      <c r="K571" s="163">
        <f t="shared" si="23"/>
        <v>0.0005771049878</v>
      </c>
      <c r="L571" s="163">
        <f t="shared" si="24"/>
        <v>0.00540046806</v>
      </c>
      <c r="M571" s="163">
        <f t="shared" si="25"/>
        <v>0.1031757974</v>
      </c>
      <c r="N571" s="163">
        <f t="shared" si="26"/>
        <v>-0.005997266535</v>
      </c>
      <c r="O571" s="164">
        <f t="shared" si="28"/>
        <v>-0.005046341155</v>
      </c>
      <c r="P571" s="164">
        <f t="shared" si="16"/>
        <v>0</v>
      </c>
      <c r="U571" s="168">
        <f t="shared" si="15"/>
        <v>1.015619477</v>
      </c>
    </row>
    <row r="572">
      <c r="A572" s="158">
        <v>45528.0</v>
      </c>
      <c r="B572" s="167">
        <v>12920.030432113092</v>
      </c>
      <c r="C572" s="160">
        <f t="shared" si="17"/>
        <v>11320.2951</v>
      </c>
      <c r="D572" s="160">
        <f t="shared" si="18"/>
        <v>1599.735333</v>
      </c>
      <c r="E572" s="161">
        <f t="shared" si="19"/>
        <v>13143.78533</v>
      </c>
      <c r="F572" s="161">
        <f t="shared" si="4"/>
        <v>12667.22134</v>
      </c>
      <c r="G572" s="161">
        <f t="shared" si="20"/>
        <v>12699.08677</v>
      </c>
      <c r="H572" s="161">
        <f t="shared" si="21"/>
        <v>12854.39701</v>
      </c>
      <c r="I572" s="161">
        <f t="shared" si="22"/>
        <v>12905.47013</v>
      </c>
      <c r="J572" s="162">
        <f t="shared" si="8"/>
        <v>13041.57269</v>
      </c>
      <c r="K572" s="163">
        <f t="shared" si="23"/>
        <v>0.0005770941882</v>
      </c>
      <c r="L572" s="163">
        <f t="shared" si="24"/>
        <v>0.005415424177</v>
      </c>
      <c r="M572" s="163">
        <f t="shared" si="25"/>
        <v>0.1034615336</v>
      </c>
      <c r="N572" s="163">
        <f t="shared" si="26"/>
        <v>-0.0059996319</v>
      </c>
      <c r="O572" s="164">
        <f t="shared" si="28"/>
        <v>-0.005046341155</v>
      </c>
      <c r="P572" s="164">
        <f t="shared" si="16"/>
        <v>0.0001972801297</v>
      </c>
      <c r="U572" s="168">
        <f t="shared" si="15"/>
        <v>0.9116936903</v>
      </c>
    </row>
    <row r="573">
      <c r="A573" s="158">
        <v>45527.0</v>
      </c>
      <c r="B573" s="167">
        <v>12912.576508654038</v>
      </c>
      <c r="C573" s="160">
        <f t="shared" si="17"/>
        <v>11313.99693</v>
      </c>
      <c r="D573" s="160">
        <f t="shared" si="18"/>
        <v>1598.57958</v>
      </c>
      <c r="E573" s="161">
        <f t="shared" si="19"/>
        <v>13133.63416</v>
      </c>
      <c r="F573" s="161">
        <f t="shared" si="4"/>
        <v>12641.19065</v>
      </c>
      <c r="G573" s="161">
        <f t="shared" si="20"/>
        <v>12690.06866</v>
      </c>
      <c r="H573" s="161">
        <f t="shared" si="21"/>
        <v>12845.02081</v>
      </c>
      <c r="I573" s="161">
        <f t="shared" si="22"/>
        <v>12898.18998</v>
      </c>
      <c r="J573" s="162">
        <f t="shared" si="8"/>
        <v>13048.85098</v>
      </c>
      <c r="K573" s="163">
        <f t="shared" si="23"/>
        <v>-0.0007743937802</v>
      </c>
      <c r="L573" s="163">
        <f t="shared" si="24"/>
        <v>0.005430505221</v>
      </c>
      <c r="M573" s="163">
        <f t="shared" si="25"/>
        <v>0.1037496566</v>
      </c>
      <c r="N573" s="163">
        <f t="shared" si="26"/>
        <v>-0.006001997265</v>
      </c>
      <c r="O573" s="164">
        <f t="shared" si="28"/>
        <v>-0.005046341155</v>
      </c>
      <c r="P573" s="164">
        <f t="shared" si="16"/>
        <v>0.0007740940147</v>
      </c>
      <c r="U573" s="168">
        <f t="shared" si="15"/>
        <v>0.8617213662</v>
      </c>
    </row>
    <row r="574">
      <c r="A574" s="158">
        <v>45526.0</v>
      </c>
      <c r="B574" s="167">
        <v>12922.579800332147</v>
      </c>
      <c r="C574" s="160">
        <f t="shared" si="17"/>
        <v>11307.67843</v>
      </c>
      <c r="D574" s="160">
        <f t="shared" si="18"/>
        <v>1614.901368</v>
      </c>
      <c r="E574" s="161">
        <f t="shared" si="19"/>
        <v>13123.40834</v>
      </c>
      <c r="F574" s="161">
        <f t="shared" si="4"/>
        <v>12604.86927</v>
      </c>
      <c r="G574" s="161">
        <f t="shared" si="20"/>
        <v>12680.98671</v>
      </c>
      <c r="H574" s="161">
        <f t="shared" si="21"/>
        <v>12835.37</v>
      </c>
      <c r="I574" s="161">
        <f t="shared" si="22"/>
        <v>12890.99672</v>
      </c>
      <c r="J574" s="162">
        <f t="shared" si="8"/>
        <v>13065.87073</v>
      </c>
      <c r="K574" s="163">
        <f t="shared" si="23"/>
        <v>0.002780910376</v>
      </c>
      <c r="L574" s="163">
        <f t="shared" si="24"/>
        <v>0.005443883254</v>
      </c>
      <c r="M574" s="163">
        <f t="shared" si="25"/>
        <v>0.1040052435</v>
      </c>
      <c r="N574" s="163">
        <f t="shared" si="26"/>
        <v>-0.00600436263</v>
      </c>
      <c r="O574" s="164">
        <f t="shared" si="28"/>
        <v>-0.005046341155</v>
      </c>
      <c r="P574" s="164">
        <f t="shared" si="16"/>
        <v>0</v>
      </c>
      <c r="U574" s="168">
        <f t="shared" si="15"/>
        <v>0.983708304</v>
      </c>
    </row>
    <row r="575">
      <c r="A575" s="158">
        <v>45525.0</v>
      </c>
      <c r="B575" s="167">
        <v>12886.693185931406</v>
      </c>
      <c r="C575" s="160">
        <f t="shared" si="17"/>
        <v>11301.27009</v>
      </c>
      <c r="D575" s="160">
        <f t="shared" si="18"/>
        <v>1585.423093</v>
      </c>
      <c r="E575" s="161">
        <f t="shared" si="19"/>
        <v>13112.71133</v>
      </c>
      <c r="F575" s="161">
        <f t="shared" si="4"/>
        <v>12598.81812</v>
      </c>
      <c r="G575" s="161">
        <f t="shared" si="20"/>
        <v>12671.12576</v>
      </c>
      <c r="H575" s="161">
        <f t="shared" si="21"/>
        <v>12822.91146</v>
      </c>
      <c r="I575" s="161">
        <f t="shared" si="22"/>
        <v>12875.20517</v>
      </c>
      <c r="J575" s="162">
        <f t="shared" si="8"/>
        <v>13047.00479</v>
      </c>
      <c r="K575" s="163">
        <f t="shared" si="23"/>
        <v>-0.0006262607002</v>
      </c>
      <c r="L575" s="163">
        <f t="shared" si="24"/>
        <v>0.00545810369</v>
      </c>
      <c r="M575" s="163">
        <f t="shared" si="25"/>
        <v>0.1042769246</v>
      </c>
      <c r="N575" s="163">
        <f t="shared" si="26"/>
        <v>-0.006006727996</v>
      </c>
      <c r="O575" s="164">
        <f t="shared" si="28"/>
        <v>-0.005046341155</v>
      </c>
      <c r="P575" s="164">
        <f t="shared" si="16"/>
        <v>0.0006260646399</v>
      </c>
      <c r="U575" s="168">
        <f t="shared" si="15"/>
        <v>0.7400153099</v>
      </c>
    </row>
    <row r="576">
      <c r="A576" s="158">
        <v>45524.0</v>
      </c>
      <c r="B576" s="167">
        <v>12894.766143053328</v>
      </c>
      <c r="C576" s="160">
        <f t="shared" si="17"/>
        <v>11294.95367</v>
      </c>
      <c r="D576" s="160">
        <f t="shared" si="18"/>
        <v>1599.812476</v>
      </c>
      <c r="E576" s="161">
        <f t="shared" si="19"/>
        <v>13102.57391</v>
      </c>
      <c r="F576" s="161">
        <f t="shared" si="4"/>
        <v>12592.18615</v>
      </c>
      <c r="G576" s="161">
        <f t="shared" si="20"/>
        <v>12662.32709</v>
      </c>
      <c r="H576" s="161">
        <f t="shared" si="21"/>
        <v>12813.79978</v>
      </c>
      <c r="I576" s="161">
        <f t="shared" si="22"/>
        <v>12869.46117</v>
      </c>
      <c r="J576" s="162">
        <f t="shared" si="8"/>
        <v>13035.41341</v>
      </c>
      <c r="K576" s="163">
        <f t="shared" si="23"/>
        <v>0.0005768497516</v>
      </c>
      <c r="L576" s="163">
        <f t="shared" si="24"/>
        <v>0.005472016639</v>
      </c>
      <c r="M576" s="163">
        <f t="shared" si="25"/>
        <v>0.1045427311</v>
      </c>
      <c r="N576" s="163">
        <f t="shared" si="26"/>
        <v>-0.006009093361</v>
      </c>
      <c r="O576" s="164">
        <f t="shared" si="28"/>
        <v>-0.005046341155</v>
      </c>
      <c r="P576" s="164">
        <f t="shared" si="16"/>
        <v>0</v>
      </c>
      <c r="U576" s="168">
        <f t="shared" si="15"/>
        <v>0.949907945</v>
      </c>
    </row>
    <row r="577">
      <c r="A577" s="158">
        <v>45523.0</v>
      </c>
      <c r="B577" s="167">
        <v>12887.329945397316</v>
      </c>
      <c r="C577" s="160">
        <f t="shared" si="17"/>
        <v>11288.55442</v>
      </c>
      <c r="D577" s="160">
        <f t="shared" si="18"/>
        <v>1598.775529</v>
      </c>
      <c r="E577" s="161">
        <f t="shared" si="19"/>
        <v>13092.00558</v>
      </c>
      <c r="F577" s="161">
        <f t="shared" si="4"/>
        <v>12593.40275</v>
      </c>
      <c r="G577" s="161">
        <f t="shared" si="20"/>
        <v>12652.83979</v>
      </c>
      <c r="H577" s="161">
        <f t="shared" si="21"/>
        <v>12802.23316</v>
      </c>
      <c r="I577" s="161">
        <f t="shared" si="22"/>
        <v>12856.80868</v>
      </c>
      <c r="J577" s="162">
        <f t="shared" si="8"/>
        <v>13011.06356</v>
      </c>
      <c r="K577" s="163">
        <f t="shared" si="23"/>
        <v>0.0005768394935</v>
      </c>
      <c r="L577" s="163">
        <f t="shared" si="24"/>
        <v>0.005487600618</v>
      </c>
      <c r="M577" s="163">
        <f t="shared" si="25"/>
        <v>0.1048404626</v>
      </c>
      <c r="N577" s="163">
        <f t="shared" si="26"/>
        <v>-0.006011458726</v>
      </c>
      <c r="O577" s="164">
        <f t="shared" si="28"/>
        <v>-0.005046341155</v>
      </c>
      <c r="P577" s="164">
        <f t="shared" si="16"/>
        <v>0</v>
      </c>
      <c r="U577" s="168">
        <f t="shared" si="15"/>
        <v>1.059480074</v>
      </c>
    </row>
    <row r="578">
      <c r="A578" s="158">
        <v>45522.0</v>
      </c>
      <c r="B578" s="167">
        <v>12879.898168195934</v>
      </c>
      <c r="C578" s="160">
        <f t="shared" si="17"/>
        <v>11282.13363</v>
      </c>
      <c r="D578" s="160">
        <f t="shared" si="18"/>
        <v>1597.764537</v>
      </c>
      <c r="E578" s="161">
        <f t="shared" si="19"/>
        <v>13081.3516</v>
      </c>
      <c r="F578" s="161">
        <f t="shared" si="4"/>
        <v>12597.86289</v>
      </c>
      <c r="G578" s="161">
        <f t="shared" si="20"/>
        <v>12643.26876</v>
      </c>
      <c r="H578" s="161">
        <f t="shared" si="21"/>
        <v>12790.07647</v>
      </c>
      <c r="I578" s="161">
        <f t="shared" si="22"/>
        <v>12841.54804</v>
      </c>
      <c r="J578" s="162">
        <f t="shared" si="8"/>
        <v>12982.29006</v>
      </c>
      <c r="K578" s="163">
        <f t="shared" si="23"/>
        <v>0.002537158885</v>
      </c>
      <c r="L578" s="163">
        <f t="shared" si="24"/>
        <v>0.00550331848</v>
      </c>
      <c r="M578" s="163">
        <f t="shared" si="25"/>
        <v>0.1051407519</v>
      </c>
      <c r="N578" s="163">
        <f t="shared" si="26"/>
        <v>-0.006013824092</v>
      </c>
      <c r="O578" s="164">
        <f t="shared" si="28"/>
        <v>-0.005046341155</v>
      </c>
      <c r="P578" s="164">
        <f t="shared" si="16"/>
        <v>0</v>
      </c>
      <c r="U578" s="168">
        <f t="shared" si="15"/>
        <v>1.214983879</v>
      </c>
    </row>
    <row r="579">
      <c r="A579" s="158">
        <v>45521.0</v>
      </c>
      <c r="B579" s="167">
        <v>12847.26124016616</v>
      </c>
      <c r="C579" s="160">
        <f t="shared" si="17"/>
        <v>11275.69103</v>
      </c>
      <c r="D579" s="160">
        <f t="shared" si="18"/>
        <v>1571.570208</v>
      </c>
      <c r="E579" s="161">
        <f t="shared" si="19"/>
        <v>13070.60952</v>
      </c>
      <c r="F579" s="161">
        <f t="shared" si="4"/>
        <v>12603.27157</v>
      </c>
      <c r="G579" s="161">
        <f t="shared" si="20"/>
        <v>12633.61042</v>
      </c>
      <c r="H579" s="161">
        <f t="shared" si="21"/>
        <v>12777.2448</v>
      </c>
      <c r="I579" s="161">
        <f t="shared" si="22"/>
        <v>12822.37298</v>
      </c>
      <c r="J579" s="162">
        <f t="shared" si="8"/>
        <v>12951.21803</v>
      </c>
      <c r="K579" s="163">
        <f t="shared" si="23"/>
        <v>0.0007122092341</v>
      </c>
      <c r="L579" s="163">
        <f t="shared" si="24"/>
        <v>0.005518449703</v>
      </c>
      <c r="M579" s="163">
        <f t="shared" si="25"/>
        <v>0.1054298335</v>
      </c>
      <c r="N579" s="163">
        <f t="shared" si="26"/>
        <v>-0.006016189457</v>
      </c>
      <c r="O579" s="164">
        <f t="shared" si="28"/>
        <v>-0.005046341155</v>
      </c>
      <c r="P579" s="164">
        <f t="shared" si="16"/>
        <v>0</v>
      </c>
      <c r="U579" s="168">
        <f t="shared" si="15"/>
        <v>1.046383627</v>
      </c>
    </row>
    <row r="580">
      <c r="A580" s="158">
        <v>45520.0</v>
      </c>
      <c r="B580" s="167">
        <v>12838.11455963962</v>
      </c>
      <c r="C580" s="160">
        <f t="shared" si="17"/>
        <v>11269.3284</v>
      </c>
      <c r="D580" s="160">
        <f t="shared" si="18"/>
        <v>1568.786159</v>
      </c>
      <c r="E580" s="161">
        <f t="shared" si="19"/>
        <v>13060.36309</v>
      </c>
      <c r="F580" s="161">
        <f t="shared" si="4"/>
        <v>12605.25584</v>
      </c>
      <c r="G580" s="161">
        <f t="shared" si="20"/>
        <v>12624.88997</v>
      </c>
      <c r="H580" s="161">
        <f t="shared" si="21"/>
        <v>12767.24245</v>
      </c>
      <c r="I580" s="161">
        <f t="shared" si="22"/>
        <v>12809.92885</v>
      </c>
      <c r="J580" s="162">
        <f t="shared" si="8"/>
        <v>12929.22907</v>
      </c>
      <c r="K580" s="163">
        <f t="shared" si="23"/>
        <v>0.002056900427</v>
      </c>
      <c r="L580" s="163">
        <f t="shared" si="24"/>
        <v>0.005534527622</v>
      </c>
      <c r="M580" s="163">
        <f t="shared" si="25"/>
        <v>0.1057370017</v>
      </c>
      <c r="N580" s="163">
        <f t="shared" si="26"/>
        <v>-0.006018554822</v>
      </c>
      <c r="O580" s="164">
        <f t="shared" si="28"/>
        <v>-0.005046341155</v>
      </c>
      <c r="P580" s="164">
        <f t="shared" si="16"/>
        <v>0.0005394627974</v>
      </c>
      <c r="U580" s="168">
        <f t="shared" si="15"/>
        <v>1.137547524</v>
      </c>
    </row>
    <row r="581">
      <c r="A581" s="158">
        <v>45519.0</v>
      </c>
      <c r="B581" s="167">
        <v>12811.734975715352</v>
      </c>
      <c r="C581" s="160">
        <f t="shared" si="17"/>
        <v>11262.95122</v>
      </c>
      <c r="D581" s="160">
        <f t="shared" si="18"/>
        <v>1548.783755</v>
      </c>
      <c r="E581" s="161">
        <f t="shared" si="19"/>
        <v>13050.07573</v>
      </c>
      <c r="F581" s="161">
        <f t="shared" si="4"/>
        <v>12594.22238</v>
      </c>
      <c r="G581" s="161">
        <f t="shared" si="20"/>
        <v>12616.18693</v>
      </c>
      <c r="H581" s="161">
        <f t="shared" si="21"/>
        <v>12757.11787</v>
      </c>
      <c r="I581" s="161">
        <f t="shared" si="22"/>
        <v>12795.83599</v>
      </c>
      <c r="J581" s="162">
        <f t="shared" si="8"/>
        <v>12920.01336</v>
      </c>
      <c r="K581" s="163">
        <f t="shared" si="23"/>
        <v>-0.002596508786</v>
      </c>
      <c r="L581" s="163">
        <f t="shared" si="24"/>
        <v>0.005550489967</v>
      </c>
      <c r="M581" s="163">
        <f t="shared" si="25"/>
        <v>0.1060419619</v>
      </c>
      <c r="N581" s="163">
        <f t="shared" si="26"/>
        <v>-0.006020920187</v>
      </c>
      <c r="O581" s="164">
        <f t="shared" si="28"/>
        <v>-0.005046341155</v>
      </c>
      <c r="P581" s="164">
        <f t="shared" si="16"/>
        <v>0.002593140773</v>
      </c>
      <c r="U581" s="168">
        <f t="shared" si="15"/>
        <v>0.8717520926</v>
      </c>
    </row>
    <row r="582">
      <c r="A582" s="158">
        <v>45518.0</v>
      </c>
      <c r="B582" s="167">
        <v>12845.043982998834</v>
      </c>
      <c r="C582" s="160">
        <f t="shared" si="17"/>
        <v>11256.62965</v>
      </c>
      <c r="D582" s="160">
        <f t="shared" si="18"/>
        <v>1588.414329</v>
      </c>
      <c r="E582" s="161">
        <f t="shared" si="19"/>
        <v>13040.15173</v>
      </c>
      <c r="F582" s="161">
        <f t="shared" si="4"/>
        <v>12584.96941</v>
      </c>
      <c r="G582" s="161">
        <f t="shared" si="20"/>
        <v>12608.20538</v>
      </c>
      <c r="H582" s="161">
        <f t="shared" si="21"/>
        <v>12749.31542</v>
      </c>
      <c r="I582" s="161">
        <f t="shared" si="22"/>
        <v>12787.8865</v>
      </c>
      <c r="J582" s="162">
        <f t="shared" si="8"/>
        <v>12913.66144</v>
      </c>
      <c r="K582" s="163">
        <f t="shared" si="23"/>
        <v>0.000577022445</v>
      </c>
      <c r="L582" s="163">
        <f t="shared" si="24"/>
        <v>0.005559222509</v>
      </c>
      <c r="M582" s="163">
        <f t="shared" si="25"/>
        <v>0.1062087969</v>
      </c>
      <c r="N582" s="163">
        <f t="shared" si="26"/>
        <v>-0.006023285553</v>
      </c>
      <c r="O582" s="164">
        <f t="shared" si="28"/>
        <v>-0.005046341155</v>
      </c>
      <c r="P582" s="164">
        <f t="shared" si="16"/>
        <v>0</v>
      </c>
      <c r="U582" s="168">
        <f t="shared" si="15"/>
        <v>1.514452653</v>
      </c>
    </row>
    <row r="583">
      <c r="A583" s="158">
        <v>45517.0</v>
      </c>
      <c r="B583" s="167">
        <v>12837.634242311957</v>
      </c>
      <c r="C583" s="160">
        <f t="shared" si="17"/>
        <v>11250.11976</v>
      </c>
      <c r="D583" s="160">
        <f t="shared" si="18"/>
        <v>1587.514483</v>
      </c>
      <c r="E583" s="161">
        <f t="shared" si="19"/>
        <v>13029.18787</v>
      </c>
      <c r="F583" s="161">
        <f t="shared" si="4"/>
        <v>12583.52363</v>
      </c>
      <c r="G583" s="161">
        <f t="shared" si="20"/>
        <v>12598.5385</v>
      </c>
      <c r="H583" s="161">
        <f t="shared" si="21"/>
        <v>12735.63991</v>
      </c>
      <c r="I583" s="161">
        <f t="shared" si="22"/>
        <v>12759.30776</v>
      </c>
      <c r="J583" s="162">
        <f t="shared" si="8"/>
        <v>12887.7562</v>
      </c>
      <c r="K583" s="163">
        <f t="shared" si="23"/>
        <v>0.00624832655</v>
      </c>
      <c r="L583" s="163">
        <f t="shared" si="24"/>
        <v>0.005575616051</v>
      </c>
      <c r="M583" s="163">
        <f t="shared" si="25"/>
        <v>0.1065219951</v>
      </c>
      <c r="N583" s="163">
        <f t="shared" si="26"/>
        <v>-0.006025650918</v>
      </c>
      <c r="O583" s="164">
        <f t="shared" si="28"/>
        <v>-0.005046341155</v>
      </c>
      <c r="P583" s="164">
        <f t="shared" si="16"/>
        <v>0.0003110760878</v>
      </c>
      <c r="U583" s="168">
        <f t="shared" si="15"/>
        <v>1.743306127</v>
      </c>
    </row>
    <row r="584">
      <c r="A584" s="158">
        <v>45516.0</v>
      </c>
      <c r="B584" s="167">
        <v>12757.670591094566</v>
      </c>
      <c r="C584" s="160">
        <f t="shared" si="17"/>
        <v>11243.58678</v>
      </c>
      <c r="D584" s="160">
        <f t="shared" si="18"/>
        <v>1514.083813</v>
      </c>
      <c r="E584" s="161">
        <f t="shared" si="19"/>
        <v>13018.12565</v>
      </c>
      <c r="F584" s="161">
        <f t="shared" si="4"/>
        <v>12582.56455</v>
      </c>
      <c r="G584" s="161">
        <f t="shared" si="20"/>
        <v>12588.77949</v>
      </c>
      <c r="H584" s="161">
        <f t="shared" si="21"/>
        <v>12721.0693</v>
      </c>
      <c r="I584" s="161">
        <f t="shared" si="22"/>
        <v>12720.14453</v>
      </c>
      <c r="J584" s="162">
        <f t="shared" si="8"/>
        <v>12859.57404</v>
      </c>
      <c r="K584" s="163">
        <f t="shared" si="23"/>
        <v>0.003999717414</v>
      </c>
      <c r="L584" s="163">
        <f t="shared" si="24"/>
        <v>0.005578710539</v>
      </c>
      <c r="M584" s="163">
        <f t="shared" si="25"/>
        <v>0.1065811152</v>
      </c>
      <c r="N584" s="163">
        <f t="shared" si="26"/>
        <v>-0.006028016283</v>
      </c>
      <c r="O584" s="164">
        <f t="shared" si="28"/>
        <v>-0.005046341155</v>
      </c>
      <c r="P584" s="164">
        <f t="shared" si="16"/>
        <v>0.006537984795</v>
      </c>
      <c r="U584" s="168">
        <f t="shared" si="15"/>
        <v>0.6870765845</v>
      </c>
    </row>
    <row r="585">
      <c r="A585" s="158">
        <v>45515.0</v>
      </c>
      <c r="B585" s="167">
        <v>12706.74542489921</v>
      </c>
      <c r="C585" s="160">
        <f t="shared" si="17"/>
        <v>11237.33023</v>
      </c>
      <c r="D585" s="160">
        <f t="shared" si="18"/>
        <v>1469.415191</v>
      </c>
      <c r="E585" s="161">
        <f t="shared" si="19"/>
        <v>13008.7001</v>
      </c>
      <c r="F585" s="161">
        <f t="shared" si="4"/>
        <v>12577.67605</v>
      </c>
      <c r="G585" s="161">
        <f t="shared" si="20"/>
        <v>12581.88597</v>
      </c>
      <c r="H585" s="161">
        <f t="shared" si="21"/>
        <v>12715.84054</v>
      </c>
      <c r="I585" s="161">
        <f t="shared" si="22"/>
        <v>12701.38149</v>
      </c>
      <c r="J585" s="162">
        <f t="shared" si="8"/>
        <v>12854.00503</v>
      </c>
      <c r="K585" s="163">
        <f t="shared" si="23"/>
        <v>0.0005822674951</v>
      </c>
      <c r="L585" s="163">
        <f t="shared" si="24"/>
        <v>0.005591310837</v>
      </c>
      <c r="M585" s="163">
        <f t="shared" si="25"/>
        <v>0.1068218435</v>
      </c>
      <c r="N585" s="163">
        <f t="shared" si="26"/>
        <v>-0.006030381648</v>
      </c>
      <c r="O585" s="164">
        <f t="shared" si="28"/>
        <v>-0.005046341155</v>
      </c>
      <c r="P585" s="164">
        <f t="shared" si="16"/>
        <v>0.01050361613</v>
      </c>
      <c r="U585" s="168">
        <f t="shared" si="15"/>
        <v>-0.1711532133</v>
      </c>
    </row>
    <row r="586">
      <c r="A586" s="158">
        <v>45514.0</v>
      </c>
      <c r="B586" s="167">
        <v>12699.348853670655</v>
      </c>
      <c r="C586" s="160">
        <f t="shared" si="17"/>
        <v>11231.23307</v>
      </c>
      <c r="D586" s="160">
        <f t="shared" si="18"/>
        <v>1468.115779</v>
      </c>
      <c r="E586" s="161">
        <f t="shared" si="19"/>
        <v>13000.25576</v>
      </c>
      <c r="F586" s="161">
        <f t="shared" si="4"/>
        <v>12581.1168</v>
      </c>
      <c r="G586" s="161">
        <f t="shared" si="20"/>
        <v>12576.78967</v>
      </c>
      <c r="H586" s="161">
        <f t="shared" si="21"/>
        <v>12717.13984</v>
      </c>
      <c r="I586" s="161">
        <f t="shared" si="22"/>
        <v>12698.69953</v>
      </c>
      <c r="J586" s="162">
        <f t="shared" si="8"/>
        <v>12853.16288</v>
      </c>
      <c r="K586" s="163">
        <f t="shared" si="23"/>
        <v>0.0005822615406</v>
      </c>
      <c r="L586" s="163">
        <f t="shared" si="24"/>
        <v>0.005608135712</v>
      </c>
      <c r="M586" s="163">
        <f t="shared" si="25"/>
        <v>0.1071432823</v>
      </c>
      <c r="N586" s="163">
        <f t="shared" si="26"/>
        <v>-0.006032747014</v>
      </c>
      <c r="O586" s="164">
        <f t="shared" si="28"/>
        <v>-0.005046341155</v>
      </c>
      <c r="P586" s="164">
        <f t="shared" si="16"/>
        <v>0.0110796</v>
      </c>
      <c r="U586" s="168">
        <f t="shared" si="15"/>
        <v>-0.3400642165</v>
      </c>
    </row>
    <row r="587">
      <c r="A587" s="158">
        <v>45513.0</v>
      </c>
      <c r="B587" s="167">
        <v>12691.956663545838</v>
      </c>
      <c r="C587" s="160">
        <f t="shared" si="17"/>
        <v>11225.11593</v>
      </c>
      <c r="D587" s="160">
        <f t="shared" si="18"/>
        <v>1466.840738</v>
      </c>
      <c r="E587" s="161">
        <f t="shared" si="19"/>
        <v>12991.76396</v>
      </c>
      <c r="F587" s="161">
        <f t="shared" si="4"/>
        <v>12586.90766</v>
      </c>
      <c r="G587" s="161">
        <f t="shared" si="20"/>
        <v>12571.78725</v>
      </c>
      <c r="H587" s="161">
        <f t="shared" si="21"/>
        <v>12719.68141</v>
      </c>
      <c r="I587" s="161">
        <f t="shared" si="22"/>
        <v>12698.37486</v>
      </c>
      <c r="J587" s="162">
        <f t="shared" si="8"/>
        <v>12852.45516</v>
      </c>
      <c r="K587" s="163">
        <f t="shared" si="23"/>
        <v>0.004281776274</v>
      </c>
      <c r="L587" s="163">
        <f t="shared" si="24"/>
        <v>0.005625113374</v>
      </c>
      <c r="M587" s="163">
        <f t="shared" si="25"/>
        <v>0.1074676401</v>
      </c>
      <c r="N587" s="163">
        <f t="shared" si="26"/>
        <v>-0.006035112379</v>
      </c>
      <c r="O587" s="164">
        <f t="shared" si="28"/>
        <v>-0.005046341155</v>
      </c>
      <c r="P587" s="164">
        <f t="shared" si="16"/>
        <v>0.01165524272</v>
      </c>
      <c r="U587" s="168">
        <f t="shared" si="15"/>
        <v>-0.5429110903</v>
      </c>
    </row>
    <row r="588">
      <c r="A588" s="158">
        <v>45512.0</v>
      </c>
      <c r="B588" s="167">
        <v>12637.7287234382</v>
      </c>
      <c r="C588" s="160">
        <f t="shared" si="17"/>
        <v>11218.97852</v>
      </c>
      <c r="D588" s="160">
        <f t="shared" si="18"/>
        <v>1418.750206</v>
      </c>
      <c r="E588" s="161">
        <f t="shared" si="19"/>
        <v>12983.22311</v>
      </c>
      <c r="F588" s="161">
        <f t="shared" si="4"/>
        <v>12595.35785</v>
      </c>
      <c r="G588" s="161">
        <f t="shared" si="20"/>
        <v>12566.88238</v>
      </c>
      <c r="H588" s="161">
        <f t="shared" si="21"/>
        <v>12723.64209</v>
      </c>
      <c r="I588" s="161">
        <f t="shared" si="22"/>
        <v>12701.58396</v>
      </c>
      <c r="J588" s="162">
        <f t="shared" si="8"/>
        <v>12851.92633</v>
      </c>
      <c r="K588" s="163">
        <f t="shared" si="23"/>
        <v>-0.005790281298</v>
      </c>
      <c r="L588" s="163">
        <f t="shared" si="24"/>
        <v>0.005637178127</v>
      </c>
      <c r="M588" s="163">
        <f t="shared" si="25"/>
        <v>0.1076981369</v>
      </c>
      <c r="N588" s="163">
        <f t="shared" si="26"/>
        <v>-0.006037477744</v>
      </c>
      <c r="O588" s="164">
        <f t="shared" si="28"/>
        <v>-0.005046341155</v>
      </c>
      <c r="P588" s="164">
        <f t="shared" si="16"/>
        <v>0.0158780668</v>
      </c>
      <c r="U588" s="168">
        <f t="shared" si="15"/>
        <v>-1.74124859</v>
      </c>
    </row>
    <row r="589">
      <c r="A589" s="158">
        <v>45511.0</v>
      </c>
      <c r="B589" s="167">
        <v>12711.116992035722</v>
      </c>
      <c r="C589" s="160">
        <f t="shared" si="17"/>
        <v>11213.01738</v>
      </c>
      <c r="D589" s="160">
        <f t="shared" si="18"/>
        <v>1498.09961</v>
      </c>
      <c r="E589" s="161">
        <f t="shared" si="19"/>
        <v>12975.78098</v>
      </c>
      <c r="F589" s="161">
        <f t="shared" si="4"/>
        <v>12632.7243</v>
      </c>
      <c r="G589" s="161">
        <f t="shared" si="20"/>
        <v>12563.99069</v>
      </c>
      <c r="H589" s="161">
        <f t="shared" si="21"/>
        <v>12735.91543</v>
      </c>
      <c r="I589" s="161">
        <f t="shared" si="22"/>
        <v>12733.51158</v>
      </c>
      <c r="J589" s="162">
        <f t="shared" si="8"/>
        <v>12839.10656</v>
      </c>
      <c r="K589" s="163">
        <f t="shared" si="23"/>
        <v>0.0004937204967</v>
      </c>
      <c r="L589" s="163">
        <f t="shared" si="24"/>
        <v>0.005627830347</v>
      </c>
      <c r="M589" s="163">
        <f t="shared" si="25"/>
        <v>0.1075195478</v>
      </c>
      <c r="N589" s="163">
        <f t="shared" si="26"/>
        <v>-0.006039843109</v>
      </c>
      <c r="O589" s="164">
        <f t="shared" si="28"/>
        <v>-0.005046341155</v>
      </c>
      <c r="P589" s="164">
        <f t="shared" si="16"/>
        <v>0.01016319459</v>
      </c>
      <c r="U589" s="168">
        <f t="shared" si="15"/>
        <v>-0.624820465</v>
      </c>
    </row>
    <row r="590">
      <c r="A590" s="158">
        <v>45510.0</v>
      </c>
      <c r="B590" s="167">
        <v>12704.84280201614</v>
      </c>
      <c r="C590" s="160">
        <f t="shared" si="17"/>
        <v>11206.69629</v>
      </c>
      <c r="D590" s="160">
        <f t="shared" si="18"/>
        <v>1498.146516</v>
      </c>
      <c r="E590" s="161">
        <f t="shared" si="19"/>
        <v>12966.31687</v>
      </c>
      <c r="F590" s="161">
        <f t="shared" si="4"/>
        <v>12637.52096</v>
      </c>
      <c r="G590" s="161">
        <f t="shared" si="20"/>
        <v>12557.98553</v>
      </c>
      <c r="H590" s="161">
        <f t="shared" si="21"/>
        <v>12739.45806</v>
      </c>
      <c r="I590" s="161">
        <f t="shared" si="22"/>
        <v>12744.70888</v>
      </c>
      <c r="J590" s="162">
        <f t="shared" si="8"/>
        <v>12841.39516</v>
      </c>
      <c r="K590" s="163">
        <f t="shared" si="23"/>
        <v>-0.002014607045</v>
      </c>
      <c r="L590" s="163">
        <f t="shared" si="24"/>
        <v>0.005645102528</v>
      </c>
      <c r="M590" s="163">
        <f t="shared" si="25"/>
        <v>0.1078495324</v>
      </c>
      <c r="N590" s="163">
        <f t="shared" si="26"/>
        <v>-0.006042208475</v>
      </c>
      <c r="O590" s="164">
        <f t="shared" si="28"/>
        <v>-0.003526122572</v>
      </c>
      <c r="P590" s="164">
        <f t="shared" si="16"/>
        <v>0.01065177668</v>
      </c>
      <c r="U590" s="168">
        <f t="shared" si="15"/>
        <v>-0.8828941577</v>
      </c>
    </row>
    <row r="591">
      <c r="A591" s="158">
        <v>45509.0</v>
      </c>
      <c r="B591" s="167">
        <v>12730.463867348519</v>
      </c>
      <c r="C591" s="160">
        <f t="shared" si="17"/>
        <v>11200.34821</v>
      </c>
      <c r="D591" s="160">
        <f t="shared" si="18"/>
        <v>1530.11566</v>
      </c>
      <c r="E591" s="161">
        <f t="shared" si="19"/>
        <v>12956.75321</v>
      </c>
      <c r="F591" s="161">
        <f t="shared" si="4"/>
        <v>12642.5122</v>
      </c>
      <c r="G591" s="161">
        <f t="shared" si="20"/>
        <v>12551.99136</v>
      </c>
      <c r="H591" s="161">
        <f t="shared" si="21"/>
        <v>12744.4031</v>
      </c>
      <c r="I591" s="161">
        <f t="shared" si="22"/>
        <v>12764.64191</v>
      </c>
      <c r="J591" s="162">
        <f t="shared" si="8"/>
        <v>12846.29399</v>
      </c>
      <c r="K591" s="163">
        <f t="shared" si="23"/>
        <v>-0.004137080979</v>
      </c>
      <c r="L591" s="163">
        <f t="shared" si="24"/>
        <v>0.005656989871</v>
      </c>
      <c r="M591" s="163">
        <f t="shared" si="25"/>
        <v>0.1080766397</v>
      </c>
      <c r="N591" s="163">
        <f t="shared" si="26"/>
        <v>-0.006089445263</v>
      </c>
      <c r="O591" s="164">
        <f t="shared" si="28"/>
        <v>-0.003526122572</v>
      </c>
      <c r="P591" s="164">
        <f t="shared" si="16"/>
        <v>0.008656619729</v>
      </c>
      <c r="U591" s="168">
        <f t="shared" si="15"/>
        <v>-0.3556941888</v>
      </c>
    </row>
    <row r="592">
      <c r="A592" s="158">
        <v>45508.0</v>
      </c>
      <c r="B592" s="167">
        <v>12783.239921404147</v>
      </c>
      <c r="C592" s="160">
        <f t="shared" si="17"/>
        <v>11193.83708</v>
      </c>
      <c r="D592" s="160">
        <f t="shared" si="18"/>
        <v>1589.402844</v>
      </c>
      <c r="E592" s="161">
        <f t="shared" si="19"/>
        <v>12946.28963</v>
      </c>
      <c r="F592" s="161">
        <f t="shared" si="4"/>
        <v>12632.96446</v>
      </c>
      <c r="G592" s="161">
        <f t="shared" si="20"/>
        <v>12544.70677</v>
      </c>
      <c r="H592" s="161">
        <f t="shared" si="21"/>
        <v>12746.39442</v>
      </c>
      <c r="I592" s="161">
        <f t="shared" si="22"/>
        <v>12781.73094</v>
      </c>
      <c r="J592" s="162">
        <f t="shared" si="8"/>
        <v>12859.82437</v>
      </c>
      <c r="K592" s="163">
        <f t="shared" si="23"/>
        <v>0.0009280234016</v>
      </c>
      <c r="L592" s="163">
        <f t="shared" si="24"/>
        <v>0.005658635719</v>
      </c>
      <c r="M592" s="163">
        <f t="shared" si="25"/>
        <v>0.1081080836</v>
      </c>
      <c r="N592" s="163">
        <f t="shared" si="26"/>
        <v>-0.006136682051</v>
      </c>
      <c r="O592" s="164">
        <f t="shared" si="28"/>
        <v>-0.003526122572</v>
      </c>
      <c r="P592" s="164">
        <f t="shared" si="16"/>
        <v>0.004546856537</v>
      </c>
      <c r="U592" s="168">
        <f t="shared" si="15"/>
        <v>0.8445592365</v>
      </c>
    </row>
    <row r="593">
      <c r="A593" s="158">
        <v>45507.0</v>
      </c>
      <c r="B593" s="167">
        <v>12771.382278544255</v>
      </c>
      <c r="C593" s="160">
        <f t="shared" si="17"/>
        <v>11187.04476</v>
      </c>
      <c r="D593" s="160">
        <f t="shared" si="18"/>
        <v>1584.337521</v>
      </c>
      <c r="E593" s="161">
        <f t="shared" si="19"/>
        <v>12934.21733</v>
      </c>
      <c r="F593" s="161">
        <f t="shared" si="4"/>
        <v>12619.2525</v>
      </c>
      <c r="G593" s="161">
        <f t="shared" si="20"/>
        <v>12534.97072</v>
      </c>
      <c r="H593" s="161">
        <f t="shared" si="21"/>
        <v>12741.13077</v>
      </c>
      <c r="I593" s="161">
        <f t="shared" si="22"/>
        <v>12780.97644</v>
      </c>
      <c r="J593" s="162">
        <f t="shared" si="8"/>
        <v>12863.00904</v>
      </c>
      <c r="K593" s="163">
        <f t="shared" si="23"/>
        <v>0.0005569601431</v>
      </c>
      <c r="L593" s="163">
        <f t="shared" si="24"/>
        <v>0.005676562035</v>
      </c>
      <c r="M593" s="163">
        <f t="shared" si="25"/>
        <v>0.1084505654</v>
      </c>
      <c r="N593" s="163">
        <f t="shared" si="26"/>
        <v>-0.006183918839</v>
      </c>
      <c r="O593" s="164">
        <f t="shared" si="28"/>
        <v>-0.002729928402</v>
      </c>
      <c r="P593" s="164">
        <f t="shared" si="16"/>
        <v>0.005470231826</v>
      </c>
      <c r="U593" s="168">
        <f t="shared" si="15"/>
        <v>0.6453481607</v>
      </c>
    </row>
    <row r="594">
      <c r="A594" s="158">
        <v>45506.0</v>
      </c>
      <c r="B594" s="167">
        <v>12764.271108146397</v>
      </c>
      <c r="C594" s="160">
        <f t="shared" si="17"/>
        <v>11180.24503</v>
      </c>
      <c r="D594" s="160">
        <f t="shared" si="18"/>
        <v>1584.026083</v>
      </c>
      <c r="E594" s="161">
        <f t="shared" si="19"/>
        <v>12922.12662</v>
      </c>
      <c r="F594" s="161">
        <f t="shared" si="4"/>
        <v>12606.36587</v>
      </c>
      <c r="G594" s="161">
        <f t="shared" si="20"/>
        <v>12525.32127</v>
      </c>
      <c r="H594" s="161">
        <f t="shared" si="21"/>
        <v>12736.80913</v>
      </c>
      <c r="I594" s="161">
        <f t="shared" si="22"/>
        <v>12785.77353</v>
      </c>
      <c r="J594" s="162">
        <f t="shared" si="8"/>
        <v>12867.25239</v>
      </c>
      <c r="K594" s="163">
        <f t="shared" si="23"/>
        <v>-0.006042208475</v>
      </c>
      <c r="L594" s="163">
        <f t="shared" si="24"/>
        <v>0.005694436952</v>
      </c>
      <c r="M594" s="163">
        <f t="shared" si="25"/>
        <v>0.1087920652</v>
      </c>
      <c r="N594" s="163">
        <f t="shared" si="26"/>
        <v>-0.006231155627</v>
      </c>
      <c r="O594" s="164">
        <f t="shared" si="28"/>
        <v>-0.002729928402</v>
      </c>
      <c r="P594" s="164">
        <f t="shared" si="16"/>
        <v>0.006023991043</v>
      </c>
      <c r="U594" s="168">
        <f t="shared" si="15"/>
        <v>0.5473732257</v>
      </c>
    </row>
    <row r="595">
      <c r="A595" s="158">
        <v>45505.0</v>
      </c>
      <c r="B595" s="167">
        <v>12841.62896601202</v>
      </c>
      <c r="C595" s="160">
        <f t="shared" si="17"/>
        <v>11173.41733</v>
      </c>
      <c r="D595" s="160">
        <f t="shared" si="18"/>
        <v>1668.211639</v>
      </c>
      <c r="E595" s="161">
        <f t="shared" si="19"/>
        <v>12909.89591</v>
      </c>
      <c r="F595" s="161">
        <f t="shared" si="4"/>
        <v>12594.7905</v>
      </c>
      <c r="G595" s="161">
        <f t="shared" si="20"/>
        <v>12515.56821</v>
      </c>
      <c r="H595" s="161">
        <f t="shared" si="21"/>
        <v>12732.88599</v>
      </c>
      <c r="I595" s="161">
        <f t="shared" si="22"/>
        <v>12796.52474</v>
      </c>
      <c r="J595" s="162">
        <f t="shared" si="8"/>
        <v>12870.98148</v>
      </c>
      <c r="K595" s="163">
        <f t="shared" si="23"/>
        <v>0.0017161929</v>
      </c>
      <c r="L595" s="163">
        <f t="shared" si="24"/>
        <v>0.005682249797</v>
      </c>
      <c r="M595" s="163">
        <f t="shared" si="25"/>
        <v>0.1085592299</v>
      </c>
      <c r="N595" s="163">
        <f t="shared" si="26"/>
        <v>-0.006242911936</v>
      </c>
      <c r="O595" s="164">
        <f t="shared" si="28"/>
        <v>-0.002729928402</v>
      </c>
      <c r="P595" s="164">
        <f t="shared" si="16"/>
        <v>0</v>
      </c>
      <c r="U595" s="168">
        <f t="shared" si="15"/>
        <v>2.047364015</v>
      </c>
    </row>
    <row r="596">
      <c r="A596" s="158">
        <v>45504.0</v>
      </c>
      <c r="B596" s="167">
        <v>12819.609154083457</v>
      </c>
      <c r="C596" s="160">
        <f t="shared" si="17"/>
        <v>11166.19563</v>
      </c>
      <c r="D596" s="160">
        <f t="shared" si="18"/>
        <v>1653.413522</v>
      </c>
      <c r="E596" s="161">
        <f t="shared" si="19"/>
        <v>12895.35516</v>
      </c>
      <c r="F596" s="161">
        <f t="shared" si="4"/>
        <v>12597.21254</v>
      </c>
      <c r="G596" s="161">
        <f t="shared" si="20"/>
        <v>12502.25961</v>
      </c>
      <c r="H596" s="161">
        <f t="shared" si="21"/>
        <v>12717.35128</v>
      </c>
      <c r="I596" s="161">
        <f t="shared" si="22"/>
        <v>12773.97262</v>
      </c>
      <c r="J596" s="162">
        <f t="shared" si="8"/>
        <v>12837.49001</v>
      </c>
      <c r="K596" s="163">
        <f t="shared" si="23"/>
        <v>0.003167645354</v>
      </c>
      <c r="L596" s="163">
        <f t="shared" si="24"/>
        <v>0.005700580695</v>
      </c>
      <c r="M596" s="163">
        <f t="shared" si="25"/>
        <v>0.1089094413</v>
      </c>
      <c r="N596" s="163">
        <f t="shared" si="26"/>
        <v>-0.006292514089</v>
      </c>
      <c r="O596" s="164">
        <f t="shared" si="28"/>
        <v>-0.001835623982</v>
      </c>
      <c r="P596" s="164">
        <f t="shared" si="16"/>
        <v>0</v>
      </c>
      <c r="U596" s="168">
        <f t="shared" si="15"/>
        <v>2.213028759</v>
      </c>
    </row>
    <row r="597">
      <c r="A597" s="158">
        <v>45503.0</v>
      </c>
      <c r="B597" s="167">
        <v>12779.065426688849</v>
      </c>
      <c r="C597" s="160">
        <f t="shared" si="17"/>
        <v>11159.00688</v>
      </c>
      <c r="D597" s="160">
        <f t="shared" si="18"/>
        <v>1620.05855</v>
      </c>
      <c r="E597" s="161">
        <f t="shared" si="19"/>
        <v>12881.00178</v>
      </c>
      <c r="F597" s="161">
        <f t="shared" si="4"/>
        <v>12603.65029</v>
      </c>
      <c r="G597" s="161">
        <f t="shared" si="20"/>
        <v>12489.30657</v>
      </c>
      <c r="H597" s="161">
        <f t="shared" si="21"/>
        <v>12702.74301</v>
      </c>
      <c r="I597" s="161">
        <f t="shared" si="22"/>
        <v>12751.15435</v>
      </c>
      <c r="J597" s="162">
        <f t="shared" si="8"/>
        <v>12801.83573</v>
      </c>
      <c r="K597" s="163">
        <f t="shared" si="23"/>
        <v>0.001685630023</v>
      </c>
      <c r="L597" s="163">
        <f t="shared" si="24"/>
        <v>0.005717219431</v>
      </c>
      <c r="M597" s="163">
        <f t="shared" si="25"/>
        <v>0.1092273239</v>
      </c>
      <c r="N597" s="163">
        <f t="shared" si="26"/>
        <v>-0.006342116243</v>
      </c>
      <c r="O597" s="164">
        <f t="shared" si="28"/>
        <v>-0.001835623982</v>
      </c>
      <c r="P597" s="164">
        <f t="shared" si="16"/>
        <v>0</v>
      </c>
      <c r="U597" s="168">
        <f t="shared" si="15"/>
        <v>2.002551671</v>
      </c>
    </row>
    <row r="598">
      <c r="A598" s="158">
        <v>45502.0</v>
      </c>
      <c r="B598" s="167">
        <v>12757.542795038049</v>
      </c>
      <c r="C598" s="160">
        <f t="shared" si="17"/>
        <v>11151.93239</v>
      </c>
      <c r="D598" s="160">
        <f t="shared" si="18"/>
        <v>1605.610409</v>
      </c>
      <c r="E598" s="161">
        <f t="shared" si="19"/>
        <v>12867.32232</v>
      </c>
      <c r="F598" s="161">
        <f t="shared" si="4"/>
        <v>12598.86552</v>
      </c>
      <c r="G598" s="161">
        <f t="shared" si="20"/>
        <v>12477.47968</v>
      </c>
      <c r="H598" s="161">
        <f t="shared" si="21"/>
        <v>12691.83981</v>
      </c>
      <c r="I598" s="161">
        <f t="shared" si="22"/>
        <v>12737.19882</v>
      </c>
      <c r="J598" s="162">
        <f t="shared" si="8"/>
        <v>12784.81409</v>
      </c>
      <c r="K598" s="163">
        <f t="shared" si="23"/>
        <v>0.001438483444</v>
      </c>
      <c r="L598" s="163">
        <f t="shared" si="24"/>
        <v>0.005735913628</v>
      </c>
      <c r="M598" s="163">
        <f t="shared" si="25"/>
        <v>0.109584476</v>
      </c>
      <c r="N598" s="163">
        <f t="shared" si="26"/>
        <v>-0.006391718396</v>
      </c>
      <c r="O598" s="164">
        <f t="shared" si="28"/>
        <v>-0.001835623982</v>
      </c>
      <c r="P598" s="164">
        <f t="shared" si="16"/>
        <v>0</v>
      </c>
      <c r="U598" s="168">
        <f t="shared" si="15"/>
        <v>1.83736575</v>
      </c>
    </row>
    <row r="599">
      <c r="A599" s="158">
        <v>45501.0</v>
      </c>
      <c r="B599" s="167">
        <v>12739.204473784497</v>
      </c>
      <c r="C599" s="160">
        <f t="shared" si="17"/>
        <v>11144.89023</v>
      </c>
      <c r="D599" s="160">
        <f t="shared" si="18"/>
        <v>1594.314239</v>
      </c>
      <c r="E599" s="161">
        <f t="shared" si="19"/>
        <v>12853.83925</v>
      </c>
      <c r="F599" s="161">
        <f t="shared" si="4"/>
        <v>12591.45714</v>
      </c>
      <c r="G599" s="161">
        <f t="shared" si="20"/>
        <v>12466.04853</v>
      </c>
      <c r="H599" s="161">
        <f t="shared" si="21"/>
        <v>12682.45367</v>
      </c>
      <c r="I599" s="161">
        <f t="shared" si="22"/>
        <v>12727.02683</v>
      </c>
      <c r="J599" s="162">
        <f t="shared" si="8"/>
        <v>12773.45019</v>
      </c>
      <c r="K599" s="163">
        <f t="shared" si="23"/>
        <v>0.0005554501018</v>
      </c>
      <c r="L599" s="163">
        <f t="shared" si="24"/>
        <v>0.005754865389</v>
      </c>
      <c r="M599" s="163">
        <f t="shared" si="25"/>
        <v>0.1099465489</v>
      </c>
      <c r="N599" s="163">
        <f t="shared" si="26"/>
        <v>-0.006441320549</v>
      </c>
      <c r="O599" s="164">
        <f t="shared" si="28"/>
        <v>-0.001835623982</v>
      </c>
      <c r="P599" s="164">
        <f t="shared" si="16"/>
        <v>0</v>
      </c>
      <c r="U599" s="168">
        <f t="shared" si="15"/>
        <v>1.621513508</v>
      </c>
    </row>
    <row r="600">
      <c r="A600" s="158">
        <v>45500.0</v>
      </c>
      <c r="B600" s="167">
        <v>12732.130446178817</v>
      </c>
      <c r="C600" s="160">
        <f t="shared" si="17"/>
        <v>11137.86682</v>
      </c>
      <c r="D600" s="160">
        <f t="shared" si="18"/>
        <v>1594.263622</v>
      </c>
      <c r="E600" s="161">
        <f t="shared" si="19"/>
        <v>12840.47452</v>
      </c>
      <c r="F600" s="161">
        <f t="shared" si="4"/>
        <v>12582.50759</v>
      </c>
      <c r="G600" s="161">
        <f t="shared" si="20"/>
        <v>12454.89931</v>
      </c>
      <c r="H600" s="161">
        <f t="shared" si="21"/>
        <v>12674.34641</v>
      </c>
      <c r="I600" s="161">
        <f t="shared" si="22"/>
        <v>12720.93801</v>
      </c>
      <c r="J600" s="162">
        <f t="shared" si="8"/>
        <v>12766.18523</v>
      </c>
      <c r="K600" s="163">
        <f t="shared" si="23"/>
        <v>0.0003182479147</v>
      </c>
      <c r="L600" s="163">
        <f t="shared" si="24"/>
        <v>0.005773688786</v>
      </c>
      <c r="M600" s="163">
        <f t="shared" si="25"/>
        <v>0.1103061694</v>
      </c>
      <c r="N600" s="163">
        <f t="shared" si="26"/>
        <v>-0.006490922703</v>
      </c>
      <c r="O600" s="164">
        <f t="shared" si="28"/>
        <v>-0.001835623982</v>
      </c>
      <c r="P600" s="164">
        <f t="shared" si="16"/>
        <v>0</v>
      </c>
      <c r="U600" s="168">
        <f t="shared" si="15"/>
        <v>1.63589321</v>
      </c>
    </row>
    <row r="601">
      <c r="A601" s="158">
        <v>45499.0</v>
      </c>
      <c r="B601" s="167">
        <v>12728.079116912184</v>
      </c>
      <c r="C601" s="160">
        <f t="shared" si="17"/>
        <v>11130.81256</v>
      </c>
      <c r="D601" s="160">
        <f t="shared" si="18"/>
        <v>1597.266557</v>
      </c>
      <c r="E601" s="161">
        <f t="shared" si="19"/>
        <v>12826.93316</v>
      </c>
      <c r="F601" s="161">
        <f t="shared" si="4"/>
        <v>12573.76617</v>
      </c>
      <c r="G601" s="161">
        <f t="shared" si="20"/>
        <v>12443.58375</v>
      </c>
      <c r="H601" s="161">
        <f t="shared" si="21"/>
        <v>12666.09155</v>
      </c>
      <c r="I601" s="161">
        <f t="shared" si="22"/>
        <v>12715.34179</v>
      </c>
      <c r="J601" s="162">
        <f t="shared" si="8"/>
        <v>12758.41692</v>
      </c>
      <c r="K601" s="163">
        <f t="shared" si="23"/>
        <v>0.0004575785808</v>
      </c>
      <c r="L601" s="163">
        <f t="shared" si="24"/>
        <v>0.005792456145</v>
      </c>
      <c r="M601" s="163">
        <f t="shared" si="25"/>
        <v>0.1106647193</v>
      </c>
      <c r="N601" s="163">
        <f t="shared" si="26"/>
        <v>-0.006540524856</v>
      </c>
      <c r="O601" s="164">
        <f t="shared" si="28"/>
        <v>-0.001835623982</v>
      </c>
      <c r="P601" s="164">
        <f t="shared" si="16"/>
        <v>0</v>
      </c>
      <c r="U601" s="168">
        <f t="shared" si="15"/>
        <v>1.745648872</v>
      </c>
    </row>
    <row r="602">
      <c r="A602" s="158">
        <v>45498.0</v>
      </c>
      <c r="B602" s="167">
        <v>12722.256352821129</v>
      </c>
      <c r="C602" s="160">
        <f t="shared" si="17"/>
        <v>11123.7136</v>
      </c>
      <c r="D602" s="160">
        <f t="shared" si="18"/>
        <v>1598.542755</v>
      </c>
      <c r="E602" s="161">
        <f t="shared" si="19"/>
        <v>12813.12916</v>
      </c>
      <c r="F602" s="161">
        <f t="shared" si="4"/>
        <v>12544.38403</v>
      </c>
      <c r="G602" s="161">
        <f t="shared" si="20"/>
        <v>12431.9717</v>
      </c>
      <c r="H602" s="161">
        <f t="shared" si="21"/>
        <v>12657.23618</v>
      </c>
      <c r="I602" s="161">
        <f t="shared" si="22"/>
        <v>12708.97312</v>
      </c>
      <c r="J602" s="162">
        <f t="shared" si="8"/>
        <v>12770.08832</v>
      </c>
      <c r="K602" s="163">
        <f t="shared" si="23"/>
        <v>-0.00003394920004</v>
      </c>
      <c r="L602" s="163">
        <f t="shared" si="24"/>
        <v>0.00581155919</v>
      </c>
      <c r="M602" s="163">
        <f t="shared" si="25"/>
        <v>0.1110296824</v>
      </c>
      <c r="N602" s="163">
        <f t="shared" si="26"/>
        <v>-0.006590127009</v>
      </c>
      <c r="O602" s="164">
        <f t="shared" si="28"/>
        <v>-0.001835623982</v>
      </c>
      <c r="P602" s="164">
        <f t="shared" si="16"/>
        <v>0.00003394862377</v>
      </c>
      <c r="U602" s="168">
        <f t="shared" si="15"/>
        <v>1.497999482</v>
      </c>
    </row>
    <row r="603">
      <c r="A603" s="158">
        <v>45497.0</v>
      </c>
      <c r="B603" s="167">
        <v>12722.688270578614</v>
      </c>
      <c r="C603" s="160">
        <f t="shared" si="17"/>
        <v>11116.57725</v>
      </c>
      <c r="D603" s="160">
        <f t="shared" si="18"/>
        <v>1606.111024</v>
      </c>
      <c r="E603" s="161">
        <f t="shared" si="19"/>
        <v>12799.10205</v>
      </c>
      <c r="F603" s="161">
        <f t="shared" si="4"/>
        <v>12521.07146</v>
      </c>
      <c r="G603" s="161">
        <f t="shared" si="20"/>
        <v>12420.12334</v>
      </c>
      <c r="H603" s="161">
        <f t="shared" si="21"/>
        <v>12647.94758</v>
      </c>
      <c r="I603" s="161">
        <f t="shared" si="22"/>
        <v>12702.3315</v>
      </c>
      <c r="J603" s="162">
        <f t="shared" si="8"/>
        <v>12774.8237</v>
      </c>
      <c r="K603" s="163">
        <f t="shared" si="23"/>
        <v>0.0003805625915</v>
      </c>
      <c r="L603" s="163">
        <f t="shared" si="24"/>
        <v>0.005830210467</v>
      </c>
      <c r="M603" s="163">
        <f t="shared" si="25"/>
        <v>0.1113860146</v>
      </c>
      <c r="N603" s="163">
        <f t="shared" si="26"/>
        <v>-0.006639729162</v>
      </c>
      <c r="O603" s="164">
        <f t="shared" si="28"/>
        <v>-0.001835623982</v>
      </c>
      <c r="P603" s="164">
        <f t="shared" si="16"/>
        <v>0</v>
      </c>
      <c r="U603" s="168">
        <f t="shared" si="15"/>
        <v>1.531618331</v>
      </c>
    </row>
    <row r="604">
      <c r="A604" s="158">
        <v>45496.0</v>
      </c>
      <c r="B604" s="167">
        <v>12717.847412542593</v>
      </c>
      <c r="C604" s="160">
        <f t="shared" si="17"/>
        <v>11109.37495</v>
      </c>
      <c r="D604" s="160">
        <f t="shared" si="18"/>
        <v>1608.472458</v>
      </c>
      <c r="E604" s="161">
        <f t="shared" si="19"/>
        <v>12784.67592</v>
      </c>
      <c r="F604" s="161">
        <f t="shared" si="4"/>
        <v>12514.04463</v>
      </c>
      <c r="G604" s="161">
        <f t="shared" si="20"/>
        <v>12407.77375</v>
      </c>
      <c r="H604" s="161">
        <f t="shared" si="21"/>
        <v>12637.27034</v>
      </c>
      <c r="I604" s="161">
        <f t="shared" si="22"/>
        <v>12692.15312</v>
      </c>
      <c r="J604" s="162">
        <f t="shared" si="8"/>
        <v>12760.49605</v>
      </c>
      <c r="K604" s="163">
        <f t="shared" si="23"/>
        <v>0.001007515031</v>
      </c>
      <c r="L604" s="163">
        <f t="shared" si="24"/>
        <v>0.005849608389</v>
      </c>
      <c r="M604" s="163">
        <f t="shared" si="25"/>
        <v>0.1117566114</v>
      </c>
      <c r="N604" s="163">
        <f t="shared" si="26"/>
        <v>-0.006689331316</v>
      </c>
      <c r="O604" s="164">
        <f t="shared" si="28"/>
        <v>-0.001835623982</v>
      </c>
      <c r="P604" s="164">
        <f t="shared" si="16"/>
        <v>0</v>
      </c>
      <c r="U604" s="168">
        <f t="shared" si="15"/>
        <v>1.700135317</v>
      </c>
    </row>
    <row r="605">
      <c r="A605" s="158">
        <v>45495.0</v>
      </c>
      <c r="B605" s="167">
        <v>12705.040442808933</v>
      </c>
      <c r="C605" s="160">
        <f t="shared" si="17"/>
        <v>11102.12958</v>
      </c>
      <c r="D605" s="160">
        <f t="shared" si="18"/>
        <v>1602.91086</v>
      </c>
      <c r="E605" s="161">
        <f t="shared" si="19"/>
        <v>12769.98194</v>
      </c>
      <c r="F605" s="161">
        <f t="shared" si="4"/>
        <v>12513.92749</v>
      </c>
      <c r="G605" s="161">
        <f t="shared" si="20"/>
        <v>12395.11769</v>
      </c>
      <c r="H605" s="161">
        <f t="shared" si="21"/>
        <v>12625.75933</v>
      </c>
      <c r="I605" s="161">
        <f t="shared" si="22"/>
        <v>12679.30597</v>
      </c>
      <c r="J605" s="162">
        <f t="shared" si="8"/>
        <v>12737.59117</v>
      </c>
      <c r="K605" s="163">
        <f t="shared" si="23"/>
        <v>0.002171595948</v>
      </c>
      <c r="L605" s="163">
        <f t="shared" si="24"/>
        <v>0.005869679679</v>
      </c>
      <c r="M605" s="163">
        <f t="shared" si="25"/>
        <v>0.1121400728</v>
      </c>
      <c r="N605" s="163">
        <f t="shared" si="26"/>
        <v>-0.006738933469</v>
      </c>
      <c r="O605" s="164">
        <f t="shared" si="28"/>
        <v>-0.001835623982</v>
      </c>
      <c r="P605" s="164">
        <f t="shared" si="16"/>
        <v>0</v>
      </c>
      <c r="U605" s="168">
        <f t="shared" si="15"/>
        <v>1.843221842</v>
      </c>
    </row>
    <row r="606">
      <c r="A606" s="158">
        <v>45494.0</v>
      </c>
      <c r="B606" s="167">
        <v>12677.480164189199</v>
      </c>
      <c r="C606" s="160">
        <f t="shared" si="17"/>
        <v>11094.87659</v>
      </c>
      <c r="D606" s="160">
        <f t="shared" si="18"/>
        <v>1582.603571</v>
      </c>
      <c r="E606" s="161">
        <f t="shared" si="19"/>
        <v>12755.23003</v>
      </c>
      <c r="F606" s="161">
        <f t="shared" si="4"/>
        <v>12473.85716</v>
      </c>
      <c r="G606" s="161">
        <f t="shared" si="20"/>
        <v>12382.46778</v>
      </c>
      <c r="H606" s="161">
        <f t="shared" si="21"/>
        <v>12614.43346</v>
      </c>
      <c r="I606" s="161">
        <f t="shared" si="22"/>
        <v>12666.43874</v>
      </c>
      <c r="J606" s="162">
        <f t="shared" si="8"/>
        <v>12755.00975</v>
      </c>
      <c r="K606" s="163">
        <f t="shared" si="23"/>
        <v>0.0003167095974</v>
      </c>
      <c r="L606" s="163">
        <f t="shared" si="24"/>
        <v>0.005889616306</v>
      </c>
      <c r="M606" s="163">
        <f t="shared" si="25"/>
        <v>0.1125209615</v>
      </c>
      <c r="N606" s="163">
        <f t="shared" si="26"/>
        <v>-0.006788535622</v>
      </c>
      <c r="O606" s="164">
        <f t="shared" si="28"/>
        <v>-0.001835623982</v>
      </c>
      <c r="P606" s="164">
        <f t="shared" si="16"/>
        <v>0</v>
      </c>
      <c r="U606" s="168">
        <f t="shared" si="15"/>
        <v>1.166067426</v>
      </c>
    </row>
    <row r="607">
      <c r="A607" s="158">
        <v>45493.0</v>
      </c>
      <c r="B607" s="167">
        <v>12673.465720290966</v>
      </c>
      <c r="C607" s="160">
        <f t="shared" si="17"/>
        <v>11087.68294</v>
      </c>
      <c r="D607" s="160">
        <f t="shared" si="18"/>
        <v>1585.78278</v>
      </c>
      <c r="E607" s="161">
        <f t="shared" si="19"/>
        <v>12740.82532</v>
      </c>
      <c r="F607" s="161">
        <f t="shared" si="4"/>
        <v>12441.57901</v>
      </c>
      <c r="G607" s="161">
        <f t="shared" si="20"/>
        <v>12370.42646</v>
      </c>
      <c r="H607" s="161">
        <f t="shared" si="21"/>
        <v>12605.42678</v>
      </c>
      <c r="I607" s="161">
        <f t="shared" si="22"/>
        <v>12660.91802</v>
      </c>
      <c r="J607" s="162">
        <f t="shared" si="8"/>
        <v>12769.27455</v>
      </c>
      <c r="K607" s="163">
        <f t="shared" si="23"/>
        <v>0.0005884715327</v>
      </c>
      <c r="L607" s="163">
        <f t="shared" si="24"/>
        <v>0.005909554717</v>
      </c>
      <c r="M607" s="163">
        <f t="shared" si="25"/>
        <v>0.1129018843</v>
      </c>
      <c r="N607" s="163">
        <f t="shared" si="26"/>
        <v>-0.006838137776</v>
      </c>
      <c r="O607" s="164">
        <f t="shared" si="28"/>
        <v>-0.001835623982</v>
      </c>
      <c r="P607" s="164">
        <f t="shared" si="16"/>
        <v>0</v>
      </c>
      <c r="U607" s="168">
        <f t="shared" si="15"/>
        <v>1.079668243</v>
      </c>
    </row>
    <row r="608">
      <c r="A608" s="158">
        <v>45492.0</v>
      </c>
      <c r="B608" s="167">
        <v>12666.009940465712</v>
      </c>
      <c r="C608" s="160">
        <f t="shared" si="17"/>
        <v>11080.44192</v>
      </c>
      <c r="D608" s="160">
        <f t="shared" si="18"/>
        <v>1585.568018</v>
      </c>
      <c r="E608" s="161">
        <f t="shared" si="19"/>
        <v>12726.12455</v>
      </c>
      <c r="F608" s="161">
        <f t="shared" si="4"/>
        <v>12415.62266</v>
      </c>
      <c r="G608" s="161">
        <f t="shared" si="20"/>
        <v>12358.05751</v>
      </c>
      <c r="H608" s="161">
        <f t="shared" si="21"/>
        <v>12595.70694</v>
      </c>
      <c r="I608" s="161">
        <f t="shared" si="22"/>
        <v>12654.64417</v>
      </c>
      <c r="J608" s="162">
        <f t="shared" si="8"/>
        <v>12775.79121</v>
      </c>
      <c r="K608" s="163">
        <f t="shared" si="23"/>
        <v>0.0004266443561</v>
      </c>
      <c r="L608" s="163">
        <f t="shared" si="24"/>
        <v>0.005929986161</v>
      </c>
      <c r="M608" s="163">
        <f t="shared" si="25"/>
        <v>0.1132922265</v>
      </c>
      <c r="N608" s="163">
        <f t="shared" si="26"/>
        <v>-0.006887739929</v>
      </c>
      <c r="O608" s="164">
        <f t="shared" si="28"/>
        <v>-0.001835623982</v>
      </c>
      <c r="P608" s="164">
        <f t="shared" si="16"/>
        <v>0.0001167076181</v>
      </c>
      <c r="U608" s="168">
        <f t="shared" si="15"/>
        <v>1.015012611</v>
      </c>
    </row>
    <row r="609">
      <c r="A609" s="158">
        <v>45491.0</v>
      </c>
      <c r="B609" s="167">
        <v>12660.607211414263</v>
      </c>
      <c r="C609" s="160">
        <f t="shared" si="17"/>
        <v>11073.16868</v>
      </c>
      <c r="D609" s="160">
        <f t="shared" si="18"/>
        <v>1587.438536</v>
      </c>
      <c r="E609" s="161">
        <f t="shared" si="19"/>
        <v>12711.21457</v>
      </c>
      <c r="F609" s="161">
        <f t="shared" si="4"/>
        <v>12393.98812</v>
      </c>
      <c r="G609" s="161">
        <f t="shared" si="20"/>
        <v>12345.48802</v>
      </c>
      <c r="H609" s="161">
        <f t="shared" si="21"/>
        <v>12585.66365</v>
      </c>
      <c r="I609" s="161">
        <f t="shared" si="22"/>
        <v>12648.96129</v>
      </c>
      <c r="J609" s="162">
        <f t="shared" si="8"/>
        <v>12777.33918</v>
      </c>
      <c r="K609" s="163">
        <f t="shared" si="23"/>
        <v>0.000273121949</v>
      </c>
      <c r="L609" s="163">
        <f t="shared" si="24"/>
        <v>0.00595046767</v>
      </c>
      <c r="M609" s="163">
        <f t="shared" si="25"/>
        <v>0.1136835252</v>
      </c>
      <c r="N609" s="163">
        <f t="shared" si="26"/>
        <v>-0.006937342082</v>
      </c>
      <c r="O609" s="164">
        <f t="shared" si="28"/>
        <v>-0.001835623982</v>
      </c>
      <c r="P609" s="164">
        <f t="shared" si="16"/>
        <v>0.0005432111924</v>
      </c>
      <c r="U609" s="168">
        <f t="shared" si="15"/>
        <v>1.016578704</v>
      </c>
    </row>
    <row r="610">
      <c r="A610" s="158">
        <v>45490.0</v>
      </c>
      <c r="B610" s="167">
        <v>12657.149793867187</v>
      </c>
      <c r="C610" s="160">
        <f t="shared" si="17"/>
        <v>11065.85329</v>
      </c>
      <c r="D610" s="160">
        <f t="shared" si="18"/>
        <v>1591.296504</v>
      </c>
      <c r="E610" s="161">
        <f t="shared" si="19"/>
        <v>12696.03087</v>
      </c>
      <c r="F610" s="161">
        <f t="shared" si="4"/>
        <v>12375.86527</v>
      </c>
      <c r="G610" s="161">
        <f t="shared" si="20"/>
        <v>12332.62601</v>
      </c>
      <c r="H610" s="161">
        <f t="shared" si="21"/>
        <v>12574.95743</v>
      </c>
      <c r="I610" s="161">
        <f t="shared" si="22"/>
        <v>12643.13833</v>
      </c>
      <c r="J610" s="162">
        <f t="shared" si="8"/>
        <v>12774.04958</v>
      </c>
      <c r="K610" s="163">
        <f t="shared" si="23"/>
        <v>-0.0008164807341</v>
      </c>
      <c r="L610" s="163">
        <f t="shared" si="24"/>
        <v>0.005970976907</v>
      </c>
      <c r="M610" s="163">
        <f t="shared" si="25"/>
        <v>0.1140753536</v>
      </c>
      <c r="N610" s="163">
        <f t="shared" si="26"/>
        <v>-0.006986944236</v>
      </c>
      <c r="O610" s="164">
        <f t="shared" si="28"/>
        <v>-0.001835623982</v>
      </c>
      <c r="P610" s="164">
        <f t="shared" si="16"/>
        <v>0.0008161475044</v>
      </c>
      <c r="U610" s="168">
        <f t="shared" si="15"/>
        <v>1.07337305</v>
      </c>
    </row>
    <row r="611">
      <c r="A611" s="158">
        <v>45489.0</v>
      </c>
      <c r="B611" s="167">
        <v>12667.488332856643</v>
      </c>
      <c r="C611" s="160">
        <f t="shared" si="17"/>
        <v>11058.48618</v>
      </c>
      <c r="D611" s="160">
        <f t="shared" si="18"/>
        <v>1609.002156</v>
      </c>
      <c r="E611" s="161">
        <f t="shared" si="19"/>
        <v>12680.50945</v>
      </c>
      <c r="F611" s="161">
        <f t="shared" si="4"/>
        <v>12360.91025</v>
      </c>
      <c r="G611" s="161">
        <f t="shared" si="20"/>
        <v>12319.38014</v>
      </c>
      <c r="H611" s="161">
        <f t="shared" si="21"/>
        <v>12563.21566</v>
      </c>
      <c r="I611" s="161">
        <f t="shared" si="22"/>
        <v>12636.1326</v>
      </c>
      <c r="J611" s="162">
        <f t="shared" si="8"/>
        <v>12765.52107</v>
      </c>
      <c r="K611" s="163">
        <f t="shared" si="23"/>
        <v>0.001847046732</v>
      </c>
      <c r="L611" s="163">
        <f t="shared" si="24"/>
        <v>0.005989545952</v>
      </c>
      <c r="M611" s="163">
        <f t="shared" si="25"/>
        <v>0.1144301147</v>
      </c>
      <c r="N611" s="163">
        <f t="shared" si="26"/>
        <v>-0.007110442251</v>
      </c>
      <c r="O611" s="164">
        <f t="shared" si="28"/>
        <v>-0.001835623982</v>
      </c>
      <c r="P611" s="164">
        <f t="shared" si="16"/>
        <v>0</v>
      </c>
      <c r="U611" s="168">
        <f t="shared" si="15"/>
        <v>1.340097363</v>
      </c>
    </row>
    <row r="612">
      <c r="A612" s="158">
        <v>45488.0</v>
      </c>
      <c r="B612" s="167">
        <v>12644.112484710507</v>
      </c>
      <c r="C612" s="160">
        <f t="shared" si="17"/>
        <v>11051.00245</v>
      </c>
      <c r="D612" s="160">
        <f t="shared" si="18"/>
        <v>1593.110039</v>
      </c>
      <c r="E612" s="161">
        <f t="shared" si="19"/>
        <v>12664.24523</v>
      </c>
      <c r="F612" s="161">
        <f t="shared" si="4"/>
        <v>12350.88096</v>
      </c>
      <c r="G612" s="161">
        <f t="shared" si="20"/>
        <v>12305.17164</v>
      </c>
      <c r="H612" s="161">
        <f t="shared" si="21"/>
        <v>12548.31956</v>
      </c>
      <c r="I612" s="161">
        <f t="shared" si="22"/>
        <v>12620.45473</v>
      </c>
      <c r="J612" s="162">
        <f t="shared" si="8"/>
        <v>12745.75817</v>
      </c>
      <c r="K612" s="163">
        <f t="shared" si="23"/>
        <v>0.0005788959056</v>
      </c>
      <c r="L612" s="163">
        <f t="shared" si="24"/>
        <v>0.006011074433</v>
      </c>
      <c r="M612" s="163">
        <f t="shared" si="25"/>
        <v>0.1148414158</v>
      </c>
      <c r="N612" s="163">
        <f t="shared" si="26"/>
        <v>-0.007233940266</v>
      </c>
      <c r="O612" s="164">
        <f t="shared" si="28"/>
        <v>-0.00174247536</v>
      </c>
      <c r="P612" s="164">
        <f t="shared" si="16"/>
        <v>0</v>
      </c>
      <c r="U612" s="168">
        <f t="shared" si="15"/>
        <v>1.261463489</v>
      </c>
    </row>
    <row r="613">
      <c r="A613" s="158">
        <v>45487.0</v>
      </c>
      <c r="B613" s="167">
        <v>12636.794978004793</v>
      </c>
      <c r="C613" s="160">
        <f t="shared" si="17"/>
        <v>11043.55801</v>
      </c>
      <c r="D613" s="160">
        <f t="shared" si="18"/>
        <v>1593.236972</v>
      </c>
      <c r="E613" s="161">
        <f t="shared" si="19"/>
        <v>12648.18433</v>
      </c>
      <c r="F613" s="161">
        <f t="shared" si="4"/>
        <v>12341.36206</v>
      </c>
      <c r="G613" s="161">
        <f t="shared" si="20"/>
        <v>12291.33732</v>
      </c>
      <c r="H613" s="161">
        <f t="shared" si="21"/>
        <v>12534.63486</v>
      </c>
      <c r="I613" s="161">
        <f t="shared" si="22"/>
        <v>12608.62586</v>
      </c>
      <c r="J613" s="162">
        <f t="shared" si="8"/>
        <v>12727.90767</v>
      </c>
      <c r="K613" s="163">
        <f t="shared" si="23"/>
        <v>0.0004849202128</v>
      </c>
      <c r="L613" s="163">
        <f t="shared" si="24"/>
        <v>0.006032587008</v>
      </c>
      <c r="M613" s="163">
        <f t="shared" si="25"/>
        <v>0.115252413</v>
      </c>
      <c r="N613" s="163">
        <f t="shared" si="26"/>
        <v>-0.007357438281</v>
      </c>
      <c r="O613" s="164">
        <f t="shared" si="28"/>
        <v>-0.00174247536</v>
      </c>
      <c r="P613" s="164">
        <f t="shared" si="16"/>
        <v>0</v>
      </c>
      <c r="U613" s="168">
        <f t="shared" si="15"/>
        <v>1.374307697</v>
      </c>
    </row>
    <row r="614">
      <c r="A614" s="158">
        <v>45486.0</v>
      </c>
      <c r="B614" s="167">
        <v>12630.668626210492</v>
      </c>
      <c r="C614" s="160">
        <f t="shared" si="17"/>
        <v>11036.07802</v>
      </c>
      <c r="D614" s="160">
        <f t="shared" si="18"/>
        <v>1594.590606</v>
      </c>
      <c r="E614" s="161">
        <f t="shared" si="19"/>
        <v>12631.8679</v>
      </c>
      <c r="F614" s="161">
        <f t="shared" si="4"/>
        <v>12334.31106</v>
      </c>
      <c r="G614" s="161">
        <f t="shared" si="20"/>
        <v>12277.23701</v>
      </c>
      <c r="H614" s="161">
        <f t="shared" si="21"/>
        <v>12520.04056</v>
      </c>
      <c r="I614" s="161">
        <f t="shared" si="22"/>
        <v>12594.5413</v>
      </c>
      <c r="J614" s="162">
        <f t="shared" si="8"/>
        <v>12705.77006</v>
      </c>
      <c r="K614" s="163">
        <f t="shared" si="23"/>
        <v>0.0004846735757</v>
      </c>
      <c r="L614" s="163">
        <f t="shared" si="24"/>
        <v>0.006054234618</v>
      </c>
      <c r="M614" s="163">
        <f t="shared" si="25"/>
        <v>0.11566599</v>
      </c>
      <c r="N614" s="163">
        <f t="shared" si="26"/>
        <v>-0.007480936297</v>
      </c>
      <c r="O614" s="164">
        <f t="shared" si="28"/>
        <v>-0.00174247536</v>
      </c>
      <c r="P614" s="164">
        <f t="shared" si="16"/>
        <v>0</v>
      </c>
      <c r="U614" s="168">
        <f t="shared" si="15"/>
        <v>1.548666037</v>
      </c>
    </row>
    <row r="615">
      <c r="A615" s="158">
        <v>45485.0</v>
      </c>
      <c r="B615" s="167">
        <v>12624.548358169777</v>
      </c>
      <c r="C615" s="160">
        <f t="shared" si="17"/>
        <v>11028.55637</v>
      </c>
      <c r="D615" s="160">
        <f t="shared" si="18"/>
        <v>1595.991991</v>
      </c>
      <c r="E615" s="161">
        <f t="shared" si="19"/>
        <v>12615.25274</v>
      </c>
      <c r="F615" s="161">
        <f t="shared" si="4"/>
        <v>12330.17436</v>
      </c>
      <c r="G615" s="161">
        <f t="shared" si="20"/>
        <v>12262.81123</v>
      </c>
      <c r="H615" s="161">
        <f t="shared" si="21"/>
        <v>12504.23655</v>
      </c>
      <c r="I615" s="161">
        <f t="shared" si="22"/>
        <v>12576.47764</v>
      </c>
      <c r="J615" s="162">
        <f t="shared" si="8"/>
        <v>12678.29874</v>
      </c>
      <c r="K615" s="163">
        <f t="shared" si="23"/>
        <v>0.005122633997</v>
      </c>
      <c r="L615" s="163">
        <f t="shared" si="24"/>
        <v>0.006076116575</v>
      </c>
      <c r="M615" s="163">
        <f t="shared" si="25"/>
        <v>0.1160840442</v>
      </c>
      <c r="N615" s="163">
        <f t="shared" si="26"/>
        <v>-0.007604434312</v>
      </c>
      <c r="O615" s="164">
        <f t="shared" si="28"/>
        <v>-0.002076427462</v>
      </c>
      <c r="P615" s="164">
        <f t="shared" si="16"/>
        <v>0</v>
      </c>
      <c r="U615" s="168">
        <f t="shared" si="15"/>
        <v>1.797120387</v>
      </c>
    </row>
    <row r="616">
      <c r="A616" s="158">
        <v>45484.0</v>
      </c>
      <c r="B616" s="167">
        <v>12560.042777857567</v>
      </c>
      <c r="C616" s="160">
        <f t="shared" si="17"/>
        <v>11020.99242</v>
      </c>
      <c r="D616" s="160">
        <f t="shared" si="18"/>
        <v>1539.050354</v>
      </c>
      <c r="E616" s="161">
        <f t="shared" si="19"/>
        <v>12598.32878</v>
      </c>
      <c r="F616" s="161">
        <f t="shared" si="4"/>
        <v>12329.67035</v>
      </c>
      <c r="G616" s="161">
        <f t="shared" si="20"/>
        <v>12248.04645</v>
      </c>
      <c r="H616" s="161">
        <f t="shared" si="21"/>
        <v>12487.04915</v>
      </c>
      <c r="I616" s="161">
        <f t="shared" si="22"/>
        <v>12552.44227</v>
      </c>
      <c r="J616" s="162">
        <f t="shared" si="8"/>
        <v>12644.42794</v>
      </c>
      <c r="K616" s="163">
        <f t="shared" si="23"/>
        <v>0.0004830907397</v>
      </c>
      <c r="L616" s="163">
        <f t="shared" si="24"/>
        <v>0.006090169159</v>
      </c>
      <c r="M616" s="163">
        <f t="shared" si="25"/>
        <v>0.1163525184</v>
      </c>
      <c r="N616" s="163">
        <f t="shared" si="26"/>
        <v>-0.007727932327</v>
      </c>
      <c r="O616" s="164">
        <f t="shared" si="28"/>
        <v>-0.002729928402</v>
      </c>
      <c r="P616" s="164">
        <f t="shared" si="16"/>
        <v>0.004953464278</v>
      </c>
      <c r="U616" s="168">
        <f t="shared" si="15"/>
        <v>1.205902203</v>
      </c>
    </row>
    <row r="617">
      <c r="A617" s="158">
        <v>45483.0</v>
      </c>
      <c r="B617" s="167">
        <v>12553.976602876366</v>
      </c>
      <c r="C617" s="160">
        <f t="shared" si="17"/>
        <v>11013.66361</v>
      </c>
      <c r="D617" s="160">
        <f t="shared" si="18"/>
        <v>1540.31299</v>
      </c>
      <c r="E617" s="161">
        <f t="shared" si="19"/>
        <v>12582.81566</v>
      </c>
      <c r="F617" s="161">
        <f t="shared" si="4"/>
        <v>12321.44367</v>
      </c>
      <c r="G617" s="161">
        <f t="shared" si="20"/>
        <v>12235.31191</v>
      </c>
      <c r="H617" s="161">
        <f t="shared" si="21"/>
        <v>12476.62149</v>
      </c>
      <c r="I617" s="161">
        <f t="shared" si="22"/>
        <v>12548.64202</v>
      </c>
      <c r="J617" s="162">
        <f t="shared" si="8"/>
        <v>12631.7993</v>
      </c>
      <c r="K617" s="163">
        <f t="shared" si="23"/>
        <v>-0.002779395629</v>
      </c>
      <c r="L617" s="163">
        <f t="shared" si="24"/>
        <v>0.006112538807</v>
      </c>
      <c r="M617" s="163">
        <f t="shared" si="25"/>
        <v>0.1167798899</v>
      </c>
      <c r="N617" s="163">
        <f t="shared" si="26"/>
        <v>-0.007851430342</v>
      </c>
      <c r="O617" s="164">
        <f t="shared" si="28"/>
        <v>-0.002729928402</v>
      </c>
      <c r="P617" s="164">
        <f t="shared" si="16"/>
        <v>0.005434045953</v>
      </c>
      <c r="U617" s="168">
        <f t="shared" si="15"/>
        <v>1.296082846</v>
      </c>
    </row>
    <row r="618">
      <c r="A618" s="158">
        <v>45482.0</v>
      </c>
      <c r="B618" s="167">
        <v>12588.91760552001</v>
      </c>
      <c r="C618" s="160">
        <f t="shared" si="17"/>
        <v>11006.29369</v>
      </c>
      <c r="D618" s="160">
        <f t="shared" si="18"/>
        <v>1582.623912</v>
      </c>
      <c r="E618" s="161">
        <f t="shared" si="19"/>
        <v>12567.0163</v>
      </c>
      <c r="F618" s="161">
        <f t="shared" si="4"/>
        <v>12314.00142</v>
      </c>
      <c r="G618" s="161">
        <f t="shared" si="20"/>
        <v>12222.30518</v>
      </c>
      <c r="H618" s="161">
        <f t="shared" si="21"/>
        <v>12465.57076</v>
      </c>
      <c r="I618" s="161">
        <f t="shared" si="22"/>
        <v>12545.97473</v>
      </c>
      <c r="J618" s="162">
        <f t="shared" si="8"/>
        <v>12617.14009</v>
      </c>
      <c r="K618" s="163">
        <f t="shared" si="23"/>
        <v>-0.002669468457</v>
      </c>
      <c r="L618" s="163">
        <f t="shared" si="24"/>
        <v>0.006124917375</v>
      </c>
      <c r="M618" s="163">
        <f t="shared" si="25"/>
        <v>0.1170163822</v>
      </c>
      <c r="N618" s="163">
        <f t="shared" si="26"/>
        <v>-0.007974928358</v>
      </c>
      <c r="O618" s="164">
        <f t="shared" si="28"/>
        <v>-0.005093547363</v>
      </c>
      <c r="P618" s="164">
        <f t="shared" si="16"/>
        <v>0.002665908595</v>
      </c>
      <c r="U618" s="168">
        <f t="shared" si="15"/>
        <v>2.115875271</v>
      </c>
    </row>
    <row r="619">
      <c r="A619" s="158">
        <v>45481.0</v>
      </c>
      <c r="B619" s="167">
        <v>12622.568218620656</v>
      </c>
      <c r="C619" s="160">
        <f t="shared" si="17"/>
        <v>10998.68493</v>
      </c>
      <c r="D619" s="160">
        <f t="shared" si="18"/>
        <v>1623.883294</v>
      </c>
      <c r="E619" s="161">
        <f t="shared" si="19"/>
        <v>12549.68769</v>
      </c>
      <c r="F619" s="161">
        <f t="shared" si="4"/>
        <v>12316.61926</v>
      </c>
      <c r="G619" s="161">
        <f t="shared" si="20"/>
        <v>12207.34141</v>
      </c>
      <c r="H619" s="161">
        <f t="shared" si="21"/>
        <v>12447.94978</v>
      </c>
      <c r="I619" s="161">
        <f t="shared" si="22"/>
        <v>12524.5033</v>
      </c>
      <c r="J619" s="162">
        <f t="shared" si="8"/>
        <v>12579.2803</v>
      </c>
      <c r="K619" s="163">
        <f t="shared" si="23"/>
        <v>0.01077517352</v>
      </c>
      <c r="L619" s="163">
        <f t="shared" si="24"/>
        <v>0.006137864417</v>
      </c>
      <c r="M619" s="163">
        <f t="shared" si="25"/>
        <v>0.117263735</v>
      </c>
      <c r="N619" s="163">
        <f t="shared" si="26"/>
        <v>-0.008098426373</v>
      </c>
      <c r="O619" s="164">
        <f t="shared" si="28"/>
        <v>-0.005044080135</v>
      </c>
      <c r="P619" s="164">
        <f t="shared" si="16"/>
        <v>0</v>
      </c>
      <c r="U619" s="168">
        <f t="shared" si="15"/>
        <v>3.456987409</v>
      </c>
    </row>
    <row r="620">
      <c r="A620" s="158">
        <v>45480.0</v>
      </c>
      <c r="B620" s="167">
        <v>12487.287998625916</v>
      </c>
      <c r="C620" s="160">
        <f t="shared" si="17"/>
        <v>10990.84008</v>
      </c>
      <c r="D620" s="160">
        <f t="shared" si="18"/>
        <v>1496.44792</v>
      </c>
      <c r="E620" s="161">
        <f t="shared" si="19"/>
        <v>12530.81674</v>
      </c>
      <c r="F620" s="161">
        <f t="shared" si="4"/>
        <v>12355.3154</v>
      </c>
      <c r="G620" s="161">
        <f t="shared" si="20"/>
        <v>12190.39338</v>
      </c>
      <c r="H620" s="161">
        <f t="shared" si="21"/>
        <v>12423.00429</v>
      </c>
      <c r="I620" s="161">
        <f t="shared" si="22"/>
        <v>12475.47084</v>
      </c>
      <c r="J620" s="162">
        <f t="shared" si="8"/>
        <v>12490.69318</v>
      </c>
      <c r="K620" s="163">
        <f t="shared" si="23"/>
        <v>0.0004693149058</v>
      </c>
      <c r="L620" s="163">
        <f t="shared" si="24"/>
        <v>0.006106301349</v>
      </c>
      <c r="M620" s="163">
        <f t="shared" si="25"/>
        <v>0.1166607235</v>
      </c>
      <c r="N620" s="163">
        <f t="shared" si="26"/>
        <v>-0.008221924388</v>
      </c>
      <c r="O620" s="164">
        <f t="shared" si="28"/>
        <v>-0.00445103914</v>
      </c>
      <c r="P620" s="164">
        <f t="shared" si="16"/>
        <v>0</v>
      </c>
      <c r="U620" s="168">
        <f t="shared" si="15"/>
        <v>2.469203618</v>
      </c>
    </row>
    <row r="621">
      <c r="A621" s="158">
        <v>45479.0</v>
      </c>
      <c r="B621" s="167">
        <v>12481.428903223316</v>
      </c>
      <c r="C621" s="160">
        <f t="shared" si="17"/>
        <v>10983.57577</v>
      </c>
      <c r="D621" s="160">
        <f t="shared" si="18"/>
        <v>1497.853135</v>
      </c>
      <c r="E621" s="161">
        <f t="shared" si="19"/>
        <v>12515.50871</v>
      </c>
      <c r="F621" s="161">
        <f t="shared" si="4"/>
        <v>12346.19923</v>
      </c>
      <c r="G621" s="161">
        <f t="shared" si="20"/>
        <v>12178.27523</v>
      </c>
      <c r="H621" s="161">
        <f t="shared" si="21"/>
        <v>12413.8209</v>
      </c>
      <c r="I621" s="161">
        <f t="shared" si="22"/>
        <v>12469.56225</v>
      </c>
      <c r="J621" s="162">
        <f t="shared" si="8"/>
        <v>12481.44257</v>
      </c>
      <c r="K621" s="163">
        <f t="shared" si="23"/>
        <v>0.0004690688859</v>
      </c>
      <c r="L621" s="163">
        <f t="shared" si="24"/>
        <v>0.006129414324</v>
      </c>
      <c r="M621" s="163">
        <f t="shared" si="25"/>
        <v>0.1171022962</v>
      </c>
      <c r="N621" s="163">
        <f t="shared" si="26"/>
        <v>-0.008345422404</v>
      </c>
      <c r="O621" s="164">
        <f t="shared" si="28"/>
        <v>-0.00445103914</v>
      </c>
      <c r="P621" s="164">
        <f t="shared" si="16"/>
        <v>0</v>
      </c>
      <c r="U621" s="168">
        <f t="shared" si="15"/>
        <v>2.599474502</v>
      </c>
    </row>
    <row r="622">
      <c r="A622" s="158">
        <v>45478.0</v>
      </c>
      <c r="B622" s="167">
        <v>12475.575626176218</v>
      </c>
      <c r="C622" s="160">
        <f t="shared" si="17"/>
        <v>10976.26917</v>
      </c>
      <c r="D622" s="160">
        <f t="shared" si="18"/>
        <v>1499.306459</v>
      </c>
      <c r="E622" s="161">
        <f t="shared" si="19"/>
        <v>12499.90482</v>
      </c>
      <c r="F622" s="161">
        <f t="shared" si="4"/>
        <v>12336.60809</v>
      </c>
      <c r="G622" s="161">
        <f t="shared" si="20"/>
        <v>12165.90161</v>
      </c>
      <c r="H622" s="161">
        <f t="shared" si="21"/>
        <v>12404.16261</v>
      </c>
      <c r="I622" s="161">
        <f t="shared" si="22"/>
        <v>12463.62893</v>
      </c>
      <c r="J622" s="162">
        <f t="shared" si="8"/>
        <v>12471.71713</v>
      </c>
      <c r="K622" s="163">
        <f t="shared" si="23"/>
        <v>0.0004688228796</v>
      </c>
      <c r="L622" s="163">
        <f t="shared" si="24"/>
        <v>0.006152791361</v>
      </c>
      <c r="M622" s="163">
        <f t="shared" si="25"/>
        <v>0.1175489139</v>
      </c>
      <c r="N622" s="163">
        <f t="shared" si="26"/>
        <v>-0.008468920419</v>
      </c>
      <c r="O622" s="164">
        <f t="shared" si="28"/>
        <v>-0.00445103914</v>
      </c>
      <c r="P622" s="164">
        <f t="shared" si="16"/>
        <v>0</v>
      </c>
      <c r="U622" s="168">
        <f t="shared" si="15"/>
        <v>2.748503506</v>
      </c>
    </row>
    <row r="623">
      <c r="A623" s="158">
        <v>45477.0</v>
      </c>
      <c r="B623" s="167">
        <v>12469.728161706727</v>
      </c>
      <c r="C623" s="160">
        <f t="shared" si="17"/>
        <v>10968.91963</v>
      </c>
      <c r="D623" s="160">
        <f t="shared" si="18"/>
        <v>1500.808536</v>
      </c>
      <c r="E623" s="161">
        <f t="shared" si="19"/>
        <v>12483.99453</v>
      </c>
      <c r="F623" s="161">
        <f t="shared" si="4"/>
        <v>12326.47332</v>
      </c>
      <c r="G623" s="161">
        <f t="shared" si="20"/>
        <v>12153.26186</v>
      </c>
      <c r="H623" s="161">
        <f t="shared" si="21"/>
        <v>12393.96075</v>
      </c>
      <c r="I623" s="161">
        <f t="shared" si="22"/>
        <v>12457.65558</v>
      </c>
      <c r="J623" s="162">
        <f t="shared" si="8"/>
        <v>12461.44819</v>
      </c>
      <c r="K623" s="163">
        <f t="shared" si="23"/>
        <v>0.000468576887</v>
      </c>
      <c r="L623" s="163">
        <f t="shared" si="24"/>
        <v>0.006176437526</v>
      </c>
      <c r="M623" s="163">
        <f t="shared" si="25"/>
        <v>0.1180006732</v>
      </c>
      <c r="N623" s="163">
        <f t="shared" si="26"/>
        <v>-0.008592418434</v>
      </c>
      <c r="O623" s="164">
        <f t="shared" si="28"/>
        <v>-0.00445103914</v>
      </c>
      <c r="P623" s="164">
        <f t="shared" si="16"/>
        <v>0</v>
      </c>
      <c r="U623" s="168">
        <f t="shared" si="15"/>
        <v>2.918991669</v>
      </c>
    </row>
    <row r="624">
      <c r="A624" s="158">
        <v>45476.0</v>
      </c>
      <c r="B624" s="167">
        <v>12463.886504042677</v>
      </c>
      <c r="C624" s="160">
        <f t="shared" si="17"/>
        <v>10961.52648</v>
      </c>
      <c r="D624" s="160">
        <f t="shared" si="18"/>
        <v>1502.360024</v>
      </c>
      <c r="E624" s="161">
        <f t="shared" si="19"/>
        <v>12467.76683</v>
      </c>
      <c r="F624" s="161">
        <f t="shared" si="4"/>
        <v>12315.71642</v>
      </c>
      <c r="G624" s="161">
        <f t="shared" si="20"/>
        <v>12140.34487</v>
      </c>
      <c r="H624" s="161">
        <f t="shared" si="21"/>
        <v>12383.13684</v>
      </c>
      <c r="I624" s="161">
        <f t="shared" si="22"/>
        <v>12451.61929</v>
      </c>
      <c r="J624" s="162">
        <f t="shared" si="8"/>
        <v>12450.55725</v>
      </c>
      <c r="K624" s="163">
        <f t="shared" si="23"/>
        <v>0.0004683309083</v>
      </c>
      <c r="L624" s="163">
        <f t="shared" si="24"/>
        <v>0.00620035802</v>
      </c>
      <c r="M624" s="163">
        <f t="shared" si="25"/>
        <v>0.1184576736</v>
      </c>
      <c r="N624" s="163">
        <f t="shared" si="26"/>
        <v>-0.008715916449</v>
      </c>
      <c r="O624" s="164">
        <f t="shared" si="28"/>
        <v>-0.00445103914</v>
      </c>
      <c r="P624" s="164">
        <f t="shared" si="16"/>
        <v>0</v>
      </c>
      <c r="U624" s="168">
        <f t="shared" si="15"/>
        <v>3.114028966</v>
      </c>
    </row>
    <row r="625">
      <c r="A625" s="158">
        <v>45475.0</v>
      </c>
      <c r="B625" s="167">
        <v>12458.050647417642</v>
      </c>
      <c r="C625" s="160">
        <f t="shared" si="17"/>
        <v>10954.08905</v>
      </c>
      <c r="D625" s="160">
        <f t="shared" si="18"/>
        <v>1503.961593</v>
      </c>
      <c r="E625" s="161">
        <f t="shared" si="19"/>
        <v>12451.21025</v>
      </c>
      <c r="F625" s="161">
        <f t="shared" si="4"/>
        <v>12304.2477</v>
      </c>
      <c r="G625" s="161">
        <f t="shared" si="20"/>
        <v>12127.13908</v>
      </c>
      <c r="H625" s="161">
        <f t="shared" si="21"/>
        <v>12371.60117</v>
      </c>
      <c r="I625" s="161">
        <f t="shared" si="22"/>
        <v>12445.48568</v>
      </c>
      <c r="J625" s="162">
        <f t="shared" si="8"/>
        <v>12438.95464</v>
      </c>
      <c r="K625" s="163">
        <f t="shared" si="23"/>
        <v>0.0004680849436</v>
      </c>
      <c r="L625" s="163">
        <f t="shared" si="24"/>
        <v>0.006224558187</v>
      </c>
      <c r="M625" s="163">
        <f t="shared" si="25"/>
        <v>0.1189200172</v>
      </c>
      <c r="N625" s="163">
        <f t="shared" si="26"/>
        <v>-0.008839414465</v>
      </c>
      <c r="O625" s="164">
        <f t="shared" si="28"/>
        <v>-0.00445103914</v>
      </c>
      <c r="P625" s="164">
        <f t="shared" si="16"/>
        <v>0</v>
      </c>
      <c r="U625" s="168">
        <f t="shared" si="15"/>
        <v>3.337150304</v>
      </c>
    </row>
    <row r="626">
      <c r="A626" s="158">
        <v>45474.0</v>
      </c>
      <c r="B626" s="167">
        <v>12452.220586070918</v>
      </c>
      <c r="C626" s="160">
        <f t="shared" si="17"/>
        <v>10946.60666</v>
      </c>
      <c r="D626" s="160">
        <f t="shared" si="18"/>
        <v>1505.613928</v>
      </c>
      <c r="E626" s="161">
        <f t="shared" si="19"/>
        <v>12434.31285</v>
      </c>
      <c r="F626" s="161">
        <f t="shared" si="4"/>
        <v>12030.51483</v>
      </c>
      <c r="G626" s="161">
        <f t="shared" si="20"/>
        <v>12113.63249</v>
      </c>
      <c r="H626" s="161">
        <f t="shared" si="21"/>
        <v>12359.25125</v>
      </c>
      <c r="I626" s="161">
        <f t="shared" si="22"/>
        <v>12439.2032</v>
      </c>
      <c r="J626" s="162">
        <f t="shared" si="8"/>
        <v>12687.98766</v>
      </c>
      <c r="K626" s="163">
        <f t="shared" si="23"/>
        <v>0.0004678389931</v>
      </c>
      <c r="L626" s="163">
        <f t="shared" si="24"/>
        <v>0.006249043519</v>
      </c>
      <c r="M626" s="163">
        <f t="shared" si="25"/>
        <v>0.1193878088</v>
      </c>
      <c r="N626" s="163">
        <f t="shared" si="26"/>
        <v>-0.00896291248</v>
      </c>
      <c r="O626" s="164">
        <f t="shared" si="28"/>
        <v>-0.00445103914</v>
      </c>
      <c r="P626" s="164">
        <f t="shared" si="16"/>
        <v>0</v>
      </c>
      <c r="U626" s="168">
        <f t="shared" si="15"/>
        <v>0.7353012165</v>
      </c>
    </row>
    <row r="627">
      <c r="A627" s="158">
        <v>45473.0</v>
      </c>
      <c r="B627" s="167">
        <v>12446.396314247524</v>
      </c>
      <c r="C627" s="160">
        <f t="shared" si="17"/>
        <v>10939.07859</v>
      </c>
      <c r="D627" s="160">
        <f t="shared" si="18"/>
        <v>1507.317725</v>
      </c>
      <c r="E627" s="161">
        <f t="shared" si="19"/>
        <v>12417.06216</v>
      </c>
      <c r="F627" s="161">
        <f t="shared" si="4"/>
        <v>11908.26825</v>
      </c>
      <c r="G627" s="161">
        <f t="shared" si="20"/>
        <v>12099.81257</v>
      </c>
      <c r="H627" s="161">
        <f t="shared" si="21"/>
        <v>12345.96991</v>
      </c>
      <c r="I627" s="161">
        <f t="shared" si="22"/>
        <v>12432.69451</v>
      </c>
      <c r="J627" s="162">
        <f t="shared" si="8"/>
        <v>12783.67157</v>
      </c>
      <c r="K627" s="163">
        <f t="shared" si="23"/>
        <v>0.0004675930567</v>
      </c>
      <c r="L627" s="163">
        <f t="shared" si="24"/>
        <v>0.006273819658</v>
      </c>
      <c r="M627" s="163">
        <f t="shared" si="25"/>
        <v>0.1198611563</v>
      </c>
      <c r="N627" s="163">
        <f t="shared" si="26"/>
        <v>-0.009086410495</v>
      </c>
      <c r="O627" s="164">
        <f t="shared" si="28"/>
        <v>-0.00445103914</v>
      </c>
      <c r="P627" s="164">
        <f t="shared" si="16"/>
        <v>0</v>
      </c>
      <c r="U627" s="168">
        <f t="shared" si="15"/>
        <v>0.5965447991</v>
      </c>
    </row>
    <row r="628">
      <c r="A628" s="158">
        <v>45472.0</v>
      </c>
      <c r="B628" s="167">
        <v>12440.577826198192</v>
      </c>
      <c r="C628" s="160">
        <f t="shared" si="17"/>
        <v>10931.50413</v>
      </c>
      <c r="D628" s="160">
        <f t="shared" si="18"/>
        <v>1509.073698</v>
      </c>
      <c r="E628" s="161">
        <f t="shared" si="19"/>
        <v>12399.44519</v>
      </c>
      <c r="F628" s="161">
        <f t="shared" si="4"/>
        <v>11821.21214</v>
      </c>
      <c r="G628" s="161">
        <f t="shared" si="20"/>
        <v>12085.66629</v>
      </c>
      <c r="H628" s="161">
        <f t="shared" si="21"/>
        <v>12331.62328</v>
      </c>
      <c r="I628" s="161">
        <f t="shared" si="22"/>
        <v>12425.84361</v>
      </c>
      <c r="J628" s="162">
        <f t="shared" si="8"/>
        <v>12842.03442</v>
      </c>
      <c r="K628" s="163">
        <f t="shared" si="23"/>
        <v>0.0004673471347</v>
      </c>
      <c r="L628" s="163">
        <f t="shared" si="24"/>
        <v>0.006298892405</v>
      </c>
      <c r="M628" s="163">
        <f t="shared" si="25"/>
        <v>0.1203401704</v>
      </c>
      <c r="N628" s="163">
        <f t="shared" si="26"/>
        <v>-0.00920990851</v>
      </c>
      <c r="O628" s="164">
        <f t="shared" si="28"/>
        <v>-0.00445103914</v>
      </c>
      <c r="P628" s="164">
        <f t="shared" si="16"/>
        <v>0</v>
      </c>
      <c r="U628" s="168">
        <f t="shared" si="15"/>
        <v>0.5550071204</v>
      </c>
    </row>
    <row r="629">
      <c r="A629" s="158">
        <v>45471.0</v>
      </c>
      <c r="B629" s="167">
        <v>12434.765116179366</v>
      </c>
      <c r="C629" s="160">
        <f t="shared" si="17"/>
        <v>10923.88254</v>
      </c>
      <c r="D629" s="160">
        <f t="shared" si="18"/>
        <v>1510.882573</v>
      </c>
      <c r="E629" s="161">
        <f t="shared" si="19"/>
        <v>12381.44837</v>
      </c>
      <c r="F629" s="161">
        <f t="shared" si="4"/>
        <v>11754.79091</v>
      </c>
      <c r="G629" s="161">
        <f t="shared" si="20"/>
        <v>12071.18011</v>
      </c>
      <c r="H629" s="161">
        <f t="shared" si="21"/>
        <v>12316.05835</v>
      </c>
      <c r="I629" s="161">
        <f t="shared" si="22"/>
        <v>12418.4765</v>
      </c>
      <c r="J629" s="162">
        <f t="shared" si="8"/>
        <v>12877.32579</v>
      </c>
      <c r="K629" s="163">
        <f t="shared" si="23"/>
        <v>0.0004671012272</v>
      </c>
      <c r="L629" s="163">
        <f t="shared" si="24"/>
        <v>0.006324267723</v>
      </c>
      <c r="M629" s="163">
        <f t="shared" si="25"/>
        <v>0.1208249652</v>
      </c>
      <c r="N629" s="163">
        <f t="shared" si="26"/>
        <v>-0.009333406526</v>
      </c>
      <c r="O629" s="164">
        <f t="shared" si="28"/>
        <v>-0.00445103914</v>
      </c>
      <c r="P629" s="164">
        <f t="shared" si="16"/>
        <v>0</v>
      </c>
      <c r="U629" s="168">
        <f t="shared" si="15"/>
        <v>0.5498940063</v>
      </c>
    </row>
    <row r="630">
      <c r="A630" s="158">
        <v>45470.0</v>
      </c>
      <c r="B630" s="167">
        <v>12428.958178453187</v>
      </c>
      <c r="C630" s="160">
        <f t="shared" si="17"/>
        <v>10916.21309</v>
      </c>
      <c r="D630" s="160">
        <f t="shared" si="18"/>
        <v>1512.74509</v>
      </c>
      <c r="E630" s="161">
        <f t="shared" si="19"/>
        <v>12363.05756</v>
      </c>
      <c r="F630" s="161">
        <f t="shared" si="4"/>
        <v>11708.19951</v>
      </c>
      <c r="G630" s="161">
        <f t="shared" si="20"/>
        <v>12056.3399</v>
      </c>
      <c r="H630" s="161">
        <f t="shared" si="21"/>
        <v>12299.10024</v>
      </c>
      <c r="I630" s="161">
        <f t="shared" si="22"/>
        <v>12410.33219</v>
      </c>
      <c r="J630" s="162">
        <f t="shared" si="8"/>
        <v>12890.00097</v>
      </c>
      <c r="K630" s="163">
        <f t="shared" si="23"/>
        <v>0.0004668553343</v>
      </c>
      <c r="L630" s="163">
        <f t="shared" si="24"/>
        <v>0.006349951745</v>
      </c>
      <c r="M630" s="163">
        <f t="shared" si="25"/>
        <v>0.1213156577</v>
      </c>
      <c r="N630" s="163">
        <f t="shared" si="26"/>
        <v>-0.009456904541</v>
      </c>
      <c r="O630" s="164">
        <f t="shared" si="28"/>
        <v>-0.00445103914</v>
      </c>
      <c r="P630" s="164">
        <f t="shared" si="16"/>
        <v>0</v>
      </c>
      <c r="U630" s="168">
        <f t="shared" si="15"/>
        <v>0.5713830278</v>
      </c>
    </row>
    <row r="631">
      <c r="A631" s="158">
        <v>45469.0</v>
      </c>
      <c r="B631" s="167">
        <v>12423.157007287502</v>
      </c>
      <c r="C631" s="160">
        <f t="shared" si="17"/>
        <v>10908.495</v>
      </c>
      <c r="D631" s="160">
        <f t="shared" si="18"/>
        <v>1514.662006</v>
      </c>
      <c r="E631" s="161">
        <f t="shared" si="19"/>
        <v>12344.25798</v>
      </c>
      <c r="F631" s="161">
        <f t="shared" si="4"/>
        <v>11688.27343</v>
      </c>
      <c r="G631" s="161">
        <f t="shared" si="20"/>
        <v>12041.13099</v>
      </c>
      <c r="H631" s="161">
        <f t="shared" si="21"/>
        <v>12280.5491</v>
      </c>
      <c r="I631" s="161">
        <f t="shared" si="22"/>
        <v>12401.01919</v>
      </c>
      <c r="J631" s="162">
        <f t="shared" si="8"/>
        <v>12872.82478</v>
      </c>
      <c r="K631" s="163">
        <f t="shared" si="23"/>
        <v>0.000466609456</v>
      </c>
      <c r="L631" s="163">
        <f t="shared" si="24"/>
        <v>0.006375950778</v>
      </c>
      <c r="M631" s="163">
        <f t="shared" si="25"/>
        <v>0.1218123686</v>
      </c>
      <c r="N631" s="163">
        <f t="shared" si="26"/>
        <v>-0.009481085775</v>
      </c>
      <c r="O631" s="164">
        <f t="shared" si="28"/>
        <v>-0.005375671077</v>
      </c>
      <c r="P631" s="164">
        <f t="shared" si="16"/>
        <v>0</v>
      </c>
      <c r="U631" s="168">
        <f t="shared" si="15"/>
        <v>0.626026983</v>
      </c>
    </row>
    <row r="632">
      <c r="A632" s="158">
        <v>45468.0</v>
      </c>
      <c r="B632" s="167">
        <v>12417.361596955847</v>
      </c>
      <c r="C632" s="160">
        <f t="shared" si="17"/>
        <v>10900.7275</v>
      </c>
      <c r="D632" s="160">
        <f t="shared" si="18"/>
        <v>1516.634093</v>
      </c>
      <c r="E632" s="161">
        <f t="shared" si="19"/>
        <v>12325.03419</v>
      </c>
      <c r="F632" s="161">
        <f t="shared" si="4"/>
        <v>11668.8779</v>
      </c>
      <c r="G632" s="161">
        <f t="shared" si="20"/>
        <v>12025.53809</v>
      </c>
      <c r="H632" s="161">
        <f t="shared" si="21"/>
        <v>12260.17654</v>
      </c>
      <c r="I632" s="161">
        <f t="shared" si="22"/>
        <v>12389.95029</v>
      </c>
      <c r="J632" s="162">
        <f t="shared" si="8"/>
        <v>12851.47519</v>
      </c>
      <c r="K632" s="163">
        <f t="shared" si="23"/>
        <v>0.0004663635926</v>
      </c>
      <c r="L632" s="163">
        <f t="shared" si="24"/>
        <v>0.006402271314</v>
      </c>
      <c r="M632" s="163">
        <f t="shared" si="25"/>
        <v>0.1223152217</v>
      </c>
      <c r="N632" s="163">
        <f t="shared" si="26"/>
        <v>-0.00950526701</v>
      </c>
      <c r="O632" s="164">
        <f t="shared" si="28"/>
        <v>-0.008611415984</v>
      </c>
      <c r="P632" s="164">
        <f t="shared" si="16"/>
        <v>0</v>
      </c>
      <c r="U632" s="168">
        <f t="shared" si="15"/>
        <v>0.691158583</v>
      </c>
    </row>
    <row r="633">
      <c r="A633" s="158">
        <v>45467.0</v>
      </c>
      <c r="B633" s="167">
        <v>12411.571941737444</v>
      </c>
      <c r="C633" s="160">
        <f t="shared" si="17"/>
        <v>10892.9098</v>
      </c>
      <c r="D633" s="160">
        <f t="shared" si="18"/>
        <v>1518.662139</v>
      </c>
      <c r="E633" s="161">
        <f t="shared" si="19"/>
        <v>12305.37008</v>
      </c>
      <c r="F633" s="161">
        <f t="shared" si="4"/>
        <v>11667.91263</v>
      </c>
      <c r="G633" s="161">
        <f t="shared" si="20"/>
        <v>12009.5453</v>
      </c>
      <c r="H633" s="161">
        <f t="shared" si="21"/>
        <v>12237.72154</v>
      </c>
      <c r="I633" s="161">
        <f t="shared" si="22"/>
        <v>12376.24463</v>
      </c>
      <c r="J633" s="162">
        <f t="shared" si="8"/>
        <v>12807.53044</v>
      </c>
      <c r="K633" s="163">
        <f t="shared" si="23"/>
        <v>0.0004661177442</v>
      </c>
      <c r="L633" s="163">
        <f t="shared" si="24"/>
        <v>0.00642892003</v>
      </c>
      <c r="M633" s="163">
        <f t="shared" si="25"/>
        <v>0.1228243447</v>
      </c>
      <c r="N633" s="163">
        <f t="shared" si="26"/>
        <v>-0.009529448245</v>
      </c>
      <c r="O633" s="164">
        <f t="shared" si="28"/>
        <v>-0.008611415984</v>
      </c>
      <c r="P633" s="164">
        <f t="shared" si="16"/>
        <v>0</v>
      </c>
      <c r="U633" s="168">
        <f t="shared" si="15"/>
        <v>0.793267794</v>
      </c>
    </row>
    <row r="634">
      <c r="A634" s="158">
        <v>45466.0</v>
      </c>
      <c r="B634" s="167">
        <v>12405.7880359172</v>
      </c>
      <c r="C634" s="160">
        <f t="shared" si="17"/>
        <v>10885.04109</v>
      </c>
      <c r="D634" s="160">
        <f t="shared" si="18"/>
        <v>1520.746949</v>
      </c>
      <c r="E634" s="161">
        <f t="shared" si="19"/>
        <v>12285.24879</v>
      </c>
      <c r="F634" s="161">
        <f t="shared" si="4"/>
        <v>11669.14393</v>
      </c>
      <c r="G634" s="161">
        <f t="shared" si="20"/>
        <v>11993.13605</v>
      </c>
      <c r="H634" s="161">
        <f t="shared" si="21"/>
        <v>12212.88577</v>
      </c>
      <c r="I634" s="161">
        <f t="shared" si="22"/>
        <v>12358.58098</v>
      </c>
      <c r="J634" s="162">
        <f t="shared" si="8"/>
        <v>12756.6276</v>
      </c>
      <c r="K634" s="163">
        <f t="shared" si="23"/>
        <v>0.0004658719108</v>
      </c>
      <c r="L634" s="163">
        <f t="shared" si="24"/>
        <v>0.0064559038</v>
      </c>
      <c r="M634" s="163">
        <f t="shared" si="25"/>
        <v>0.1233398689</v>
      </c>
      <c r="N634" s="163">
        <f t="shared" si="26"/>
        <v>-0.009553629479</v>
      </c>
      <c r="O634" s="164">
        <f t="shared" si="28"/>
        <v>-0.008611415984</v>
      </c>
      <c r="P634" s="164">
        <f t="shared" si="16"/>
        <v>0</v>
      </c>
      <c r="U634" s="168">
        <f t="shared" si="15"/>
        <v>0.9223971233</v>
      </c>
    </row>
    <row r="635">
      <c r="A635" s="158">
        <v>45465.0</v>
      </c>
      <c r="B635" s="167">
        <v>12400.00987378569</v>
      </c>
      <c r="C635" s="160">
        <f t="shared" si="17"/>
        <v>10877.12053</v>
      </c>
      <c r="D635" s="160">
        <f t="shared" si="18"/>
        <v>1522.889344</v>
      </c>
      <c r="E635" s="161">
        <f t="shared" si="19"/>
        <v>12264.65273</v>
      </c>
      <c r="F635" s="161">
        <f t="shared" si="4"/>
        <v>11672.2631</v>
      </c>
      <c r="G635" s="161">
        <f t="shared" si="20"/>
        <v>11976.29311</v>
      </c>
      <c r="H635" s="161">
        <f t="shared" si="21"/>
        <v>12185.3283</v>
      </c>
      <c r="I635" s="161">
        <f t="shared" si="22"/>
        <v>12334.97745</v>
      </c>
      <c r="J635" s="162">
        <f t="shared" si="8"/>
        <v>12698.3935</v>
      </c>
      <c r="K635" s="163">
        <f t="shared" si="23"/>
        <v>0.0004656260927</v>
      </c>
      <c r="L635" s="163">
        <f t="shared" si="24"/>
        <v>0.006483229703</v>
      </c>
      <c r="M635" s="163">
        <f t="shared" si="25"/>
        <v>0.1238619296</v>
      </c>
      <c r="N635" s="163">
        <f t="shared" si="26"/>
        <v>-0.009577810714</v>
      </c>
      <c r="O635" s="164">
        <f t="shared" si="28"/>
        <v>-0.008611415984</v>
      </c>
      <c r="P635" s="164">
        <f t="shared" si="16"/>
        <v>0</v>
      </c>
      <c r="U635" s="168">
        <f t="shared" si="15"/>
        <v>1.087916497</v>
      </c>
    </row>
    <row r="636">
      <c r="A636" s="158">
        <v>45464.0</v>
      </c>
      <c r="B636" s="167">
        <v>12394.23744963916</v>
      </c>
      <c r="C636" s="160">
        <f t="shared" si="17"/>
        <v>10869.14729</v>
      </c>
      <c r="D636" s="160">
        <f t="shared" si="18"/>
        <v>1525.090162</v>
      </c>
      <c r="E636" s="161">
        <f t="shared" si="19"/>
        <v>12243.56347</v>
      </c>
      <c r="F636" s="161">
        <f t="shared" si="4"/>
        <v>11677.14731</v>
      </c>
      <c r="G636" s="161">
        <f t="shared" si="20"/>
        <v>11958.99855</v>
      </c>
      <c r="H636" s="161">
        <f t="shared" si="21"/>
        <v>12154.6595</v>
      </c>
      <c r="I636" s="161">
        <f t="shared" si="22"/>
        <v>12302.46124</v>
      </c>
      <c r="J636" s="162">
        <f t="shared" si="8"/>
        <v>12632.17169</v>
      </c>
      <c r="K636" s="163">
        <f t="shared" si="23"/>
        <v>0.0004653802898</v>
      </c>
      <c r="L636" s="163">
        <f t="shared" si="24"/>
        <v>0.006510905026</v>
      </c>
      <c r="M636" s="163">
        <f t="shared" si="25"/>
        <v>0.1243906659</v>
      </c>
      <c r="N636" s="163">
        <f t="shared" si="26"/>
        <v>-0.009601991949</v>
      </c>
      <c r="O636" s="164">
        <f t="shared" si="28"/>
        <v>-0.008611415984</v>
      </c>
      <c r="P636" s="164">
        <f t="shared" si="16"/>
        <v>0</v>
      </c>
      <c r="U636" s="168">
        <f t="shared" si="15"/>
        <v>1.304474894</v>
      </c>
    </row>
    <row r="637">
      <c r="A637" s="158">
        <v>45463.0</v>
      </c>
      <c r="B637" s="167">
        <v>12388.470757779527</v>
      </c>
      <c r="C637" s="160">
        <f t="shared" si="17"/>
        <v>10861.1205</v>
      </c>
      <c r="D637" s="160">
        <f t="shared" si="18"/>
        <v>1527.350261</v>
      </c>
      <c r="E637" s="161">
        <f t="shared" si="19"/>
        <v>12221.96174</v>
      </c>
      <c r="F637" s="161">
        <f t="shared" si="4"/>
        <v>11684.63985</v>
      </c>
      <c r="G637" s="161">
        <f t="shared" si="20"/>
        <v>11941.23369</v>
      </c>
      <c r="H637" s="161">
        <f t="shared" si="21"/>
        <v>12120.43408</v>
      </c>
      <c r="I637" s="161">
        <f t="shared" si="22"/>
        <v>12256.57314</v>
      </c>
      <c r="J637" s="162">
        <f t="shared" si="8"/>
        <v>12556.22831</v>
      </c>
      <c r="K637" s="163">
        <f t="shared" si="23"/>
        <v>0.0004651345024</v>
      </c>
      <c r="L637" s="163">
        <f t="shared" si="24"/>
        <v>0.006538937277</v>
      </c>
      <c r="M637" s="163">
        <f t="shared" si="25"/>
        <v>0.1249262213</v>
      </c>
      <c r="N637" s="163">
        <f t="shared" si="26"/>
        <v>-0.009626173183</v>
      </c>
      <c r="O637" s="164">
        <f t="shared" si="28"/>
        <v>-0.008611415984</v>
      </c>
      <c r="P637" s="164">
        <f t="shared" si="16"/>
        <v>0</v>
      </c>
      <c r="U637" s="168">
        <f t="shared" si="15"/>
        <v>1.599138561</v>
      </c>
    </row>
    <row r="638">
      <c r="A638" s="158">
        <v>45462.0</v>
      </c>
      <c r="B638" s="167">
        <v>12382.709792514364</v>
      </c>
      <c r="C638" s="160">
        <f t="shared" si="17"/>
        <v>10853.03928</v>
      </c>
      <c r="D638" s="160">
        <f t="shared" si="18"/>
        <v>1529.670514</v>
      </c>
      <c r="E638" s="161">
        <f t="shared" si="19"/>
        <v>12199.82738</v>
      </c>
      <c r="F638" s="161">
        <f t="shared" si="4"/>
        <v>11697.28014</v>
      </c>
      <c r="G638" s="161">
        <f t="shared" si="20"/>
        <v>11922.97912</v>
      </c>
      <c r="H638" s="161">
        <f t="shared" si="21"/>
        <v>12082.14313</v>
      </c>
      <c r="I638" s="161">
        <f t="shared" si="22"/>
        <v>12190.62432</v>
      </c>
      <c r="J638" s="162">
        <f t="shared" si="8"/>
        <v>12467.00611</v>
      </c>
      <c r="K638" s="163">
        <f t="shared" si="23"/>
        <v>0.0004648887305</v>
      </c>
      <c r="L638" s="163">
        <f t="shared" si="24"/>
        <v>0.006567334191</v>
      </c>
      <c r="M638" s="163">
        <f t="shared" si="25"/>
        <v>0.1254687435</v>
      </c>
      <c r="N638" s="163">
        <f t="shared" si="26"/>
        <v>-0.009650354418</v>
      </c>
      <c r="O638" s="164">
        <f t="shared" si="28"/>
        <v>-0.01046584689</v>
      </c>
      <c r="P638" s="164">
        <f t="shared" si="16"/>
        <v>0</v>
      </c>
      <c r="U638" s="168">
        <f t="shared" si="15"/>
        <v>2.03052351</v>
      </c>
    </row>
    <row r="639">
      <c r="A639" s="158">
        <v>45461.0</v>
      </c>
      <c r="B639" s="167">
        <v>12376.954548156893</v>
      </c>
      <c r="C639" s="160">
        <f t="shared" si="17"/>
        <v>10844.90273</v>
      </c>
      <c r="D639" s="160">
        <f t="shared" si="18"/>
        <v>1532.051815</v>
      </c>
      <c r="E639" s="161">
        <f t="shared" si="19"/>
        <v>12177.13928</v>
      </c>
      <c r="F639" s="161">
        <f t="shared" si="4"/>
        <v>11720.76232</v>
      </c>
      <c r="G639" s="161">
        <f t="shared" si="20"/>
        <v>11904.2146</v>
      </c>
      <c r="H639" s="161">
        <f t="shared" si="21"/>
        <v>12039.20503</v>
      </c>
      <c r="I639" s="161">
        <f t="shared" si="22"/>
        <v>12094.58159</v>
      </c>
      <c r="J639" s="162">
        <f t="shared" si="8"/>
        <v>12357.64774</v>
      </c>
      <c r="K639" s="163">
        <f t="shared" si="23"/>
        <v>0.0365085353</v>
      </c>
      <c r="L639" s="163">
        <f t="shared" si="24"/>
        <v>0.00659610374</v>
      </c>
      <c r="M639" s="163">
        <f t="shared" si="25"/>
        <v>0.126018385</v>
      </c>
      <c r="N639" s="163">
        <f t="shared" si="26"/>
        <v>-0.009674535653</v>
      </c>
      <c r="O639" s="164">
        <f t="shared" si="28"/>
        <v>-0.01046584689</v>
      </c>
      <c r="P639" s="164">
        <f t="shared" si="16"/>
        <v>0</v>
      </c>
      <c r="U639" s="168">
        <f t="shared" si="15"/>
        <v>2.757634957</v>
      </c>
    </row>
    <row r="640">
      <c r="A640" s="158">
        <v>45460.0</v>
      </c>
      <c r="B640" s="167">
        <v>11933.239051139302</v>
      </c>
      <c r="C640" s="160">
        <f t="shared" si="17"/>
        <v>10836.70994</v>
      </c>
      <c r="D640" s="160">
        <f t="shared" si="18"/>
        <v>1096.529108</v>
      </c>
      <c r="E640" s="161">
        <f t="shared" si="19"/>
        <v>12153.87534</v>
      </c>
      <c r="F640" s="161">
        <f t="shared" si="4"/>
        <v>11768.70612</v>
      </c>
      <c r="G640" s="161">
        <f t="shared" si="20"/>
        <v>11884.9191</v>
      </c>
      <c r="H640" s="161">
        <f t="shared" si="21"/>
        <v>11990.9551</v>
      </c>
      <c r="I640" s="161">
        <f t="shared" si="22"/>
        <v>11953.39511</v>
      </c>
      <c r="J640" s="162">
        <f t="shared" si="8"/>
        <v>12213.20408</v>
      </c>
      <c r="K640" s="163">
        <f t="shared" si="23"/>
        <v>-0.0006094837974</v>
      </c>
      <c r="L640" s="163">
        <f t="shared" si="24"/>
        <v>0.005715919562</v>
      </c>
      <c r="M640" s="163">
        <f t="shared" si="25"/>
        <v>0.1092024899</v>
      </c>
      <c r="N640" s="163">
        <f t="shared" si="26"/>
        <v>-0.009698716887</v>
      </c>
      <c r="O640" s="164">
        <f t="shared" si="28"/>
        <v>-0.01046584689</v>
      </c>
      <c r="P640" s="164">
        <f t="shared" si="16"/>
        <v>0.02068873099</v>
      </c>
      <c r="U640" s="168">
        <f t="shared" si="15"/>
        <v>-0.6751964687</v>
      </c>
    </row>
    <row r="641">
      <c r="A641" s="158">
        <v>45459.0</v>
      </c>
      <c r="B641" s="167">
        <v>11940.514383865007</v>
      </c>
      <c r="C641" s="160">
        <f t="shared" si="17"/>
        <v>10830.81463</v>
      </c>
      <c r="D641" s="160">
        <f t="shared" si="18"/>
        <v>1109.699759</v>
      </c>
      <c r="E641" s="161">
        <f t="shared" si="19"/>
        <v>12145.79495</v>
      </c>
      <c r="F641" s="161">
        <f t="shared" si="4"/>
        <v>11789.43984</v>
      </c>
      <c r="G641" s="161">
        <f t="shared" si="20"/>
        <v>11882.94685</v>
      </c>
      <c r="H641" s="161">
        <f t="shared" si="21"/>
        <v>11999.20025</v>
      </c>
      <c r="I641" s="161">
        <f t="shared" si="22"/>
        <v>11963.47314</v>
      </c>
      <c r="J641" s="162">
        <f t="shared" si="8"/>
        <v>12208.96066</v>
      </c>
      <c r="K641" s="163">
        <f t="shared" si="23"/>
        <v>0.0003507407597</v>
      </c>
      <c r="L641" s="163">
        <f t="shared" si="24"/>
        <v>0.00573943947</v>
      </c>
      <c r="M641" s="163">
        <f t="shared" si="25"/>
        <v>0.1096518371</v>
      </c>
      <c r="N641" s="163">
        <f t="shared" si="26"/>
        <v>-0.009722898122</v>
      </c>
      <c r="O641" s="164">
        <f t="shared" si="28"/>
        <v>-0.01046584689</v>
      </c>
      <c r="P641" s="164">
        <f t="shared" si="16"/>
        <v>0.02009167471</v>
      </c>
      <c r="U641" s="168">
        <f t="shared" si="15"/>
        <v>-0.727416835</v>
      </c>
    </row>
    <row r="642">
      <c r="A642" s="158">
        <v>45458.0</v>
      </c>
      <c r="B642" s="167">
        <v>11936.32709314884</v>
      </c>
      <c r="C642" s="160">
        <f t="shared" si="17"/>
        <v>10824.81625</v>
      </c>
      <c r="D642" s="160">
        <f t="shared" si="18"/>
        <v>1111.510845</v>
      </c>
      <c r="E642" s="161">
        <f t="shared" si="19"/>
        <v>12137.12003</v>
      </c>
      <c r="F642" s="161">
        <f t="shared" si="4"/>
        <v>11810.2322</v>
      </c>
      <c r="G642" s="161">
        <f t="shared" si="20"/>
        <v>11880.59716</v>
      </c>
      <c r="H642" s="161">
        <f t="shared" si="21"/>
        <v>12007.58394</v>
      </c>
      <c r="I642" s="161">
        <f t="shared" si="22"/>
        <v>11974.95252</v>
      </c>
      <c r="J642" s="162">
        <f t="shared" si="8"/>
        <v>12204.93569</v>
      </c>
      <c r="K642" s="163">
        <f t="shared" si="23"/>
        <v>0.0003505153367</v>
      </c>
      <c r="L642" s="163">
        <f t="shared" si="24"/>
        <v>0.005765342425</v>
      </c>
      <c r="M642" s="163">
        <f t="shared" si="25"/>
        <v>0.1101467124</v>
      </c>
      <c r="N642" s="163">
        <f t="shared" si="26"/>
        <v>-0.009747079356</v>
      </c>
      <c r="O642" s="164">
        <f t="shared" si="28"/>
        <v>-0.01046584689</v>
      </c>
      <c r="P642" s="164">
        <f t="shared" si="16"/>
        <v>0.02043530823</v>
      </c>
      <c r="U642" s="168">
        <f t="shared" si="15"/>
        <v>-0.9387695979</v>
      </c>
    </row>
    <row r="643">
      <c r="A643" s="158">
        <v>45457.0</v>
      </c>
      <c r="B643" s="167">
        <v>11932.143960608004</v>
      </c>
      <c r="C643" s="160">
        <f t="shared" si="17"/>
        <v>10818.77543</v>
      </c>
      <c r="D643" s="160">
        <f t="shared" si="18"/>
        <v>1113.368532</v>
      </c>
      <c r="E643" s="161">
        <f t="shared" si="19"/>
        <v>12128.24619</v>
      </c>
      <c r="F643" s="161">
        <f t="shared" si="4"/>
        <v>11805.09347</v>
      </c>
      <c r="G643" s="161">
        <f t="shared" si="20"/>
        <v>11878.32247</v>
      </c>
      <c r="H643" s="161">
        <f t="shared" si="21"/>
        <v>12017.7635</v>
      </c>
      <c r="I643" s="161">
        <f t="shared" si="22"/>
        <v>11994.26523</v>
      </c>
      <c r="J643" s="162">
        <f t="shared" si="8"/>
        <v>12230.43352</v>
      </c>
      <c r="K643" s="163">
        <f t="shared" si="23"/>
        <v>-0.001351599578</v>
      </c>
      <c r="L643" s="163">
        <f t="shared" si="24"/>
        <v>0.005791598807</v>
      </c>
      <c r="M643" s="163">
        <f t="shared" si="25"/>
        <v>0.1106483399</v>
      </c>
      <c r="N643" s="163">
        <f t="shared" si="26"/>
        <v>-0.009771260591</v>
      </c>
      <c r="O643" s="164">
        <f t="shared" si="28"/>
        <v>-0.01046584689</v>
      </c>
      <c r="P643" s="164">
        <f t="shared" si="16"/>
        <v>0.02077860051</v>
      </c>
      <c r="U643" s="168">
        <f t="shared" si="15"/>
        <v>-1.046742646</v>
      </c>
    </row>
    <row r="644">
      <c r="A644" s="158">
        <v>45456.0</v>
      </c>
      <c r="B644" s="167">
        <v>11948.28234521499</v>
      </c>
      <c r="C644" s="160">
        <f t="shared" si="17"/>
        <v>10812.69145</v>
      </c>
      <c r="D644" s="160">
        <f t="shared" si="18"/>
        <v>1135.590898</v>
      </c>
      <c r="E644" s="161">
        <f t="shared" si="19"/>
        <v>12119.1645</v>
      </c>
      <c r="F644" s="161">
        <f t="shared" si="4"/>
        <v>11803.55025</v>
      </c>
      <c r="G644" s="161">
        <f t="shared" si="20"/>
        <v>11876.12567</v>
      </c>
      <c r="H644" s="161">
        <f t="shared" si="21"/>
        <v>12029.99486</v>
      </c>
      <c r="I644" s="161">
        <f t="shared" si="22"/>
        <v>12025.32587</v>
      </c>
      <c r="J644" s="162">
        <f t="shared" si="8"/>
        <v>12256.43947</v>
      </c>
      <c r="K644" s="163">
        <f t="shared" si="23"/>
        <v>-0.006986944236</v>
      </c>
      <c r="L644" s="163">
        <f t="shared" si="24"/>
        <v>0.005813387388</v>
      </c>
      <c r="M644" s="163">
        <f t="shared" si="25"/>
        <v>0.1110646101</v>
      </c>
      <c r="N644" s="163">
        <f t="shared" si="26"/>
        <v>-0.009795441826</v>
      </c>
      <c r="O644" s="164">
        <f t="shared" si="28"/>
        <v>-0.01046584689</v>
      </c>
      <c r="P644" s="164">
        <f t="shared" si="16"/>
        <v>0.01945419045</v>
      </c>
      <c r="U644" s="168">
        <f t="shared" si="15"/>
        <v>-0.938209712</v>
      </c>
    </row>
    <row r="645">
      <c r="A645" s="158">
        <v>45455.0</v>
      </c>
      <c r="B645" s="167">
        <v>12032.056650067876</v>
      </c>
      <c r="C645" s="160">
        <f t="shared" si="17"/>
        <v>10806.45194</v>
      </c>
      <c r="D645" s="160">
        <f t="shared" si="18"/>
        <v>1225.604713</v>
      </c>
      <c r="E645" s="161">
        <f t="shared" si="19"/>
        <v>12109.10607</v>
      </c>
      <c r="F645" s="161">
        <f t="shared" si="4"/>
        <v>11798.62423</v>
      </c>
      <c r="G645" s="161">
        <f t="shared" si="20"/>
        <v>11873.1805</v>
      </c>
      <c r="H645" s="161">
        <f t="shared" si="21"/>
        <v>12041.66807</v>
      </c>
      <c r="I645" s="161">
        <f t="shared" si="22"/>
        <v>12063.84763</v>
      </c>
      <c r="J645" s="162">
        <f t="shared" si="8"/>
        <v>12284.71191</v>
      </c>
      <c r="K645" s="163">
        <f t="shared" si="23"/>
        <v>0.002909207273</v>
      </c>
      <c r="L645" s="163">
        <f t="shared" si="24"/>
        <v>0.005784809786</v>
      </c>
      <c r="M645" s="163">
        <f t="shared" si="25"/>
        <v>0.1105186358</v>
      </c>
      <c r="N645" s="163">
        <f t="shared" si="26"/>
        <v>-0.00981962306</v>
      </c>
      <c r="O645" s="164">
        <f t="shared" si="28"/>
        <v>-0.01046584689</v>
      </c>
      <c r="P645" s="164">
        <f t="shared" si="16"/>
        <v>0.01257918187</v>
      </c>
      <c r="U645" s="168">
        <f t="shared" si="15"/>
        <v>-0.1028197212</v>
      </c>
    </row>
    <row r="646">
      <c r="A646" s="158">
        <v>45454.0</v>
      </c>
      <c r="B646" s="167">
        <v>11997.10377059451</v>
      </c>
      <c r="C646" s="160">
        <f t="shared" si="17"/>
        <v>10799.68064</v>
      </c>
      <c r="D646" s="160">
        <f t="shared" si="18"/>
        <v>1197.423131</v>
      </c>
      <c r="E646" s="161">
        <f t="shared" si="19"/>
        <v>12095.47664</v>
      </c>
      <c r="F646" s="161">
        <f t="shared" si="4"/>
        <v>11788.17503</v>
      </c>
      <c r="G646" s="161">
        <f t="shared" si="20"/>
        <v>11866.69576</v>
      </c>
      <c r="H646" s="161">
        <f t="shared" si="21"/>
        <v>12043.04113</v>
      </c>
      <c r="I646" s="161">
        <f t="shared" si="22"/>
        <v>12079.74313</v>
      </c>
      <c r="J646" s="162">
        <f t="shared" si="8"/>
        <v>12297.90724</v>
      </c>
      <c r="K646" s="163">
        <f t="shared" si="23"/>
        <v>-0.01089565225</v>
      </c>
      <c r="L646" s="163">
        <f t="shared" si="24"/>
        <v>0.005810483647</v>
      </c>
      <c r="M646" s="163">
        <f t="shared" si="25"/>
        <v>0.1110091342</v>
      </c>
      <c r="N646" s="163">
        <f t="shared" si="26"/>
        <v>-0.009843804295</v>
      </c>
      <c r="O646" s="164">
        <f t="shared" si="28"/>
        <v>-0.01046584689</v>
      </c>
      <c r="P646" s="164">
        <f t="shared" si="16"/>
        <v>0.01544761924</v>
      </c>
      <c r="U646" s="168">
        <f t="shared" si="15"/>
        <v>-0.4686270232</v>
      </c>
    </row>
    <row r="647">
      <c r="A647" s="169">
        <v>45453.0</v>
      </c>
      <c r="B647" s="167">
        <v>12128.534754204347</v>
      </c>
      <c r="C647" s="160">
        <f t="shared" si="17"/>
        <v>10793.02829</v>
      </c>
      <c r="D647" s="160">
        <f t="shared" si="18"/>
        <v>1335.506465</v>
      </c>
      <c r="E647" s="161">
        <f t="shared" si="19"/>
        <v>12082.6457</v>
      </c>
      <c r="F647" s="161">
        <f t="shared" si="4"/>
        <v>11795.80106</v>
      </c>
      <c r="G647" s="161">
        <f t="shared" si="20"/>
        <v>11861.37298</v>
      </c>
      <c r="H647" s="161">
        <f t="shared" si="21"/>
        <v>12049.60361</v>
      </c>
      <c r="I647" s="161">
        <f t="shared" si="22"/>
        <v>12121.06281</v>
      </c>
      <c r="J647" s="162">
        <f t="shared" si="8"/>
        <v>12303.40617</v>
      </c>
      <c r="K647" s="163">
        <f t="shared" si="23"/>
        <v>-0.0005745455742</v>
      </c>
      <c r="L647" s="163">
        <f t="shared" si="24"/>
        <v>0.005712001272</v>
      </c>
      <c r="M647" s="163">
        <f t="shared" si="25"/>
        <v>0.1091276311</v>
      </c>
      <c r="N647" s="163">
        <f t="shared" si="26"/>
        <v>-0.008937604035</v>
      </c>
      <c r="O647" s="164">
        <f t="shared" si="28"/>
        <v>-0.01046584689</v>
      </c>
      <c r="P647" s="164">
        <f t="shared" si="16"/>
        <v>0.004661625359</v>
      </c>
      <c r="U647" s="168">
        <f t="shared" si="15"/>
        <v>0.8085850949</v>
      </c>
    </row>
    <row r="648">
      <c r="A648" s="169">
        <v>45452.0</v>
      </c>
      <c r="B648" s="167">
        <v>12135.505152382782</v>
      </c>
      <c r="C648" s="160">
        <f t="shared" si="17"/>
        <v>10785.56736</v>
      </c>
      <c r="D648" s="160">
        <f t="shared" si="18"/>
        <v>1349.937793</v>
      </c>
      <c r="E648" s="161">
        <f t="shared" si="19"/>
        <v>12064.2482</v>
      </c>
      <c r="F648" s="161">
        <f t="shared" si="4"/>
        <v>11793.36938</v>
      </c>
      <c r="G648" s="161">
        <f t="shared" si="20"/>
        <v>11850.46842</v>
      </c>
      <c r="H648" s="161">
        <f t="shared" si="21"/>
        <v>12038.32774</v>
      </c>
      <c r="I648" s="161">
        <f t="shared" si="22"/>
        <v>12117.32683</v>
      </c>
      <c r="J648" s="162">
        <f t="shared" si="8"/>
        <v>12283.28609</v>
      </c>
      <c r="K648" s="163">
        <f t="shared" si="23"/>
        <v>-0.0001160272344</v>
      </c>
      <c r="L648" s="163">
        <f t="shared" si="24"/>
        <v>0.005736443294</v>
      </c>
      <c r="M648" s="163">
        <f t="shared" si="25"/>
        <v>0.1095945953</v>
      </c>
      <c r="N648" s="163">
        <f t="shared" si="26"/>
        <v>-0.009110704204</v>
      </c>
      <c r="O648" s="164">
        <f t="shared" si="28"/>
        <v>-0.007000142826</v>
      </c>
      <c r="P648" s="164">
        <f t="shared" si="16"/>
        <v>0.004089593787</v>
      </c>
      <c r="U648" s="168">
        <f t="shared" si="15"/>
        <v>1.031445851</v>
      </c>
    </row>
    <row r="649">
      <c r="A649" s="169">
        <v>45451.0</v>
      </c>
      <c r="B649" s="167">
        <v>12136.913283172615</v>
      </c>
      <c r="C649" s="160">
        <f t="shared" si="17"/>
        <v>10777.98344</v>
      </c>
      <c r="D649" s="160">
        <f t="shared" si="18"/>
        <v>1358.929844</v>
      </c>
      <c r="E649" s="161">
        <f t="shared" si="19"/>
        <v>12044.8741</v>
      </c>
      <c r="F649" s="161">
        <f t="shared" si="4"/>
        <v>11792.38201</v>
      </c>
      <c r="G649" s="161">
        <f t="shared" si="20"/>
        <v>11838.83427</v>
      </c>
      <c r="H649" s="161">
        <f t="shared" si="21"/>
        <v>12024.44525</v>
      </c>
      <c r="I649" s="161">
        <f t="shared" si="22"/>
        <v>12108.23767</v>
      </c>
      <c r="J649" s="162">
        <f t="shared" si="8"/>
        <v>12256.50849</v>
      </c>
      <c r="K649" s="163">
        <f t="shared" si="23"/>
        <v>-0.001033094869</v>
      </c>
      <c r="L649" s="163">
        <f t="shared" si="24"/>
        <v>0.005762627139</v>
      </c>
      <c r="M649" s="163">
        <f t="shared" si="25"/>
        <v>0.1100948369</v>
      </c>
      <c r="N649" s="163">
        <f t="shared" si="26"/>
        <v>-0.009283804372</v>
      </c>
      <c r="O649" s="164">
        <f t="shared" si="28"/>
        <v>-0.007000142826</v>
      </c>
      <c r="P649" s="164">
        <f t="shared" si="16"/>
        <v>0.003974034353</v>
      </c>
      <c r="U649" s="168">
        <f t="shared" si="15"/>
        <v>1.260074137</v>
      </c>
    </row>
    <row r="650">
      <c r="A650" s="169">
        <v>45450.0</v>
      </c>
      <c r="B650" s="170">
        <v>12149.458345018498</v>
      </c>
      <c r="C650" s="160">
        <f t="shared" si="17"/>
        <v>10770.30587</v>
      </c>
      <c r="D650" s="160">
        <f t="shared" si="18"/>
        <v>1379.152476</v>
      </c>
      <c r="E650" s="161">
        <f t="shared" si="19"/>
        <v>12024.69859</v>
      </c>
      <c r="F650" s="161">
        <f t="shared" si="4"/>
        <v>11792.9939</v>
      </c>
      <c r="G650" s="161">
        <f t="shared" si="20"/>
        <v>11826.66778</v>
      </c>
      <c r="H650" s="161">
        <f t="shared" si="21"/>
        <v>12008.37839</v>
      </c>
      <c r="I650" s="161">
        <f t="shared" si="22"/>
        <v>12093.89986</v>
      </c>
      <c r="J650" s="162">
        <f t="shared" si="8"/>
        <v>12223.76287</v>
      </c>
      <c r="K650" s="163">
        <f t="shared" si="23"/>
        <v>0.001033936837</v>
      </c>
      <c r="L650" s="163">
        <f t="shared" si="24"/>
        <v>0.005785895285</v>
      </c>
      <c r="M650" s="163">
        <f t="shared" si="25"/>
        <v>0.1105393742</v>
      </c>
      <c r="N650" s="163">
        <f t="shared" si="26"/>
        <v>-0.009456904541</v>
      </c>
      <c r="O650" s="164">
        <f t="shared" si="28"/>
        <v>-0.007000142826</v>
      </c>
      <c r="P650" s="164">
        <f t="shared" si="16"/>
        <v>0.002944513334</v>
      </c>
      <c r="U650" s="168">
        <f t="shared" si="15"/>
        <v>1.703037676</v>
      </c>
    </row>
    <row r="651">
      <c r="A651" s="169">
        <v>45449.0</v>
      </c>
      <c r="B651" s="167">
        <v>12136.903064287635</v>
      </c>
      <c r="C651" s="160">
        <f t="shared" si="17"/>
        <v>10762.46978</v>
      </c>
      <c r="D651" s="160">
        <f t="shared" si="18"/>
        <v>1374.433289</v>
      </c>
      <c r="E651" s="161">
        <f t="shared" si="19"/>
        <v>12003.24507</v>
      </c>
      <c r="F651" s="161">
        <f t="shared" si="4"/>
        <v>11798.55664</v>
      </c>
      <c r="G651" s="161">
        <f t="shared" si="20"/>
        <v>11813.49265</v>
      </c>
      <c r="H651" s="161">
        <f t="shared" si="21"/>
        <v>11988.22411</v>
      </c>
      <c r="I651" s="161">
        <f t="shared" si="22"/>
        <v>12066.12062</v>
      </c>
      <c r="J651" s="162">
        <f t="shared" si="8"/>
        <v>12177.89158</v>
      </c>
      <c r="K651" s="163">
        <f t="shared" si="23"/>
        <v>0.006005379386</v>
      </c>
      <c r="L651" s="163">
        <f t="shared" si="24"/>
        <v>0.005814855784</v>
      </c>
      <c r="M651" s="163">
        <f t="shared" si="25"/>
        <v>0.1110926638</v>
      </c>
      <c r="N651" s="163">
        <f t="shared" si="26"/>
        <v>-0.009481085775</v>
      </c>
      <c r="O651" s="164">
        <f t="shared" si="28"/>
        <v>-0.007104874776</v>
      </c>
      <c r="P651" s="164">
        <f t="shared" si="16"/>
        <v>0.003974872975</v>
      </c>
      <c r="U651" s="168">
        <f t="shared" si="15"/>
        <v>2.0381212</v>
      </c>
    </row>
    <row r="652">
      <c r="A652" s="169">
        <v>45448.0</v>
      </c>
      <c r="B652" s="167">
        <v>12064.234775538249</v>
      </c>
      <c r="C652" s="160">
        <f t="shared" si="17"/>
        <v>10754.61587</v>
      </c>
      <c r="D652" s="160">
        <f t="shared" si="18"/>
        <v>1309.618904</v>
      </c>
      <c r="E652" s="161">
        <f t="shared" si="19"/>
        <v>11981.46033</v>
      </c>
      <c r="F652" s="161">
        <f t="shared" si="4"/>
        <v>11805.90336</v>
      </c>
      <c r="G652" s="161">
        <f t="shared" si="20"/>
        <v>11800.29223</v>
      </c>
      <c r="H652" s="161">
        <f t="shared" si="21"/>
        <v>11966.98426</v>
      </c>
      <c r="I652" s="161">
        <f t="shared" si="22"/>
        <v>12030.7294</v>
      </c>
      <c r="J652" s="162">
        <f t="shared" si="8"/>
        <v>12128.06516</v>
      </c>
      <c r="K652" s="163">
        <f t="shared" si="23"/>
        <v>0.001174514337</v>
      </c>
      <c r="L652" s="163">
        <f t="shared" si="24"/>
        <v>0.005826531405</v>
      </c>
      <c r="M652" s="163">
        <f t="shared" si="25"/>
        <v>0.1113157262</v>
      </c>
      <c r="N652" s="163">
        <f t="shared" si="26"/>
        <v>-0.00950526701</v>
      </c>
      <c r="O652" s="164">
        <f t="shared" si="28"/>
        <v>-0.007104874776</v>
      </c>
      <c r="P652" s="164">
        <f t="shared" si="16"/>
        <v>0.009938457025</v>
      </c>
      <c r="U652" s="168">
        <f t="shared" si="15"/>
        <v>1.569716525</v>
      </c>
    </row>
    <row r="653">
      <c r="A653" s="169">
        <v>45447.0</v>
      </c>
      <c r="B653" s="167">
        <v>12050.073476786942</v>
      </c>
      <c r="C653" s="160">
        <f t="shared" si="17"/>
        <v>10747.08933</v>
      </c>
      <c r="D653" s="160">
        <f t="shared" si="18"/>
        <v>1302.984151</v>
      </c>
      <c r="E653" s="161">
        <f t="shared" si="19"/>
        <v>11961.7585</v>
      </c>
      <c r="F653" s="161">
        <f t="shared" si="4"/>
        <v>11749.46155</v>
      </c>
      <c r="G653" s="161">
        <f t="shared" si="20"/>
        <v>11789.51906</v>
      </c>
      <c r="H653" s="161">
        <f t="shared" si="21"/>
        <v>11953.09132</v>
      </c>
      <c r="I653" s="161">
        <f t="shared" si="22"/>
        <v>12013.97671</v>
      </c>
      <c r="J653" s="162">
        <f t="shared" si="8"/>
        <v>12156.7211</v>
      </c>
      <c r="K653" s="163">
        <f t="shared" si="23"/>
        <v>0.001074841681</v>
      </c>
      <c r="L653" s="163">
        <f t="shared" si="24"/>
        <v>0.005856417748</v>
      </c>
      <c r="M653" s="163">
        <f t="shared" si="25"/>
        <v>0.111886704</v>
      </c>
      <c r="N653" s="163">
        <f t="shared" si="26"/>
        <v>-0.009529448245</v>
      </c>
      <c r="O653" s="164">
        <f t="shared" si="28"/>
        <v>-0.007104874776</v>
      </c>
      <c r="P653" s="164">
        <f t="shared" si="16"/>
        <v>0.01110061588</v>
      </c>
      <c r="U653" s="168">
        <f t="shared" si="15"/>
        <v>1.238294329</v>
      </c>
    </row>
    <row r="654">
      <c r="A654" s="169">
        <v>45446.0</v>
      </c>
      <c r="B654" s="167">
        <v>12037.128513692545</v>
      </c>
      <c r="C654" s="160">
        <f t="shared" si="17"/>
        <v>10739.55763</v>
      </c>
      <c r="D654" s="160">
        <f t="shared" si="18"/>
        <v>1297.570888</v>
      </c>
      <c r="E654" s="161">
        <f t="shared" si="19"/>
        <v>11941.84758</v>
      </c>
      <c r="F654" s="161">
        <f t="shared" si="4"/>
        <v>11702.07172</v>
      </c>
      <c r="G654" s="161">
        <f t="shared" si="20"/>
        <v>11778.88419</v>
      </c>
      <c r="H654" s="161">
        <f t="shared" si="21"/>
        <v>11939.23673</v>
      </c>
      <c r="I654" s="161">
        <f t="shared" si="22"/>
        <v>11995.92833</v>
      </c>
      <c r="J654" s="162">
        <f t="shared" si="8"/>
        <v>12176.40175</v>
      </c>
      <c r="K654" s="163">
        <f t="shared" si="23"/>
        <v>0.001122097017</v>
      </c>
      <c r="L654" s="163">
        <f t="shared" si="24"/>
        <v>0.005886709263</v>
      </c>
      <c r="M654" s="163">
        <f t="shared" si="25"/>
        <v>0.1124654226</v>
      </c>
      <c r="N654" s="163">
        <f t="shared" si="26"/>
        <v>-0.009553629479</v>
      </c>
      <c r="O654" s="164">
        <f t="shared" si="28"/>
        <v>-0.0075888755</v>
      </c>
      <c r="P654" s="164">
        <f t="shared" si="16"/>
        <v>0.01216295513</v>
      </c>
      <c r="U654" s="168">
        <f t="shared" si="15"/>
        <v>1.073171073</v>
      </c>
    </row>
    <row r="655">
      <c r="A655" s="158">
        <v>45445.0</v>
      </c>
      <c r="B655" s="170">
        <v>12023.62926284372</v>
      </c>
      <c r="C655" s="160">
        <f t="shared" si="17"/>
        <v>10732.01361</v>
      </c>
      <c r="D655" s="160">
        <f t="shared" si="18"/>
        <v>1291.615654</v>
      </c>
      <c r="E655" s="161">
        <f t="shared" si="19"/>
        <v>11921.66799</v>
      </c>
      <c r="F655" s="161">
        <f t="shared" si="4"/>
        <v>11685.61699</v>
      </c>
      <c r="G655" s="161">
        <f t="shared" si="20"/>
        <v>11768.3436</v>
      </c>
      <c r="H655" s="161">
        <f t="shared" si="21"/>
        <v>11925.25219</v>
      </c>
      <c r="I655" s="161">
        <f t="shared" si="22"/>
        <v>11975.32824</v>
      </c>
      <c r="J655" s="162">
        <f t="shared" si="8"/>
        <v>12164.88739</v>
      </c>
      <c r="K655" s="163">
        <f t="shared" si="23"/>
        <v>0.0002633213</v>
      </c>
      <c r="L655" s="163">
        <f t="shared" si="24"/>
        <v>0.005917506671</v>
      </c>
      <c r="M655" s="163">
        <f t="shared" si="25"/>
        <v>0.1130538062</v>
      </c>
      <c r="N655" s="163">
        <f t="shared" si="26"/>
        <v>-0.009577810714</v>
      </c>
      <c r="O655" s="164">
        <f t="shared" si="28"/>
        <v>-0.0075888755</v>
      </c>
      <c r="P655" s="164">
        <f t="shared" si="16"/>
        <v>0.01327078247</v>
      </c>
      <c r="U655" s="168">
        <f t="shared" si="15"/>
        <v>1.067374025</v>
      </c>
    </row>
    <row r="656">
      <c r="A656" s="158">
        <v>45444.0</v>
      </c>
      <c r="B656" s="167">
        <v>12020.46360196669</v>
      </c>
      <c r="C656" s="160">
        <f t="shared" si="17"/>
        <v>10724.4603</v>
      </c>
      <c r="D656" s="160">
        <f t="shared" si="18"/>
        <v>1296.003301</v>
      </c>
      <c r="E656" s="161">
        <f t="shared" si="19"/>
        <v>11901.23052</v>
      </c>
      <c r="F656" s="161">
        <f t="shared" si="4"/>
        <v>11671.7632</v>
      </c>
      <c r="G656" s="161">
        <f t="shared" si="20"/>
        <v>11757.92378</v>
      </c>
      <c r="H656" s="161">
        <f t="shared" si="21"/>
        <v>11911.19832</v>
      </c>
      <c r="I656" s="161">
        <f t="shared" si="22"/>
        <v>11951.17773</v>
      </c>
      <c r="J656" s="162">
        <f t="shared" si="8"/>
        <v>12150.63345</v>
      </c>
      <c r="K656" s="163">
        <f t="shared" si="23"/>
        <v>0.01107506021</v>
      </c>
      <c r="L656" s="163">
        <f t="shared" si="24"/>
        <v>0.005947592211</v>
      </c>
      <c r="M656" s="163">
        <f t="shared" si="25"/>
        <v>0.1136285896</v>
      </c>
      <c r="N656" s="163">
        <f t="shared" si="26"/>
        <v>-0.009601991949</v>
      </c>
      <c r="O656" s="164">
        <f t="shared" si="28"/>
        <v>-0.0075888755</v>
      </c>
      <c r="P656" s="164">
        <f t="shared" si="16"/>
        <v>0.01353057509</v>
      </c>
      <c r="U656" s="168">
        <f t="shared" si="15"/>
        <v>1.186499791</v>
      </c>
    </row>
    <row r="657">
      <c r="A657" s="158">
        <v>45443.0</v>
      </c>
      <c r="B657" s="167">
        <v>11888.070726621776</v>
      </c>
      <c r="C657" s="160">
        <f t="shared" si="17"/>
        <v>10716.83675</v>
      </c>
      <c r="D657" s="160">
        <f t="shared" si="18"/>
        <v>1171.233975</v>
      </c>
      <c r="E657" s="161">
        <f t="shared" si="19"/>
        <v>11880.08817</v>
      </c>
      <c r="F657" s="161">
        <f t="shared" si="4"/>
        <v>11656.32082</v>
      </c>
      <c r="G657" s="161">
        <f t="shared" si="20"/>
        <v>11747.20787</v>
      </c>
      <c r="H657" s="161">
        <f t="shared" si="21"/>
        <v>11895.589</v>
      </c>
      <c r="I657" s="161">
        <f t="shared" si="22"/>
        <v>11916.53479</v>
      </c>
      <c r="J657" s="162">
        <f t="shared" si="8"/>
        <v>12134.85718</v>
      </c>
      <c r="K657" s="163">
        <f t="shared" si="23"/>
        <v>0.0001984880796</v>
      </c>
      <c r="L657" s="163">
        <f t="shared" si="24"/>
        <v>0.00589520813</v>
      </c>
      <c r="M657" s="163">
        <f t="shared" si="25"/>
        <v>0.1126277932</v>
      </c>
      <c r="N657" s="163">
        <f t="shared" si="26"/>
        <v>-0.009626173183</v>
      </c>
      <c r="O657" s="164">
        <f t="shared" si="28"/>
        <v>-0.0075888755</v>
      </c>
      <c r="P657" s="164">
        <f t="shared" si="16"/>
        <v>0.02439550742</v>
      </c>
      <c r="U657" s="168">
        <f t="shared" si="15"/>
        <v>-0.08169705875</v>
      </c>
    </row>
    <row r="658">
      <c r="A658" s="158">
        <v>45442.0</v>
      </c>
      <c r="B658" s="167">
        <v>11885.711320457627</v>
      </c>
      <c r="C658" s="160">
        <f t="shared" si="17"/>
        <v>10709.90637</v>
      </c>
      <c r="D658" s="160">
        <f t="shared" si="18"/>
        <v>1175.804947</v>
      </c>
      <c r="E658" s="161">
        <f t="shared" si="19"/>
        <v>11863.70659</v>
      </c>
      <c r="F658" s="161">
        <f t="shared" si="4"/>
        <v>11609.14621</v>
      </c>
      <c r="G658" s="161">
        <f t="shared" si="20"/>
        <v>11741.45837</v>
      </c>
      <c r="H658" s="161">
        <f t="shared" si="21"/>
        <v>11896.66304</v>
      </c>
      <c r="I658" s="161">
        <f t="shared" si="22"/>
        <v>11930.76682</v>
      </c>
      <c r="J658" s="162">
        <f t="shared" si="8"/>
        <v>12184.17987</v>
      </c>
      <c r="K658" s="163">
        <f t="shared" si="23"/>
        <v>0.0001983303183</v>
      </c>
      <c r="L658" s="163">
        <f t="shared" si="24"/>
        <v>0.005925874083</v>
      </c>
      <c r="M658" s="163">
        <f t="shared" si="25"/>
        <v>0.1132136654</v>
      </c>
      <c r="N658" s="163">
        <f t="shared" si="26"/>
        <v>-0.009650354418</v>
      </c>
      <c r="O658" s="164">
        <f t="shared" si="28"/>
        <v>-0.0075888755</v>
      </c>
      <c r="P658" s="164">
        <f t="shared" si="16"/>
        <v>0.02458913406</v>
      </c>
      <c r="U658" s="168">
        <f t="shared" si="15"/>
        <v>-0.09903581542</v>
      </c>
    </row>
    <row r="659">
      <c r="A659" s="158">
        <v>45441.0</v>
      </c>
      <c r="B659" s="167">
        <v>11883.354257294044</v>
      </c>
      <c r="C659" s="160">
        <f t="shared" si="17"/>
        <v>10702.90753</v>
      </c>
      <c r="D659" s="160">
        <f t="shared" si="18"/>
        <v>1180.446723</v>
      </c>
      <c r="E659" s="161">
        <f t="shared" si="19"/>
        <v>11846.72373</v>
      </c>
      <c r="F659" s="161">
        <f t="shared" si="4"/>
        <v>11493.58918</v>
      </c>
      <c r="G659" s="161">
        <f t="shared" si="20"/>
        <v>11735.57049</v>
      </c>
      <c r="H659" s="161">
        <f t="shared" si="21"/>
        <v>11898.22757</v>
      </c>
      <c r="I659" s="161">
        <f t="shared" si="22"/>
        <v>11953.29457</v>
      </c>
      <c r="J659" s="162">
        <f t="shared" si="8"/>
        <v>12302.86595</v>
      </c>
      <c r="K659" s="163">
        <f t="shared" si="23"/>
        <v>-0.003406337216</v>
      </c>
      <c r="L659" s="163">
        <f t="shared" si="24"/>
        <v>0.005957022427</v>
      </c>
      <c r="M659" s="163">
        <f t="shared" si="25"/>
        <v>0.1138087537</v>
      </c>
      <c r="N659" s="163">
        <f t="shared" si="26"/>
        <v>-0.009674535653</v>
      </c>
      <c r="O659" s="164">
        <f t="shared" si="28"/>
        <v>-0.0075888755</v>
      </c>
      <c r="P659" s="164">
        <f t="shared" si="16"/>
        <v>0.02478256843</v>
      </c>
      <c r="U659" s="168">
        <f t="shared" si="15"/>
        <v>-0.09556831424</v>
      </c>
    </row>
    <row r="660">
      <c r="A660" s="158">
        <v>45440.0</v>
      </c>
      <c r="B660" s="170">
        <v>11923.901989572872</v>
      </c>
      <c r="C660" s="160">
        <f t="shared" si="17"/>
        <v>10695.83899</v>
      </c>
      <c r="D660" s="160">
        <f t="shared" si="18"/>
        <v>1228.062998</v>
      </c>
      <c r="E660" s="161">
        <f t="shared" si="19"/>
        <v>11829.11011</v>
      </c>
      <c r="F660" s="161">
        <f t="shared" si="4"/>
        <v>11365.44048</v>
      </c>
      <c r="G660" s="161">
        <f t="shared" si="20"/>
        <v>11729.5385</v>
      </c>
      <c r="H660" s="161">
        <f t="shared" si="21"/>
        <v>11900.35233</v>
      </c>
      <c r="I660" s="161">
        <f t="shared" si="22"/>
        <v>11988.26473</v>
      </c>
      <c r="J660" s="162">
        <f t="shared" si="8"/>
        <v>12435.26418</v>
      </c>
      <c r="K660" s="163">
        <f t="shared" si="23"/>
        <v>-0.009940529233</v>
      </c>
      <c r="L660" s="163">
        <f t="shared" si="24"/>
        <v>0.005968304823</v>
      </c>
      <c r="M660" s="163">
        <f t="shared" si="25"/>
        <v>0.1140243035</v>
      </c>
      <c r="N660" s="163">
        <f t="shared" si="26"/>
        <v>-0.009698716887</v>
      </c>
      <c r="O660" s="164">
        <f t="shared" si="28"/>
        <v>-0.0075888755</v>
      </c>
      <c r="P660" s="164">
        <f t="shared" si="16"/>
        <v>0.02145498478</v>
      </c>
      <c r="U660" s="168">
        <f t="shared" si="15"/>
        <v>0.1144658189</v>
      </c>
    </row>
    <row r="661">
      <c r="A661" s="158">
        <v>45439.0</v>
      </c>
      <c r="B661" s="171">
        <v>12043.022967758458</v>
      </c>
      <c r="C661" s="160">
        <f t="shared" si="17"/>
        <v>10688.44102</v>
      </c>
      <c r="D661" s="160">
        <f t="shared" si="18"/>
        <v>1354.581946</v>
      </c>
      <c r="E661" s="161">
        <f t="shared" si="19"/>
        <v>11808.9487</v>
      </c>
      <c r="F661" s="161">
        <f t="shared" si="4"/>
        <v>11265.33434</v>
      </c>
      <c r="G661" s="161">
        <f t="shared" si="20"/>
        <v>11721.6053</v>
      </c>
      <c r="H661" s="161">
        <f t="shared" si="21"/>
        <v>11896.98809</v>
      </c>
      <c r="I661" s="161">
        <f t="shared" si="22"/>
        <v>12020.4461</v>
      </c>
      <c r="J661" s="162">
        <f t="shared" si="8"/>
        <v>12528.64184</v>
      </c>
      <c r="K661" s="163">
        <f t="shared" si="23"/>
        <v>0.003219467774</v>
      </c>
      <c r="L661" s="163">
        <f t="shared" si="24"/>
        <v>0.005877547952</v>
      </c>
      <c r="M661" s="163">
        <f t="shared" si="25"/>
        <v>0.112290396</v>
      </c>
      <c r="N661" s="163">
        <f t="shared" si="26"/>
        <v>-0.007899003024</v>
      </c>
      <c r="O661" s="164">
        <f t="shared" si="28"/>
        <v>-0.0075888755</v>
      </c>
      <c r="P661" s="164">
        <f t="shared" si="16"/>
        <v>0.01167922182</v>
      </c>
      <c r="U661" s="168">
        <f t="shared" si="15"/>
        <v>0.601105725</v>
      </c>
    </row>
    <row r="662">
      <c r="A662" s="158">
        <v>45438.0</v>
      </c>
      <c r="B662" s="171">
        <v>12004.313189294704</v>
      </c>
      <c r="C662" s="160">
        <f t="shared" si="17"/>
        <v>10680.23143</v>
      </c>
      <c r="D662" s="160">
        <f t="shared" si="18"/>
        <v>1324.081755</v>
      </c>
      <c r="E662" s="161">
        <f t="shared" si="19"/>
        <v>11782.62011</v>
      </c>
      <c r="F662" s="161">
        <f t="shared" si="4"/>
        <v>11178.31753</v>
      </c>
      <c r="G662" s="161">
        <f t="shared" si="20"/>
        <v>11708.48621</v>
      </c>
      <c r="H662" s="161">
        <f t="shared" si="21"/>
        <v>11876.12596</v>
      </c>
      <c r="I662" s="161">
        <f t="shared" si="22"/>
        <v>12009.15766</v>
      </c>
      <c r="J662" s="162">
        <f t="shared" si="8"/>
        <v>12573.9344</v>
      </c>
      <c r="K662" s="163">
        <f t="shared" si="23"/>
        <v>0.0001771692321</v>
      </c>
      <c r="L662" s="163">
        <f t="shared" si="24"/>
        <v>0.005908241023</v>
      </c>
      <c r="M662" s="163">
        <f t="shared" si="25"/>
        <v>0.1128767863</v>
      </c>
      <c r="N662" s="163">
        <f t="shared" si="26"/>
        <v>-0.008072103192</v>
      </c>
      <c r="O662" s="164">
        <f t="shared" si="28"/>
        <v>-0.004230631323</v>
      </c>
      <c r="P662" s="164">
        <f t="shared" si="16"/>
        <v>0.01485597225</v>
      </c>
      <c r="U662" s="168">
        <f t="shared" si="15"/>
        <v>0.4776193146</v>
      </c>
    </row>
    <row r="663">
      <c r="A663" s="158">
        <v>45437.0</v>
      </c>
      <c r="B663" s="171">
        <v>12002.186582734834</v>
      </c>
      <c r="C663" s="160">
        <f t="shared" si="17"/>
        <v>10672.15776</v>
      </c>
      <c r="D663" s="160">
        <f t="shared" si="18"/>
        <v>1330.028818</v>
      </c>
      <c r="E663" s="161">
        <f t="shared" si="19"/>
        <v>11756.90642</v>
      </c>
      <c r="F663" s="161">
        <f t="shared" si="4"/>
        <v>11109.22066</v>
      </c>
      <c r="G663" s="161">
        <f t="shared" si="20"/>
        <v>11696.41164</v>
      </c>
      <c r="H663" s="161">
        <f t="shared" si="21"/>
        <v>11857.8135</v>
      </c>
      <c r="I663" s="161">
        <f t="shared" si="22"/>
        <v>12011.5799</v>
      </c>
      <c r="J663" s="162">
        <f t="shared" si="8"/>
        <v>12606.40635</v>
      </c>
      <c r="K663" s="163">
        <f t="shared" si="23"/>
        <v>0.0001061072801</v>
      </c>
      <c r="L663" s="163">
        <f t="shared" si="24"/>
        <v>0.005940219565</v>
      </c>
      <c r="M663" s="163">
        <f t="shared" si="25"/>
        <v>0.1134877354</v>
      </c>
      <c r="N663" s="163">
        <f t="shared" si="26"/>
        <v>-0.008245203361</v>
      </c>
      <c r="O663" s="164">
        <f t="shared" si="28"/>
        <v>-0.004230631323</v>
      </c>
      <c r="P663" s="164">
        <f t="shared" si="16"/>
        <v>0.015030494</v>
      </c>
      <c r="U663" s="168">
        <f t="shared" si="15"/>
        <v>0.501434138</v>
      </c>
    </row>
    <row r="664">
      <c r="A664" s="158">
        <v>45436.0</v>
      </c>
      <c r="B664" s="171">
        <v>12000.913130923138</v>
      </c>
      <c r="C664" s="160">
        <f t="shared" si="17"/>
        <v>10663.99808</v>
      </c>
      <c r="D664" s="160">
        <f t="shared" si="18"/>
        <v>1336.915052</v>
      </c>
      <c r="E664" s="161">
        <f t="shared" si="19"/>
        <v>11730.1772</v>
      </c>
      <c r="F664" s="161">
        <f t="shared" si="4"/>
        <v>11052.86987</v>
      </c>
      <c r="G664" s="161">
        <f t="shared" si="20"/>
        <v>11683.93103</v>
      </c>
      <c r="H664" s="161">
        <f t="shared" si="21"/>
        <v>11837.18878</v>
      </c>
      <c r="I664" s="161">
        <f t="shared" si="22"/>
        <v>12016.27655</v>
      </c>
      <c r="J664" s="162">
        <f t="shared" si="8"/>
        <v>12621.50768</v>
      </c>
      <c r="K664" s="163">
        <f t="shared" si="23"/>
        <v>0.0002061612714</v>
      </c>
      <c r="L664" s="163">
        <f t="shared" si="24"/>
        <v>0.005972519919</v>
      </c>
      <c r="M664" s="163">
        <f t="shared" si="25"/>
        <v>0.1141048328</v>
      </c>
      <c r="N664" s="163">
        <f t="shared" si="26"/>
        <v>-0.008418303529</v>
      </c>
      <c r="O664" s="164">
        <f t="shared" si="28"/>
        <v>-0.004230631323</v>
      </c>
      <c r="P664" s="164">
        <f t="shared" si="16"/>
        <v>0.01513500089</v>
      </c>
      <c r="U664" s="168">
        <f t="shared" si="15"/>
        <v>0.5427426459</v>
      </c>
    </row>
    <row r="665">
      <c r="A665" s="158">
        <v>45435.0</v>
      </c>
      <c r="B665" s="171">
        <v>11998.439262431093</v>
      </c>
      <c r="C665" s="160">
        <f t="shared" si="17"/>
        <v>10655.74552</v>
      </c>
      <c r="D665" s="160">
        <f t="shared" si="18"/>
        <v>1342.693746</v>
      </c>
      <c r="E665" s="161">
        <f t="shared" si="19"/>
        <v>11702.34168</v>
      </c>
      <c r="F665" s="161">
        <f t="shared" si="4"/>
        <v>10995.03914</v>
      </c>
      <c r="G665" s="161">
        <f t="shared" si="20"/>
        <v>11670.99298</v>
      </c>
      <c r="H665" s="161">
        <f t="shared" si="21"/>
        <v>11813.79958</v>
      </c>
      <c r="I665" s="161">
        <f t="shared" si="22"/>
        <v>12023.95827</v>
      </c>
      <c r="J665" s="162">
        <f t="shared" si="8"/>
        <v>12632.56003</v>
      </c>
      <c r="K665" s="163">
        <f t="shared" si="23"/>
        <v>0.00024631947</v>
      </c>
      <c r="L665" s="163">
        <f t="shared" si="24"/>
        <v>0.006005635892</v>
      </c>
      <c r="M665" s="163">
        <f t="shared" si="25"/>
        <v>0.1147375126</v>
      </c>
      <c r="N665" s="163">
        <f t="shared" si="26"/>
        <v>-0.008591403698</v>
      </c>
      <c r="O665" s="164">
        <f t="shared" si="28"/>
        <v>-0.004230631323</v>
      </c>
      <c r="P665" s="164">
        <f t="shared" si="16"/>
        <v>0.01533802098</v>
      </c>
      <c r="U665" s="168">
        <f t="shared" si="15"/>
        <v>0.5863292076</v>
      </c>
    </row>
    <row r="666">
      <c r="A666" s="158">
        <v>45434.0</v>
      </c>
      <c r="B666" s="171">
        <v>11995.484177194134</v>
      </c>
      <c r="C666" s="160">
        <f t="shared" si="17"/>
        <v>10647.4058</v>
      </c>
      <c r="D666" s="160">
        <f t="shared" si="18"/>
        <v>1348.078373</v>
      </c>
      <c r="E666" s="161">
        <f t="shared" si="19"/>
        <v>11673.39892</v>
      </c>
      <c r="F666" s="161">
        <f t="shared" si="4"/>
        <v>10958.05169</v>
      </c>
      <c r="G666" s="161">
        <f t="shared" si="20"/>
        <v>11657.62783</v>
      </c>
      <c r="H666" s="161">
        <f t="shared" si="21"/>
        <v>11787.42249</v>
      </c>
      <c r="I666" s="161">
        <f t="shared" si="22"/>
        <v>12036.71777</v>
      </c>
      <c r="J666" s="162">
        <f t="shared" si="8"/>
        <v>12616.79328</v>
      </c>
      <c r="K666" s="163">
        <f t="shared" si="23"/>
        <v>-0.01570318468</v>
      </c>
      <c r="L666" s="163">
        <f t="shared" si="24"/>
        <v>0.006039417902</v>
      </c>
      <c r="M666" s="163">
        <f t="shared" si="25"/>
        <v>0.115382917</v>
      </c>
      <c r="N666" s="163">
        <f t="shared" si="26"/>
        <v>-0.008764503867</v>
      </c>
      <c r="O666" s="164">
        <f t="shared" si="28"/>
        <v>-0.010758336</v>
      </c>
      <c r="P666" s="164">
        <f t="shared" si="16"/>
        <v>0.01558053253</v>
      </c>
      <c r="U666" s="168">
        <f t="shared" si="15"/>
        <v>0.6522539684</v>
      </c>
    </row>
    <row r="667">
      <c r="A667" s="169">
        <v>45433.0</v>
      </c>
      <c r="B667" s="171">
        <v>12185.338235929627</v>
      </c>
      <c r="C667" s="160">
        <f t="shared" si="17"/>
        <v>10638.98031</v>
      </c>
      <c r="D667" s="160">
        <f t="shared" si="18"/>
        <v>1546.357922</v>
      </c>
      <c r="E667" s="161">
        <f t="shared" si="19"/>
        <v>11643.31422</v>
      </c>
      <c r="F667" s="161">
        <f t="shared" si="4"/>
        <v>10925.07192</v>
      </c>
      <c r="G667" s="161">
        <f t="shared" si="20"/>
        <v>11643.83777</v>
      </c>
      <c r="H667" s="161">
        <f t="shared" si="21"/>
        <v>11757.69939</v>
      </c>
      <c r="I667" s="161">
        <f t="shared" si="22"/>
        <v>12057.33456</v>
      </c>
      <c r="J667" s="162">
        <f t="shared" si="8"/>
        <v>12590.32686</v>
      </c>
      <c r="K667" s="163">
        <f t="shared" si="23"/>
        <v>0.0002420594304</v>
      </c>
      <c r="L667" s="163">
        <f t="shared" si="24"/>
        <v>0.005766447318</v>
      </c>
      <c r="M667" s="163">
        <f t="shared" si="25"/>
        <v>0.1101678213</v>
      </c>
      <c r="N667" s="163">
        <f t="shared" si="26"/>
        <v>-0.005802860801</v>
      </c>
      <c r="O667" s="164">
        <f t="shared" si="28"/>
        <v>-0.010758336</v>
      </c>
      <c r="P667" s="164">
        <f t="shared" si="16"/>
        <v>0</v>
      </c>
      <c r="U667" s="168">
        <f t="shared" si="15"/>
        <v>1.335364304</v>
      </c>
    </row>
    <row r="668">
      <c r="A668" s="169">
        <v>45432.0</v>
      </c>
      <c r="B668" s="171">
        <v>12182.389016853971</v>
      </c>
      <c r="C668" s="160">
        <f t="shared" si="17"/>
        <v>10629.25479</v>
      </c>
      <c r="D668" s="160">
        <f t="shared" si="18"/>
        <v>1553.134224</v>
      </c>
      <c r="E668" s="161">
        <f t="shared" si="19"/>
        <v>11602.84647</v>
      </c>
      <c r="F668" s="161">
        <f t="shared" si="4"/>
        <v>10927.64684</v>
      </c>
      <c r="G668" s="161">
        <f t="shared" si="20"/>
        <v>11621.73571</v>
      </c>
      <c r="H668" s="161">
        <f t="shared" si="21"/>
        <v>11696.60812</v>
      </c>
      <c r="I668" s="161">
        <f t="shared" si="22"/>
        <v>11993.33272</v>
      </c>
      <c r="J668" s="162">
        <f t="shared" si="8"/>
        <v>12465.56941</v>
      </c>
      <c r="K668" s="163">
        <f t="shared" si="23"/>
        <v>0.009739410855</v>
      </c>
      <c r="L668" s="163">
        <f t="shared" si="24"/>
        <v>0.00579880373</v>
      </c>
      <c r="M668" s="163">
        <f t="shared" si="25"/>
        <v>0.1107859897</v>
      </c>
      <c r="N668" s="163">
        <f t="shared" si="26"/>
        <v>-0.005866874257</v>
      </c>
      <c r="O668" s="164">
        <f t="shared" si="28"/>
        <v>-0.004230631323</v>
      </c>
      <c r="P668" s="164">
        <f t="shared" si="16"/>
        <v>0</v>
      </c>
      <c r="U668" s="168">
        <f t="shared" si="15"/>
        <v>1.64251483</v>
      </c>
    </row>
    <row r="669">
      <c r="A669" s="169">
        <v>45431.0</v>
      </c>
      <c r="B669" s="171">
        <v>12064.315640914805</v>
      </c>
      <c r="C669" s="160">
        <f t="shared" si="17"/>
        <v>10619.42483</v>
      </c>
      <c r="D669" s="160">
        <f t="shared" si="18"/>
        <v>1444.890812</v>
      </c>
      <c r="E669" s="161">
        <f t="shared" si="19"/>
        <v>11560.72608</v>
      </c>
      <c r="F669" s="161">
        <f t="shared" si="4"/>
        <v>10964.01375</v>
      </c>
      <c r="G669" s="161">
        <f t="shared" si="20"/>
        <v>11598.8519</v>
      </c>
      <c r="H669" s="161">
        <f t="shared" si="21"/>
        <v>11627.21085</v>
      </c>
      <c r="I669" s="161">
        <f t="shared" si="22"/>
        <v>11898.80458</v>
      </c>
      <c r="J669" s="162">
        <f t="shared" si="8"/>
        <v>12290.40795</v>
      </c>
      <c r="K669" s="163">
        <f t="shared" si="23"/>
        <v>0.003994145233</v>
      </c>
      <c r="L669" s="163">
        <f t="shared" si="24"/>
        <v>0.005767512877</v>
      </c>
      <c r="M669" s="163">
        <f t="shared" si="25"/>
        <v>0.1101881788</v>
      </c>
      <c r="N669" s="163">
        <f t="shared" si="26"/>
        <v>-0.005930887713</v>
      </c>
      <c r="O669" s="164">
        <f t="shared" si="28"/>
        <v>-0.004230631323</v>
      </c>
      <c r="P669" s="164">
        <f t="shared" si="16"/>
        <v>0</v>
      </c>
      <c r="U669" s="168">
        <f t="shared" si="15"/>
        <v>1.713626981</v>
      </c>
    </row>
    <row r="670">
      <c r="A670" s="169">
        <v>45430.0</v>
      </c>
      <c r="B670" s="171">
        <v>12016.225116316109</v>
      </c>
      <c r="C670" s="160">
        <f t="shared" si="17"/>
        <v>10610.2217</v>
      </c>
      <c r="D670" s="160">
        <f t="shared" si="18"/>
        <v>1406.003414</v>
      </c>
      <c r="E670" s="161">
        <f t="shared" si="19"/>
        <v>11522.48101</v>
      </c>
      <c r="F670" s="161">
        <f t="shared" si="4"/>
        <v>10998.36888</v>
      </c>
      <c r="G670" s="161">
        <f t="shared" si="20"/>
        <v>11579.85338</v>
      </c>
      <c r="H670" s="161">
        <f t="shared" si="21"/>
        <v>11564.76731</v>
      </c>
      <c r="I670" s="161">
        <f t="shared" si="22"/>
        <v>11816.04905</v>
      </c>
      <c r="J670" s="162">
        <f t="shared" si="8"/>
        <v>12131.16575</v>
      </c>
      <c r="K670" s="163">
        <f t="shared" si="23"/>
        <v>0.0003021984503</v>
      </c>
      <c r="L670" s="163">
        <f t="shared" si="24"/>
        <v>0.005797991811</v>
      </c>
      <c r="M670" s="163">
        <f t="shared" si="25"/>
        <v>0.110770478</v>
      </c>
      <c r="N670" s="163">
        <f t="shared" si="26"/>
        <v>-0.005994901169</v>
      </c>
      <c r="O670" s="164">
        <f t="shared" si="28"/>
        <v>-0.004230631323</v>
      </c>
      <c r="P670" s="164">
        <f t="shared" si="16"/>
        <v>0</v>
      </c>
      <c r="U670" s="168">
        <f t="shared" si="15"/>
        <v>2.072375576</v>
      </c>
    </row>
    <row r="671">
      <c r="A671" s="169">
        <v>45429.0</v>
      </c>
      <c r="B671" s="171">
        <v>12012.594380336526</v>
      </c>
      <c r="C671" s="160">
        <f t="shared" si="17"/>
        <v>10601.20886</v>
      </c>
      <c r="D671" s="160">
        <f t="shared" si="18"/>
        <v>1411.38552</v>
      </c>
      <c r="E671" s="161">
        <f t="shared" si="19"/>
        <v>11484.87378</v>
      </c>
      <c r="F671" s="161">
        <f t="shared" si="4"/>
        <v>11045.23594</v>
      </c>
      <c r="G671" s="161">
        <f t="shared" si="20"/>
        <v>11562.04229</v>
      </c>
      <c r="H671" s="161">
        <f t="shared" si="21"/>
        <v>11500.27334</v>
      </c>
      <c r="I671" s="161">
        <f t="shared" si="22"/>
        <v>11715.96101</v>
      </c>
      <c r="J671" s="162">
        <f t="shared" si="8"/>
        <v>11955.31075</v>
      </c>
      <c r="K671" s="163">
        <f t="shared" si="23"/>
        <v>0.0225043332</v>
      </c>
      <c r="L671" s="163">
        <f t="shared" si="24"/>
        <v>0.005832333099</v>
      </c>
      <c r="M671" s="163">
        <f t="shared" si="25"/>
        <v>0.1114265674</v>
      </c>
      <c r="N671" s="163">
        <f t="shared" si="26"/>
        <v>-0.006168001338</v>
      </c>
      <c r="O671" s="164">
        <f t="shared" si="28"/>
        <v>-0.004230631323</v>
      </c>
      <c r="P671" s="164">
        <f t="shared" si="16"/>
        <v>0</v>
      </c>
      <c r="U671" s="168">
        <f t="shared" si="15"/>
        <v>2.92730815</v>
      </c>
    </row>
    <row r="672">
      <c r="A672" s="169">
        <v>45428.0</v>
      </c>
      <c r="B672" s="171">
        <v>11745.27812250254</v>
      </c>
      <c r="C672" s="160">
        <f t="shared" si="17"/>
        <v>10592.10315</v>
      </c>
      <c r="D672" s="160">
        <f t="shared" si="18"/>
        <v>1153.174975</v>
      </c>
      <c r="E672" s="161">
        <f t="shared" si="19"/>
        <v>11445.72012</v>
      </c>
      <c r="F672" s="161">
        <f t="shared" si="4"/>
        <v>11156.81019</v>
      </c>
      <c r="G672" s="161">
        <f t="shared" si="20"/>
        <v>11543.65241</v>
      </c>
      <c r="H672" s="161">
        <f t="shared" si="21"/>
        <v>11427.08462</v>
      </c>
      <c r="I672" s="161">
        <f t="shared" si="22"/>
        <v>11567.64432</v>
      </c>
      <c r="J672" s="162">
        <f t="shared" si="8"/>
        <v>11697.35905</v>
      </c>
      <c r="K672" s="163">
        <f t="shared" si="23"/>
        <v>0.01557336447</v>
      </c>
      <c r="L672" s="163">
        <f t="shared" si="24"/>
        <v>0.00537203957</v>
      </c>
      <c r="M672" s="163">
        <f t="shared" si="25"/>
        <v>0.1026326719</v>
      </c>
      <c r="N672" s="163">
        <f t="shared" si="26"/>
        <v>-0.006341101507</v>
      </c>
      <c r="O672" s="164">
        <f t="shared" si="28"/>
        <v>-0.005418780064</v>
      </c>
      <c r="P672" s="164">
        <f t="shared" si="16"/>
        <v>0</v>
      </c>
      <c r="U672" s="168">
        <f t="shared" si="15"/>
        <v>3.060974367</v>
      </c>
    </row>
    <row r="673">
      <c r="A673" s="169">
        <v>45427.0</v>
      </c>
      <c r="B673" s="171">
        <v>11563.78154984312</v>
      </c>
      <c r="C673" s="160">
        <f t="shared" si="17"/>
        <v>10584.615</v>
      </c>
      <c r="D673" s="160">
        <f t="shared" si="18"/>
        <v>979.1665517</v>
      </c>
      <c r="E673" s="161">
        <f t="shared" si="19"/>
        <v>11418.28599</v>
      </c>
      <c r="F673" s="161">
        <f t="shared" si="4"/>
        <v>11166.98016</v>
      </c>
      <c r="G673" s="161">
        <f t="shared" si="20"/>
        <v>11535.42279</v>
      </c>
      <c r="H673" s="161">
        <f t="shared" si="21"/>
        <v>11381.62841</v>
      </c>
      <c r="I673" s="161">
        <f t="shared" si="22"/>
        <v>11478.82743</v>
      </c>
      <c r="J673" s="162">
        <f t="shared" si="8"/>
        <v>11596.27666</v>
      </c>
      <c r="K673" s="163">
        <f t="shared" si="23"/>
        <v>0.009798444647</v>
      </c>
      <c r="L673" s="163">
        <f t="shared" si="24"/>
        <v>0.005159738412</v>
      </c>
      <c r="M673" s="163">
        <f t="shared" si="25"/>
        <v>0.09857666394</v>
      </c>
      <c r="N673" s="163">
        <f t="shared" si="26"/>
        <v>-0.006514201675</v>
      </c>
      <c r="O673" s="164">
        <f t="shared" si="28"/>
        <v>-0.005418780064</v>
      </c>
      <c r="P673" s="164">
        <f t="shared" si="16"/>
        <v>0</v>
      </c>
      <c r="U673" s="168">
        <f t="shared" si="15"/>
        <v>2.206391948</v>
      </c>
    </row>
    <row r="674">
      <c r="A674" s="169">
        <v>45426.0</v>
      </c>
      <c r="B674" s="171">
        <v>11451.027784306003</v>
      </c>
      <c r="C674" s="160">
        <f t="shared" si="17"/>
        <v>10578.21522</v>
      </c>
      <c r="D674" s="160">
        <f t="shared" si="18"/>
        <v>872.8125675</v>
      </c>
      <c r="E674" s="161">
        <f t="shared" si="19"/>
        <v>11398.84973</v>
      </c>
      <c r="F674" s="161">
        <f t="shared" si="4"/>
        <v>11107.76507</v>
      </c>
      <c r="G674" s="161">
        <f t="shared" si="20"/>
        <v>11534.26529</v>
      </c>
      <c r="H674" s="161">
        <f t="shared" si="21"/>
        <v>11355.60653</v>
      </c>
      <c r="I674" s="161">
        <f t="shared" si="22"/>
        <v>11436.35036</v>
      </c>
      <c r="J674" s="162">
        <f t="shared" si="8"/>
        <v>11603.44799</v>
      </c>
      <c r="K674" s="163">
        <f t="shared" si="23"/>
        <v>0.0003915055132</v>
      </c>
      <c r="L674" s="163">
        <f t="shared" si="24"/>
        <v>0.005100153451</v>
      </c>
      <c r="M674" s="163">
        <f t="shared" si="25"/>
        <v>0.09743829487</v>
      </c>
      <c r="N674" s="163">
        <f t="shared" si="26"/>
        <v>-0.006687301844</v>
      </c>
      <c r="O674" s="164">
        <f t="shared" si="28"/>
        <v>-0.005418780064</v>
      </c>
      <c r="P674" s="164">
        <f t="shared" si="16"/>
        <v>0</v>
      </c>
      <c r="U674" s="168">
        <f t="shared" si="15"/>
        <v>1.00102405</v>
      </c>
    </row>
    <row r="675">
      <c r="A675" s="169">
        <v>45425.0</v>
      </c>
      <c r="B675" s="171">
        <v>11446.545521268807</v>
      </c>
      <c r="C675" s="160">
        <f t="shared" si="17"/>
        <v>10572.47303</v>
      </c>
      <c r="D675" s="160">
        <f t="shared" si="18"/>
        <v>874.0724924</v>
      </c>
      <c r="E675" s="161">
        <f t="shared" si="19"/>
        <v>11384.30958</v>
      </c>
      <c r="F675" s="161">
        <f t="shared" si="4"/>
        <v>11066.56949</v>
      </c>
      <c r="G675" s="161">
        <f t="shared" si="20"/>
        <v>11537.66274</v>
      </c>
      <c r="H675" s="161">
        <f t="shared" si="21"/>
        <v>11341.97492</v>
      </c>
      <c r="I675" s="161">
        <f t="shared" si="22"/>
        <v>11429.01165</v>
      </c>
      <c r="J675" s="162">
        <f t="shared" si="8"/>
        <v>11617.38036</v>
      </c>
      <c r="K675" s="163">
        <f t="shared" si="23"/>
        <v>0.0003912698382</v>
      </c>
      <c r="L675" s="163">
        <f t="shared" si="24"/>
        <v>0.005133194208</v>
      </c>
      <c r="M675" s="163">
        <f t="shared" si="25"/>
        <v>0.09806953764</v>
      </c>
      <c r="N675" s="163">
        <f t="shared" si="26"/>
        <v>-0.006860402012</v>
      </c>
      <c r="O675" s="164">
        <f t="shared" si="28"/>
        <v>-0.005418780064</v>
      </c>
      <c r="P675" s="164">
        <f t="shared" si="16"/>
        <v>0</v>
      </c>
      <c r="U675" s="168">
        <f t="shared" si="15"/>
        <v>0.9872120231</v>
      </c>
    </row>
    <row r="676">
      <c r="A676" s="169">
        <v>45424.0</v>
      </c>
      <c r="B676" s="171">
        <v>11442.067709328243</v>
      </c>
      <c r="C676" s="160">
        <f t="shared" si="17"/>
        <v>10566.68447</v>
      </c>
      <c r="D676" s="160">
        <f t="shared" si="18"/>
        <v>875.38324</v>
      </c>
      <c r="E676" s="161">
        <f t="shared" si="19"/>
        <v>11369.2579</v>
      </c>
      <c r="F676" s="161">
        <f t="shared" si="4"/>
        <v>10985.00346</v>
      </c>
      <c r="G676" s="161">
        <f t="shared" si="20"/>
        <v>11541.38181</v>
      </c>
      <c r="H676" s="161">
        <f t="shared" si="21"/>
        <v>11327.03627</v>
      </c>
      <c r="I676" s="161">
        <f t="shared" si="22"/>
        <v>11420.24472</v>
      </c>
      <c r="J676" s="162">
        <f t="shared" si="8"/>
        <v>11669.06907</v>
      </c>
      <c r="K676" s="163">
        <f t="shared" si="23"/>
        <v>0.0003910342129</v>
      </c>
      <c r="L676" s="163">
        <f t="shared" si="24"/>
        <v>0.005166884764</v>
      </c>
      <c r="M676" s="163">
        <f t="shared" si="25"/>
        <v>0.09871319481</v>
      </c>
      <c r="N676" s="163">
        <f t="shared" si="26"/>
        <v>-0.007033502181</v>
      </c>
      <c r="O676" s="164">
        <f t="shared" si="28"/>
        <v>-0.005418780064</v>
      </c>
      <c r="P676" s="164">
        <f t="shared" si="16"/>
        <v>0</v>
      </c>
      <c r="U676" s="168">
        <f t="shared" si="15"/>
        <v>0.8744241758</v>
      </c>
    </row>
    <row r="677">
      <c r="A677" s="169">
        <v>45423.0</v>
      </c>
      <c r="B677" s="171">
        <v>11437.594344064162</v>
      </c>
      <c r="C677" s="160">
        <f t="shared" si="17"/>
        <v>10560.84858</v>
      </c>
      <c r="D677" s="160">
        <f t="shared" si="18"/>
        <v>876.745763</v>
      </c>
      <c r="E677" s="161">
        <f t="shared" si="19"/>
        <v>11353.66412</v>
      </c>
      <c r="F677" s="161">
        <f t="shared" si="4"/>
        <v>10915.94418</v>
      </c>
      <c r="G677" s="161">
        <f t="shared" si="20"/>
        <v>11545.43545</v>
      </c>
      <c r="H677" s="161">
        <f t="shared" si="21"/>
        <v>11310.6032</v>
      </c>
      <c r="I677" s="161">
        <f t="shared" si="22"/>
        <v>11409.33323</v>
      </c>
      <c r="J677" s="162">
        <f t="shared" si="8"/>
        <v>11705.26223</v>
      </c>
      <c r="K677" s="163">
        <f t="shared" si="23"/>
        <v>0.0003907986374</v>
      </c>
      <c r="L677" s="163">
        <f t="shared" si="24"/>
        <v>0.005201246694</v>
      </c>
      <c r="M677" s="163">
        <f t="shared" si="25"/>
        <v>0.09936967857</v>
      </c>
      <c r="N677" s="163">
        <f t="shared" si="26"/>
        <v>-0.007206602349</v>
      </c>
      <c r="O677" s="164">
        <f t="shared" si="28"/>
        <v>-0.00910701087</v>
      </c>
      <c r="P677" s="164">
        <f t="shared" si="16"/>
        <v>0</v>
      </c>
      <c r="U677" s="168">
        <f t="shared" si="15"/>
        <v>0.8366132548</v>
      </c>
    </row>
    <row r="678">
      <c r="A678" s="169">
        <v>45422.0</v>
      </c>
      <c r="B678" s="171">
        <v>11433.12542106081</v>
      </c>
      <c r="C678" s="160">
        <f t="shared" si="17"/>
        <v>10554.96438</v>
      </c>
      <c r="D678" s="160">
        <f t="shared" si="18"/>
        <v>878.1610398</v>
      </c>
      <c r="E678" s="161">
        <f t="shared" si="19"/>
        <v>11337.49547</v>
      </c>
      <c r="F678" s="161">
        <f t="shared" si="4"/>
        <v>10862.82258</v>
      </c>
      <c r="G678" s="161">
        <f t="shared" si="20"/>
        <v>11549.83712</v>
      </c>
      <c r="H678" s="161">
        <f t="shared" si="21"/>
        <v>11292.46161</v>
      </c>
      <c r="I678" s="161">
        <f t="shared" si="22"/>
        <v>11395.20267</v>
      </c>
      <c r="J678" s="162">
        <f t="shared" si="8"/>
        <v>11722.10064</v>
      </c>
      <c r="K678" s="163">
        <f t="shared" si="23"/>
        <v>0.005358706564</v>
      </c>
      <c r="L678" s="163">
        <f t="shared" si="24"/>
        <v>0.005236302588</v>
      </c>
      <c r="M678" s="163">
        <f t="shared" si="25"/>
        <v>0.1000394205</v>
      </c>
      <c r="N678" s="163">
        <f t="shared" si="26"/>
        <v>-0.007379702518</v>
      </c>
      <c r="O678" s="164">
        <f t="shared" si="28"/>
        <v>-0.01066491239</v>
      </c>
      <c r="P678" s="164">
        <f t="shared" si="16"/>
        <v>0</v>
      </c>
      <c r="U678" s="168">
        <f t="shared" si="15"/>
        <v>0.8512399486</v>
      </c>
    </row>
    <row r="679">
      <c r="A679" s="169">
        <v>45421.0</v>
      </c>
      <c r="B679" s="171">
        <v>11372.022519299677</v>
      </c>
      <c r="C679" s="160">
        <f t="shared" si="17"/>
        <v>10549.03086</v>
      </c>
      <c r="D679" s="160">
        <f t="shared" si="18"/>
        <v>822.9916585</v>
      </c>
      <c r="E679" s="161">
        <f t="shared" si="19"/>
        <v>11320.71681</v>
      </c>
      <c r="F679" s="161">
        <f t="shared" si="4"/>
        <v>10805.63521</v>
      </c>
      <c r="G679" s="161">
        <f t="shared" si="20"/>
        <v>11554.60087</v>
      </c>
      <c r="H679" s="161">
        <f t="shared" si="21"/>
        <v>11272.36678</v>
      </c>
      <c r="I679" s="161">
        <f t="shared" si="22"/>
        <v>11376.24129</v>
      </c>
      <c r="J679" s="162">
        <f t="shared" si="8"/>
        <v>11739.09835</v>
      </c>
      <c r="K679" s="163">
        <f t="shared" si="23"/>
        <v>-0.003639074883</v>
      </c>
      <c r="L679" s="163">
        <f t="shared" si="24"/>
        <v>0.00525000824</v>
      </c>
      <c r="M679" s="163">
        <f t="shared" si="25"/>
        <v>0.1003012666</v>
      </c>
      <c r="N679" s="163">
        <f t="shared" si="26"/>
        <v>-0.007552802687</v>
      </c>
      <c r="O679" s="164">
        <f t="shared" si="28"/>
        <v>-0.01066491239</v>
      </c>
      <c r="P679" s="164">
        <f t="shared" si="16"/>
        <v>0.004824893367</v>
      </c>
      <c r="U679" s="168">
        <f t="shared" si="15"/>
        <v>0.5551476266</v>
      </c>
    </row>
    <row r="680">
      <c r="A680" s="169">
        <v>45420.0</v>
      </c>
      <c r="B680" s="171">
        <v>11413.481551325622</v>
      </c>
      <c r="C680" s="160">
        <f t="shared" si="17"/>
        <v>10543.43228</v>
      </c>
      <c r="D680" s="160">
        <f t="shared" si="18"/>
        <v>870.0492733</v>
      </c>
      <c r="E680" s="161">
        <f t="shared" si="19"/>
        <v>11306.43701</v>
      </c>
      <c r="F680" s="161">
        <f t="shared" si="4"/>
        <v>10766.19176</v>
      </c>
      <c r="G680" s="161">
        <f t="shared" si="20"/>
        <v>11562.05304</v>
      </c>
      <c r="H680" s="161">
        <f t="shared" si="21"/>
        <v>11258.13025</v>
      </c>
      <c r="I680" s="161">
        <f t="shared" si="22"/>
        <v>11378.35067</v>
      </c>
      <c r="J680" s="162">
        <f t="shared" si="8"/>
        <v>11750.06873</v>
      </c>
      <c r="K680" s="163">
        <f t="shared" si="23"/>
        <v>0.002928037181</v>
      </c>
      <c r="L680" s="163">
        <f t="shared" si="24"/>
        <v>0.005255451399</v>
      </c>
      <c r="M680" s="163">
        <f t="shared" si="25"/>
        <v>0.100405258</v>
      </c>
      <c r="N680" s="163">
        <f t="shared" si="26"/>
        <v>-0.007725902855</v>
      </c>
      <c r="O680" s="164">
        <f t="shared" si="28"/>
        <v>-0.01066491239</v>
      </c>
      <c r="P680" s="164">
        <f t="shared" si="16"/>
        <v>0.001196779147</v>
      </c>
      <c r="U680" s="168">
        <f t="shared" si="15"/>
        <v>0.821064843</v>
      </c>
    </row>
    <row r="681">
      <c r="A681" s="169">
        <v>45419.0</v>
      </c>
      <c r="B681" s="171">
        <v>11380.111331443515</v>
      </c>
      <c r="C681" s="160">
        <f t="shared" si="17"/>
        <v>10537.47304</v>
      </c>
      <c r="D681" s="160">
        <f t="shared" si="18"/>
        <v>842.638295</v>
      </c>
      <c r="E681" s="161">
        <f t="shared" si="19"/>
        <v>11289.03705</v>
      </c>
      <c r="F681" s="161">
        <f t="shared" si="4"/>
        <v>10766.92474</v>
      </c>
      <c r="G681" s="161">
        <f t="shared" si="20"/>
        <v>11568.11719</v>
      </c>
      <c r="H681" s="161">
        <f t="shared" si="21"/>
        <v>11235.9372</v>
      </c>
      <c r="I681" s="161">
        <f t="shared" si="22"/>
        <v>11360.78523</v>
      </c>
      <c r="J681" s="162">
        <f t="shared" si="8"/>
        <v>11704.94966</v>
      </c>
      <c r="K681" s="163">
        <f t="shared" si="23"/>
        <v>0.0005890990074</v>
      </c>
      <c r="L681" s="163">
        <f t="shared" si="24"/>
        <v>0.005289480727</v>
      </c>
      <c r="M681" s="163">
        <f t="shared" si="25"/>
        <v>0.1010553874</v>
      </c>
      <c r="N681" s="163">
        <f t="shared" si="26"/>
        <v>-0.007899003024</v>
      </c>
      <c r="O681" s="164">
        <f t="shared" si="28"/>
        <v>-0.01066491239</v>
      </c>
      <c r="P681" s="164">
        <f t="shared" si="16"/>
        <v>0.004117034719</v>
      </c>
      <c r="U681" s="168">
        <f t="shared" si="15"/>
        <v>0.7992383318</v>
      </c>
    </row>
    <row r="682">
      <c r="A682" s="169">
        <v>45418.0</v>
      </c>
      <c r="B682" s="171">
        <v>11373.40929342965</v>
      </c>
      <c r="C682" s="160">
        <f t="shared" si="17"/>
        <v>10531.66174</v>
      </c>
      <c r="D682" s="160">
        <f t="shared" si="18"/>
        <v>841.7475556</v>
      </c>
      <c r="E682" s="161">
        <f t="shared" si="19"/>
        <v>11272.59277</v>
      </c>
      <c r="F682" s="161">
        <f t="shared" si="4"/>
        <v>10756.37545</v>
      </c>
      <c r="G682" s="161">
        <f t="shared" si="20"/>
        <v>11575.7909</v>
      </c>
      <c r="H682" s="161">
        <f t="shared" si="21"/>
        <v>11215.3409</v>
      </c>
      <c r="I682" s="161">
        <f t="shared" si="22"/>
        <v>11351.12218</v>
      </c>
      <c r="J682" s="162">
        <f t="shared" si="8"/>
        <v>11674.30635</v>
      </c>
      <c r="K682" s="163">
        <f t="shared" si="23"/>
        <v>-0.004714632047</v>
      </c>
      <c r="L682" s="163">
        <f t="shared" si="24"/>
        <v>0.005327666156</v>
      </c>
      <c r="M682" s="163">
        <f t="shared" si="25"/>
        <v>0.101784919</v>
      </c>
      <c r="N682" s="163">
        <f t="shared" si="26"/>
        <v>-0.008072103192</v>
      </c>
      <c r="O682" s="164">
        <f t="shared" si="28"/>
        <v>-0.01066491239</v>
      </c>
      <c r="P682" s="164">
        <f t="shared" si="16"/>
        <v>0.004703535615</v>
      </c>
      <c r="U682" s="168">
        <f t="shared" si="15"/>
        <v>0.8954439348</v>
      </c>
    </row>
    <row r="683">
      <c r="A683" s="169">
        <v>45417.0</v>
      </c>
      <c r="B683" s="171">
        <v>11427.157334930542</v>
      </c>
      <c r="C683" s="160">
        <f t="shared" si="17"/>
        <v>10525.81627</v>
      </c>
      <c r="D683" s="160">
        <f t="shared" si="18"/>
        <v>901.3410662</v>
      </c>
      <c r="E683" s="161">
        <f t="shared" si="19"/>
        <v>11255.62142</v>
      </c>
      <c r="F683" s="161">
        <f t="shared" si="4"/>
        <v>10750.80825</v>
      </c>
      <c r="G683" s="161">
        <f t="shared" si="20"/>
        <v>11584.05137</v>
      </c>
      <c r="H683" s="161">
        <f t="shared" si="21"/>
        <v>11192.7597</v>
      </c>
      <c r="I683" s="161">
        <f t="shared" si="22"/>
        <v>11339.97863</v>
      </c>
      <c r="J683" s="162">
        <f t="shared" si="8"/>
        <v>11634.71114</v>
      </c>
      <c r="K683" s="163">
        <f t="shared" si="23"/>
        <v>0.0008481994882</v>
      </c>
      <c r="L683" s="163">
        <f t="shared" si="24"/>
        <v>0.005317117588</v>
      </c>
      <c r="M683" s="163">
        <f t="shared" si="25"/>
        <v>0.1015833889</v>
      </c>
      <c r="N683" s="163">
        <f t="shared" si="26"/>
        <v>-0.008245203361</v>
      </c>
      <c r="O683" s="164">
        <f t="shared" si="28"/>
        <v>-0.01066491239</v>
      </c>
      <c r="P683" s="164">
        <f t="shared" si="16"/>
        <v>0</v>
      </c>
      <c r="U683" s="168">
        <f t="shared" si="15"/>
        <v>1.378961112</v>
      </c>
    </row>
    <row r="684">
      <c r="A684" s="169">
        <v>45416.0</v>
      </c>
      <c r="B684" s="171">
        <v>11417.468935356306</v>
      </c>
      <c r="C684" s="160">
        <f t="shared" si="17"/>
        <v>10519.51318</v>
      </c>
      <c r="D684" s="160">
        <f t="shared" si="18"/>
        <v>897.955751</v>
      </c>
      <c r="E684" s="161">
        <f t="shared" si="19"/>
        <v>11234.53309</v>
      </c>
      <c r="F684" s="161">
        <f t="shared" si="4"/>
        <v>10762.91234</v>
      </c>
      <c r="G684" s="161">
        <f t="shared" si="20"/>
        <v>11590.45521</v>
      </c>
      <c r="H684" s="161">
        <f t="shared" si="21"/>
        <v>11159.27432</v>
      </c>
      <c r="I684" s="161">
        <f t="shared" si="22"/>
        <v>11296.38928</v>
      </c>
      <c r="J684" s="162">
        <f t="shared" si="8"/>
        <v>11555.63631</v>
      </c>
      <c r="K684" s="163">
        <f t="shared" si="23"/>
        <v>0.005808498725</v>
      </c>
      <c r="L684" s="163">
        <f t="shared" si="24"/>
        <v>0.005356925781</v>
      </c>
      <c r="M684" s="163">
        <f t="shared" si="25"/>
        <v>0.1023439233</v>
      </c>
      <c r="N684" s="163">
        <f t="shared" si="26"/>
        <v>-0.008418303529</v>
      </c>
      <c r="O684" s="164">
        <f t="shared" si="28"/>
        <v>-0.01066491239</v>
      </c>
      <c r="P684" s="164">
        <f t="shared" si="16"/>
        <v>0</v>
      </c>
      <c r="U684" s="168">
        <f t="shared" si="15"/>
        <v>1.693668968</v>
      </c>
    </row>
    <row r="685">
      <c r="A685" s="169">
        <v>45415.0</v>
      </c>
      <c r="B685" s="171">
        <v>11351.342814264386</v>
      </c>
      <c r="C685" s="160">
        <f t="shared" si="17"/>
        <v>10513.18955</v>
      </c>
      <c r="D685" s="160">
        <f t="shared" si="18"/>
        <v>838.153262</v>
      </c>
      <c r="E685" s="161">
        <f t="shared" si="19"/>
        <v>11212.83946</v>
      </c>
      <c r="F685" s="161">
        <f t="shared" si="4"/>
        <v>10789.19765</v>
      </c>
      <c r="G685" s="161">
        <f t="shared" si="20"/>
        <v>11597.51587</v>
      </c>
      <c r="H685" s="161">
        <f t="shared" si="21"/>
        <v>11122.38938</v>
      </c>
      <c r="I685" s="161">
        <f t="shared" si="22"/>
        <v>11235.84945</v>
      </c>
      <c r="J685" s="162">
        <f t="shared" si="8"/>
        <v>11455.5811</v>
      </c>
      <c r="K685" s="163">
        <f t="shared" si="23"/>
        <v>0.004917254394</v>
      </c>
      <c r="L685" s="163">
        <f t="shared" si="24"/>
        <v>0.005368864051</v>
      </c>
      <c r="M685" s="163">
        <f t="shared" si="25"/>
        <v>0.1025720037</v>
      </c>
      <c r="N685" s="163">
        <f t="shared" si="26"/>
        <v>-0.008591403698</v>
      </c>
      <c r="O685" s="164">
        <f t="shared" si="28"/>
        <v>-0.01066491239</v>
      </c>
      <c r="P685" s="164">
        <f t="shared" si="16"/>
        <v>0</v>
      </c>
      <c r="U685" s="168">
        <f t="shared" si="15"/>
        <v>1.786595814</v>
      </c>
    </row>
    <row r="686">
      <c r="A686" s="169">
        <v>45414.0</v>
      </c>
      <c r="B686" s="172">
        <v>11295.662383544</v>
      </c>
      <c r="C686" s="160">
        <f t="shared" si="17"/>
        <v>10507.2452</v>
      </c>
      <c r="D686" s="160">
        <f t="shared" si="18"/>
        <v>788.4171806</v>
      </c>
      <c r="E686" s="161">
        <f t="shared" si="19"/>
        <v>11193.92145</v>
      </c>
      <c r="F686" s="161">
        <f t="shared" si="4"/>
        <v>10818.65835</v>
      </c>
      <c r="G686" s="161">
        <f t="shared" si="20"/>
        <v>11607.56375</v>
      </c>
      <c r="H686" s="161">
        <f t="shared" si="21"/>
        <v>11089.68174</v>
      </c>
      <c r="I686" s="161">
        <f t="shared" si="22"/>
        <v>11178.10276</v>
      </c>
      <c r="J686" s="162">
        <f t="shared" si="8"/>
        <v>11360.70513</v>
      </c>
      <c r="K686" s="163">
        <f t="shared" si="23"/>
        <v>0.009201754507</v>
      </c>
      <c r="L686" s="163">
        <f t="shared" si="24"/>
        <v>0.005391007646</v>
      </c>
      <c r="M686" s="163">
        <f t="shared" si="25"/>
        <v>0.1029950565</v>
      </c>
      <c r="N686" s="163">
        <f t="shared" si="26"/>
        <v>-0.008764503867</v>
      </c>
      <c r="O686" s="164">
        <f t="shared" si="28"/>
        <v>-0.01066491239</v>
      </c>
      <c r="P686" s="164">
        <f t="shared" si="16"/>
        <v>0</v>
      </c>
      <c r="U686" s="168">
        <f t="shared" si="15"/>
        <v>1.976027483</v>
      </c>
    </row>
    <row r="687">
      <c r="A687" s="169">
        <v>45413.0</v>
      </c>
      <c r="B687" s="171">
        <v>11192.19922263813</v>
      </c>
      <c r="C687" s="160">
        <f t="shared" si="17"/>
        <v>10501.61365</v>
      </c>
      <c r="D687" s="160">
        <f t="shared" si="18"/>
        <v>690.585571</v>
      </c>
      <c r="E687" s="161">
        <f t="shared" si="19"/>
        <v>11177.33031</v>
      </c>
      <c r="F687" s="161">
        <f t="shared" si="4"/>
        <v>10849.29122</v>
      </c>
      <c r="G687" s="161">
        <f t="shared" si="20"/>
        <v>11620.29442</v>
      </c>
      <c r="H687" s="161">
        <f t="shared" si="21"/>
        <v>11060.25594</v>
      </c>
      <c r="I687" s="161">
        <f t="shared" si="22"/>
        <v>11119.32295</v>
      </c>
      <c r="J687" s="162">
        <f t="shared" si="8"/>
        <v>11271.22066</v>
      </c>
      <c r="K687" s="163">
        <f t="shared" si="23"/>
        <v>0.00527929169</v>
      </c>
      <c r="L687" s="163">
        <f t="shared" si="24"/>
        <v>0.005337905417</v>
      </c>
      <c r="M687" s="163">
        <f t="shared" si="25"/>
        <v>0.1019805398</v>
      </c>
      <c r="N687" s="163">
        <f t="shared" si="26"/>
        <v>-0.008937604035</v>
      </c>
      <c r="O687" s="164">
        <f t="shared" si="28"/>
        <v>-0.01066491239</v>
      </c>
      <c r="P687" s="164">
        <f t="shared" si="16"/>
        <v>0</v>
      </c>
      <c r="U687" s="173"/>
    </row>
    <row r="688">
      <c r="A688" s="169">
        <v>45412.0</v>
      </c>
      <c r="B688" s="171">
        <v>11133.26803262843</v>
      </c>
      <c r="C688" s="160">
        <f t="shared" si="17"/>
        <v>10496.64541</v>
      </c>
      <c r="D688" s="160">
        <f t="shared" si="18"/>
        <v>636.6226225</v>
      </c>
      <c r="E688" s="161">
        <f t="shared" si="19"/>
        <v>11166.21759</v>
      </c>
      <c r="F688" s="161">
        <f t="shared" si="4"/>
        <v>10854.42726</v>
      </c>
      <c r="G688" s="161">
        <f t="shared" si="20"/>
        <v>11637.76769</v>
      </c>
      <c r="H688" s="161">
        <f t="shared" si="21"/>
        <v>11041.4069</v>
      </c>
      <c r="I688" s="161">
        <f t="shared" si="22"/>
        <v>11082.88482</v>
      </c>
      <c r="J688" s="162">
        <f t="shared" si="8"/>
        <v>11228.38653</v>
      </c>
      <c r="K688" s="163">
        <f t="shared" si="23"/>
        <v>-0.003030093774</v>
      </c>
      <c r="L688" s="163">
        <f t="shared" si="24"/>
        <v>0.005353858465</v>
      </c>
      <c r="M688" s="163">
        <f t="shared" si="25"/>
        <v>0.1022853224</v>
      </c>
      <c r="N688" s="163">
        <f t="shared" si="26"/>
        <v>-0.009110704204</v>
      </c>
      <c r="O688" s="164">
        <f t="shared" si="28"/>
        <v>-0.01066491239</v>
      </c>
      <c r="P688" s="164">
        <f t="shared" si="16"/>
        <v>0.00342375033</v>
      </c>
      <c r="U688" s="173"/>
    </row>
    <row r="689">
      <c r="A689" s="169">
        <v>45411.0</v>
      </c>
      <c r="B689" s="171">
        <v>11167.054040315308</v>
      </c>
      <c r="C689" s="160">
        <f t="shared" si="17"/>
        <v>10492.0322</v>
      </c>
      <c r="D689" s="160">
        <f t="shared" si="18"/>
        <v>675.0218376</v>
      </c>
      <c r="E689" s="161">
        <f t="shared" si="19"/>
        <v>11158.14834</v>
      </c>
      <c r="F689" s="161">
        <f t="shared" si="4"/>
        <v>10849.31204</v>
      </c>
      <c r="G689" s="161">
        <f t="shared" si="20"/>
        <v>11658.35951</v>
      </c>
      <c r="H689" s="161">
        <f t="shared" si="21"/>
        <v>11028.28388</v>
      </c>
      <c r="I689" s="161">
        <f t="shared" si="22"/>
        <v>11057.69321</v>
      </c>
      <c r="J689" s="162">
        <f t="shared" si="8"/>
        <v>11207.25572</v>
      </c>
      <c r="K689" s="163">
        <f t="shared" si="23"/>
        <v>0.01263713895</v>
      </c>
      <c r="L689" s="163">
        <f t="shared" si="24"/>
        <v>0.005372282564</v>
      </c>
      <c r="M689" s="163">
        <f t="shared" si="25"/>
        <v>0.1026373143</v>
      </c>
      <c r="N689" s="163">
        <f t="shared" si="26"/>
        <v>-0.009283804372</v>
      </c>
      <c r="O689" s="164">
        <f t="shared" si="28"/>
        <v>-0.01066491239</v>
      </c>
      <c r="P689" s="164">
        <f t="shared" si="16"/>
        <v>0.0003994511996</v>
      </c>
      <c r="U689" s="173"/>
    </row>
    <row r="690">
      <c r="A690" s="169">
        <v>45410.0</v>
      </c>
      <c r="B690" s="171">
        <v>11026.822356603174</v>
      </c>
      <c r="C690" s="160">
        <f t="shared" si="17"/>
        <v>10487.10504</v>
      </c>
      <c r="D690" s="160">
        <f t="shared" si="18"/>
        <v>539.7173206</v>
      </c>
      <c r="E690" s="161">
        <f t="shared" si="19"/>
        <v>11147.36188</v>
      </c>
      <c r="F690" s="161">
        <f t="shared" si="4"/>
        <v>10850.67964</v>
      </c>
      <c r="G690" s="161">
        <f t="shared" si="20"/>
        <v>11678.4128</v>
      </c>
      <c r="H690" s="161">
        <f t="shared" si="21"/>
        <v>11008.45957</v>
      </c>
      <c r="I690" s="161">
        <f t="shared" si="22"/>
        <v>11003.01279</v>
      </c>
      <c r="J690" s="162">
        <f t="shared" si="8"/>
        <v>11166.23949</v>
      </c>
      <c r="K690" s="163">
        <f t="shared" si="23"/>
        <v>0.00276052227</v>
      </c>
      <c r="L690" s="163">
        <f t="shared" si="24"/>
        <v>0.005203754838</v>
      </c>
      <c r="M690" s="163">
        <f t="shared" si="25"/>
        <v>0.09941759659</v>
      </c>
      <c r="N690" s="163">
        <f t="shared" si="26"/>
        <v>-0.009456904541</v>
      </c>
      <c r="O690" s="164">
        <f t="shared" si="28"/>
        <v>-0.01066491239</v>
      </c>
      <c r="P690" s="164">
        <f t="shared" si="16"/>
        <v>0.01295206064</v>
      </c>
      <c r="U690" s="173"/>
    </row>
    <row r="691">
      <c r="A691" s="169">
        <v>45409.0</v>
      </c>
      <c r="B691" s="171">
        <v>10996.424544146666</v>
      </c>
      <c r="C691" s="160">
        <f t="shared" si="17"/>
        <v>10483.13653</v>
      </c>
      <c r="D691" s="160">
        <f t="shared" si="18"/>
        <v>513.2880179</v>
      </c>
      <c r="E691" s="161">
        <f t="shared" si="19"/>
        <v>11145.06834</v>
      </c>
      <c r="F691" s="161">
        <f t="shared" si="4"/>
        <v>10839.24226</v>
      </c>
      <c r="G691" s="161">
        <f t="shared" si="20"/>
        <v>11705.00833</v>
      </c>
      <c r="H691" s="161">
        <f t="shared" si="21"/>
        <v>11005.83631</v>
      </c>
      <c r="I691" s="161">
        <f t="shared" si="22"/>
        <v>10991.10801</v>
      </c>
      <c r="J691" s="162">
        <f t="shared" si="8"/>
        <v>11172.43037</v>
      </c>
      <c r="K691" s="163">
        <f t="shared" si="23"/>
        <v>0.0007245838926</v>
      </c>
      <c r="L691" s="163">
        <f t="shared" si="24"/>
        <v>0.005241912627</v>
      </c>
      <c r="M691" s="163">
        <f t="shared" si="25"/>
        <v>0.1001466001</v>
      </c>
      <c r="N691" s="163">
        <f t="shared" si="26"/>
        <v>-0.009566723436</v>
      </c>
      <c r="O691" s="164">
        <f t="shared" ref="O691:O717" si="29">PERCENTILE(K690:K724, 0.05)
</f>
        <v>-0.01011581791</v>
      </c>
      <c r="P691" s="164">
        <f t="shared" si="16"/>
        <v>0.01567307103</v>
      </c>
      <c r="U691" s="173"/>
    </row>
    <row r="692">
      <c r="A692" s="169">
        <v>45408.0</v>
      </c>
      <c r="B692" s="171">
        <v>10988.459598029613</v>
      </c>
      <c r="C692" s="160">
        <f t="shared" si="17"/>
        <v>10479.33439</v>
      </c>
      <c r="D692" s="160">
        <f t="shared" si="18"/>
        <v>509.1252052</v>
      </c>
      <c r="E692" s="161">
        <f t="shared" si="19"/>
        <v>11144.58254</v>
      </c>
      <c r="F692" s="161">
        <f t="shared" si="4"/>
        <v>10837.34624</v>
      </c>
      <c r="G692" s="161">
        <f t="shared" si="20"/>
        <v>11733.93011</v>
      </c>
      <c r="H692" s="161">
        <f t="shared" si="21"/>
        <v>11007.18085</v>
      </c>
      <c r="I692" s="161">
        <f t="shared" si="22"/>
        <v>10988.44974</v>
      </c>
      <c r="J692" s="162">
        <f t="shared" si="8"/>
        <v>11177.01546</v>
      </c>
      <c r="K692" s="163">
        <f t="shared" si="23"/>
        <v>0.005673444567</v>
      </c>
      <c r="L692" s="163">
        <f t="shared" si="24"/>
        <v>0.005286879175</v>
      </c>
      <c r="M692" s="163">
        <f t="shared" si="25"/>
        <v>0.1010056848</v>
      </c>
      <c r="N692" s="163">
        <f t="shared" si="26"/>
        <v>-0.009676542331</v>
      </c>
      <c r="O692" s="164">
        <f t="shared" si="29"/>
        <v>-0.01011581791</v>
      </c>
      <c r="P692" s="164">
        <f t="shared" si="16"/>
        <v>0.01638604013</v>
      </c>
      <c r="U692" s="173"/>
    </row>
    <row r="693">
      <c r="A693" s="169">
        <v>45407.0</v>
      </c>
      <c r="B693" s="171">
        <v>10926.293695770724</v>
      </c>
      <c r="C693" s="160">
        <f t="shared" si="17"/>
        <v>10475.53495</v>
      </c>
      <c r="D693" s="160">
        <f t="shared" si="18"/>
        <v>450.7587448</v>
      </c>
      <c r="E693" s="161">
        <f t="shared" si="19"/>
        <v>11144.51983</v>
      </c>
      <c r="F693" s="161">
        <f t="shared" si="4"/>
        <v>10812.8869</v>
      </c>
      <c r="G693" s="161">
        <f t="shared" si="20"/>
        <v>11764.35748</v>
      </c>
      <c r="H693" s="161">
        <f t="shared" si="21"/>
        <v>11009.85532</v>
      </c>
      <c r="I693" s="161">
        <f t="shared" si="22"/>
        <v>10988.44481</v>
      </c>
      <c r="J693" s="162">
        <f t="shared" si="8"/>
        <v>11206.82373</v>
      </c>
      <c r="K693" s="163">
        <f t="shared" si="23"/>
        <v>-0.001619893755</v>
      </c>
      <c r="L693" s="163">
        <f t="shared" si="24"/>
        <v>0.005294139112</v>
      </c>
      <c r="M693" s="163">
        <f t="shared" si="25"/>
        <v>0.1011443857</v>
      </c>
      <c r="N693" s="163">
        <f t="shared" si="26"/>
        <v>-0.009786361226</v>
      </c>
      <c r="O693" s="164">
        <f t="shared" si="29"/>
        <v>-0.01011581791</v>
      </c>
      <c r="P693" s="164">
        <f t="shared" si="16"/>
        <v>0.02195071903</v>
      </c>
      <c r="U693" s="173"/>
    </row>
    <row r="694">
      <c r="A694" s="169">
        <v>45406.0</v>
      </c>
      <c r="B694" s="171">
        <v>10944.007474036413</v>
      </c>
      <c r="C694" s="160">
        <f t="shared" si="17"/>
        <v>10472.14579</v>
      </c>
      <c r="D694" s="160">
        <f t="shared" si="18"/>
        <v>471.8616865</v>
      </c>
      <c r="E694" s="161">
        <f t="shared" si="19"/>
        <v>11148.64885</v>
      </c>
      <c r="F694" s="161">
        <f t="shared" si="4"/>
        <v>10836.40043</v>
      </c>
      <c r="G694" s="161">
        <f t="shared" si="20"/>
        <v>11798.56417</v>
      </c>
      <c r="H694" s="161">
        <f t="shared" si="21"/>
        <v>11021.79269</v>
      </c>
      <c r="I694" s="161">
        <f t="shared" si="22"/>
        <v>11019.52036</v>
      </c>
      <c r="J694" s="162">
        <f t="shared" si="8"/>
        <v>11207.18494</v>
      </c>
      <c r="K694" s="163">
        <f t="shared" si="23"/>
        <v>-0.01762409974</v>
      </c>
      <c r="L694" s="163">
        <f t="shared" si="24"/>
        <v>0.005331420984</v>
      </c>
      <c r="M694" s="163">
        <f t="shared" si="25"/>
        <v>0.1018566549</v>
      </c>
      <c r="N694" s="163">
        <f t="shared" si="26"/>
        <v>-0.009896180121</v>
      </c>
      <c r="O694" s="164">
        <f t="shared" si="29"/>
        <v>-0.01011581791</v>
      </c>
      <c r="P694" s="164">
        <f t="shared" si="16"/>
        <v>0.02036509919</v>
      </c>
      <c r="U694" s="173"/>
    </row>
    <row r="695">
      <c r="A695" s="169">
        <v>45405.0</v>
      </c>
      <c r="B695" s="171">
        <v>11138.595435439318</v>
      </c>
      <c r="C695" s="160">
        <f t="shared" si="17"/>
        <v>10468.57108</v>
      </c>
      <c r="D695" s="160">
        <f t="shared" si="18"/>
        <v>670.0243577</v>
      </c>
      <c r="E695" s="161">
        <f t="shared" si="19"/>
        <v>11151.69254</v>
      </c>
      <c r="F695" s="161">
        <f t="shared" si="4"/>
        <v>10852.74866</v>
      </c>
      <c r="G695" s="161">
        <f t="shared" si="20"/>
        <v>11833.44403</v>
      </c>
      <c r="H695" s="161">
        <f t="shared" si="21"/>
        <v>11032.90486</v>
      </c>
      <c r="I695" s="161">
        <f t="shared" si="22"/>
        <v>11057.27681</v>
      </c>
      <c r="J695" s="162">
        <f t="shared" si="8"/>
        <v>11213.06106</v>
      </c>
      <c r="K695" s="163">
        <f t="shared" si="23"/>
        <v>0.01101956943</v>
      </c>
      <c r="L695" s="163">
        <f t="shared" si="24"/>
        <v>0.004758795665</v>
      </c>
      <c r="M695" s="163">
        <f t="shared" si="25"/>
        <v>0.09091666352</v>
      </c>
      <c r="N695" s="163">
        <f t="shared" si="26"/>
        <v>-0.006860402012</v>
      </c>
      <c r="O695" s="164">
        <f t="shared" si="29"/>
        <v>-0.01011581791</v>
      </c>
      <c r="P695" s="164">
        <f t="shared" si="16"/>
        <v>0.002946876595</v>
      </c>
      <c r="U695" s="173"/>
    </row>
    <row r="696">
      <c r="A696" s="169">
        <v>45404.0</v>
      </c>
      <c r="B696" s="171">
        <v>11016.526717247183</v>
      </c>
      <c r="C696" s="160">
        <f t="shared" si="17"/>
        <v>10463.45639</v>
      </c>
      <c r="D696" s="160">
        <f t="shared" si="18"/>
        <v>553.0703292</v>
      </c>
      <c r="E696" s="161">
        <f t="shared" si="19"/>
        <v>11140.92627</v>
      </c>
      <c r="F696" s="161">
        <f t="shared" si="4"/>
        <v>10841.36593</v>
      </c>
      <c r="G696" s="161">
        <f t="shared" si="20"/>
        <v>11861.8052</v>
      </c>
      <c r="H696" s="161">
        <f t="shared" si="21"/>
        <v>11017.80621</v>
      </c>
      <c r="I696" s="161">
        <f t="shared" si="22"/>
        <v>11016.61749</v>
      </c>
      <c r="J696" s="162">
        <f t="shared" si="8"/>
        <v>11194.24649</v>
      </c>
      <c r="K696" s="163">
        <f t="shared" si="23"/>
        <v>0.0007224203142</v>
      </c>
      <c r="L696" s="163">
        <f t="shared" si="24"/>
        <v>0.00460739695</v>
      </c>
      <c r="M696" s="163">
        <f t="shared" si="25"/>
        <v>0.08802419514</v>
      </c>
      <c r="N696" s="163">
        <f t="shared" si="26"/>
        <v>-0.007033502181</v>
      </c>
      <c r="O696" s="164">
        <f t="shared" si="29"/>
        <v>-0.007033502181</v>
      </c>
      <c r="P696" s="164">
        <f t="shared" si="16"/>
        <v>0.01387365793</v>
      </c>
      <c r="U696" s="173"/>
    </row>
    <row r="697">
      <c r="A697" s="169">
        <v>45403.0</v>
      </c>
      <c r="B697" s="171">
        <v>11008.571028576634</v>
      </c>
      <c r="C697" s="160">
        <f t="shared" si="17"/>
        <v>10459.202</v>
      </c>
      <c r="D697" s="160">
        <f t="shared" si="18"/>
        <v>549.3690277</v>
      </c>
      <c r="E697" s="161">
        <f t="shared" si="19"/>
        <v>11138.24622</v>
      </c>
      <c r="F697" s="161">
        <f t="shared" si="4"/>
        <v>10841.02603</v>
      </c>
      <c r="G697" s="161">
        <f>SUM(B697:B751)/50</f>
        <v>11896.30636</v>
      </c>
      <c r="H697" s="161">
        <f t="shared" si="21"/>
        <v>11017.98899</v>
      </c>
      <c r="I697" s="161">
        <f t="shared" si="22"/>
        <v>11016.66288</v>
      </c>
      <c r="J697" s="162">
        <f t="shared" si="8"/>
        <v>11194.95196</v>
      </c>
      <c r="K697" s="163">
        <f t="shared" si="23"/>
        <v>0.0007227747759</v>
      </c>
      <c r="L697" s="163">
        <f t="shared" si="24"/>
        <v>0.004650534715</v>
      </c>
      <c r="M697" s="163">
        <f t="shared" si="25"/>
        <v>0.08884834098</v>
      </c>
      <c r="N697" s="163">
        <f t="shared" si="26"/>
        <v>-0.007206602349</v>
      </c>
      <c r="O697" s="164">
        <f t="shared" si="29"/>
        <v>-0.007033502181</v>
      </c>
      <c r="P697" s="164">
        <f t="shared" si="16"/>
        <v>0.01458579837</v>
      </c>
      <c r="U697" s="173"/>
    </row>
    <row r="698">
      <c r="A698" s="169">
        <v>45402.0</v>
      </c>
      <c r="B698" s="171">
        <v>11000.617185883195</v>
      </c>
      <c r="C698" s="160">
        <f t="shared" si="17"/>
        <v>10454.94333</v>
      </c>
      <c r="D698" s="160">
        <f t="shared" si="18"/>
        <v>545.6738597</v>
      </c>
      <c r="E698" s="161">
        <f t="shared" si="19"/>
        <v>11135.87319</v>
      </c>
      <c r="F698" s="161">
        <f t="shared" si="4"/>
        <v>10844.79111</v>
      </c>
      <c r="G698" s="174"/>
      <c r="H698" s="161">
        <f t="shared" si="21"/>
        <v>11019.33442</v>
      </c>
      <c r="I698" s="161">
        <f t="shared" si="22"/>
        <v>11020.70881</v>
      </c>
      <c r="J698" s="162">
        <f t="shared" si="8"/>
        <v>11193.87773</v>
      </c>
      <c r="K698" s="163">
        <f t="shared" si="23"/>
        <v>0.0007231297958</v>
      </c>
      <c r="L698" s="163">
        <f t="shared" si="24"/>
        <v>0.004694907728</v>
      </c>
      <c r="M698" s="163">
        <f t="shared" si="25"/>
        <v>0.08969608621</v>
      </c>
      <c r="N698" s="163">
        <f t="shared" si="26"/>
        <v>-0.007379702518</v>
      </c>
      <c r="O698" s="164">
        <f t="shared" si="29"/>
        <v>-0.007033502181</v>
      </c>
      <c r="P698" s="164">
        <f t="shared" si="16"/>
        <v>0.01529777357</v>
      </c>
      <c r="U698" s="173"/>
    </row>
    <row r="699">
      <c r="A699" s="169">
        <v>45401.0</v>
      </c>
      <c r="B699" s="171">
        <v>10992.665187333721</v>
      </c>
      <c r="C699" s="160">
        <f t="shared" si="17"/>
        <v>10450.68025</v>
      </c>
      <c r="D699" s="160">
        <f t="shared" si="18"/>
        <v>541.9849381</v>
      </c>
      <c r="E699" s="161">
        <f t="shared" si="19"/>
        <v>11133.83073</v>
      </c>
      <c r="F699" s="161">
        <f t="shared" si="4"/>
        <v>10852.96287</v>
      </c>
      <c r="G699" s="175"/>
      <c r="H699" s="161">
        <f t="shared" si="21"/>
        <v>11022.00831</v>
      </c>
      <c r="I699" s="161">
        <f t="shared" si="22"/>
        <v>11030.75462</v>
      </c>
      <c r="J699" s="162">
        <f t="shared" si="8"/>
        <v>11191.05375</v>
      </c>
      <c r="K699" s="163">
        <f t="shared" si="23"/>
        <v>-0.001905715479</v>
      </c>
      <c r="L699" s="163">
        <f t="shared" si="24"/>
        <v>0.004740576091</v>
      </c>
      <c r="M699" s="163">
        <f t="shared" si="25"/>
        <v>0.09056857905</v>
      </c>
      <c r="N699" s="163">
        <f t="shared" si="26"/>
        <v>-0.007552802687</v>
      </c>
      <c r="O699" s="164">
        <f t="shared" si="29"/>
        <v>-0.007033502181</v>
      </c>
      <c r="P699" s="164">
        <f t="shared" si="16"/>
        <v>0.01600958369</v>
      </c>
      <c r="U699" s="173"/>
    </row>
    <row r="700">
      <c r="A700" s="169">
        <v>45400.0</v>
      </c>
      <c r="B700" s="171">
        <v>11013.634053541007</v>
      </c>
      <c r="C700" s="160">
        <f t="shared" si="17"/>
        <v>10446.41265</v>
      </c>
      <c r="D700" s="160">
        <f t="shared" si="18"/>
        <v>567.2214023</v>
      </c>
      <c r="E700" s="161">
        <f t="shared" si="19"/>
        <v>11132.1447</v>
      </c>
      <c r="F700" s="161">
        <f t="shared" si="4"/>
        <v>10865.19864</v>
      </c>
      <c r="G700" s="175"/>
      <c r="H700" s="161">
        <f t="shared" si="21"/>
        <v>11026.20018</v>
      </c>
      <c r="I700" s="161">
        <f t="shared" si="22"/>
        <v>11049.79934</v>
      </c>
      <c r="J700" s="162">
        <f t="shared" si="8"/>
        <v>11187.20172</v>
      </c>
      <c r="K700" s="163">
        <f t="shared" si="23"/>
        <v>-0.005994901169</v>
      </c>
      <c r="L700" s="163">
        <f t="shared" si="24"/>
        <v>0.004769946895</v>
      </c>
      <c r="M700" s="163">
        <f t="shared" si="25"/>
        <v>0.09112970746</v>
      </c>
      <c r="N700" s="163">
        <f t="shared" si="26"/>
        <v>-0.007725902855</v>
      </c>
      <c r="O700" s="164">
        <f t="shared" si="29"/>
        <v>-0.01011581791</v>
      </c>
      <c r="P700" s="164">
        <f t="shared" si="16"/>
        <v>0.01413258999</v>
      </c>
      <c r="U700" s="173"/>
    </row>
    <row r="701">
      <c r="A701" s="169">
        <v>45399.0</v>
      </c>
      <c r="B701" s="171">
        <v>11079.858005898506</v>
      </c>
      <c r="C701" s="160">
        <f t="shared" si="17"/>
        <v>10441.91089</v>
      </c>
      <c r="D701" s="160">
        <f t="shared" si="18"/>
        <v>637.9471118</v>
      </c>
      <c r="E701" s="161">
        <f t="shared" si="19"/>
        <v>11128.57536</v>
      </c>
      <c r="F701" s="161">
        <f t="shared" si="4"/>
        <v>10869.82056</v>
      </c>
      <c r="G701" s="175"/>
      <c r="H701" s="161">
        <f t="shared" si="21"/>
        <v>11027.99534</v>
      </c>
      <c r="I701" s="161">
        <f t="shared" si="22"/>
        <v>11067.88198</v>
      </c>
      <c r="J701" s="162">
        <f t="shared" si="8"/>
        <v>11186.17013</v>
      </c>
      <c r="K701" s="163">
        <f t="shared" si="23"/>
        <v>-0.001855820409</v>
      </c>
      <c r="L701" s="163">
        <f t="shared" si="24"/>
        <v>0.00471027905</v>
      </c>
      <c r="M701" s="163">
        <f t="shared" si="25"/>
        <v>0.0899897549</v>
      </c>
      <c r="N701" s="163">
        <f t="shared" si="26"/>
        <v>-0.006850963232</v>
      </c>
      <c r="O701" s="164">
        <f t="shared" si="29"/>
        <v>-0.01011581791</v>
      </c>
      <c r="P701" s="164">
        <f t="shared" si="16"/>
        <v>0.008204661378</v>
      </c>
      <c r="U701" s="173"/>
    </row>
    <row r="702">
      <c r="A702" s="169">
        <v>45398.0</v>
      </c>
      <c r="B702" s="171">
        <v>11100.439324227658</v>
      </c>
      <c r="C702" s="160">
        <f t="shared" si="17"/>
        <v>10436.80732</v>
      </c>
      <c r="D702" s="160">
        <f t="shared" si="18"/>
        <v>663.632007</v>
      </c>
      <c r="E702" s="161">
        <f t="shared" si="19"/>
        <v>11119.3296</v>
      </c>
      <c r="F702" s="161">
        <f t="shared" si="4"/>
        <v>10853.66714</v>
      </c>
      <c r="G702" s="175"/>
      <c r="H702" s="161">
        <f t="shared" si="21"/>
        <v>11020.58639</v>
      </c>
      <c r="I702" s="161">
        <f t="shared" si="22"/>
        <v>11061.89397</v>
      </c>
      <c r="J702" s="162">
        <f t="shared" si="8"/>
        <v>11187.50564</v>
      </c>
      <c r="K702" s="163">
        <f t="shared" si="23"/>
        <v>0.0004588132751</v>
      </c>
      <c r="L702" s="163">
        <f t="shared" si="24"/>
        <v>0.004738462634</v>
      </c>
      <c r="M702" s="163">
        <f t="shared" si="25"/>
        <v>0.0905282015</v>
      </c>
      <c r="N702" s="163">
        <f t="shared" si="26"/>
        <v>-0.007140512266</v>
      </c>
      <c r="O702" s="164">
        <f t="shared" si="29"/>
        <v>-0.01011581791</v>
      </c>
      <c r="P702" s="164">
        <f t="shared" si="16"/>
        <v>0.006362358383</v>
      </c>
      <c r="U702" s="173"/>
    </row>
    <row r="703">
      <c r="A703" s="169">
        <v>45397.0</v>
      </c>
      <c r="B703" s="171">
        <v>11095.347463501756</v>
      </c>
      <c r="C703" s="160">
        <f t="shared" si="17"/>
        <v>10431.45545</v>
      </c>
      <c r="D703" s="160">
        <f t="shared" si="18"/>
        <v>663.8920173</v>
      </c>
      <c r="E703" s="161">
        <f t="shared" si="19"/>
        <v>11107.60921</v>
      </c>
      <c r="F703" s="161">
        <f t="shared" si="4"/>
        <v>10825.32646</v>
      </c>
      <c r="G703" s="175"/>
      <c r="H703" s="161">
        <f t="shared" si="21"/>
        <v>11009.17883</v>
      </c>
      <c r="I703" s="161">
        <f t="shared" si="22"/>
        <v>11042.6213</v>
      </c>
      <c r="J703" s="162">
        <f t="shared" si="8"/>
        <v>11193.0312</v>
      </c>
      <c r="K703" s="163">
        <f t="shared" si="23"/>
        <v>0.01279796529</v>
      </c>
      <c r="L703" s="163">
        <f t="shared" si="24"/>
        <v>0.004787215341</v>
      </c>
      <c r="M703" s="163">
        <f t="shared" si="25"/>
        <v>0.09145962066</v>
      </c>
      <c r="N703" s="163">
        <f t="shared" si="26"/>
        <v>-0.007430061301</v>
      </c>
      <c r="O703" s="164">
        <f t="shared" si="29"/>
        <v>-0.01011581791</v>
      </c>
      <c r="P703" s="164">
        <f t="shared" si="16"/>
        <v>0.006818147955</v>
      </c>
      <c r="U703" s="173"/>
    </row>
    <row r="704">
      <c r="A704" s="169">
        <v>45396.0</v>
      </c>
      <c r="B704" s="171">
        <v>10954.254369797822</v>
      </c>
      <c r="C704" s="160">
        <f t="shared" si="17"/>
        <v>10426.05795</v>
      </c>
      <c r="D704" s="160">
        <f t="shared" si="18"/>
        <v>528.1964197</v>
      </c>
      <c r="E704" s="161">
        <f t="shared" si="19"/>
        <v>11095.32037</v>
      </c>
      <c r="F704" s="161">
        <f t="shared" si="4"/>
        <v>10798.47421</v>
      </c>
      <c r="G704" s="175"/>
      <c r="H704" s="161">
        <f t="shared" si="21"/>
        <v>10996.86903</v>
      </c>
      <c r="I704" s="161">
        <f t="shared" si="22"/>
        <v>11016.25821</v>
      </c>
      <c r="J704" s="162">
        <f t="shared" si="8"/>
        <v>11195.26385</v>
      </c>
      <c r="K704" s="163">
        <f t="shared" si="23"/>
        <v>0.001470723971</v>
      </c>
      <c r="L704" s="163">
        <f t="shared" si="24"/>
        <v>0.00452318105</v>
      </c>
      <c r="M704" s="163">
        <f t="shared" si="25"/>
        <v>0.08641525262</v>
      </c>
      <c r="N704" s="163">
        <f t="shared" si="26"/>
        <v>-0.007719610335</v>
      </c>
      <c r="O704" s="164">
        <f t="shared" si="29"/>
        <v>-0.01011581791</v>
      </c>
      <c r="P704" s="164">
        <f t="shared" si="16"/>
        <v>0.0194478651</v>
      </c>
      <c r="U704" s="173"/>
    </row>
    <row r="705">
      <c r="A705" s="169">
        <v>45395.0</v>
      </c>
      <c r="B705" s="171">
        <v>10938.155526686096</v>
      </c>
      <c r="C705" s="160">
        <f t="shared" si="17"/>
        <v>10421.72847</v>
      </c>
      <c r="D705" s="160">
        <f t="shared" si="18"/>
        <v>516.4270554</v>
      </c>
      <c r="E705" s="161">
        <f t="shared" si="19"/>
        <v>11093.98274</v>
      </c>
      <c r="F705" s="161">
        <f t="shared" si="4"/>
        <v>10794.42823</v>
      </c>
      <c r="G705" s="175"/>
      <c r="H705" s="161">
        <f t="shared" si="21"/>
        <v>11002.95684</v>
      </c>
      <c r="I705" s="161">
        <f t="shared" si="22"/>
        <v>11047.26013</v>
      </c>
      <c r="J705" s="162">
        <f t="shared" si="8"/>
        <v>11211.48544</v>
      </c>
      <c r="K705" s="163">
        <f t="shared" si="23"/>
        <v>-0.01165328244</v>
      </c>
      <c r="L705" s="163">
        <f t="shared" si="24"/>
        <v>0.004572641784</v>
      </c>
      <c r="M705" s="163">
        <f t="shared" si="25"/>
        <v>0.08736019863</v>
      </c>
      <c r="N705" s="163">
        <f t="shared" si="26"/>
        <v>-0.008009159369</v>
      </c>
      <c r="O705" s="164">
        <f t="shared" si="29"/>
        <v>-0.01011581791</v>
      </c>
      <c r="P705" s="164">
        <f t="shared" si="16"/>
        <v>0.02088892667</v>
      </c>
      <c r="U705" s="173"/>
    </row>
    <row r="706">
      <c r="A706" s="169">
        <v>45394.0</v>
      </c>
      <c r="B706" s="171">
        <v>11066.366531061405</v>
      </c>
      <c r="C706" s="160">
        <f t="shared" si="17"/>
        <v>10417.46048</v>
      </c>
      <c r="D706" s="160">
        <f t="shared" si="18"/>
        <v>648.906052</v>
      </c>
      <c r="E706" s="161">
        <f t="shared" si="19"/>
        <v>11093.79819</v>
      </c>
      <c r="F706" s="161">
        <f t="shared" si="4"/>
        <v>10790.50046</v>
      </c>
      <c r="G706" s="175"/>
      <c r="H706" s="161">
        <f t="shared" si="21"/>
        <v>11012.21417</v>
      </c>
      <c r="I706" s="161">
        <f t="shared" si="22"/>
        <v>11101.81244</v>
      </c>
      <c r="J706" s="162">
        <f t="shared" si="8"/>
        <v>11233.92787</v>
      </c>
      <c r="K706" s="163">
        <f t="shared" si="23"/>
        <v>-0.009456904541</v>
      </c>
      <c r="L706" s="163">
        <f t="shared" si="24"/>
        <v>0.004202735721</v>
      </c>
      <c r="M706" s="163">
        <f t="shared" si="25"/>
        <v>0.0802931532</v>
      </c>
      <c r="N706" s="163">
        <f t="shared" si="26"/>
        <v>-0.003229870428</v>
      </c>
      <c r="O706" s="164">
        <f t="shared" si="29"/>
        <v>-0.01011581791</v>
      </c>
      <c r="P706" s="164">
        <f t="shared" si="16"/>
        <v>0.009412328646</v>
      </c>
      <c r="U706" s="173"/>
    </row>
    <row r="707">
      <c r="A707" s="169">
        <v>45393.0</v>
      </c>
      <c r="B707" s="171">
        <v>11171.51651598871</v>
      </c>
      <c r="C707" s="160">
        <f t="shared" si="17"/>
        <v>10412.05293</v>
      </c>
      <c r="D707" s="160">
        <f t="shared" si="18"/>
        <v>759.4635874</v>
      </c>
      <c r="E707" s="161">
        <f t="shared" si="19"/>
        <v>11082.05014</v>
      </c>
      <c r="F707" s="161">
        <f t="shared" si="4"/>
        <v>10754.74016</v>
      </c>
      <c r="G707" s="175"/>
      <c r="H707" s="161">
        <f t="shared" si="21"/>
        <v>11004.47811</v>
      </c>
      <c r="I707" s="161">
        <f t="shared" si="22"/>
        <v>11119.53539</v>
      </c>
      <c r="J707" s="162">
        <f t="shared" si="8"/>
        <v>11254.21607</v>
      </c>
      <c r="K707" s="163">
        <f t="shared" si="23"/>
        <v>0.00760051704</v>
      </c>
      <c r="L707" s="163">
        <f t="shared" si="24"/>
        <v>0.003915328853</v>
      </c>
      <c r="M707" s="163">
        <f t="shared" si="25"/>
        <v>0.0748022527</v>
      </c>
      <c r="N707" s="163">
        <f t="shared" si="26"/>
        <v>-0.001485640858</v>
      </c>
      <c r="O707" s="164">
        <f t="shared" si="29"/>
        <v>-0.00540321806</v>
      </c>
      <c r="P707" s="164">
        <f t="shared" si="16"/>
        <v>0</v>
      </c>
      <c r="U707" s="173"/>
    </row>
    <row r="708">
      <c r="A708" s="169">
        <v>45392.0</v>
      </c>
      <c r="B708" s="171">
        <v>11086.929075692868</v>
      </c>
      <c r="C708" s="160">
        <f t="shared" si="17"/>
        <v>10405.67088</v>
      </c>
      <c r="D708" s="160">
        <f t="shared" si="18"/>
        <v>681.258194</v>
      </c>
      <c r="E708" s="161">
        <f t="shared" si="19"/>
        <v>11059.64729</v>
      </c>
      <c r="F708" s="161">
        <f t="shared" si="4"/>
        <v>10723.90605</v>
      </c>
      <c r="G708" s="175"/>
      <c r="H708" s="161">
        <f t="shared" si="21"/>
        <v>10980.61548</v>
      </c>
      <c r="I708" s="161">
        <f t="shared" si="22"/>
        <v>11093.54482</v>
      </c>
      <c r="J708" s="162">
        <f t="shared" si="8"/>
        <v>11237.32492</v>
      </c>
      <c r="K708" s="163">
        <f t="shared" si="23"/>
        <v>-0.003665923855</v>
      </c>
      <c r="L708" s="163">
        <f t="shared" si="24"/>
        <v>0.003846613715</v>
      </c>
      <c r="M708" s="163">
        <f t="shared" si="25"/>
        <v>0.07348945185</v>
      </c>
      <c r="N708" s="163">
        <f t="shared" si="26"/>
        <v>-0.001485646146</v>
      </c>
      <c r="O708" s="164">
        <f t="shared" si="29"/>
        <v>-0.002139736862</v>
      </c>
      <c r="P708" s="164">
        <f t="shared" si="16"/>
        <v>0.003659212559</v>
      </c>
      <c r="U708" s="173"/>
    </row>
    <row r="709">
      <c r="A709" s="169">
        <v>45391.0</v>
      </c>
      <c r="B709" s="171">
        <v>11127.647503191052</v>
      </c>
      <c r="C709" s="160">
        <f t="shared" si="17"/>
        <v>10399.89751</v>
      </c>
      <c r="D709" s="160">
        <f t="shared" si="18"/>
        <v>727.749996</v>
      </c>
      <c r="E709" s="161">
        <f t="shared" si="19"/>
        <v>11043.12363</v>
      </c>
      <c r="F709" s="161">
        <f t="shared" si="4"/>
        <v>10686.95717</v>
      </c>
      <c r="G709" s="175"/>
      <c r="H709" s="161">
        <f t="shared" si="21"/>
        <v>10965.42783</v>
      </c>
      <c r="I709" s="161">
        <f t="shared" si="22"/>
        <v>11096.8527</v>
      </c>
      <c r="J709" s="162">
        <f t="shared" si="8"/>
        <v>11243.89848</v>
      </c>
      <c r="K709" s="163">
        <f t="shared" si="23"/>
        <v>0.0006053035307</v>
      </c>
      <c r="L709" s="163">
        <f t="shared" si="24"/>
        <v>0.003810482999</v>
      </c>
      <c r="M709" s="163">
        <f t="shared" si="25"/>
        <v>0.07279917548</v>
      </c>
      <c r="N709" s="163">
        <f t="shared" si="26"/>
        <v>-0.001446632375</v>
      </c>
      <c r="O709" s="164">
        <f t="shared" si="29"/>
        <v>-0.002139736862</v>
      </c>
      <c r="P709" s="164">
        <f t="shared" si="16"/>
        <v>0</v>
      </c>
      <c r="U709" s="173"/>
    </row>
    <row r="710">
      <c r="A710" s="169">
        <v>45390.0</v>
      </c>
      <c r="B710" s="172">
        <v>11120.913937</v>
      </c>
      <c r="C710" s="160">
        <f t="shared" si="17"/>
        <v>10393.67742</v>
      </c>
      <c r="D710" s="160">
        <f t="shared" si="18"/>
        <v>727.2365153</v>
      </c>
      <c r="E710" s="161">
        <f t="shared" si="19"/>
        <v>11021.17855</v>
      </c>
      <c r="F710" s="161">
        <f t="shared" si="4"/>
        <v>10654.13879</v>
      </c>
      <c r="G710" s="175"/>
      <c r="H710" s="161">
        <f t="shared" si="21"/>
        <v>10942.25359</v>
      </c>
      <c r="I710" s="161">
        <f t="shared" si="22"/>
        <v>11081.45529</v>
      </c>
      <c r="J710" s="162">
        <f t="shared" si="8"/>
        <v>11230.36839</v>
      </c>
      <c r="K710" s="163">
        <f t="shared" si="23"/>
        <v>0.002178311404</v>
      </c>
      <c r="L710" s="163">
        <f t="shared" si="24"/>
        <v>0.003855118874</v>
      </c>
      <c r="M710" s="163">
        <f t="shared" si="25"/>
        <v>0.07365194268</v>
      </c>
      <c r="N710" s="163">
        <f t="shared" si="26"/>
        <v>-0.001485550959</v>
      </c>
      <c r="O710" s="164">
        <f t="shared" si="29"/>
        <v>-0.001485582688</v>
      </c>
      <c r="P710" s="164">
        <f t="shared" si="16"/>
        <v>0</v>
      </c>
      <c r="U710" s="173"/>
    </row>
    <row r="711">
      <c r="A711" s="169">
        <v>45389.0</v>
      </c>
      <c r="B711" s="171">
        <v>11096.715488797412</v>
      </c>
      <c r="C711" s="160">
        <f t="shared" si="17"/>
        <v>10387.40814</v>
      </c>
      <c r="D711" s="160">
        <f t="shared" si="18"/>
        <v>709.3073474</v>
      </c>
      <c r="E711" s="161">
        <f t="shared" si="19"/>
        <v>10997.84759</v>
      </c>
      <c r="F711" s="161">
        <f t="shared" si="4"/>
        <v>10613.74257</v>
      </c>
      <c r="G711" s="175"/>
      <c r="H711" s="161">
        <f t="shared" si="21"/>
        <v>10916.73068</v>
      </c>
      <c r="I711" s="161">
        <f t="shared" si="22"/>
        <v>11061.72597</v>
      </c>
      <c r="J711" s="162">
        <f t="shared" si="8"/>
        <v>11219.71879</v>
      </c>
      <c r="K711" s="163">
        <f t="shared" si="23"/>
        <v>0.0007354828188</v>
      </c>
      <c r="L711" s="163">
        <f t="shared" si="24"/>
        <v>0.003902812415</v>
      </c>
      <c r="M711" s="163">
        <f t="shared" si="25"/>
        <v>0.0745631265</v>
      </c>
      <c r="N711" s="163">
        <f t="shared" si="26"/>
        <v>-0.001485556248</v>
      </c>
      <c r="O711" s="164">
        <f t="shared" si="29"/>
        <v>-0.001485582688</v>
      </c>
      <c r="P711" s="164">
        <f t="shared" si="16"/>
        <v>0</v>
      </c>
      <c r="U711" s="173"/>
    </row>
    <row r="712">
      <c r="A712" s="169">
        <v>45388.0</v>
      </c>
      <c r="B712" s="171">
        <v>11088.557045775127</v>
      </c>
      <c r="C712" s="160">
        <f t="shared" si="17"/>
        <v>10381.24025</v>
      </c>
      <c r="D712" s="160">
        <f t="shared" si="18"/>
        <v>707.3167943</v>
      </c>
      <c r="E712" s="161">
        <f t="shared" si="19"/>
        <v>10974.72501</v>
      </c>
      <c r="F712" s="161">
        <f t="shared" si="4"/>
        <v>10574.73276</v>
      </c>
      <c r="G712" s="175"/>
      <c r="H712" s="161">
        <f t="shared" si="21"/>
        <v>10891.01857</v>
      </c>
      <c r="I712" s="161">
        <f t="shared" si="22"/>
        <v>11044.23121</v>
      </c>
      <c r="J712" s="162">
        <f t="shared" si="8"/>
        <v>11207.30437</v>
      </c>
      <c r="K712" s="163">
        <f t="shared" si="23"/>
        <v>0.0008083771188</v>
      </c>
      <c r="L712" s="163">
        <f t="shared" si="24"/>
        <v>0.003951767687</v>
      </c>
      <c r="M712" s="163">
        <f t="shared" si="25"/>
        <v>0.07549841565</v>
      </c>
      <c r="N712" s="163">
        <f t="shared" si="26"/>
        <v>-0.001485561536</v>
      </c>
      <c r="O712" s="164">
        <f t="shared" si="29"/>
        <v>-0.001485582688</v>
      </c>
      <c r="P712" s="164">
        <f t="shared" si="16"/>
        <v>0.0006769446102</v>
      </c>
      <c r="U712" s="173"/>
    </row>
    <row r="713">
      <c r="A713" s="169">
        <v>45387.0</v>
      </c>
      <c r="B713" s="171">
        <v>11079.596932042175</v>
      </c>
      <c r="C713" s="160">
        <f t="shared" si="17"/>
        <v>10375.03572</v>
      </c>
      <c r="D713" s="160">
        <f t="shared" si="18"/>
        <v>704.5612139</v>
      </c>
      <c r="E713" s="161">
        <f t="shared" si="19"/>
        <v>10950.1944</v>
      </c>
      <c r="F713" s="161">
        <f t="shared" si="4"/>
        <v>10533.20959</v>
      </c>
      <c r="G713" s="175"/>
      <c r="H713" s="161">
        <f t="shared" si="21"/>
        <v>10862.79878</v>
      </c>
      <c r="I713" s="161">
        <f t="shared" si="22"/>
        <v>11022.0683</v>
      </c>
      <c r="J713" s="162">
        <f t="shared" si="8"/>
        <v>11192.38798</v>
      </c>
      <c r="K713" s="163">
        <f t="shared" si="23"/>
        <v>-0.001485550959</v>
      </c>
      <c r="L713" s="163">
        <f t="shared" si="24"/>
        <v>0.004002995315</v>
      </c>
      <c r="M713" s="163">
        <f t="shared" si="25"/>
        <v>0.0764771181</v>
      </c>
      <c r="N713" s="163">
        <f t="shared" si="26"/>
        <v>-0.001485566824</v>
      </c>
      <c r="O713" s="164">
        <f t="shared" si="29"/>
        <v>-0.001485582688</v>
      </c>
      <c r="P713" s="164">
        <f t="shared" si="16"/>
        <v>0.001484448075</v>
      </c>
      <c r="U713" s="173"/>
    </row>
    <row r="714">
      <c r="A714" s="169">
        <v>45386.0</v>
      </c>
      <c r="B714" s="171">
        <v>11096.068469520098</v>
      </c>
      <c r="C714" s="160">
        <f t="shared" si="17"/>
        <v>10368.80066</v>
      </c>
      <c r="D714" s="160">
        <f t="shared" si="18"/>
        <v>727.2678064</v>
      </c>
      <c r="E714" s="161">
        <f t="shared" si="19"/>
        <v>10924.17841</v>
      </c>
      <c r="F714" s="161">
        <f t="shared" si="4"/>
        <v>10495.55629</v>
      </c>
      <c r="G714" s="175"/>
      <c r="H714" s="161">
        <f t="shared" si="21"/>
        <v>10831.82762</v>
      </c>
      <c r="I714" s="161">
        <f t="shared" si="22"/>
        <v>10993.30398</v>
      </c>
      <c r="J714" s="162">
        <f t="shared" si="8"/>
        <v>11168.09895</v>
      </c>
      <c r="K714" s="163">
        <f t="shared" si="23"/>
        <v>0.005841013373</v>
      </c>
      <c r="L714" s="163">
        <f t="shared" si="24"/>
        <v>0.004025649358</v>
      </c>
      <c r="M714" s="163">
        <f t="shared" si="25"/>
        <v>0.07690992299</v>
      </c>
      <c r="N714" s="163">
        <f t="shared" si="26"/>
        <v>-0.0008628747667</v>
      </c>
      <c r="O714" s="164">
        <f t="shared" si="29"/>
        <v>-0.001485582688</v>
      </c>
      <c r="P714" s="164">
        <f t="shared" si="16"/>
        <v>0</v>
      </c>
      <c r="U714" s="173"/>
    </row>
    <row r="715">
      <c r="A715" s="169">
        <v>45385.0</v>
      </c>
      <c r="B715" s="171">
        <v>11031.445101914442</v>
      </c>
      <c r="C715" s="160">
        <f t="shared" si="17"/>
        <v>10362.3072</v>
      </c>
      <c r="D715" s="160">
        <f t="shared" si="18"/>
        <v>669.1379013</v>
      </c>
      <c r="E715" s="161">
        <f t="shared" si="19"/>
        <v>10893.75324</v>
      </c>
      <c r="F715" s="161">
        <f t="shared" si="4"/>
        <v>10468.97654</v>
      </c>
      <c r="G715" s="175"/>
      <c r="H715" s="161">
        <f t="shared" si="21"/>
        <v>10794.07893</v>
      </c>
      <c r="I715" s="161">
        <f t="shared" si="22"/>
        <v>10941.92173</v>
      </c>
      <c r="J715" s="162">
        <f t="shared" si="8"/>
        <v>11119.18131</v>
      </c>
      <c r="K715" s="163">
        <f t="shared" si="23"/>
        <v>0.003242985712</v>
      </c>
      <c r="L715" s="163">
        <f t="shared" si="24"/>
        <v>0.004018603726</v>
      </c>
      <c r="M715" s="163">
        <f t="shared" si="25"/>
        <v>0.07677531638</v>
      </c>
      <c r="N715" s="163">
        <f t="shared" si="26"/>
        <v>-0.0009017986389</v>
      </c>
      <c r="O715" s="164">
        <f t="shared" si="29"/>
        <v>-0.0006253555138</v>
      </c>
      <c r="P715" s="164">
        <f t="shared" si="16"/>
        <v>0</v>
      </c>
      <c r="U715" s="173"/>
    </row>
    <row r="716">
      <c r="A716" s="169">
        <v>45384.0</v>
      </c>
      <c r="B716" s="171">
        <v>10995.728229019689</v>
      </c>
      <c r="C716" s="160">
        <f t="shared" si="17"/>
        <v>10356.27893</v>
      </c>
      <c r="D716" s="160">
        <f t="shared" si="18"/>
        <v>639.4492978</v>
      </c>
      <c r="E716" s="161">
        <f t="shared" si="19"/>
        <v>10867.38597</v>
      </c>
      <c r="F716" s="161">
        <f t="shared" si="4"/>
        <v>10416.80866</v>
      </c>
      <c r="G716" s="175"/>
      <c r="H716" s="161">
        <f t="shared" si="21"/>
        <v>10760.16947</v>
      </c>
      <c r="I716" s="161">
        <f t="shared" si="22"/>
        <v>10897.16005</v>
      </c>
      <c r="J716" s="162">
        <f t="shared" si="8"/>
        <v>11103.53028</v>
      </c>
      <c r="K716" s="163">
        <f t="shared" si="23"/>
        <v>0.004308845749</v>
      </c>
      <c r="L716" s="163">
        <f t="shared" si="24"/>
        <v>0.004066209222</v>
      </c>
      <c r="M716" s="163">
        <f t="shared" si="25"/>
        <v>0.0776848181</v>
      </c>
      <c r="N716" s="163">
        <f t="shared" si="26"/>
        <v>-0.0009407225111</v>
      </c>
      <c r="O716" s="164">
        <f t="shared" si="29"/>
        <v>-0.0009407225111</v>
      </c>
      <c r="P716" s="164">
        <f t="shared" si="16"/>
        <v>0</v>
      </c>
      <c r="U716" s="173"/>
    </row>
    <row r="717">
      <c r="A717" s="169">
        <v>45383.0</v>
      </c>
      <c r="B717" s="171">
        <v>10948.45125990877</v>
      </c>
      <c r="C717" s="160">
        <f t="shared" si="17"/>
        <v>10350.46576</v>
      </c>
      <c r="D717" s="160">
        <f t="shared" si="18"/>
        <v>597.9855041</v>
      </c>
      <c r="E717" s="161">
        <f t="shared" si="19"/>
        <v>10842.30578</v>
      </c>
      <c r="F717" s="161">
        <f t="shared" si="4"/>
        <v>10379.60398</v>
      </c>
      <c r="G717" s="175"/>
      <c r="H717" s="161">
        <f t="shared" si="21"/>
        <v>10726.51822</v>
      </c>
      <c r="I717" s="161">
        <f t="shared" si="22"/>
        <v>10847.87596</v>
      </c>
      <c r="J717" s="162">
        <f t="shared" si="8"/>
        <v>11073.43246</v>
      </c>
      <c r="K717" s="163">
        <f t="shared" si="23"/>
        <v>0.0007798924452</v>
      </c>
      <c r="L717" s="163">
        <f t="shared" si="24"/>
        <v>0.004096746442</v>
      </c>
      <c r="M717" s="163">
        <f t="shared" si="25"/>
        <v>0.07826823088</v>
      </c>
      <c r="N717" s="163">
        <f t="shared" si="26"/>
        <v>-0.0009796463833</v>
      </c>
      <c r="O717" s="164">
        <f t="shared" si="29"/>
        <v>-0.0009407225111</v>
      </c>
      <c r="P717" s="164">
        <f t="shared" si="16"/>
        <v>0</v>
      </c>
      <c r="U717" s="173"/>
    </row>
    <row r="718">
      <c r="A718" s="169">
        <v>45382.0</v>
      </c>
      <c r="B718" s="171">
        <v>10939.91597421994</v>
      </c>
      <c r="C718" s="160">
        <f t="shared" si="17"/>
        <v>10344.97965</v>
      </c>
      <c r="D718" s="160">
        <f t="shared" si="18"/>
        <v>594.936324</v>
      </c>
      <c r="E718" s="161">
        <f t="shared" si="19"/>
        <v>10820.05268</v>
      </c>
      <c r="F718" s="161">
        <f t="shared" si="4"/>
        <v>10333.92933</v>
      </c>
      <c r="G718" s="175"/>
      <c r="H718" s="161">
        <f>(B718-H724)*0.125+H724</f>
        <v>10694.8135</v>
      </c>
      <c r="I718" s="161">
        <f>(B718-I724)*1/3+I724</f>
        <v>10797.58831</v>
      </c>
      <c r="J718" s="162">
        <f t="shared" si="8"/>
        <v>11055.69768</v>
      </c>
      <c r="K718" s="163">
        <f>ln(B718)-ln(B724)</f>
        <v>0.01296634631</v>
      </c>
      <c r="L718" s="163">
        <f t="shared" si="24"/>
        <v>0.004158851369</v>
      </c>
      <c r="M718" s="163">
        <f t="shared" si="25"/>
        <v>0.07945474384</v>
      </c>
      <c r="N718" s="163">
        <f t="shared" si="26"/>
        <v>-0.001018570256</v>
      </c>
      <c r="O718" s="164"/>
      <c r="P718" s="164">
        <f t="shared" si="16"/>
        <v>0</v>
      </c>
      <c r="U718" s="173"/>
    </row>
    <row r="719">
      <c r="A719" s="176">
        <v>45381.0</v>
      </c>
      <c r="B719" s="171">
        <v>10916.426797863987</v>
      </c>
      <c r="C719" s="160">
        <f t="shared" si="17"/>
        <v>10339.47098</v>
      </c>
      <c r="D719" s="160">
        <f t="shared" si="18"/>
        <v>576.9558173</v>
      </c>
      <c r="E719" s="161">
        <f t="shared" si="19"/>
        <v>10796.32603</v>
      </c>
      <c r="F719" s="161">
        <f t="shared" si="4"/>
        <v>10397.26216</v>
      </c>
      <c r="G719" s="175"/>
      <c r="H719" s="161">
        <f t="shared" ref="H719:H736" si="30">(B719-H720)*0.125+H720</f>
        <v>10764.9495</v>
      </c>
      <c r="I719" s="161">
        <f t="shared" ref="I719:I746" si="31">(B719-I720)*1/3+I720</f>
        <v>10866.08014</v>
      </c>
      <c r="J719" s="162">
        <f t="shared" si="8"/>
        <v>11132.63685</v>
      </c>
      <c r="K719" s="163">
        <f t="shared" ref="K719:K825" si="32">ln(B719)-ln(B720)</f>
        <v>0.002154045848</v>
      </c>
      <c r="L719" s="163">
        <f t="shared" si="24"/>
        <v>0.003661382274</v>
      </c>
      <c r="M719" s="163">
        <f t="shared" si="25"/>
        <v>0.06995061014</v>
      </c>
      <c r="N719" s="163">
        <f t="shared" si="26"/>
        <v>-0.001057494128</v>
      </c>
      <c r="O719" s="164"/>
      <c r="P719" s="164">
        <f t="shared" si="16"/>
        <v>0</v>
      </c>
      <c r="U719" s="173"/>
    </row>
    <row r="720">
      <c r="A720" s="176">
        <v>45380.0</v>
      </c>
      <c r="B720" s="171">
        <v>10892.937621508036</v>
      </c>
      <c r="C720" s="160">
        <f t="shared" si="17"/>
        <v>10334.07887</v>
      </c>
      <c r="D720" s="160">
        <f t="shared" si="18"/>
        <v>558.8587514</v>
      </c>
      <c r="E720" s="161">
        <f t="shared" si="19"/>
        <v>10772.7967</v>
      </c>
      <c r="F720" s="161">
        <f t="shared" si="4"/>
        <v>10405.01234</v>
      </c>
      <c r="G720" s="175"/>
      <c r="H720" s="161">
        <f t="shared" si="30"/>
        <v>10743.30989</v>
      </c>
      <c r="I720" s="161">
        <f t="shared" si="31"/>
        <v>10840.90681</v>
      </c>
      <c r="J720" s="162">
        <f t="shared" si="8"/>
        <v>11081.60744</v>
      </c>
      <c r="K720" s="163">
        <f t="shared" si="32"/>
        <v>0.00215869578</v>
      </c>
      <c r="L720" s="163">
        <f t="shared" si="24"/>
        <v>0.003716177748</v>
      </c>
      <c r="M720" s="163">
        <f t="shared" si="25"/>
        <v>0.07099747618</v>
      </c>
      <c r="N720" s="163">
        <f t="shared" si="26"/>
        <v>-0.001096418</v>
      </c>
      <c r="O720" s="164"/>
      <c r="P720" s="164">
        <f t="shared" si="16"/>
        <v>0</v>
      </c>
      <c r="U720" s="173"/>
    </row>
    <row r="721">
      <c r="A721" s="176">
        <v>45379.0</v>
      </c>
      <c r="B721" s="171">
        <v>10869.448445152084</v>
      </c>
      <c r="C721" s="160">
        <f t="shared" si="17"/>
        <v>10328.80662</v>
      </c>
      <c r="D721" s="160">
        <f t="shared" si="18"/>
        <v>540.6418274</v>
      </c>
      <c r="E721" s="161">
        <f t="shared" si="19"/>
        <v>10749.50432</v>
      </c>
      <c r="F721" s="161">
        <f t="shared" si="4"/>
        <v>10413.73995</v>
      </c>
      <c r="G721" s="175"/>
      <c r="H721" s="161">
        <f t="shared" si="30"/>
        <v>10721.9345</v>
      </c>
      <c r="I721" s="161">
        <f t="shared" si="31"/>
        <v>10814.8914</v>
      </c>
      <c r="J721" s="162">
        <f t="shared" si="8"/>
        <v>11030.12905</v>
      </c>
      <c r="K721" s="163">
        <f t="shared" si="32"/>
        <v>0.00216336583</v>
      </c>
      <c r="L721" s="163">
        <f t="shared" si="24"/>
        <v>0.003773432706</v>
      </c>
      <c r="M721" s="163">
        <f t="shared" si="25"/>
        <v>0.07209133063</v>
      </c>
      <c r="N721" s="163">
        <f t="shared" si="26"/>
        <v>-0.001135341872</v>
      </c>
      <c r="O721" s="164"/>
      <c r="P721" s="164">
        <f t="shared" si="16"/>
        <v>0</v>
      </c>
      <c r="U721" s="173"/>
    </row>
    <row r="722">
      <c r="A722" s="176">
        <v>45378.0</v>
      </c>
      <c r="B722" s="171">
        <v>10845.959268796132</v>
      </c>
      <c r="C722" s="160">
        <f t="shared" si="17"/>
        <v>10323.65765</v>
      </c>
      <c r="D722" s="160">
        <f t="shared" si="18"/>
        <v>522.3016208</v>
      </c>
      <c r="E722" s="161">
        <f t="shared" si="19"/>
        <v>10726.49656</v>
      </c>
      <c r="F722" s="161">
        <f t="shared" si="4"/>
        <v>10423.54796</v>
      </c>
      <c r="G722" s="175"/>
      <c r="H722" s="161">
        <f t="shared" si="30"/>
        <v>10700.86108</v>
      </c>
      <c r="I722" s="161">
        <f t="shared" si="31"/>
        <v>10787.61288</v>
      </c>
      <c r="J722" s="162">
        <f t="shared" si="8"/>
        <v>10978.17419</v>
      </c>
      <c r="K722" s="163">
        <f t="shared" si="32"/>
        <v>0.00216805613</v>
      </c>
      <c r="L722" s="163">
        <f t="shared" si="24"/>
        <v>0.003833333353</v>
      </c>
      <c r="M722" s="163">
        <f t="shared" si="25"/>
        <v>0.07323573088</v>
      </c>
      <c r="N722" s="163">
        <f t="shared" si="26"/>
        <v>-0.001174265744</v>
      </c>
      <c r="O722" s="164"/>
      <c r="P722" s="164">
        <f t="shared" si="16"/>
        <v>0</v>
      </c>
      <c r="U722" s="173"/>
    </row>
    <row r="723">
      <c r="A723" s="176">
        <v>45377.0</v>
      </c>
      <c r="B723" s="171">
        <v>10822.47009244018</v>
      </c>
      <c r="C723" s="160">
        <f t="shared" si="17"/>
        <v>10318.63552</v>
      </c>
      <c r="D723" s="160">
        <f t="shared" si="18"/>
        <v>503.8345754</v>
      </c>
      <c r="E723" s="161">
        <f t="shared" si="19"/>
        <v>10703.83093</v>
      </c>
      <c r="F723" s="161">
        <f t="shared" si="4"/>
        <v>10434.08105</v>
      </c>
      <c r="G723" s="175"/>
      <c r="H723" s="161">
        <f t="shared" si="30"/>
        <v>10680.13277</v>
      </c>
      <c r="I723" s="161">
        <f t="shared" si="31"/>
        <v>10758.43968</v>
      </c>
      <c r="J723" s="162">
        <f t="shared" si="8"/>
        <v>10926.18448</v>
      </c>
      <c r="K723" s="163">
        <f t="shared" si="32"/>
        <v>0.002172766813</v>
      </c>
      <c r="L723" s="163">
        <f t="shared" si="24"/>
        <v>0.003896085676</v>
      </c>
      <c r="M723" s="163">
        <f t="shared" si="25"/>
        <v>0.07443461232</v>
      </c>
      <c r="N723" s="163">
        <f t="shared" si="26"/>
        <v>-0.001213189617</v>
      </c>
      <c r="O723" s="164"/>
      <c r="P723" s="164">
        <f t="shared" si="16"/>
        <v>0</v>
      </c>
      <c r="U723" s="173"/>
    </row>
    <row r="724">
      <c r="A724" s="176">
        <v>45376.0</v>
      </c>
      <c r="B724" s="171">
        <v>10798.980916084229</v>
      </c>
      <c r="C724" s="160">
        <f t="shared" si="17"/>
        <v>10313.74392</v>
      </c>
      <c r="D724" s="160">
        <f t="shared" si="18"/>
        <v>485.2369969</v>
      </c>
      <c r="E724" s="161">
        <f t="shared" si="19"/>
        <v>10681.5772</v>
      </c>
      <c r="F724" s="161">
        <f t="shared" si="4"/>
        <v>10445.31779</v>
      </c>
      <c r="G724" s="175"/>
      <c r="H724" s="161">
        <f t="shared" si="30"/>
        <v>10659.79886</v>
      </c>
      <c r="I724" s="161">
        <f t="shared" si="31"/>
        <v>10726.42447</v>
      </c>
      <c r="J724" s="162">
        <f t="shared" si="8"/>
        <v>10874.27994</v>
      </c>
      <c r="K724" s="163">
        <f t="shared" si="32"/>
        <v>0.005034162214</v>
      </c>
      <c r="L724" s="163">
        <f t="shared" si="24"/>
        <v>0.003961918106</v>
      </c>
      <c r="M724" s="163">
        <f t="shared" si="25"/>
        <v>0.07569233913</v>
      </c>
      <c r="N724" s="163">
        <f t="shared" si="26"/>
        <v>-0.001252113489</v>
      </c>
      <c r="O724" s="164"/>
      <c r="P724" s="164">
        <f t="shared" si="16"/>
        <v>0</v>
      </c>
      <c r="U724" s="173"/>
    </row>
    <row r="725">
      <c r="A725" s="176">
        <v>45375.0</v>
      </c>
      <c r="B725" s="171">
        <v>10744.753703220049</v>
      </c>
      <c r="C725" s="160">
        <f t="shared" si="17"/>
        <v>10308.98669</v>
      </c>
      <c r="D725" s="160">
        <f t="shared" si="18"/>
        <v>435.7670095</v>
      </c>
      <c r="E725" s="161">
        <f t="shared" si="19"/>
        <v>10659.82035</v>
      </c>
      <c r="F725" s="161">
        <f t="shared" si="4"/>
        <v>10456.88795</v>
      </c>
      <c r="G725" s="175"/>
      <c r="H725" s="161">
        <f t="shared" si="30"/>
        <v>10639.91571</v>
      </c>
      <c r="I725" s="161">
        <f t="shared" si="31"/>
        <v>10690.14625</v>
      </c>
      <c r="J725" s="162">
        <f t="shared" si="8"/>
        <v>10822.94347</v>
      </c>
      <c r="K725" s="163">
        <f t="shared" si="32"/>
        <v>0.002138989012</v>
      </c>
      <c r="L725" s="163">
        <f t="shared" si="24"/>
        <v>0.003948635624</v>
      </c>
      <c r="M725" s="163">
        <f t="shared" si="25"/>
        <v>0.07543857768</v>
      </c>
      <c r="N725" s="163">
        <f t="shared" si="26"/>
        <v>-0.001291037361</v>
      </c>
      <c r="O725" s="177"/>
      <c r="P725" s="177">
        <f t="shared" ref="P725:P826" si="33">B725/MAX($B725:B$826)-1</f>
        <v>0</v>
      </c>
      <c r="U725" s="173"/>
    </row>
    <row r="726">
      <c r="A726" s="176">
        <v>45374.0</v>
      </c>
      <c r="B726" s="171">
        <v>10721.795355689774</v>
      </c>
      <c r="C726" s="160">
        <f t="shared" si="17"/>
        <v>10304.67217</v>
      </c>
      <c r="D726" s="160">
        <f t="shared" si="18"/>
        <v>417.1231868</v>
      </c>
      <c r="E726" s="161">
        <f t="shared" si="19"/>
        <v>10643.39343</v>
      </c>
      <c r="F726" s="161">
        <f t="shared" si="4"/>
        <v>10460.42062</v>
      </c>
      <c r="G726" s="175"/>
      <c r="H726" s="161">
        <f t="shared" si="30"/>
        <v>10624.93886</v>
      </c>
      <c r="I726" s="161">
        <f t="shared" si="31"/>
        <v>10662.84253</v>
      </c>
      <c r="J726" s="162">
        <f t="shared" si="8"/>
        <v>10789.4571</v>
      </c>
      <c r="K726" s="163">
        <f t="shared" si="32"/>
        <v>0.003936816959</v>
      </c>
      <c r="L726" s="163">
        <f t="shared" si="24"/>
        <v>0.004018472885</v>
      </c>
      <c r="M726" s="163">
        <f t="shared" si="25"/>
        <v>0.07677281668</v>
      </c>
      <c r="N726" s="163">
        <f t="shared" si="26"/>
        <v>-0.001329961233</v>
      </c>
      <c r="O726" s="177"/>
      <c r="P726" s="177">
        <f t="shared" si="33"/>
        <v>0</v>
      </c>
      <c r="U726" s="173"/>
    </row>
    <row r="727">
      <c r="A727" s="176">
        <v>45373.0</v>
      </c>
      <c r="B727" s="171">
        <v>10679.66858699845</v>
      </c>
      <c r="C727" s="160">
        <f t="shared" si="17"/>
        <v>10300.50094</v>
      </c>
      <c r="D727" s="160">
        <f t="shared" si="18"/>
        <v>379.16765</v>
      </c>
      <c r="E727" s="161">
        <f t="shared" si="19"/>
        <v>10628.27287</v>
      </c>
      <c r="F727" s="161">
        <f t="shared" si="4"/>
        <v>10461.75945</v>
      </c>
      <c r="G727" s="175"/>
      <c r="H727" s="161">
        <f t="shared" si="30"/>
        <v>10611.10221</v>
      </c>
      <c r="I727" s="161">
        <f t="shared" si="31"/>
        <v>10633.36611</v>
      </c>
      <c r="J727" s="162">
        <f t="shared" si="8"/>
        <v>10760.44498</v>
      </c>
      <c r="K727" s="163">
        <f t="shared" si="32"/>
        <v>0.002323911954</v>
      </c>
      <c r="L727" s="163">
        <f t="shared" si="24"/>
        <v>0.004043509109</v>
      </c>
      <c r="M727" s="163">
        <f t="shared" si="25"/>
        <v>0.07725113307</v>
      </c>
      <c r="N727" s="163">
        <f t="shared" si="26"/>
        <v>-0.001368885105</v>
      </c>
      <c r="O727" s="177"/>
      <c r="P727" s="177">
        <f t="shared" si="33"/>
        <v>0</v>
      </c>
      <c r="U727" s="173"/>
    </row>
    <row r="728">
      <c r="A728" s="176">
        <v>45372.0</v>
      </c>
      <c r="B728" s="171">
        <v>10654.878793304842</v>
      </c>
      <c r="C728" s="160">
        <f t="shared" si="17"/>
        <v>10296.67096</v>
      </c>
      <c r="D728" s="160">
        <f t="shared" si="18"/>
        <v>358.2078326</v>
      </c>
      <c r="E728" s="161">
        <f t="shared" si="19"/>
        <v>10617.91468</v>
      </c>
      <c r="F728" s="161">
        <f t="shared" si="4"/>
        <v>10458.15575</v>
      </c>
      <c r="G728" s="175"/>
      <c r="H728" s="161">
        <f t="shared" si="30"/>
        <v>10601.30702</v>
      </c>
      <c r="I728" s="161">
        <f t="shared" si="31"/>
        <v>10610.21487</v>
      </c>
      <c r="J728" s="162">
        <f t="shared" si="8"/>
        <v>10744.45829</v>
      </c>
      <c r="K728" s="163">
        <f t="shared" si="32"/>
        <v>0.001951413796</v>
      </c>
      <c r="L728" s="163">
        <f t="shared" si="24"/>
        <v>0.004114727181</v>
      </c>
      <c r="M728" s="163">
        <f t="shared" si="25"/>
        <v>0.07861175241</v>
      </c>
      <c r="N728" s="163">
        <f t="shared" si="26"/>
        <v>-0.001407808978</v>
      </c>
      <c r="O728" s="177"/>
      <c r="P728" s="177">
        <f t="shared" si="33"/>
        <v>-0.001357895638</v>
      </c>
      <c r="U728" s="173"/>
    </row>
    <row r="729">
      <c r="A729" s="176">
        <v>45371.0</v>
      </c>
      <c r="B729" s="171">
        <v>10634.106989618233</v>
      </c>
      <c r="C729" s="160">
        <f t="shared" si="17"/>
        <v>10293.01578</v>
      </c>
      <c r="D729" s="160">
        <f t="shared" si="18"/>
        <v>341.0912108</v>
      </c>
      <c r="E729" s="161">
        <f t="shared" si="19"/>
        <v>10610.25256</v>
      </c>
      <c r="F729" s="161">
        <f t="shared" si="4"/>
        <v>10453.16184</v>
      </c>
      <c r="G729" s="175"/>
      <c r="H729" s="161">
        <f t="shared" si="30"/>
        <v>10593.65391</v>
      </c>
      <c r="I729" s="161">
        <f t="shared" si="31"/>
        <v>10587.88291</v>
      </c>
      <c r="J729" s="162">
        <f t="shared" si="8"/>
        <v>10734.14597</v>
      </c>
      <c r="K729" s="163">
        <f t="shared" si="32"/>
        <v>0.007920711058</v>
      </c>
      <c r="L729" s="163">
        <f t="shared" si="24"/>
        <v>0.004197205817</v>
      </c>
      <c r="M729" s="163">
        <f t="shared" si="25"/>
        <v>0.08018750455</v>
      </c>
      <c r="N729" s="163">
        <f t="shared" si="26"/>
        <v>-0.00144673285</v>
      </c>
      <c r="O729" s="177"/>
      <c r="P729" s="177">
        <f t="shared" si="33"/>
        <v>-0.003304759432</v>
      </c>
      <c r="U729" s="173"/>
    </row>
    <row r="730">
      <c r="A730" s="169">
        <v>45370.0</v>
      </c>
      <c r="B730" s="171">
        <v>10550.210001323063</v>
      </c>
      <c r="C730" s="160">
        <f t="shared" si="17"/>
        <v>10289.49937</v>
      </c>
      <c r="D730" s="160">
        <f t="shared" si="18"/>
        <v>260.7106268</v>
      </c>
      <c r="E730" s="161">
        <f t="shared" si="19"/>
        <v>10605.12011</v>
      </c>
      <c r="F730" s="161">
        <f t="shared" si="4"/>
        <v>10448.14294</v>
      </c>
      <c r="G730" s="175"/>
      <c r="H730" s="161">
        <f t="shared" si="30"/>
        <v>10587.8749</v>
      </c>
      <c r="I730" s="161">
        <f t="shared" si="31"/>
        <v>10564.77088</v>
      </c>
      <c r="J730" s="162">
        <f t="shared" si="8"/>
        <v>10727.60685</v>
      </c>
      <c r="K730" s="163">
        <f t="shared" si="32"/>
        <v>-0.001485656722</v>
      </c>
      <c r="L730" s="163">
        <f t="shared" si="24"/>
        <v>0.00393372753</v>
      </c>
      <c r="M730" s="163">
        <f t="shared" si="25"/>
        <v>0.07515375893</v>
      </c>
      <c r="N730" s="163">
        <f t="shared" si="26"/>
        <v>-0.001485656722</v>
      </c>
      <c r="O730" s="177"/>
      <c r="P730" s="177">
        <f t="shared" si="33"/>
        <v>-0.01116811166</v>
      </c>
      <c r="U730" s="173"/>
    </row>
    <row r="731">
      <c r="A731" s="176">
        <v>45369.0</v>
      </c>
      <c r="B731" s="171">
        <v>10565.895640583813</v>
      </c>
      <c r="C731" s="160">
        <f t="shared" si="17"/>
        <v>10286.78364</v>
      </c>
      <c r="D731" s="160">
        <f t="shared" si="18"/>
        <v>279.1120017</v>
      </c>
      <c r="E731" s="161">
        <f t="shared" si="19"/>
        <v>10615.0937</v>
      </c>
      <c r="F731" s="161">
        <f t="shared" si="4"/>
        <v>10459.88254</v>
      </c>
      <c r="G731" s="175"/>
      <c r="H731" s="161">
        <f t="shared" si="30"/>
        <v>10593.2556</v>
      </c>
      <c r="I731" s="161">
        <f t="shared" si="31"/>
        <v>10572.05131</v>
      </c>
      <c r="J731" s="162">
        <f t="shared" si="8"/>
        <v>10726.62865</v>
      </c>
      <c r="K731" s="163">
        <f t="shared" si="32"/>
        <v>0.004355328056</v>
      </c>
      <c r="L731" s="163">
        <f t="shared" si="24"/>
        <v>0.00402154701</v>
      </c>
      <c r="M731" s="163">
        <f t="shared" si="25"/>
        <v>0.07683154775</v>
      </c>
      <c r="N731" s="163">
        <f t="shared" si="26"/>
        <v>-0.001495670949</v>
      </c>
      <c r="O731" s="177"/>
      <c r="P731" s="177">
        <f t="shared" si="33"/>
        <v>-0.009697955118</v>
      </c>
      <c r="U731" s="173"/>
    </row>
    <row r="732">
      <c r="A732" s="176">
        <v>45368.0</v>
      </c>
      <c r="B732" s="171">
        <v>10519.977765157862</v>
      </c>
      <c r="C732" s="160">
        <f t="shared" si="17"/>
        <v>10283.84562</v>
      </c>
      <c r="D732" s="160">
        <f t="shared" si="18"/>
        <v>236.1321474</v>
      </c>
      <c r="E732" s="161">
        <f t="shared" si="19"/>
        <v>10623.66341</v>
      </c>
      <c r="F732" s="161">
        <f t="shared" si="4"/>
        <v>10466.60397</v>
      </c>
      <c r="G732" s="175"/>
      <c r="H732" s="161">
        <f t="shared" si="30"/>
        <v>10597.16416</v>
      </c>
      <c r="I732" s="161">
        <f t="shared" si="31"/>
        <v>10575.12915</v>
      </c>
      <c r="J732" s="162">
        <f t="shared" si="8"/>
        <v>10727.72435</v>
      </c>
      <c r="K732" s="163">
        <f t="shared" si="32"/>
        <v>0.002376398107</v>
      </c>
      <c r="L732" s="163">
        <f t="shared" si="24"/>
        <v>0.003997430126</v>
      </c>
      <c r="M732" s="163">
        <f t="shared" si="25"/>
        <v>0.07637079532</v>
      </c>
      <c r="N732" s="163">
        <f t="shared" si="26"/>
        <v>-0.002284162621</v>
      </c>
      <c r="O732" s="177"/>
      <c r="P732" s="177">
        <f t="shared" si="33"/>
        <v>-0.01400166656</v>
      </c>
      <c r="U732" s="173"/>
    </row>
    <row r="733">
      <c r="A733" s="176">
        <v>45367.0</v>
      </c>
      <c r="B733" s="171">
        <v>10495.007790966029</v>
      </c>
      <c r="C733" s="160">
        <f t="shared" si="17"/>
        <v>10281.33357</v>
      </c>
      <c r="D733" s="160">
        <f t="shared" si="18"/>
        <v>213.6742173</v>
      </c>
      <c r="E733" s="161">
        <f t="shared" si="19"/>
        <v>10643.44525</v>
      </c>
      <c r="F733" s="161">
        <f t="shared" si="4"/>
        <v>10493.35461</v>
      </c>
      <c r="G733" s="175"/>
      <c r="H733" s="161">
        <f t="shared" si="30"/>
        <v>10608.19079</v>
      </c>
      <c r="I733" s="161">
        <f t="shared" si="31"/>
        <v>10602.70484</v>
      </c>
      <c r="J733" s="162">
        <f t="shared" si="8"/>
        <v>10723.02696</v>
      </c>
      <c r="K733" s="163">
        <f t="shared" si="32"/>
        <v>-0.01647701271</v>
      </c>
      <c r="L733" s="163">
        <f t="shared" si="24"/>
        <v>0.004063183802</v>
      </c>
      <c r="M733" s="163">
        <f t="shared" si="25"/>
        <v>0.07762701754</v>
      </c>
      <c r="N733" s="163">
        <f t="shared" si="26"/>
        <v>-0.003072654292</v>
      </c>
      <c r="O733" s="177"/>
      <c r="P733" s="177">
        <f t="shared" si="33"/>
        <v>-0.01634200924</v>
      </c>
      <c r="U733" s="173"/>
    </row>
    <row r="734">
      <c r="A734" s="176">
        <v>45366.0</v>
      </c>
      <c r="B734" s="171">
        <v>10669.366679783498</v>
      </c>
      <c r="C734" s="160">
        <f t="shared" si="17"/>
        <v>10279.036</v>
      </c>
      <c r="D734" s="160">
        <f t="shared" si="18"/>
        <v>390.3306784</v>
      </c>
      <c r="E734" s="161">
        <f t="shared" si="19"/>
        <v>10672.56559</v>
      </c>
      <c r="F734" s="161">
        <f t="shared" si="4"/>
        <v>10542.98144</v>
      </c>
      <c r="G734" s="175"/>
      <c r="H734" s="161">
        <f t="shared" si="30"/>
        <v>10624.35979</v>
      </c>
      <c r="I734" s="161">
        <f t="shared" si="31"/>
        <v>10656.55336</v>
      </c>
      <c r="J734" s="162">
        <f t="shared" si="8"/>
        <v>10705.73813</v>
      </c>
      <c r="K734" s="163">
        <f t="shared" si="32"/>
        <v>0.0009004170673</v>
      </c>
      <c r="L734" s="163">
        <f t="shared" si="24"/>
        <v>0.0005476382514</v>
      </c>
      <c r="M734" s="163">
        <f t="shared" si="25"/>
        <v>0.0104626141</v>
      </c>
      <c r="N734" s="163">
        <f t="shared" si="26"/>
        <v>-0.0003467598523</v>
      </c>
      <c r="O734" s="177"/>
      <c r="P734" s="177">
        <f t="shared" si="33"/>
        <v>0</v>
      </c>
      <c r="U734" s="173"/>
    </row>
    <row r="735">
      <c r="A735" s="176">
        <v>45365.0</v>
      </c>
      <c r="B735" s="171">
        <v>10659.764123729197</v>
      </c>
      <c r="C735" s="160">
        <f t="shared" si="17"/>
        <v>10274.79328</v>
      </c>
      <c r="D735" s="160">
        <f t="shared" si="18"/>
        <v>384.9708471</v>
      </c>
      <c r="E735" s="161">
        <f t="shared" si="19"/>
        <v>10666.54197</v>
      </c>
      <c r="F735" s="161">
        <f t="shared" si="4"/>
        <v>10533.6533</v>
      </c>
      <c r="G735" s="175"/>
      <c r="H735" s="161">
        <f t="shared" si="30"/>
        <v>10617.93023</v>
      </c>
      <c r="I735" s="161">
        <f t="shared" si="31"/>
        <v>10650.14671</v>
      </c>
      <c r="J735" s="162">
        <f t="shared" si="8"/>
        <v>10702.20716</v>
      </c>
      <c r="K735" s="163">
        <f t="shared" si="32"/>
        <v>0.0002998315124</v>
      </c>
      <c r="L735" s="163">
        <f t="shared" si="24"/>
        <v>0.0005604239929</v>
      </c>
      <c r="M735" s="163">
        <f t="shared" si="25"/>
        <v>0.01070688535</v>
      </c>
      <c r="N735" s="163">
        <f t="shared" si="26"/>
        <v>-0.0003692860664</v>
      </c>
      <c r="O735" s="177"/>
      <c r="P735" s="177">
        <f t="shared" si="33"/>
        <v>0</v>
      </c>
      <c r="U735" s="173"/>
    </row>
    <row r="736">
      <c r="A736" s="176">
        <v>45364.0</v>
      </c>
      <c r="B736" s="171">
        <v>10656.568469633314</v>
      </c>
      <c r="C736" s="160">
        <f t="shared" si="17"/>
        <v>10270.56283</v>
      </c>
      <c r="D736" s="160">
        <f t="shared" si="18"/>
        <v>386.0056418</v>
      </c>
      <c r="E736" s="161">
        <f t="shared" si="19"/>
        <v>10661.38956</v>
      </c>
      <c r="F736" s="161">
        <f t="shared" si="4"/>
        <v>10528.00775</v>
      </c>
      <c r="G736" s="175"/>
      <c r="H736" s="161">
        <f t="shared" si="30"/>
        <v>10611.95396</v>
      </c>
      <c r="I736" s="161">
        <f t="shared" si="31"/>
        <v>10645.338</v>
      </c>
      <c r="J736" s="162">
        <f t="shared" si="8"/>
        <v>10695.90017</v>
      </c>
      <c r="K736" s="163">
        <f t="shared" si="32"/>
        <v>0.000894135725</v>
      </c>
      <c r="L736" s="163">
        <f t="shared" si="24"/>
        <v>0.0005743168902</v>
      </c>
      <c r="M736" s="163">
        <f t="shared" si="25"/>
        <v>0.01097230878</v>
      </c>
      <c r="N736" s="163">
        <f t="shared" si="26"/>
        <v>-0.0003918122805</v>
      </c>
      <c r="O736" s="177"/>
      <c r="P736" s="177">
        <f t="shared" si="33"/>
        <v>0</v>
      </c>
      <c r="U736" s="173"/>
    </row>
    <row r="737">
      <c r="A737" s="176">
        <v>45363.0</v>
      </c>
      <c r="B737" s="171">
        <v>10647.04430963872</v>
      </c>
      <c r="C737" s="160">
        <f t="shared" si="17"/>
        <v>10266.27388</v>
      </c>
      <c r="D737" s="160">
        <f t="shared" si="18"/>
        <v>380.7704334</v>
      </c>
      <c r="E737" s="161">
        <f t="shared" si="19"/>
        <v>10655.65887</v>
      </c>
      <c r="F737" s="161">
        <f t="shared" si="4"/>
        <v>10520.94089</v>
      </c>
      <c r="G737" s="175"/>
      <c r="H737" s="161">
        <f>(SUM(B737:B751))/15</f>
        <v>10605.58046</v>
      </c>
      <c r="I737" s="161">
        <f t="shared" si="31"/>
        <v>10639.72276</v>
      </c>
      <c r="J737" s="162">
        <f t="shared" si="8"/>
        <v>10690.22003</v>
      </c>
      <c r="K737" s="163">
        <f t="shared" si="32"/>
        <v>-0.000256654996</v>
      </c>
      <c r="L737" s="163">
        <f t="shared" si="24"/>
        <v>0.0005906009456</v>
      </c>
      <c r="M737" s="163">
        <f t="shared" si="25"/>
        <v>0.01128341522</v>
      </c>
      <c r="N737" s="163">
        <f t="shared" si="26"/>
        <v>-0.0004143384946</v>
      </c>
      <c r="O737" s="177"/>
      <c r="P737" s="177">
        <f t="shared" si="33"/>
        <v>-0.0002566220629</v>
      </c>
      <c r="U737" s="173"/>
    </row>
    <row r="738">
      <c r="A738" s="176">
        <v>45362.0</v>
      </c>
      <c r="B738" s="171">
        <v>10649.777277453077</v>
      </c>
      <c r="C738" s="160">
        <f t="shared" si="17"/>
        <v>10261.99556</v>
      </c>
      <c r="D738" s="160">
        <f t="shared" si="18"/>
        <v>387.7817207</v>
      </c>
      <c r="E738" s="161">
        <f t="shared" si="19"/>
        <v>10650.96612</v>
      </c>
      <c r="F738" s="174"/>
      <c r="G738" s="178"/>
      <c r="H738" s="179"/>
      <c r="I738" s="161">
        <f t="shared" si="31"/>
        <v>10636.06199</v>
      </c>
      <c r="J738" s="180"/>
      <c r="K738" s="163">
        <f t="shared" si="32"/>
        <v>0.0006358100444</v>
      </c>
      <c r="L738" s="163">
        <f t="shared" si="24"/>
        <v>0.0005592023945</v>
      </c>
      <c r="M738" s="163">
        <f t="shared" si="25"/>
        <v>0.01068354675</v>
      </c>
      <c r="N738" s="163">
        <f t="shared" si="26"/>
        <v>-0.0003411143999</v>
      </c>
      <c r="O738" s="177"/>
      <c r="P738" s="177">
        <f t="shared" si="33"/>
        <v>0</v>
      </c>
      <c r="U738" s="173"/>
    </row>
    <row r="739">
      <c r="A739" s="176">
        <v>45361.0</v>
      </c>
      <c r="B739" s="171">
        <v>10643.008194243354</v>
      </c>
      <c r="C739" s="160">
        <f t="shared" si="17"/>
        <v>10257.58895</v>
      </c>
      <c r="D739" s="160">
        <f t="shared" si="18"/>
        <v>385.419248</v>
      </c>
      <c r="E739" s="161">
        <f t="shared" si="19"/>
        <v>10643.89386</v>
      </c>
      <c r="F739" s="175"/>
      <c r="G739" s="181"/>
      <c r="H739" s="182"/>
      <c r="I739" s="161">
        <f t="shared" si="31"/>
        <v>10629.20435</v>
      </c>
      <c r="J739" s="183"/>
      <c r="K739" s="163">
        <f t="shared" si="32"/>
        <v>0.0006960050163</v>
      </c>
      <c r="L739" s="163">
        <f t="shared" si="24"/>
        <v>0.000584014118</v>
      </c>
      <c r="M739" s="163">
        <f t="shared" si="25"/>
        <v>0.01115757406</v>
      </c>
      <c r="N739" s="163">
        <f t="shared" si="26"/>
        <v>-0.0003716198064</v>
      </c>
      <c r="O739" s="177"/>
      <c r="P739" s="177">
        <f t="shared" si="33"/>
        <v>0</v>
      </c>
      <c r="U739" s="173"/>
    </row>
    <row r="740">
      <c r="A740" s="176">
        <v>45360.0</v>
      </c>
      <c r="B740" s="171">
        <v>10635.60318441308</v>
      </c>
      <c r="C740" s="160">
        <f t="shared" si="17"/>
        <v>10253.15884</v>
      </c>
      <c r="D740" s="160">
        <f t="shared" si="18"/>
        <v>382.4443444</v>
      </c>
      <c r="E740" s="161">
        <f t="shared" si="19"/>
        <v>10636.7053</v>
      </c>
      <c r="F740" s="175"/>
      <c r="G740" s="181"/>
      <c r="H740" s="182"/>
      <c r="I740" s="161">
        <f t="shared" si="31"/>
        <v>10622.30242</v>
      </c>
      <c r="J740" s="183"/>
      <c r="K740" s="163">
        <f t="shared" si="32"/>
        <v>0.0007898527165</v>
      </c>
      <c r="L740" s="163">
        <f t="shared" si="24"/>
        <v>0.0006124230928</v>
      </c>
      <c r="M740" s="163">
        <f t="shared" si="25"/>
        <v>0.01170032676</v>
      </c>
      <c r="N740" s="163">
        <f t="shared" si="26"/>
        <v>-0.0004021252129</v>
      </c>
      <c r="O740" s="177"/>
      <c r="P740" s="177">
        <f t="shared" si="33"/>
        <v>0</v>
      </c>
      <c r="U740" s="173"/>
    </row>
    <row r="741">
      <c r="A741" s="169">
        <v>45359.0</v>
      </c>
      <c r="B741" s="171">
        <v>10627.205941075094</v>
      </c>
      <c r="C741" s="160">
        <f t="shared" si="17"/>
        <v>10248.71181</v>
      </c>
      <c r="D741" s="160">
        <f t="shared" si="18"/>
        <v>378.4941284</v>
      </c>
      <c r="E741" s="161">
        <f t="shared" si="19"/>
        <v>10629.58203</v>
      </c>
      <c r="F741" s="175"/>
      <c r="G741" s="181"/>
      <c r="H741" s="182"/>
      <c r="I741" s="161">
        <f t="shared" si="31"/>
        <v>10615.65205</v>
      </c>
      <c r="J741" s="183"/>
      <c r="K741" s="163">
        <f t="shared" si="32"/>
        <v>-0.00009707114794</v>
      </c>
      <c r="L741" s="163">
        <f t="shared" si="24"/>
        <v>0.0006439566853</v>
      </c>
      <c r="M741" s="163">
        <f t="shared" si="25"/>
        <v>0.0123027752</v>
      </c>
      <c r="N741" s="163">
        <f t="shared" si="26"/>
        <v>-0.0004326306194</v>
      </c>
      <c r="O741" s="177"/>
      <c r="P741" s="177">
        <f t="shared" si="33"/>
        <v>-0.00009706643669</v>
      </c>
      <c r="U741" s="173"/>
    </row>
    <row r="742">
      <c r="A742" s="169">
        <v>45358.0</v>
      </c>
      <c r="B742" s="171">
        <v>10628.237586225901</v>
      </c>
      <c r="C742" s="160">
        <f t="shared" si="17"/>
        <v>10244.25894</v>
      </c>
      <c r="D742" s="160">
        <f t="shared" si="18"/>
        <v>383.9786456</v>
      </c>
      <c r="E742" s="161">
        <f t="shared" si="19"/>
        <v>10622.94831</v>
      </c>
      <c r="F742" s="175"/>
      <c r="G742" s="184"/>
      <c r="H742" s="182"/>
      <c r="I742" s="161">
        <f t="shared" si="31"/>
        <v>10609.8751</v>
      </c>
      <c r="J742" s="183"/>
      <c r="K742" s="163">
        <f t="shared" si="32"/>
        <v>0.0005858663852</v>
      </c>
      <c r="L742" s="163">
        <f t="shared" si="24"/>
        <v>0.0006241619735</v>
      </c>
      <c r="M742" s="163">
        <f t="shared" si="25"/>
        <v>0.01192459776</v>
      </c>
      <c r="N742" s="163">
        <f t="shared" si="26"/>
        <v>-0.0001899610126</v>
      </c>
      <c r="O742" s="177"/>
      <c r="P742" s="177">
        <f t="shared" si="33"/>
        <v>0</v>
      </c>
      <c r="U742" s="173"/>
    </row>
    <row r="743">
      <c r="A743" s="176">
        <v>45357.0</v>
      </c>
      <c r="B743" s="171">
        <v>10622.012682749419</v>
      </c>
      <c r="C743" s="160">
        <f t="shared" si="17"/>
        <v>10239.68777</v>
      </c>
      <c r="D743" s="160">
        <f t="shared" si="18"/>
        <v>382.3249165</v>
      </c>
      <c r="E743" s="161">
        <f t="shared" si="19"/>
        <v>10612.85497</v>
      </c>
      <c r="F743" s="175"/>
      <c r="G743" s="184"/>
      <c r="H743" s="182"/>
      <c r="I743" s="161">
        <f t="shared" si="31"/>
        <v>10600.69385</v>
      </c>
      <c r="J743" s="183"/>
      <c r="K743" s="163">
        <f t="shared" si="32"/>
        <v>0.001241422889</v>
      </c>
      <c r="L743" s="163">
        <f t="shared" si="24"/>
        <v>0.0006647540597</v>
      </c>
      <c r="M743" s="163">
        <f t="shared" si="25"/>
        <v>0.01270010848</v>
      </c>
      <c r="N743" s="163">
        <f t="shared" si="26"/>
        <v>-0.0002350732566</v>
      </c>
      <c r="O743" s="177"/>
      <c r="P743" s="177">
        <f t="shared" si="33"/>
        <v>0</v>
      </c>
      <c r="U743" s="173"/>
    </row>
    <row r="744">
      <c r="A744" s="169">
        <v>45356.0</v>
      </c>
      <c r="B744" s="171">
        <v>10608.834454642245</v>
      </c>
      <c r="C744" s="160">
        <f t="shared" si="17"/>
        <v>10235.08144</v>
      </c>
      <c r="D744" s="160">
        <f t="shared" si="18"/>
        <v>373.7530127</v>
      </c>
      <c r="E744" s="161">
        <f t="shared" si="19"/>
        <v>10600.97432</v>
      </c>
      <c r="F744" s="175"/>
      <c r="G744" s="184"/>
      <c r="H744" s="182"/>
      <c r="I744" s="161">
        <f t="shared" si="31"/>
        <v>10590.03444</v>
      </c>
      <c r="J744" s="183"/>
      <c r="K744" s="163">
        <f t="shared" si="32"/>
        <v>0.001436494781</v>
      </c>
      <c r="L744" s="163">
        <f t="shared" si="24"/>
        <v>0.0006849493344</v>
      </c>
      <c r="M744" s="163">
        <f t="shared" si="25"/>
        <v>0.01308593866</v>
      </c>
      <c r="N744" s="163">
        <f t="shared" si="26"/>
        <v>-0.0003025169739</v>
      </c>
      <c r="O744" s="177"/>
      <c r="P744" s="177">
        <f t="shared" si="33"/>
        <v>0</v>
      </c>
      <c r="U744" s="173"/>
    </row>
    <row r="745">
      <c r="A745" s="176">
        <v>45355.0</v>
      </c>
      <c r="B745" s="171">
        <v>10593.60585983458</v>
      </c>
      <c r="C745" s="160">
        <f t="shared" si="17"/>
        <v>10230.52348</v>
      </c>
      <c r="D745" s="160">
        <f t="shared" si="18"/>
        <v>363.0823814</v>
      </c>
      <c r="E745" s="161">
        <f t="shared" si="19"/>
        <v>10590.16222</v>
      </c>
      <c r="F745" s="175"/>
      <c r="G745" s="184"/>
      <c r="H745" s="182"/>
      <c r="I745" s="161">
        <f t="shared" si="31"/>
        <v>10580.63443</v>
      </c>
      <c r="J745" s="183"/>
      <c r="K745" s="163">
        <f t="shared" si="32"/>
        <v>0.0007977074667</v>
      </c>
      <c r="L745" s="163">
        <f t="shared" si="24"/>
        <v>0.0006546264743</v>
      </c>
      <c r="M745" s="163">
        <f t="shared" si="25"/>
        <v>0.01250662123</v>
      </c>
      <c r="N745" s="163">
        <f t="shared" si="26"/>
        <v>-0.0003699606912</v>
      </c>
      <c r="O745" s="177"/>
      <c r="P745" s="177">
        <f t="shared" si="33"/>
        <v>0</v>
      </c>
      <c r="U745" s="173"/>
    </row>
    <row r="746">
      <c r="A746" s="176">
        <v>45354.0</v>
      </c>
      <c r="B746" s="171">
        <v>10585.158630998036</v>
      </c>
      <c r="C746" s="160">
        <f t="shared" si="17"/>
        <v>10226.04098</v>
      </c>
      <c r="D746" s="160">
        <f t="shared" si="18"/>
        <v>359.1176511</v>
      </c>
      <c r="E746" s="161">
        <f t="shared" si="19"/>
        <v>10582.66873</v>
      </c>
      <c r="F746" s="175"/>
      <c r="G746" s="184"/>
      <c r="H746" s="182"/>
      <c r="I746" s="161">
        <f t="shared" si="31"/>
        <v>10574.14871</v>
      </c>
      <c r="J746" s="183"/>
      <c r="K746" s="163">
        <f t="shared" si="32"/>
        <v>0.0006973867787</v>
      </c>
      <c r="L746" s="163">
        <f t="shared" si="24"/>
        <v>0.0007193010721</v>
      </c>
      <c r="M746" s="163">
        <f t="shared" si="25"/>
        <v>0.01374222769</v>
      </c>
      <c r="N746" s="163">
        <f t="shared" si="26"/>
        <v>-0.0004374044085</v>
      </c>
      <c r="O746" s="177"/>
      <c r="P746" s="177">
        <f t="shared" si="33"/>
        <v>-0.0003055854</v>
      </c>
      <c r="U746" s="173"/>
    </row>
    <row r="747">
      <c r="A747" s="176">
        <v>45353.0</v>
      </c>
      <c r="B747" s="171">
        <v>10577.779254756766</v>
      </c>
      <c r="C747" s="160">
        <f t="shared" si="17"/>
        <v>10221.55201</v>
      </c>
      <c r="D747" s="160">
        <f t="shared" si="18"/>
        <v>356.2272455</v>
      </c>
      <c r="E747" s="161">
        <f t="shared" si="19"/>
        <v>10576.16781</v>
      </c>
      <c r="F747" s="175"/>
      <c r="G747" s="184"/>
      <c r="H747" s="182"/>
      <c r="I747" s="161">
        <f>(B747+B748+B749+B750+B751)/5</f>
        <v>10568.64376</v>
      </c>
      <c r="J747" s="183"/>
      <c r="K747" s="163">
        <f t="shared" si="32"/>
        <v>0.0006416950685</v>
      </c>
      <c r="L747" s="163">
        <f t="shared" si="24"/>
        <v>0.0008208987419</v>
      </c>
      <c r="M747" s="163">
        <f t="shared" si="25"/>
        <v>0.01568324844</v>
      </c>
      <c r="N747" s="163">
        <f t="shared" si="26"/>
        <v>-0.0005048481259</v>
      </c>
      <c r="O747" s="177"/>
      <c r="P747" s="177">
        <f t="shared" si="33"/>
        <v>-0.001002516024</v>
      </c>
      <c r="U747" s="173"/>
    </row>
    <row r="748">
      <c r="A748" s="176">
        <v>45352.0</v>
      </c>
      <c r="B748" s="171">
        <v>10570.993723327432</v>
      </c>
      <c r="C748" s="160">
        <f t="shared" si="17"/>
        <v>10217.0428</v>
      </c>
      <c r="D748" s="160">
        <f t="shared" si="18"/>
        <v>353.9509197</v>
      </c>
      <c r="E748" s="161">
        <f t="shared" si="19"/>
        <v>10570.79434</v>
      </c>
      <c r="F748" s="175"/>
      <c r="G748" s="184"/>
      <c r="H748" s="185"/>
      <c r="I748" s="186"/>
      <c r="J748" s="187"/>
      <c r="K748" s="163">
        <f t="shared" si="32"/>
        <v>0.0006464713661</v>
      </c>
      <c r="L748" s="163">
        <f t="shared" si="24"/>
        <v>0.0009934607251</v>
      </c>
      <c r="M748" s="163">
        <f t="shared" si="25"/>
        <v>0.0189800405</v>
      </c>
      <c r="N748" s="163">
        <f t="shared" si="26"/>
        <v>-0.0005718142134</v>
      </c>
      <c r="O748" s="177"/>
      <c r="P748" s="177">
        <f t="shared" si="33"/>
        <v>-0.001643362147</v>
      </c>
      <c r="U748" s="173"/>
    </row>
    <row r="749">
      <c r="A749" s="176">
        <v>45351.0</v>
      </c>
      <c r="B749" s="171">
        <v>10564.162087040098</v>
      </c>
      <c r="C749" s="160">
        <f t="shared" si="17"/>
        <v>10212.50497</v>
      </c>
      <c r="D749" s="160">
        <f t="shared" si="18"/>
        <v>351.6571158</v>
      </c>
      <c r="E749" s="161">
        <f t="shared" si="19"/>
        <v>10567.5722</v>
      </c>
      <c r="F749" s="175"/>
      <c r="G749" s="184"/>
      <c r="H749" s="185"/>
      <c r="I749" s="188"/>
      <c r="J749" s="187"/>
      <c r="K749" s="163">
        <f t="shared" si="32"/>
        <v>-0.0007071792778</v>
      </c>
      <c r="L749" s="163">
        <f t="shared" si="24"/>
        <v>0.001369265912</v>
      </c>
      <c r="M749" s="163">
        <f t="shared" si="25"/>
        <v>0.02615978852</v>
      </c>
      <c r="N749" s="163">
        <f t="shared" si="26"/>
        <v>-0.0006103575566</v>
      </c>
      <c r="O749" s="177"/>
      <c r="P749" s="177">
        <f t="shared" si="33"/>
        <v>-0.002288562552</v>
      </c>
      <c r="U749" s="173"/>
    </row>
    <row r="750">
      <c r="A750" s="169">
        <v>45350.0</v>
      </c>
      <c r="B750" s="171">
        <v>10571.635485760225</v>
      </c>
      <c r="C750" s="160">
        <f t="shared" si="17"/>
        <v>10207.938</v>
      </c>
      <c r="D750" s="160">
        <f t="shared" si="18"/>
        <v>363.69749</v>
      </c>
      <c r="E750" s="161">
        <f t="shared" si="19"/>
        <v>10571.63549</v>
      </c>
      <c r="F750" s="175"/>
      <c r="G750" s="184"/>
      <c r="H750" s="185"/>
      <c r="I750" s="188"/>
      <c r="J750" s="187"/>
      <c r="K750" s="163">
        <f t="shared" si="32"/>
        <v>0.001229255145</v>
      </c>
      <c r="L750" s="163" t="str">
        <f>SQRT((1/(COUNT($K$750:K750)-1)))</f>
        <v>#DIV/0!</v>
      </c>
      <c r="M750" s="163" t="str">
        <f t="shared" si="25"/>
        <v>#DIV/0!</v>
      </c>
      <c r="N750" s="163">
        <f t="shared" si="26"/>
        <v>0.001229255145</v>
      </c>
      <c r="O750" s="177"/>
      <c r="P750" s="177">
        <f t="shared" si="33"/>
        <v>-0.001582752161</v>
      </c>
      <c r="U750" s="173"/>
    </row>
    <row r="751">
      <c r="A751" s="169">
        <v>45349.0</v>
      </c>
      <c r="B751" s="189">
        <v>10558.648232403693</v>
      </c>
      <c r="C751" s="160">
        <f t="shared" si="17"/>
        <v>10203.1525</v>
      </c>
      <c r="D751" s="160">
        <f t="shared" si="18"/>
        <v>355.4957299</v>
      </c>
      <c r="E751" s="161" t="str">
        <f t="shared" si="19"/>
        <v>#N/A</v>
      </c>
      <c r="F751" s="175"/>
      <c r="G751" s="190"/>
      <c r="H751" s="185"/>
      <c r="I751" s="188"/>
      <c r="J751" s="187"/>
      <c r="K751" s="163">
        <f t="shared" si="32"/>
        <v>-0.002813261182</v>
      </c>
      <c r="L751" s="191"/>
      <c r="M751" s="163">
        <f>AVERAGE($K$750:K751)</f>
        <v>-0.0007920030181</v>
      </c>
      <c r="N751" s="160"/>
      <c r="O751" s="192"/>
      <c r="P751" s="192">
        <f t="shared" si="33"/>
        <v>-0.002809307671</v>
      </c>
      <c r="U751" s="173"/>
    </row>
    <row r="752">
      <c r="A752" s="169">
        <v>45348.0</v>
      </c>
      <c r="B752" s="193">
        <v>10588.394289701992</v>
      </c>
      <c r="C752" s="160">
        <f t="shared" si="17"/>
        <v>10198.41256</v>
      </c>
      <c r="D752" s="194"/>
      <c r="E752" s="194"/>
      <c r="F752" s="194"/>
      <c r="G752" s="194"/>
      <c r="H752" s="194"/>
      <c r="I752" s="194"/>
      <c r="J752" s="195"/>
      <c r="K752" s="163">
        <f t="shared" si="32"/>
        <v>0.002553011899</v>
      </c>
      <c r="L752" s="194"/>
      <c r="M752" s="194"/>
      <c r="N752" s="194"/>
      <c r="O752" s="195"/>
      <c r="P752" s="195">
        <f t="shared" si="33"/>
        <v>0</v>
      </c>
      <c r="U752" s="173"/>
    </row>
    <row r="753">
      <c r="A753" s="169">
        <v>45347.0</v>
      </c>
      <c r="B753" s="193">
        <v>10561.396470634683</v>
      </c>
      <c r="C753" s="160">
        <f t="shared" si="17"/>
        <v>10193.14254</v>
      </c>
      <c r="D753" s="194"/>
      <c r="E753" s="194"/>
      <c r="F753" s="194"/>
      <c r="G753" s="194"/>
      <c r="H753" s="194"/>
      <c r="I753" s="194"/>
      <c r="J753" s="195"/>
      <c r="K753" s="163">
        <f t="shared" si="32"/>
        <v>0.002559546455</v>
      </c>
      <c r="L753" s="194"/>
      <c r="M753" s="194"/>
      <c r="N753" s="194"/>
      <c r="O753" s="195"/>
      <c r="P753" s="195">
        <f t="shared" si="33"/>
        <v>0</v>
      </c>
      <c r="U753" s="173"/>
    </row>
    <row r="754">
      <c r="A754" s="176">
        <v>45346.0</v>
      </c>
      <c r="B754" s="193">
        <v>10534.398651567375</v>
      </c>
      <c r="C754" s="160">
        <f t="shared" si="17"/>
        <v>10188.09796</v>
      </c>
      <c r="D754" s="194"/>
      <c r="E754" s="194"/>
      <c r="F754" s="194"/>
      <c r="G754" s="194"/>
      <c r="H754" s="194"/>
      <c r="I754" s="194"/>
      <c r="J754" s="195"/>
      <c r="K754" s="163">
        <f t="shared" si="32"/>
        <v>0.002632332139</v>
      </c>
      <c r="L754" s="194"/>
      <c r="M754" s="194"/>
      <c r="N754" s="194"/>
      <c r="O754" s="195"/>
      <c r="P754" s="195">
        <f t="shared" si="33"/>
        <v>0</v>
      </c>
      <c r="U754" s="173"/>
    </row>
    <row r="755">
      <c r="A755" s="169">
        <v>45345.0</v>
      </c>
      <c r="B755" s="193">
        <v>10506.70508075885</v>
      </c>
      <c r="C755" s="160">
        <f t="shared" si="17"/>
        <v>10183.28823</v>
      </c>
      <c r="D755" s="194"/>
      <c r="E755" s="194"/>
      <c r="F755" s="194"/>
      <c r="G755" s="194"/>
      <c r="H755" s="194"/>
      <c r="I755" s="194"/>
      <c r="J755" s="195"/>
      <c r="K755" s="163">
        <f t="shared" si="32"/>
        <v>0.002585544407</v>
      </c>
      <c r="L755" s="194"/>
      <c r="M755" s="194"/>
      <c r="N755" s="194"/>
      <c r="O755" s="195"/>
      <c r="P755" s="195">
        <f t="shared" si="33"/>
        <v>0</v>
      </c>
      <c r="U755" s="173"/>
    </row>
    <row r="756">
      <c r="A756" s="176">
        <v>45344.0</v>
      </c>
      <c r="B756" s="193">
        <v>10479.574616826469</v>
      </c>
      <c r="C756" s="160">
        <f t="shared" si="17"/>
        <v>10178.73306</v>
      </c>
      <c r="D756" s="194"/>
      <c r="E756" s="194"/>
      <c r="F756" s="194"/>
      <c r="G756" s="194"/>
      <c r="H756" s="194"/>
      <c r="I756" s="194"/>
      <c r="J756" s="195"/>
      <c r="K756" s="163">
        <f t="shared" si="32"/>
        <v>0.002592749881</v>
      </c>
      <c r="L756" s="194"/>
      <c r="M756" s="194"/>
      <c r="N756" s="194"/>
      <c r="O756" s="195"/>
      <c r="P756" s="195">
        <f t="shared" si="33"/>
        <v>0</v>
      </c>
      <c r="U756" s="173"/>
    </row>
    <row r="757">
      <c r="A757" s="176">
        <v>45343.0</v>
      </c>
      <c r="B757" s="193">
        <v>10452.438894253633</v>
      </c>
      <c r="C757" s="160">
        <f t="shared" si="17"/>
        <v>10174.43533</v>
      </c>
      <c r="D757" s="194"/>
      <c r="E757" s="194"/>
      <c r="F757" s="194"/>
      <c r="G757" s="194"/>
      <c r="H757" s="194"/>
      <c r="I757" s="194"/>
      <c r="J757" s="195"/>
      <c r="K757" s="163">
        <f t="shared" si="32"/>
        <v>0.002616686905</v>
      </c>
      <c r="L757" s="194"/>
      <c r="M757" s="194"/>
      <c r="N757" s="194"/>
      <c r="O757" s="195"/>
      <c r="P757" s="195">
        <f t="shared" si="33"/>
        <v>0</v>
      </c>
      <c r="U757" s="173"/>
    </row>
    <row r="758">
      <c r="A758" s="176">
        <v>45342.0</v>
      </c>
      <c r="B758" s="193">
        <v>10425.123887266062</v>
      </c>
      <c r="C758" s="160">
        <f t="shared" si="17"/>
        <v>10170.40629</v>
      </c>
      <c r="D758" s="194"/>
      <c r="E758" s="194"/>
      <c r="F758" s="194"/>
      <c r="G758" s="194"/>
      <c r="H758" s="194"/>
      <c r="I758" s="194"/>
      <c r="J758" s="195"/>
      <c r="K758" s="163">
        <f t="shared" si="32"/>
        <v>0.002598476654</v>
      </c>
      <c r="L758" s="194"/>
      <c r="M758" s="194"/>
      <c r="N758" s="194"/>
      <c r="O758" s="195"/>
      <c r="P758" s="195">
        <f t="shared" si="33"/>
        <v>0</v>
      </c>
      <c r="U758" s="173"/>
    </row>
    <row r="759">
      <c r="A759" s="176">
        <v>45341.0</v>
      </c>
      <c r="B759" s="193">
        <v>10398.069611404779</v>
      </c>
      <c r="C759" s="160">
        <f t="shared" si="17"/>
        <v>10166.66044</v>
      </c>
      <c r="D759" s="194"/>
      <c r="E759" s="194"/>
      <c r="F759" s="194"/>
      <c r="G759" s="194"/>
      <c r="H759" s="194"/>
      <c r="I759" s="194"/>
      <c r="J759" s="195"/>
      <c r="K759" s="163">
        <f t="shared" si="32"/>
        <v>0.002602683322</v>
      </c>
      <c r="L759" s="194"/>
      <c r="M759" s="194"/>
      <c r="N759" s="194"/>
      <c r="O759" s="195"/>
      <c r="P759" s="195">
        <f t="shared" si="33"/>
        <v>0</v>
      </c>
      <c r="U759" s="173"/>
    </row>
    <row r="760">
      <c r="A760" s="176">
        <v>45340.0</v>
      </c>
      <c r="B760" s="193">
        <v>10371.041916573206</v>
      </c>
      <c r="C760" s="160">
        <f t="shared" si="17"/>
        <v>10163.20657</v>
      </c>
      <c r="D760" s="194"/>
      <c r="E760" s="194"/>
      <c r="F760" s="194"/>
      <c r="G760" s="194"/>
      <c r="H760" s="194"/>
      <c r="I760" s="194"/>
      <c r="J760" s="195"/>
      <c r="K760" s="163">
        <f t="shared" si="32"/>
        <v>0.002681636699</v>
      </c>
      <c r="L760" s="194"/>
      <c r="M760" s="194"/>
      <c r="N760" s="194"/>
      <c r="O760" s="195"/>
      <c r="P760" s="195">
        <f t="shared" si="33"/>
        <v>0</v>
      </c>
      <c r="U760" s="173"/>
    </row>
    <row r="761">
      <c r="A761" s="169">
        <v>45339.0</v>
      </c>
      <c r="B761" s="193">
        <v>10343.26780663914</v>
      </c>
      <c r="C761" s="160">
        <f t="shared" si="17"/>
        <v>10160.05755</v>
      </c>
      <c r="D761" s="194"/>
      <c r="E761" s="194"/>
      <c r="F761" s="194"/>
      <c r="G761" s="194"/>
      <c r="H761" s="194"/>
      <c r="I761" s="194"/>
      <c r="J761" s="195"/>
      <c r="K761" s="163">
        <f t="shared" si="32"/>
        <v>0.002626655626</v>
      </c>
      <c r="L761" s="194"/>
      <c r="M761" s="194"/>
      <c r="N761" s="194"/>
      <c r="O761" s="195"/>
      <c r="P761" s="195">
        <f t="shared" si="33"/>
        <v>0</v>
      </c>
      <c r="U761" s="173"/>
    </row>
    <row r="762">
      <c r="A762" s="169">
        <v>45338.0</v>
      </c>
      <c r="B762" s="193">
        <v>10316.135253597058</v>
      </c>
      <c r="C762" s="160">
        <f t="shared" si="17"/>
        <v>10157.23893</v>
      </c>
      <c r="D762" s="194"/>
      <c r="E762" s="194"/>
      <c r="F762" s="194"/>
      <c r="G762" s="194"/>
      <c r="H762" s="194"/>
      <c r="I762" s="194"/>
      <c r="J762" s="195"/>
      <c r="K762" s="163">
        <f t="shared" si="32"/>
        <v>0.002665905136</v>
      </c>
      <c r="L762" s="194"/>
      <c r="M762" s="194"/>
      <c r="N762" s="194"/>
      <c r="O762" s="195"/>
      <c r="P762" s="195">
        <f t="shared" si="33"/>
        <v>0</v>
      </c>
      <c r="U762" s="173"/>
    </row>
    <row r="763">
      <c r="A763" s="169">
        <v>45337.0</v>
      </c>
      <c r="B763" s="196">
        <v>10288.67004173061</v>
      </c>
      <c r="C763" s="160">
        <f t="shared" si="17"/>
        <v>10154.75618</v>
      </c>
      <c r="D763" s="194"/>
      <c r="E763" s="194"/>
      <c r="F763" s="194"/>
      <c r="G763" s="194"/>
      <c r="H763" s="194"/>
      <c r="I763" s="194"/>
      <c r="J763" s="195"/>
      <c r="K763" s="163">
        <f t="shared" si="32"/>
        <v>0.0009166399753</v>
      </c>
      <c r="L763" s="194"/>
      <c r="M763" s="194"/>
      <c r="N763" s="194"/>
      <c r="O763" s="195"/>
      <c r="P763" s="195">
        <f t="shared" si="33"/>
        <v>0</v>
      </c>
      <c r="U763" s="173"/>
    </row>
    <row r="764">
      <c r="A764" s="169">
        <v>45336.0</v>
      </c>
      <c r="B764" s="193">
        <v>10279.243356575449</v>
      </c>
      <c r="C764" s="160">
        <f t="shared" si="17"/>
        <v>10152.63056</v>
      </c>
      <c r="D764" s="194"/>
      <c r="E764" s="194"/>
      <c r="F764" s="194"/>
      <c r="G764" s="194"/>
      <c r="H764" s="194"/>
      <c r="I764" s="194"/>
      <c r="J764" s="195"/>
      <c r="K764" s="163">
        <f t="shared" si="32"/>
        <v>0.0003623850011</v>
      </c>
      <c r="L764" s="194"/>
      <c r="M764" s="194"/>
      <c r="N764" s="194"/>
      <c r="O764" s="195"/>
      <c r="P764" s="195">
        <f t="shared" si="33"/>
        <v>0</v>
      </c>
      <c r="U764" s="173"/>
    </row>
    <row r="765">
      <c r="A765" s="176">
        <v>45335.0</v>
      </c>
      <c r="B765" s="193">
        <v>10275.51898782931</v>
      </c>
      <c r="C765" s="160">
        <f t="shared" si="17"/>
        <v>10150.58842</v>
      </c>
      <c r="D765" s="194"/>
      <c r="E765" s="194"/>
      <c r="F765" s="194"/>
      <c r="G765" s="194"/>
      <c r="H765" s="194"/>
      <c r="I765" s="194"/>
      <c r="J765" s="195"/>
      <c r="K765" s="163">
        <f t="shared" si="32"/>
        <v>0.0003476872918</v>
      </c>
      <c r="L765" s="194"/>
      <c r="M765" s="194"/>
      <c r="N765" s="194"/>
      <c r="O765" s="195"/>
      <c r="P765" s="195">
        <f t="shared" si="33"/>
        <v>0</v>
      </c>
      <c r="U765" s="173"/>
    </row>
    <row r="766">
      <c r="A766" s="169">
        <v>45334.0</v>
      </c>
      <c r="B766" s="193">
        <v>10271.946941474538</v>
      </c>
      <c r="C766" s="160">
        <f t="shared" si="17"/>
        <v>10148.54038</v>
      </c>
      <c r="D766" s="194"/>
      <c r="E766" s="194"/>
      <c r="F766" s="194"/>
      <c r="G766" s="194"/>
      <c r="H766" s="194"/>
      <c r="I766" s="194"/>
      <c r="J766" s="195"/>
      <c r="K766" s="163">
        <f t="shared" si="32"/>
        <v>0.0003788826257</v>
      </c>
      <c r="L766" s="194"/>
      <c r="M766" s="194"/>
      <c r="N766" s="194"/>
      <c r="O766" s="195"/>
      <c r="P766" s="195">
        <f t="shared" si="33"/>
        <v>0</v>
      </c>
      <c r="U766" s="173"/>
    </row>
    <row r="767">
      <c r="A767" s="176">
        <v>45333.0</v>
      </c>
      <c r="B767" s="193">
        <v>10268.055816432987</v>
      </c>
      <c r="C767" s="160">
        <f t="shared" si="17"/>
        <v>10146.4836</v>
      </c>
      <c r="D767" s="194"/>
      <c r="E767" s="194"/>
      <c r="F767" s="194"/>
      <c r="G767" s="194"/>
      <c r="H767" s="194"/>
      <c r="I767" s="194"/>
      <c r="J767" s="195"/>
      <c r="K767" s="163">
        <f t="shared" si="32"/>
        <v>0.0004086321143</v>
      </c>
      <c r="L767" s="194"/>
      <c r="M767" s="194"/>
      <c r="N767" s="194"/>
      <c r="O767" s="195"/>
      <c r="P767" s="195">
        <f t="shared" si="33"/>
        <v>0</v>
      </c>
      <c r="U767" s="173"/>
    </row>
    <row r="768">
      <c r="A768" s="176">
        <v>45332.0</v>
      </c>
      <c r="B768" s="193">
        <v>10263.860816239658</v>
      </c>
      <c r="C768" s="160">
        <f t="shared" si="17"/>
        <v>10144.42306</v>
      </c>
      <c r="D768" s="194"/>
      <c r="E768" s="194"/>
      <c r="F768" s="194"/>
      <c r="G768" s="194"/>
      <c r="H768" s="194"/>
      <c r="I768" s="194"/>
      <c r="J768" s="195"/>
      <c r="K768" s="163">
        <f t="shared" si="32"/>
        <v>0.0004103703286</v>
      </c>
      <c r="L768" s="194"/>
      <c r="M768" s="194"/>
      <c r="N768" s="194"/>
      <c r="O768" s="195"/>
      <c r="P768" s="195">
        <f t="shared" si="33"/>
        <v>0</v>
      </c>
      <c r="U768" s="173"/>
    </row>
    <row r="769">
      <c r="A769" s="176">
        <v>45331.0</v>
      </c>
      <c r="B769" s="193">
        <v>10259.649696422013</v>
      </c>
      <c r="C769" s="160">
        <f t="shared" si="17"/>
        <v>10142.36378</v>
      </c>
      <c r="D769" s="194"/>
      <c r="E769" s="194"/>
      <c r="F769" s="194"/>
      <c r="G769" s="194"/>
      <c r="H769" s="194"/>
      <c r="I769" s="194"/>
      <c r="J769" s="195"/>
      <c r="K769" s="163">
        <f t="shared" si="32"/>
        <v>0.0003714341563</v>
      </c>
      <c r="L769" s="194"/>
      <c r="M769" s="194"/>
      <c r="N769" s="194"/>
      <c r="O769" s="195"/>
      <c r="P769" s="195">
        <f t="shared" si="33"/>
        <v>0</v>
      </c>
      <c r="U769" s="173"/>
    </row>
    <row r="770">
      <c r="A770" s="176">
        <v>45330.0</v>
      </c>
      <c r="B770" s="193">
        <v>10255.839619732997</v>
      </c>
      <c r="C770" s="160">
        <f t="shared" si="17"/>
        <v>10140.30614</v>
      </c>
      <c r="D770" s="194"/>
      <c r="E770" s="194"/>
      <c r="F770" s="194"/>
      <c r="G770" s="194"/>
      <c r="H770" s="194"/>
      <c r="I770" s="194"/>
      <c r="J770" s="195"/>
      <c r="K770" s="163">
        <f t="shared" si="32"/>
        <v>0.0003412136304</v>
      </c>
      <c r="L770" s="194"/>
      <c r="M770" s="194"/>
      <c r="N770" s="194"/>
      <c r="O770" s="195"/>
      <c r="P770" s="195">
        <f t="shared" si="33"/>
        <v>0</v>
      </c>
      <c r="U770" s="173"/>
    </row>
    <row r="771">
      <c r="A771" s="176">
        <v>45329.0</v>
      </c>
      <c r="B771" s="193">
        <v>10252.340784422206</v>
      </c>
      <c r="C771" s="160">
        <f t="shared" si="17"/>
        <v>10138.24304</v>
      </c>
      <c r="D771" s="194"/>
      <c r="E771" s="194"/>
      <c r="F771" s="194"/>
      <c r="G771" s="194"/>
      <c r="H771" s="194"/>
      <c r="I771" s="194"/>
      <c r="J771" s="195"/>
      <c r="K771" s="163">
        <f t="shared" si="32"/>
        <v>0.000386577438</v>
      </c>
      <c r="L771" s="194"/>
      <c r="M771" s="194"/>
      <c r="N771" s="194"/>
      <c r="O771" s="195"/>
      <c r="P771" s="195">
        <f t="shared" si="33"/>
        <v>0</v>
      </c>
      <c r="U771" s="173"/>
    </row>
    <row r="772">
      <c r="A772" s="169">
        <v>45328.0</v>
      </c>
      <c r="B772" s="193">
        <v>10248.378226754816</v>
      </c>
      <c r="C772" s="160">
        <f t="shared" si="17"/>
        <v>10136.16853</v>
      </c>
      <c r="D772" s="194"/>
      <c r="E772" s="194"/>
      <c r="F772" s="194"/>
      <c r="G772" s="194"/>
      <c r="H772" s="194"/>
      <c r="I772" s="194"/>
      <c r="J772" s="195"/>
      <c r="K772" s="163">
        <f t="shared" si="32"/>
        <v>0.0003762441457</v>
      </c>
      <c r="L772" s="194"/>
      <c r="M772" s="194"/>
      <c r="N772" s="194"/>
      <c r="O772" s="195"/>
      <c r="P772" s="195">
        <f t="shared" si="33"/>
        <v>0</v>
      </c>
      <c r="U772" s="173"/>
    </row>
    <row r="773">
      <c r="A773" s="169">
        <v>45327.0</v>
      </c>
      <c r="B773" s="193">
        <v>10244.523059731511</v>
      </c>
      <c r="C773" s="160">
        <f t="shared" si="17"/>
        <v>10134.09058</v>
      </c>
      <c r="D773" s="194"/>
      <c r="E773" s="194"/>
      <c r="F773" s="194"/>
      <c r="G773" s="194"/>
      <c r="H773" s="194"/>
      <c r="I773" s="194"/>
      <c r="J773" s="195"/>
      <c r="K773" s="163">
        <f t="shared" si="32"/>
        <v>0.0004184314692</v>
      </c>
      <c r="L773" s="194"/>
      <c r="M773" s="194"/>
      <c r="N773" s="194"/>
      <c r="O773" s="195"/>
      <c r="P773" s="195">
        <f t="shared" si="33"/>
        <v>0</v>
      </c>
      <c r="U773" s="173"/>
    </row>
    <row r="774">
      <c r="A774" s="169">
        <v>45326.0</v>
      </c>
      <c r="B774" s="193">
        <v>10240.237325602153</v>
      </c>
      <c r="C774" s="160">
        <f t="shared" si="17"/>
        <v>10132.00695</v>
      </c>
      <c r="D774" s="194"/>
      <c r="E774" s="194"/>
      <c r="F774" s="194"/>
      <c r="G774" s="194"/>
      <c r="H774" s="194"/>
      <c r="I774" s="194"/>
      <c r="J774" s="195"/>
      <c r="K774" s="163">
        <f t="shared" si="32"/>
        <v>0.0004172676722</v>
      </c>
      <c r="L774" s="194"/>
      <c r="M774" s="194"/>
      <c r="N774" s="194"/>
      <c r="O774" s="195"/>
      <c r="P774" s="195">
        <f t="shared" si="33"/>
        <v>0</v>
      </c>
      <c r="U774" s="173"/>
    </row>
    <row r="775">
      <c r="A775" s="169">
        <v>45325.0</v>
      </c>
      <c r="B775" s="193">
        <v>10235.965296962324</v>
      </c>
      <c r="C775" s="160">
        <f t="shared" si="17"/>
        <v>10129.92559</v>
      </c>
      <c r="D775" s="194"/>
      <c r="E775" s="194"/>
      <c r="F775" s="194"/>
      <c r="G775" s="194"/>
      <c r="H775" s="194"/>
      <c r="I775" s="194"/>
      <c r="J775" s="195"/>
      <c r="K775" s="163">
        <f t="shared" si="32"/>
        <v>0.0003471219857</v>
      </c>
      <c r="L775" s="194"/>
      <c r="M775" s="194"/>
      <c r="N775" s="194"/>
      <c r="O775" s="195"/>
      <c r="P775" s="195">
        <f t="shared" si="33"/>
        <v>0</v>
      </c>
      <c r="U775" s="173"/>
    </row>
    <row r="776">
      <c r="A776" s="176">
        <v>45324.0</v>
      </c>
      <c r="B776" s="193">
        <v>10232.412784975591</v>
      </c>
      <c r="C776" s="160">
        <f t="shared" si="17"/>
        <v>10127.84638</v>
      </c>
      <c r="D776" s="194"/>
      <c r="E776" s="194"/>
      <c r="F776" s="194"/>
      <c r="G776" s="194"/>
      <c r="H776" s="194"/>
      <c r="I776" s="194"/>
      <c r="J776" s="195"/>
      <c r="K776" s="163">
        <f t="shared" si="32"/>
        <v>0.0003898012517</v>
      </c>
      <c r="L776" s="194"/>
      <c r="M776" s="194"/>
      <c r="N776" s="194"/>
      <c r="O776" s="195"/>
      <c r="P776" s="195">
        <f t="shared" si="33"/>
        <v>0</v>
      </c>
      <c r="U776" s="173"/>
    </row>
    <row r="777">
      <c r="A777" s="169">
        <v>45323.0</v>
      </c>
      <c r="B777" s="193">
        <v>10228.424954945513</v>
      </c>
      <c r="C777" s="160">
        <f t="shared" si="17"/>
        <v>10125.75505</v>
      </c>
      <c r="D777" s="194"/>
      <c r="E777" s="194"/>
      <c r="F777" s="194"/>
      <c r="G777" s="194"/>
      <c r="H777" s="194"/>
      <c r="I777" s="194"/>
      <c r="J777" s="195"/>
      <c r="K777" s="163">
        <f t="shared" si="32"/>
        <v>0.0003688552697</v>
      </c>
      <c r="L777" s="194"/>
      <c r="M777" s="194"/>
      <c r="N777" s="194"/>
      <c r="O777" s="195"/>
      <c r="P777" s="195">
        <f t="shared" si="33"/>
        <v>0</v>
      </c>
      <c r="U777" s="173"/>
    </row>
    <row r="778">
      <c r="A778" s="176">
        <v>45322.0</v>
      </c>
      <c r="B778" s="193">
        <v>10224.652842225001</v>
      </c>
      <c r="C778" s="160">
        <f t="shared" si="17"/>
        <v>10123.65975</v>
      </c>
      <c r="D778" s="194"/>
      <c r="E778" s="194"/>
      <c r="F778" s="194"/>
      <c r="G778" s="194"/>
      <c r="H778" s="194"/>
      <c r="I778" s="194"/>
      <c r="J778" s="195"/>
      <c r="K778" s="163">
        <f t="shared" si="32"/>
        <v>0.0003658174856</v>
      </c>
      <c r="L778" s="194"/>
      <c r="M778" s="194"/>
      <c r="N778" s="194"/>
      <c r="O778" s="195"/>
      <c r="P778" s="195">
        <f t="shared" si="33"/>
        <v>0</v>
      </c>
      <c r="U778" s="173"/>
    </row>
    <row r="779">
      <c r="A779" s="176">
        <v>45321.0</v>
      </c>
      <c r="B779" s="193">
        <v>10220.913169492043</v>
      </c>
      <c r="C779" s="160">
        <f t="shared" si="17"/>
        <v>10121.55573</v>
      </c>
      <c r="D779" s="194"/>
      <c r="E779" s="194"/>
      <c r="F779" s="194"/>
      <c r="G779" s="194"/>
      <c r="H779" s="194"/>
      <c r="I779" s="194"/>
      <c r="J779" s="195"/>
      <c r="K779" s="163">
        <f t="shared" si="32"/>
        <v>0.0003432757094</v>
      </c>
      <c r="L779" s="194"/>
      <c r="M779" s="194"/>
      <c r="N779" s="194"/>
      <c r="O779" s="195"/>
      <c r="P779" s="195">
        <f t="shared" si="33"/>
        <v>0</v>
      </c>
      <c r="U779" s="173"/>
    </row>
    <row r="780">
      <c r="A780" s="176">
        <v>45320.0</v>
      </c>
      <c r="B780" s="193">
        <v>10217.405180411572</v>
      </c>
      <c r="C780" s="160">
        <f t="shared" si="17"/>
        <v>10119.44174</v>
      </c>
      <c r="D780" s="194"/>
      <c r="E780" s="194"/>
      <c r="F780" s="194"/>
      <c r="G780" s="194"/>
      <c r="H780" s="194"/>
      <c r="I780" s="194"/>
      <c r="J780" s="195"/>
      <c r="K780" s="163">
        <f t="shared" si="32"/>
        <v>0.0003692594755</v>
      </c>
      <c r="L780" s="194"/>
      <c r="M780" s="194"/>
      <c r="N780" s="194"/>
      <c r="O780" s="195"/>
      <c r="P780" s="195">
        <f t="shared" si="33"/>
        <v>0</v>
      </c>
      <c r="U780" s="173"/>
    </row>
    <row r="781">
      <c r="A781" s="176">
        <v>45319.0</v>
      </c>
      <c r="B781" s="193">
        <v>10213.63300323281</v>
      </c>
      <c r="C781" s="160">
        <f t="shared" si="17"/>
        <v>10117.3121</v>
      </c>
      <c r="D781" s="194"/>
      <c r="E781" s="194"/>
      <c r="F781" s="194"/>
      <c r="G781" s="194"/>
      <c r="H781" s="194"/>
      <c r="I781" s="194"/>
      <c r="J781" s="195"/>
      <c r="K781" s="163">
        <f t="shared" si="32"/>
        <v>0.0001562688428</v>
      </c>
      <c r="L781" s="194"/>
      <c r="M781" s="194"/>
      <c r="N781" s="194"/>
      <c r="O781" s="195"/>
      <c r="P781" s="195">
        <f t="shared" si="33"/>
        <v>0</v>
      </c>
      <c r="U781" s="173"/>
    </row>
    <row r="782">
      <c r="A782" s="176">
        <v>45318.0</v>
      </c>
      <c r="B782" s="197">
        <v>10212.037055324707</v>
      </c>
      <c r="C782" s="160">
        <f t="shared" si="17"/>
        <v>10115.17163</v>
      </c>
      <c r="D782" s="194"/>
      <c r="E782" s="194"/>
      <c r="F782" s="194"/>
      <c r="G782" s="194"/>
      <c r="H782" s="194"/>
      <c r="I782" s="194"/>
      <c r="J782" s="195"/>
      <c r="K782" s="163">
        <f t="shared" si="32"/>
        <v>0.0001950819039</v>
      </c>
      <c r="L782" s="194"/>
      <c r="M782" s="194"/>
      <c r="N782" s="194"/>
      <c r="O782" s="195"/>
      <c r="P782" s="195">
        <f t="shared" si="33"/>
        <v>0</v>
      </c>
      <c r="U782" s="173"/>
    </row>
    <row r="783">
      <c r="A783" s="169">
        <v>45317.0</v>
      </c>
      <c r="B783" s="197">
        <v>10210.045066</v>
      </c>
      <c r="C783" s="160">
        <f t="shared" si="17"/>
        <v>10112.97015</v>
      </c>
      <c r="D783" s="194"/>
      <c r="E783" s="194"/>
      <c r="F783" s="194"/>
      <c r="G783" s="194"/>
      <c r="H783" s="194"/>
      <c r="I783" s="194"/>
      <c r="J783" s="195"/>
      <c r="K783" s="163">
        <f t="shared" si="32"/>
        <v>0.0002219473378</v>
      </c>
      <c r="L783" s="194"/>
      <c r="M783" s="194"/>
      <c r="N783" s="194"/>
      <c r="O783" s="195"/>
      <c r="P783" s="195">
        <f t="shared" si="33"/>
        <v>0</v>
      </c>
      <c r="U783" s="173"/>
    </row>
    <row r="784">
      <c r="A784" s="169">
        <v>45316.0</v>
      </c>
      <c r="B784" s="197">
        <v>10207.779225136648</v>
      </c>
      <c r="C784" s="160">
        <f t="shared" si="17"/>
        <v>10110.71259</v>
      </c>
      <c r="D784" s="194"/>
      <c r="E784" s="194"/>
      <c r="F784" s="194"/>
      <c r="G784" s="194"/>
      <c r="H784" s="194"/>
      <c r="I784" s="194"/>
      <c r="J784" s="195"/>
      <c r="K784" s="163">
        <f t="shared" si="32"/>
        <v>0.000434144173</v>
      </c>
      <c r="L784" s="194"/>
      <c r="M784" s="194"/>
      <c r="N784" s="194"/>
      <c r="O784" s="195"/>
      <c r="P784" s="195">
        <f t="shared" si="33"/>
        <v>0</v>
      </c>
      <c r="U784" s="173"/>
    </row>
    <row r="785">
      <c r="A785" s="169">
        <v>45315.0</v>
      </c>
      <c r="B785" s="197">
        <v>10203.348539114177</v>
      </c>
      <c r="C785" s="160">
        <f t="shared" si="17"/>
        <v>10108.40148</v>
      </c>
      <c r="D785" s="194"/>
      <c r="E785" s="194"/>
      <c r="F785" s="194"/>
      <c r="G785" s="194"/>
      <c r="H785" s="194"/>
      <c r="I785" s="194"/>
      <c r="J785" s="195"/>
      <c r="K785" s="163">
        <f t="shared" si="32"/>
        <v>0.0004996627284</v>
      </c>
      <c r="L785" s="194"/>
      <c r="M785" s="194"/>
      <c r="N785" s="194"/>
      <c r="O785" s="195"/>
      <c r="P785" s="195">
        <f t="shared" si="33"/>
        <v>0</v>
      </c>
      <c r="U785" s="173"/>
    </row>
    <row r="786">
      <c r="A786" s="169">
        <v>45314.0</v>
      </c>
      <c r="B786" s="197">
        <v>10198.251579631153</v>
      </c>
      <c r="C786" s="160">
        <f t="shared" si="17"/>
        <v>10106.0857</v>
      </c>
      <c r="D786" s="194"/>
      <c r="E786" s="194"/>
      <c r="F786" s="194"/>
      <c r="G786" s="194"/>
      <c r="H786" s="194"/>
      <c r="I786" s="194"/>
      <c r="J786" s="195"/>
      <c r="K786" s="163">
        <f t="shared" si="32"/>
        <v>0.0005052138473</v>
      </c>
      <c r="L786" s="194"/>
      <c r="M786" s="194"/>
      <c r="N786" s="194"/>
      <c r="O786" s="195"/>
      <c r="P786" s="195">
        <f t="shared" si="33"/>
        <v>0</v>
      </c>
      <c r="U786" s="173"/>
    </row>
    <row r="787">
      <c r="A787" s="176">
        <v>45313.0</v>
      </c>
      <c r="B787" s="197">
        <v>10193.100583002046</v>
      </c>
      <c r="C787" s="160">
        <f t="shared" si="17"/>
        <v>10103.78155</v>
      </c>
      <c r="D787" s="194"/>
      <c r="E787" s="194"/>
      <c r="F787" s="194"/>
      <c r="G787" s="194"/>
      <c r="H787" s="194"/>
      <c r="I787" s="194"/>
      <c r="J787" s="195"/>
      <c r="K787" s="163">
        <f t="shared" si="32"/>
        <v>0</v>
      </c>
      <c r="L787" s="194"/>
      <c r="M787" s="194"/>
      <c r="N787" s="194"/>
      <c r="O787" s="195"/>
      <c r="P787" s="195">
        <f t="shared" si="33"/>
        <v>0</v>
      </c>
      <c r="U787" s="173"/>
    </row>
    <row r="788">
      <c r="A788" s="169">
        <v>45312.0</v>
      </c>
      <c r="B788" s="197">
        <v>10193.100583002046</v>
      </c>
      <c r="C788" s="160">
        <f t="shared" si="17"/>
        <v>10101.49132</v>
      </c>
      <c r="D788" s="194"/>
      <c r="E788" s="194"/>
      <c r="F788" s="194"/>
      <c r="G788" s="194"/>
      <c r="H788" s="194"/>
      <c r="I788" s="194"/>
      <c r="J788" s="195"/>
      <c r="K788" s="163">
        <f t="shared" si="32"/>
        <v>0.0004132443134</v>
      </c>
      <c r="L788" s="194"/>
      <c r="M788" s="194"/>
      <c r="N788" s="194"/>
      <c r="O788" s="195"/>
      <c r="P788" s="195">
        <f t="shared" si="33"/>
        <v>0</v>
      </c>
      <c r="U788" s="173"/>
    </row>
    <row r="789">
      <c r="A789" s="176">
        <v>45311.0</v>
      </c>
      <c r="B789" s="197">
        <v>10188.889212372746</v>
      </c>
      <c r="C789" s="160">
        <f t="shared" si="17"/>
        <v>10099.08055</v>
      </c>
      <c r="D789" s="194"/>
      <c r="E789" s="194"/>
      <c r="F789" s="194"/>
      <c r="G789" s="194"/>
      <c r="H789" s="194"/>
      <c r="I789" s="194"/>
      <c r="J789" s="195"/>
      <c r="K789" s="163">
        <f t="shared" si="32"/>
        <v>0.0004783604739</v>
      </c>
      <c r="L789" s="194"/>
      <c r="M789" s="194"/>
      <c r="N789" s="194"/>
      <c r="O789" s="195"/>
      <c r="P789" s="195">
        <f t="shared" si="33"/>
        <v>0</v>
      </c>
      <c r="U789" s="173"/>
    </row>
    <row r="790">
      <c r="A790" s="169">
        <v>45310.0</v>
      </c>
      <c r="B790" s="197">
        <v>10184.016416069828</v>
      </c>
      <c r="C790" s="160">
        <f t="shared" si="17"/>
        <v>10096.65329</v>
      </c>
      <c r="D790" s="194"/>
      <c r="E790" s="194"/>
      <c r="F790" s="194"/>
      <c r="G790" s="194"/>
      <c r="H790" s="194"/>
      <c r="I790" s="194"/>
      <c r="J790" s="195"/>
      <c r="K790" s="163">
        <f t="shared" si="32"/>
        <v>0.0004199180303</v>
      </c>
      <c r="L790" s="194"/>
      <c r="M790" s="194"/>
      <c r="N790" s="194"/>
      <c r="O790" s="195"/>
      <c r="P790" s="195">
        <f t="shared" si="33"/>
        <v>0</v>
      </c>
      <c r="U790" s="173"/>
    </row>
    <row r="791">
      <c r="A791" s="169">
        <v>45309.0</v>
      </c>
      <c r="B791" s="197">
        <v>10179.740861709655</v>
      </c>
      <c r="C791" s="160">
        <f t="shared" si="17"/>
        <v>10094.22654</v>
      </c>
      <c r="D791" s="194"/>
      <c r="E791" s="194"/>
      <c r="F791" s="194"/>
      <c r="G791" s="194"/>
      <c r="H791" s="194"/>
      <c r="I791" s="194"/>
      <c r="J791" s="195"/>
      <c r="K791" s="163">
        <f t="shared" si="32"/>
        <v>0.0004891961707</v>
      </c>
      <c r="L791" s="194"/>
      <c r="M791" s="194"/>
      <c r="N791" s="194"/>
      <c r="O791" s="195"/>
      <c r="P791" s="195">
        <f t="shared" si="33"/>
        <v>0</v>
      </c>
      <c r="U791" s="173"/>
    </row>
    <row r="792">
      <c r="A792" s="176">
        <v>45308.0</v>
      </c>
      <c r="B792" s="197">
        <v>10174.762189334735</v>
      </c>
      <c r="C792" s="160">
        <f t="shared" si="17"/>
        <v>10091.78327</v>
      </c>
      <c r="D792" s="194"/>
      <c r="E792" s="194"/>
      <c r="F792" s="194"/>
      <c r="G792" s="194"/>
      <c r="H792" s="194"/>
      <c r="I792" s="194"/>
      <c r="J792" s="195"/>
      <c r="K792" s="163">
        <f t="shared" si="32"/>
        <v>0.0004394766935</v>
      </c>
      <c r="L792" s="194"/>
      <c r="M792" s="194"/>
      <c r="N792" s="194"/>
      <c r="O792" s="195"/>
      <c r="P792" s="195">
        <f t="shared" si="33"/>
        <v>0</v>
      </c>
      <c r="U792" s="173"/>
    </row>
    <row r="793">
      <c r="A793" s="169">
        <v>45307.0</v>
      </c>
      <c r="B793" s="197">
        <v>10170.291600921893</v>
      </c>
      <c r="C793" s="160">
        <f t="shared" si="17"/>
        <v>10089.34271</v>
      </c>
      <c r="D793" s="194"/>
      <c r="E793" s="194"/>
      <c r="F793" s="194"/>
      <c r="G793" s="194"/>
      <c r="H793" s="194"/>
      <c r="I793" s="194"/>
      <c r="J793" s="195"/>
      <c r="K793" s="163">
        <f t="shared" si="32"/>
        <v>0.0004550460318</v>
      </c>
      <c r="L793" s="194"/>
      <c r="M793" s="194"/>
      <c r="N793" s="194"/>
      <c r="O793" s="195"/>
      <c r="P793" s="195">
        <f t="shared" si="33"/>
        <v>0</v>
      </c>
      <c r="U793" s="173"/>
    </row>
    <row r="794">
      <c r="A794" s="176">
        <v>45306.0</v>
      </c>
      <c r="B794" s="197">
        <v>10165.664702892174</v>
      </c>
      <c r="C794" s="160">
        <f t="shared" si="17"/>
        <v>10086.88972</v>
      </c>
      <c r="D794" s="194"/>
      <c r="E794" s="194"/>
      <c r="F794" s="194"/>
      <c r="G794" s="194"/>
      <c r="H794" s="194"/>
      <c r="I794" s="194"/>
      <c r="J794" s="195"/>
      <c r="K794" s="163">
        <f t="shared" si="32"/>
        <v>0.0004143378985</v>
      </c>
      <c r="L794" s="194"/>
      <c r="M794" s="194"/>
      <c r="N794" s="194"/>
      <c r="O794" s="195"/>
      <c r="P794" s="195">
        <f t="shared" si="33"/>
        <v>0</v>
      </c>
      <c r="U794" s="173"/>
    </row>
    <row r="795">
      <c r="A795" s="176">
        <v>45305.0</v>
      </c>
      <c r="B795" s="197">
        <v>10161.45355522128</v>
      </c>
      <c r="C795" s="160">
        <f t="shared" si="17"/>
        <v>10084.428</v>
      </c>
      <c r="D795" s="194"/>
      <c r="E795" s="194"/>
      <c r="F795" s="194"/>
      <c r="G795" s="194"/>
      <c r="H795" s="194"/>
      <c r="I795" s="194"/>
      <c r="J795" s="195"/>
      <c r="K795" s="163">
        <f t="shared" si="32"/>
        <v>0.0004183542032</v>
      </c>
      <c r="L795" s="194"/>
      <c r="M795" s="194"/>
      <c r="N795" s="194"/>
      <c r="O795" s="195"/>
      <c r="P795" s="195">
        <f t="shared" si="33"/>
        <v>0</v>
      </c>
      <c r="U795" s="173"/>
    </row>
    <row r="796">
      <c r="A796" s="176">
        <v>45304.0</v>
      </c>
      <c r="B796" s="197">
        <v>10157.203357522212</v>
      </c>
      <c r="C796" s="160">
        <f t="shared" si="17"/>
        <v>10081.9433</v>
      </c>
      <c r="D796" s="194"/>
      <c r="E796" s="194"/>
      <c r="F796" s="194"/>
      <c r="G796" s="194"/>
      <c r="H796" s="194"/>
      <c r="I796" s="194"/>
      <c r="J796" s="195"/>
      <c r="K796" s="163">
        <f t="shared" si="32"/>
        <v>0.0004177784128</v>
      </c>
      <c r="L796" s="194"/>
      <c r="M796" s="194"/>
      <c r="N796" s="194"/>
      <c r="O796" s="195"/>
      <c r="P796" s="195">
        <f t="shared" si="33"/>
        <v>0</v>
      </c>
      <c r="U796" s="173"/>
    </row>
    <row r="797">
      <c r="A797" s="176">
        <v>45303.0</v>
      </c>
      <c r="B797" s="197">
        <v>10152.96078351496</v>
      </c>
      <c r="C797" s="160">
        <f t="shared" si="17"/>
        <v>10079.43463</v>
      </c>
      <c r="D797" s="194"/>
      <c r="E797" s="194"/>
      <c r="F797" s="194"/>
      <c r="G797" s="194"/>
      <c r="H797" s="194"/>
      <c r="I797" s="194"/>
      <c r="J797" s="195"/>
      <c r="K797" s="163">
        <f t="shared" si="32"/>
        <v>0.0004979534988</v>
      </c>
      <c r="L797" s="194"/>
      <c r="M797" s="194"/>
      <c r="N797" s="194"/>
      <c r="O797" s="195"/>
      <c r="P797" s="195">
        <f t="shared" si="33"/>
        <v>0</v>
      </c>
      <c r="U797" s="173"/>
    </row>
    <row r="798">
      <c r="A798" s="176">
        <v>45302.0</v>
      </c>
      <c r="B798" s="197">
        <v>10147.906339713008</v>
      </c>
      <c r="C798" s="160">
        <f t="shared" si="17"/>
        <v>10076.89925</v>
      </c>
      <c r="D798" s="194"/>
      <c r="E798" s="194"/>
      <c r="F798" s="194"/>
      <c r="G798" s="194"/>
      <c r="H798" s="194"/>
      <c r="I798" s="194"/>
      <c r="J798" s="195"/>
      <c r="K798" s="163">
        <f t="shared" si="32"/>
        <v>0.0004182510946</v>
      </c>
      <c r="L798" s="194"/>
      <c r="M798" s="194"/>
      <c r="N798" s="194"/>
      <c r="O798" s="195"/>
      <c r="P798" s="195">
        <f t="shared" si="33"/>
        <v>0</v>
      </c>
      <c r="U798" s="173"/>
    </row>
    <row r="799">
      <c r="A799" s="169">
        <v>45301.0</v>
      </c>
      <c r="B799" s="197">
        <v>10143.662854261673</v>
      </c>
      <c r="C799" s="160">
        <f t="shared" si="17"/>
        <v>10074.36328</v>
      </c>
      <c r="D799" s="194"/>
      <c r="E799" s="194"/>
      <c r="F799" s="194"/>
      <c r="G799" s="194"/>
      <c r="H799" s="194"/>
      <c r="I799" s="194"/>
      <c r="J799" s="195"/>
      <c r="K799" s="163">
        <f t="shared" si="32"/>
        <v>0.0004916518207</v>
      </c>
      <c r="L799" s="194"/>
      <c r="M799" s="194"/>
      <c r="N799" s="194"/>
      <c r="O799" s="195"/>
      <c r="P799" s="195">
        <f t="shared" si="33"/>
        <v>0</v>
      </c>
      <c r="U799" s="173"/>
    </row>
    <row r="800">
      <c r="A800" s="169">
        <v>45300.0</v>
      </c>
      <c r="B800" s="197">
        <v>10138.67692972116</v>
      </c>
      <c r="C800" s="160">
        <f t="shared" si="17"/>
        <v>10071.79663</v>
      </c>
      <c r="D800" s="194"/>
      <c r="E800" s="194"/>
      <c r="F800" s="194"/>
      <c r="G800" s="194"/>
      <c r="H800" s="194"/>
      <c r="I800" s="194"/>
      <c r="J800" s="195"/>
      <c r="K800" s="163">
        <f t="shared" si="32"/>
        <v>0.0004962678528</v>
      </c>
      <c r="L800" s="194"/>
      <c r="M800" s="194"/>
      <c r="N800" s="194"/>
      <c r="O800" s="195"/>
      <c r="P800" s="195">
        <f t="shared" si="33"/>
        <v>0</v>
      </c>
    </row>
    <row r="801">
      <c r="A801" s="169">
        <v>45299.0</v>
      </c>
      <c r="B801" s="197">
        <v>10133.6466785702</v>
      </c>
      <c r="C801" s="160">
        <f t="shared" si="17"/>
        <v>10069.22431</v>
      </c>
      <c r="D801" s="194"/>
      <c r="E801" s="194"/>
      <c r="F801" s="194"/>
      <c r="G801" s="194"/>
      <c r="H801" s="194"/>
      <c r="I801" s="194"/>
      <c r="J801" s="195"/>
      <c r="K801" s="163">
        <f t="shared" si="32"/>
        <v>0.0004332563321</v>
      </c>
      <c r="L801" s="194"/>
      <c r="M801" s="194"/>
      <c r="N801" s="194"/>
      <c r="O801" s="195"/>
      <c r="P801" s="195">
        <f t="shared" si="33"/>
        <v>0</v>
      </c>
    </row>
    <row r="802">
      <c r="A802" s="169">
        <v>45298.0</v>
      </c>
      <c r="B802" s="197">
        <v>10129.257162940537</v>
      </c>
      <c r="C802" s="160">
        <f t="shared" si="17"/>
        <v>10066.64742</v>
      </c>
      <c r="D802" s="194"/>
      <c r="E802" s="194"/>
      <c r="F802" s="194"/>
      <c r="G802" s="194"/>
      <c r="H802" s="194"/>
      <c r="I802" s="194"/>
      <c r="J802" s="195"/>
      <c r="K802" s="163">
        <f t="shared" si="32"/>
        <v>0.000443238159</v>
      </c>
      <c r="L802" s="194"/>
      <c r="M802" s="194"/>
      <c r="N802" s="194"/>
      <c r="O802" s="195"/>
      <c r="P802" s="195">
        <f t="shared" si="33"/>
        <v>0</v>
      </c>
    </row>
    <row r="803">
      <c r="A803" s="169">
        <v>45297.0</v>
      </c>
      <c r="B803" s="197">
        <v>10124.768484493707</v>
      </c>
      <c r="C803" s="160">
        <f t="shared" si="17"/>
        <v>10064.03868</v>
      </c>
      <c r="D803" s="194"/>
      <c r="E803" s="194"/>
      <c r="F803" s="194"/>
      <c r="G803" s="194"/>
      <c r="H803" s="194"/>
      <c r="I803" s="194"/>
      <c r="J803" s="195"/>
      <c r="K803" s="163">
        <f t="shared" si="32"/>
        <v>0.0004846688297</v>
      </c>
      <c r="L803" s="194"/>
      <c r="M803" s="194"/>
      <c r="N803" s="194"/>
      <c r="O803" s="195"/>
      <c r="P803" s="195">
        <f t="shared" si="33"/>
        <v>0</v>
      </c>
    </row>
    <row r="804">
      <c r="A804" s="176">
        <v>45296.0</v>
      </c>
      <c r="B804" s="197">
        <v>10119.86251378333</v>
      </c>
      <c r="C804" s="160">
        <f t="shared" si="17"/>
        <v>10061.39825</v>
      </c>
      <c r="D804" s="194"/>
      <c r="E804" s="194"/>
      <c r="F804" s="194"/>
      <c r="G804" s="194"/>
      <c r="H804" s="194"/>
      <c r="I804" s="194"/>
      <c r="J804" s="195"/>
      <c r="K804" s="163">
        <f t="shared" si="32"/>
        <v>0.000467140054</v>
      </c>
      <c r="L804" s="194"/>
      <c r="M804" s="194"/>
      <c r="N804" s="194"/>
      <c r="O804" s="195"/>
      <c r="P804" s="195">
        <f t="shared" si="33"/>
        <v>0</v>
      </c>
    </row>
    <row r="805">
      <c r="A805" s="169">
        <v>45295.0</v>
      </c>
      <c r="B805" s="197">
        <v>10115.136224667702</v>
      </c>
      <c r="C805" s="160">
        <f t="shared" si="17"/>
        <v>10058.74079</v>
      </c>
      <c r="D805" s="194"/>
      <c r="E805" s="194"/>
      <c r="F805" s="194"/>
      <c r="G805" s="194"/>
      <c r="H805" s="194"/>
      <c r="I805" s="194"/>
      <c r="J805" s="195"/>
      <c r="K805" s="163">
        <f t="shared" si="32"/>
        <v>0.0004902724028</v>
      </c>
      <c r="L805" s="194"/>
      <c r="M805" s="194"/>
      <c r="N805" s="194"/>
      <c r="O805" s="195"/>
      <c r="P805" s="195">
        <f t="shared" si="33"/>
        <v>0</v>
      </c>
    </row>
    <row r="806">
      <c r="A806" s="176">
        <v>45294.0</v>
      </c>
      <c r="B806" s="197">
        <v>10110.178268</v>
      </c>
      <c r="C806" s="160">
        <f t="shared" si="17"/>
        <v>10056.05529</v>
      </c>
      <c r="D806" s="194"/>
      <c r="E806" s="194"/>
      <c r="F806" s="194"/>
      <c r="G806" s="194"/>
      <c r="H806" s="194"/>
      <c r="I806" s="194"/>
      <c r="J806" s="195"/>
      <c r="K806" s="163">
        <f t="shared" si="32"/>
        <v>0.0004440679771</v>
      </c>
      <c r="L806" s="194"/>
      <c r="M806" s="194"/>
      <c r="N806" s="194"/>
      <c r="O806" s="195"/>
      <c r="P806" s="195">
        <f t="shared" si="33"/>
        <v>0</v>
      </c>
    </row>
    <row r="807">
      <c r="A807" s="176">
        <v>45293.0</v>
      </c>
      <c r="B807" s="193">
        <v>10105.689658285717</v>
      </c>
      <c r="C807" s="160">
        <f t="shared" si="17"/>
        <v>10053.34914</v>
      </c>
      <c r="D807" s="194"/>
      <c r="E807" s="194"/>
      <c r="F807" s="194"/>
      <c r="G807" s="194"/>
      <c r="H807" s="194"/>
      <c r="I807" s="194"/>
      <c r="J807" s="195"/>
      <c r="K807" s="163">
        <f t="shared" si="32"/>
        <v>0.0004442652611</v>
      </c>
      <c r="L807" s="194"/>
      <c r="M807" s="194"/>
      <c r="N807" s="194"/>
      <c r="O807" s="195"/>
      <c r="P807" s="195">
        <f t="shared" si="33"/>
        <v>0</v>
      </c>
    </row>
    <row r="808">
      <c r="A808" s="176">
        <v>45292.0</v>
      </c>
      <c r="B808" s="193">
        <v>10101.20104857143</v>
      </c>
      <c r="C808" s="160">
        <f t="shared" si="17"/>
        <v>10050.59438</v>
      </c>
      <c r="D808" s="194"/>
      <c r="E808" s="194"/>
      <c r="F808" s="194"/>
      <c r="G808" s="194"/>
      <c r="H808" s="194"/>
      <c r="I808" s="194"/>
      <c r="J808" s="195"/>
      <c r="K808" s="163">
        <f t="shared" si="32"/>
        <v>0.0004444627205</v>
      </c>
      <c r="L808" s="194"/>
      <c r="M808" s="194"/>
      <c r="N808" s="194"/>
      <c r="O808" s="195"/>
      <c r="P808" s="195">
        <f t="shared" si="33"/>
        <v>0</v>
      </c>
    </row>
    <row r="809">
      <c r="A809" s="176">
        <v>45291.0</v>
      </c>
      <c r="B809" s="193">
        <v>10096.712438857145</v>
      </c>
      <c r="C809" s="160">
        <f t="shared" si="17"/>
        <v>10047.78289</v>
      </c>
      <c r="D809" s="194"/>
      <c r="E809" s="194"/>
      <c r="F809" s="194"/>
      <c r="G809" s="194"/>
      <c r="H809" s="194"/>
      <c r="I809" s="194"/>
      <c r="J809" s="195"/>
      <c r="K809" s="163">
        <f t="shared" si="32"/>
        <v>0.0004446603554</v>
      </c>
      <c r="L809" s="194"/>
      <c r="M809" s="194"/>
      <c r="N809" s="194"/>
      <c r="O809" s="195"/>
      <c r="P809" s="195">
        <f t="shared" si="33"/>
        <v>0</v>
      </c>
    </row>
    <row r="810">
      <c r="A810" s="176">
        <v>45290.0</v>
      </c>
      <c r="B810" s="193">
        <v>10092.223829142858</v>
      </c>
      <c r="C810" s="160">
        <f t="shared" si="17"/>
        <v>10044.90469</v>
      </c>
      <c r="D810" s="194"/>
      <c r="E810" s="194"/>
      <c r="F810" s="194"/>
      <c r="G810" s="194"/>
      <c r="H810" s="194"/>
      <c r="I810" s="194"/>
      <c r="J810" s="195"/>
      <c r="K810" s="163">
        <f t="shared" si="32"/>
        <v>0.0004448581662</v>
      </c>
      <c r="L810" s="194"/>
      <c r="M810" s="194"/>
      <c r="N810" s="194"/>
      <c r="O810" s="195"/>
      <c r="P810" s="195">
        <f t="shared" si="33"/>
        <v>0</v>
      </c>
    </row>
    <row r="811">
      <c r="A811" s="169">
        <v>45289.0</v>
      </c>
      <c r="B811" s="193">
        <v>10087.735219428572</v>
      </c>
      <c r="C811" s="160">
        <f t="shared" si="17"/>
        <v>10041.94724</v>
      </c>
      <c r="D811" s="194"/>
      <c r="E811" s="194"/>
      <c r="F811" s="194"/>
      <c r="G811" s="194"/>
      <c r="H811" s="194"/>
      <c r="I811" s="194"/>
      <c r="J811" s="195"/>
      <c r="K811" s="163">
        <f t="shared" si="32"/>
        <v>0.0004450561531</v>
      </c>
      <c r="L811" s="194"/>
      <c r="M811" s="194"/>
      <c r="N811" s="194"/>
      <c r="O811" s="195"/>
      <c r="P811" s="195">
        <f t="shared" si="33"/>
        <v>0</v>
      </c>
    </row>
    <row r="812">
      <c r="A812" s="169">
        <v>45288.0</v>
      </c>
      <c r="B812" s="193">
        <v>10083.246609714286</v>
      </c>
      <c r="C812" s="160">
        <f t="shared" si="17"/>
        <v>10038.89471</v>
      </c>
      <c r="D812" s="194"/>
      <c r="E812" s="194"/>
      <c r="F812" s="194"/>
      <c r="G812" s="194"/>
      <c r="H812" s="194"/>
      <c r="I812" s="194"/>
      <c r="J812" s="195"/>
      <c r="K812" s="163">
        <f t="shared" si="32"/>
        <v>0.0004452543163</v>
      </c>
      <c r="L812" s="194"/>
      <c r="M812" s="194"/>
      <c r="N812" s="194"/>
      <c r="O812" s="195"/>
      <c r="P812" s="195">
        <f t="shared" si="33"/>
        <v>0</v>
      </c>
    </row>
    <row r="813">
      <c r="A813" s="176">
        <v>45287.0</v>
      </c>
      <c r="B813" s="197">
        <v>10078.758</v>
      </c>
      <c r="C813" s="160">
        <f t="shared" si="17"/>
        <v>10035.72671</v>
      </c>
      <c r="D813" s="194"/>
      <c r="E813" s="194"/>
      <c r="F813" s="194"/>
      <c r="G813" s="194"/>
      <c r="H813" s="194"/>
      <c r="I813" s="194"/>
      <c r="J813" s="195"/>
      <c r="K813" s="163">
        <f t="shared" si="32"/>
        <v>0.000729681424</v>
      </c>
      <c r="L813" s="194"/>
      <c r="M813" s="194"/>
      <c r="N813" s="194"/>
      <c r="O813" s="195"/>
      <c r="P813" s="195">
        <f t="shared" si="33"/>
        <v>0</v>
      </c>
    </row>
    <row r="814">
      <c r="A814" s="169">
        <v>45286.0</v>
      </c>
      <c r="B814" s="193">
        <v>10071.4064</v>
      </c>
      <c r="C814" s="160">
        <f t="shared" si="17"/>
        <v>10032.41662</v>
      </c>
      <c r="D814" s="194"/>
      <c r="E814" s="194"/>
      <c r="F814" s="194"/>
      <c r="G814" s="194"/>
      <c r="H814" s="194"/>
      <c r="I814" s="194"/>
      <c r="J814" s="195"/>
      <c r="K814" s="163">
        <f t="shared" si="32"/>
        <v>0.0007302142478</v>
      </c>
      <c r="L814" s="194"/>
      <c r="M814" s="194"/>
      <c r="N814" s="194"/>
      <c r="O814" s="195"/>
      <c r="P814" s="195">
        <f t="shared" si="33"/>
        <v>0</v>
      </c>
    </row>
    <row r="815">
      <c r="A815" s="176">
        <v>45285.0</v>
      </c>
      <c r="B815" s="193">
        <v>10064.0548</v>
      </c>
      <c r="C815" s="160">
        <f t="shared" si="17"/>
        <v>10029.16747</v>
      </c>
      <c r="D815" s="194"/>
      <c r="E815" s="194"/>
      <c r="F815" s="194"/>
      <c r="G815" s="194"/>
      <c r="H815" s="194"/>
      <c r="I815" s="194"/>
      <c r="J815" s="195"/>
      <c r="K815" s="163">
        <f t="shared" si="32"/>
        <v>0.0007307478503</v>
      </c>
      <c r="L815" s="194"/>
      <c r="M815" s="194"/>
      <c r="N815" s="194"/>
      <c r="O815" s="195"/>
      <c r="P815" s="195">
        <f t="shared" si="33"/>
        <v>0</v>
      </c>
    </row>
    <row r="816">
      <c r="A816" s="169">
        <v>45284.0</v>
      </c>
      <c r="B816" s="193">
        <v>10056.7032</v>
      </c>
      <c r="C816" s="160">
        <f t="shared" si="17"/>
        <v>10025.99589</v>
      </c>
      <c r="D816" s="194"/>
      <c r="E816" s="194"/>
      <c r="F816" s="194"/>
      <c r="G816" s="194"/>
      <c r="H816" s="194"/>
      <c r="I816" s="194"/>
      <c r="J816" s="195"/>
      <c r="K816" s="163">
        <f t="shared" si="32"/>
        <v>0.0007312822332</v>
      </c>
      <c r="L816" s="194"/>
      <c r="M816" s="194"/>
      <c r="N816" s="194"/>
      <c r="O816" s="195"/>
      <c r="P816" s="195">
        <f t="shared" si="33"/>
        <v>0</v>
      </c>
    </row>
    <row r="817">
      <c r="A817" s="169">
        <v>45283.0</v>
      </c>
      <c r="B817" s="193">
        <v>10049.3516</v>
      </c>
      <c r="C817" s="160">
        <f t="shared" si="17"/>
        <v>10022.92516</v>
      </c>
      <c r="D817" s="194"/>
      <c r="E817" s="194"/>
      <c r="F817" s="194"/>
      <c r="G817" s="194"/>
      <c r="H817" s="194"/>
      <c r="I817" s="194"/>
      <c r="J817" s="195"/>
      <c r="K817" s="163">
        <f t="shared" si="32"/>
        <v>0.0007318173983</v>
      </c>
      <c r="L817" s="194"/>
      <c r="M817" s="194"/>
      <c r="N817" s="194"/>
      <c r="O817" s="195"/>
      <c r="P817" s="195">
        <f t="shared" si="33"/>
        <v>0</v>
      </c>
    </row>
    <row r="818">
      <c r="A818" s="176">
        <v>45282.0</v>
      </c>
      <c r="B818" s="197">
        <v>10042.0</v>
      </c>
      <c r="C818" s="160">
        <f t="shared" si="17"/>
        <v>10019.98889</v>
      </c>
      <c r="D818" s="194"/>
      <c r="E818" s="194"/>
      <c r="F818" s="194"/>
      <c r="G818" s="194"/>
      <c r="H818" s="194"/>
      <c r="I818" s="194"/>
      <c r="J818" s="195"/>
      <c r="K818" s="163">
        <f t="shared" si="32"/>
        <v>0.0006474909951</v>
      </c>
      <c r="L818" s="194"/>
      <c r="M818" s="194"/>
      <c r="N818" s="194"/>
      <c r="O818" s="195"/>
      <c r="P818" s="195">
        <f t="shared" si="33"/>
        <v>0</v>
      </c>
    </row>
    <row r="819">
      <c r="A819" s="169">
        <v>45281.0</v>
      </c>
      <c r="B819" s="197">
        <v>10035.5</v>
      </c>
      <c r="C819" s="160">
        <f t="shared" si="17"/>
        <v>10017.2375</v>
      </c>
      <c r="D819" s="194"/>
      <c r="E819" s="194"/>
      <c r="F819" s="194"/>
      <c r="G819" s="194"/>
      <c r="H819" s="194"/>
      <c r="I819" s="194"/>
      <c r="J819" s="195"/>
      <c r="K819" s="163">
        <f t="shared" si="32"/>
        <v>0.0006977671734</v>
      </c>
      <c r="L819" s="194"/>
      <c r="M819" s="194"/>
      <c r="N819" s="194"/>
      <c r="O819" s="195"/>
      <c r="P819" s="195">
        <f t="shared" si="33"/>
        <v>0</v>
      </c>
    </row>
    <row r="820">
      <c r="A820" s="176">
        <v>45280.0</v>
      </c>
      <c r="B820" s="197">
        <v>10028.5</v>
      </c>
      <c r="C820" s="160">
        <f t="shared" si="17"/>
        <v>10014.62857</v>
      </c>
      <c r="D820" s="194"/>
      <c r="E820" s="194"/>
      <c r="F820" s="194"/>
      <c r="G820" s="194"/>
      <c r="H820" s="194"/>
      <c r="I820" s="194"/>
      <c r="J820" s="195"/>
      <c r="K820" s="163">
        <f t="shared" si="32"/>
        <v>0.0004587979574</v>
      </c>
      <c r="L820" s="194"/>
      <c r="M820" s="194"/>
      <c r="N820" s="194"/>
      <c r="O820" s="195"/>
      <c r="P820" s="195">
        <f t="shared" si="33"/>
        <v>0</v>
      </c>
    </row>
    <row r="821">
      <c r="A821" s="176">
        <v>45279.0</v>
      </c>
      <c r="B821" s="197">
        <v>10023.9</v>
      </c>
      <c r="C821" s="160">
        <f t="shared" si="17"/>
        <v>10012.31667</v>
      </c>
      <c r="D821" s="194"/>
      <c r="E821" s="194"/>
      <c r="F821" s="194"/>
      <c r="G821" s="194"/>
      <c r="H821" s="194"/>
      <c r="I821" s="194"/>
      <c r="J821" s="195"/>
      <c r="K821" s="163">
        <f t="shared" si="32"/>
        <v>0.0003891458298</v>
      </c>
      <c r="L821" s="194"/>
      <c r="M821" s="194"/>
      <c r="N821" s="194"/>
      <c r="O821" s="195"/>
      <c r="P821" s="195">
        <f t="shared" si="33"/>
        <v>0</v>
      </c>
    </row>
    <row r="822">
      <c r="A822" s="176">
        <v>45278.0</v>
      </c>
      <c r="B822" s="198">
        <v>10020.0</v>
      </c>
      <c r="C822" s="160">
        <f t="shared" si="17"/>
        <v>10010</v>
      </c>
      <c r="D822" s="194"/>
      <c r="E822" s="194"/>
      <c r="F822" s="194"/>
      <c r="G822" s="194"/>
      <c r="H822" s="194"/>
      <c r="I822" s="194"/>
      <c r="J822" s="195"/>
      <c r="K822" s="163">
        <f t="shared" si="32"/>
        <v>0.0004991265389</v>
      </c>
      <c r="L822" s="194"/>
      <c r="M822" s="194"/>
      <c r="N822" s="194"/>
      <c r="O822" s="195"/>
      <c r="P822" s="195">
        <f t="shared" si="33"/>
        <v>0</v>
      </c>
    </row>
    <row r="823">
      <c r="A823" s="176">
        <v>45277.0</v>
      </c>
      <c r="B823" s="198">
        <v>10015.0</v>
      </c>
      <c r="C823" s="160">
        <f t="shared" si="17"/>
        <v>10007.5</v>
      </c>
      <c r="D823" s="194"/>
      <c r="E823" s="194"/>
      <c r="F823" s="194"/>
      <c r="G823" s="194"/>
      <c r="H823" s="194"/>
      <c r="I823" s="194"/>
      <c r="J823" s="195"/>
      <c r="K823" s="163">
        <f t="shared" si="32"/>
        <v>0.0004993757907</v>
      </c>
      <c r="L823" s="194"/>
      <c r="M823" s="194"/>
      <c r="N823" s="194"/>
      <c r="O823" s="195"/>
      <c r="P823" s="195">
        <f t="shared" si="33"/>
        <v>0</v>
      </c>
    </row>
    <row r="824">
      <c r="A824" s="176">
        <v>45276.0</v>
      </c>
      <c r="B824" s="198">
        <v>10010.0</v>
      </c>
      <c r="C824" s="160">
        <f t="shared" si="17"/>
        <v>10005</v>
      </c>
      <c r="D824" s="194"/>
      <c r="E824" s="194"/>
      <c r="F824" s="194"/>
      <c r="G824" s="194"/>
      <c r="H824" s="194"/>
      <c r="I824" s="194"/>
      <c r="J824" s="195"/>
      <c r="K824" s="163">
        <f t="shared" si="32"/>
        <v>0.0004996252914</v>
      </c>
      <c r="L824" s="194"/>
      <c r="M824" s="194"/>
      <c r="N824" s="194"/>
      <c r="O824" s="195"/>
      <c r="P824" s="195">
        <f t="shared" si="33"/>
        <v>0</v>
      </c>
    </row>
    <row r="825">
      <c r="A825" s="169">
        <v>45275.0</v>
      </c>
      <c r="B825" s="198">
        <v>10005.0</v>
      </c>
      <c r="C825" s="160">
        <f t="shared" si="17"/>
        <v>10002.5</v>
      </c>
      <c r="D825" s="194"/>
      <c r="E825" s="194"/>
      <c r="F825" s="194"/>
      <c r="G825" s="194"/>
      <c r="H825" s="194"/>
      <c r="I825" s="194"/>
      <c r="J825" s="195"/>
      <c r="K825" s="163">
        <f t="shared" si="32"/>
        <v>0.0004998750416</v>
      </c>
      <c r="L825" s="194"/>
      <c r="M825" s="194"/>
      <c r="N825" s="194"/>
      <c r="O825" s="195"/>
      <c r="P825" s="195">
        <f t="shared" si="33"/>
        <v>0</v>
      </c>
    </row>
    <row r="826">
      <c r="A826" s="169">
        <v>45274.0</v>
      </c>
      <c r="B826" s="198">
        <f>10000</f>
        <v>10000</v>
      </c>
      <c r="C826" s="160">
        <f t="shared" si="17"/>
        <v>10000</v>
      </c>
      <c r="D826" s="194"/>
      <c r="E826" s="194"/>
      <c r="F826" s="194"/>
      <c r="G826" s="194"/>
      <c r="H826" s="194"/>
      <c r="I826" s="194"/>
      <c r="J826" s="195"/>
      <c r="K826" s="163"/>
      <c r="L826" s="194"/>
      <c r="M826" s="194"/>
      <c r="N826" s="194"/>
      <c r="O826" s="195"/>
      <c r="P826" s="195">
        <f t="shared" si="33"/>
        <v>0</v>
      </c>
    </row>
    <row r="827">
      <c r="A827" s="199"/>
      <c r="B827" s="200"/>
      <c r="C827" s="194"/>
      <c r="D827" s="194"/>
      <c r="E827" s="194"/>
      <c r="F827" s="194"/>
      <c r="G827" s="194"/>
      <c r="H827" s="194"/>
      <c r="I827" s="194"/>
      <c r="J827" s="195"/>
      <c r="K827" s="163"/>
      <c r="L827" s="194"/>
      <c r="M827" s="194"/>
      <c r="N827" s="194"/>
      <c r="O827" s="195"/>
      <c r="P827" s="195"/>
    </row>
    <row r="828">
      <c r="A828" s="199"/>
      <c r="B828" s="200"/>
      <c r="C828" s="194"/>
      <c r="D828" s="194"/>
      <c r="E828" s="194"/>
      <c r="F828" s="194"/>
      <c r="G828" s="194"/>
      <c r="H828" s="194"/>
      <c r="I828" s="194"/>
      <c r="J828" s="195"/>
      <c r="K828" s="201"/>
      <c r="L828" s="194"/>
      <c r="M828" s="194"/>
      <c r="N828" s="194"/>
      <c r="O828" s="195"/>
      <c r="P828" s="195"/>
    </row>
    <row r="829">
      <c r="A829" s="199"/>
      <c r="B829" s="200"/>
      <c r="C829" s="194"/>
      <c r="D829" s="194"/>
      <c r="E829" s="194"/>
      <c r="F829" s="194"/>
      <c r="G829" s="194"/>
      <c r="H829" s="194"/>
      <c r="I829" s="194"/>
      <c r="J829" s="195"/>
      <c r="K829" s="201"/>
      <c r="L829" s="194"/>
      <c r="M829" s="194"/>
      <c r="N829" s="194"/>
      <c r="O829" s="195"/>
      <c r="P829" s="195"/>
    </row>
    <row r="830">
      <c r="A830" s="199"/>
      <c r="B830" s="200"/>
      <c r="C830" s="194"/>
      <c r="D830" s="194"/>
      <c r="E830" s="194"/>
      <c r="F830" s="194"/>
      <c r="G830" s="194"/>
      <c r="H830" s="194"/>
      <c r="I830" s="194"/>
      <c r="J830" s="195"/>
      <c r="K830" s="201"/>
      <c r="L830" s="194"/>
      <c r="M830" s="194"/>
      <c r="N830" s="194"/>
      <c r="O830" s="195"/>
      <c r="P830" s="195"/>
    </row>
    <row r="831">
      <c r="A831" s="199"/>
      <c r="B831" s="200"/>
      <c r="C831" s="194"/>
      <c r="D831" s="194"/>
      <c r="E831" s="194"/>
      <c r="F831" s="194"/>
      <c r="G831" s="194"/>
      <c r="H831" s="194"/>
      <c r="I831" s="194"/>
      <c r="J831" s="195"/>
      <c r="K831" s="201"/>
      <c r="L831" s="194"/>
      <c r="M831" s="194"/>
      <c r="N831" s="194"/>
      <c r="O831" s="195"/>
      <c r="P831" s="195"/>
    </row>
    <row r="832">
      <c r="A832" s="199"/>
      <c r="B832" s="200"/>
      <c r="C832" s="194"/>
      <c r="D832" s="194"/>
      <c r="E832" s="194"/>
      <c r="F832" s="194"/>
      <c r="G832" s="194"/>
      <c r="H832" s="194"/>
      <c r="I832" s="194"/>
      <c r="J832" s="195"/>
      <c r="K832" s="201"/>
      <c r="L832" s="194"/>
      <c r="M832" s="194"/>
      <c r="N832" s="194"/>
      <c r="O832" s="195"/>
      <c r="P832" s="195"/>
    </row>
    <row r="833">
      <c r="A833" s="199"/>
      <c r="B833" s="200"/>
      <c r="C833" s="194"/>
      <c r="D833" s="194"/>
      <c r="E833" s="194"/>
      <c r="F833" s="194"/>
      <c r="G833" s="194"/>
      <c r="H833" s="194"/>
      <c r="I833" s="194"/>
      <c r="J833" s="195"/>
      <c r="K833" s="201"/>
      <c r="L833" s="194"/>
      <c r="M833" s="194"/>
      <c r="N833" s="194"/>
      <c r="O833" s="195"/>
      <c r="P833" s="195"/>
    </row>
    <row r="834">
      <c r="A834" s="199"/>
      <c r="B834" s="200"/>
      <c r="C834" s="194"/>
      <c r="D834" s="194"/>
      <c r="E834" s="194"/>
      <c r="F834" s="194"/>
      <c r="G834" s="194"/>
      <c r="H834" s="194"/>
      <c r="I834" s="194"/>
      <c r="J834" s="195"/>
      <c r="K834" s="201"/>
      <c r="L834" s="194"/>
      <c r="M834" s="194"/>
      <c r="N834" s="194"/>
      <c r="O834" s="195"/>
      <c r="P834" s="195"/>
    </row>
    <row r="835">
      <c r="A835" s="199"/>
      <c r="B835" s="200"/>
      <c r="C835" s="194"/>
      <c r="D835" s="194"/>
      <c r="E835" s="194"/>
      <c r="F835" s="194"/>
      <c r="G835" s="194"/>
      <c r="H835" s="194"/>
      <c r="I835" s="194"/>
      <c r="J835" s="195"/>
      <c r="K835" s="201"/>
      <c r="L835" s="194"/>
      <c r="M835" s="194"/>
      <c r="N835" s="194"/>
      <c r="O835" s="195"/>
      <c r="P835" s="195"/>
    </row>
    <row r="836">
      <c r="A836" s="199"/>
      <c r="B836" s="200"/>
      <c r="C836" s="194"/>
      <c r="D836" s="194"/>
      <c r="E836" s="194"/>
      <c r="F836" s="194"/>
      <c r="G836" s="194"/>
      <c r="H836" s="194"/>
      <c r="I836" s="194"/>
      <c r="J836" s="195"/>
      <c r="K836" s="201"/>
      <c r="L836" s="194"/>
      <c r="M836" s="194"/>
      <c r="N836" s="194"/>
      <c r="O836" s="195"/>
      <c r="P836" s="195"/>
    </row>
    <row r="837">
      <c r="A837" s="199"/>
      <c r="B837" s="200"/>
      <c r="C837" s="194"/>
      <c r="D837" s="194"/>
      <c r="E837" s="194"/>
      <c r="F837" s="194"/>
      <c r="G837" s="194"/>
      <c r="H837" s="194"/>
      <c r="I837" s="194"/>
      <c r="J837" s="195"/>
      <c r="K837" s="201"/>
      <c r="L837" s="194"/>
      <c r="M837" s="194"/>
      <c r="N837" s="194"/>
      <c r="O837" s="195"/>
      <c r="P837" s="195"/>
    </row>
    <row r="838">
      <c r="A838" s="199"/>
      <c r="B838" s="200"/>
      <c r="C838" s="194"/>
      <c r="D838" s="194"/>
      <c r="E838" s="194"/>
      <c r="F838" s="194"/>
      <c r="G838" s="194"/>
      <c r="H838" s="194"/>
      <c r="I838" s="194"/>
      <c r="J838" s="195"/>
      <c r="K838" s="201"/>
      <c r="L838" s="194"/>
      <c r="M838" s="194"/>
      <c r="N838" s="194"/>
      <c r="O838" s="195"/>
      <c r="P838" s="195"/>
    </row>
    <row r="839">
      <c r="A839" s="199"/>
      <c r="B839" s="200"/>
      <c r="C839" s="194"/>
      <c r="D839" s="194"/>
      <c r="E839" s="194"/>
      <c r="F839" s="194"/>
      <c r="G839" s="194"/>
      <c r="H839" s="194"/>
      <c r="I839" s="194"/>
      <c r="J839" s="195"/>
      <c r="K839" s="201"/>
      <c r="L839" s="194"/>
      <c r="M839" s="194"/>
      <c r="N839" s="194"/>
      <c r="O839" s="195"/>
      <c r="P839" s="195"/>
    </row>
    <row r="840">
      <c r="A840" s="199"/>
      <c r="B840" s="200"/>
      <c r="C840" s="194"/>
      <c r="D840" s="194"/>
      <c r="E840" s="194"/>
      <c r="F840" s="194"/>
      <c r="G840" s="194"/>
      <c r="H840" s="194"/>
      <c r="I840" s="194"/>
      <c r="J840" s="195"/>
      <c r="K840" s="201"/>
      <c r="L840" s="194"/>
      <c r="M840" s="194"/>
      <c r="N840" s="194"/>
      <c r="O840" s="195"/>
      <c r="P840" s="195"/>
    </row>
    <row r="841">
      <c r="A841" s="199"/>
      <c r="B841" s="200"/>
      <c r="C841" s="194"/>
      <c r="D841" s="194"/>
      <c r="E841" s="194"/>
      <c r="F841" s="194"/>
      <c r="G841" s="194"/>
      <c r="H841" s="194"/>
      <c r="I841" s="194"/>
      <c r="J841" s="195"/>
      <c r="K841" s="201"/>
      <c r="L841" s="194"/>
      <c r="M841" s="194"/>
      <c r="N841" s="194"/>
      <c r="O841" s="195"/>
      <c r="P841" s="195"/>
    </row>
    <row r="842">
      <c r="A842" s="199"/>
      <c r="B842" s="200"/>
      <c r="C842" s="194"/>
      <c r="D842" s="194"/>
      <c r="E842" s="194"/>
      <c r="F842" s="194"/>
      <c r="G842" s="194"/>
      <c r="H842" s="194"/>
      <c r="I842" s="194"/>
      <c r="J842" s="195"/>
      <c r="K842" s="201"/>
      <c r="L842" s="194"/>
      <c r="M842" s="194"/>
      <c r="N842" s="194"/>
      <c r="O842" s="195"/>
      <c r="P842" s="195"/>
    </row>
    <row r="843">
      <c r="A843" s="199"/>
      <c r="B843" s="200"/>
      <c r="C843" s="194"/>
      <c r="D843" s="194"/>
      <c r="E843" s="194"/>
      <c r="F843" s="194"/>
      <c r="G843" s="194"/>
      <c r="H843" s="194"/>
      <c r="I843" s="194"/>
      <c r="J843" s="195"/>
      <c r="K843" s="201"/>
      <c r="L843" s="194"/>
      <c r="M843" s="194"/>
      <c r="N843" s="194"/>
      <c r="O843" s="195"/>
      <c r="P843" s="195"/>
    </row>
    <row r="844">
      <c r="A844" s="199"/>
      <c r="B844" s="200"/>
      <c r="C844" s="194"/>
      <c r="D844" s="194"/>
      <c r="E844" s="194"/>
      <c r="F844" s="194"/>
      <c r="G844" s="194"/>
      <c r="H844" s="194"/>
      <c r="I844" s="194"/>
      <c r="J844" s="195"/>
      <c r="K844" s="201"/>
      <c r="L844" s="194"/>
      <c r="M844" s="194"/>
      <c r="N844" s="194"/>
      <c r="O844" s="195"/>
      <c r="P844" s="195"/>
    </row>
    <row r="845">
      <c r="A845" s="199"/>
      <c r="B845" s="200"/>
      <c r="C845" s="194"/>
      <c r="D845" s="194"/>
      <c r="E845" s="194"/>
      <c r="F845" s="194"/>
      <c r="G845" s="194"/>
      <c r="H845" s="194"/>
      <c r="I845" s="194"/>
      <c r="J845" s="195"/>
      <c r="K845" s="201"/>
      <c r="L845" s="194"/>
      <c r="M845" s="194"/>
      <c r="N845" s="194"/>
      <c r="O845" s="195"/>
      <c r="P845" s="195"/>
    </row>
    <row r="846">
      <c r="A846" s="199"/>
      <c r="B846" s="200"/>
      <c r="C846" s="194"/>
      <c r="D846" s="194"/>
      <c r="E846" s="194"/>
      <c r="F846" s="194"/>
      <c r="G846" s="194"/>
      <c r="H846" s="194"/>
      <c r="I846" s="194"/>
      <c r="J846" s="195"/>
      <c r="K846" s="201"/>
      <c r="L846" s="194"/>
      <c r="M846" s="194"/>
      <c r="N846" s="194"/>
      <c r="O846" s="195"/>
      <c r="P846" s="195"/>
    </row>
    <row r="847">
      <c r="A847" s="199"/>
      <c r="B847" s="200"/>
      <c r="C847" s="194"/>
      <c r="D847" s="194"/>
      <c r="E847" s="194"/>
      <c r="F847" s="194"/>
      <c r="G847" s="194"/>
      <c r="H847" s="194"/>
      <c r="I847" s="194"/>
      <c r="J847" s="195"/>
      <c r="K847" s="201"/>
      <c r="L847" s="194"/>
      <c r="M847" s="194"/>
      <c r="N847" s="194"/>
      <c r="O847" s="195"/>
      <c r="P847" s="195"/>
    </row>
    <row r="848">
      <c r="A848" s="199"/>
      <c r="B848" s="200"/>
      <c r="C848" s="194"/>
      <c r="D848" s="194"/>
      <c r="E848" s="194"/>
      <c r="F848" s="194"/>
      <c r="G848" s="194"/>
      <c r="H848" s="194"/>
      <c r="I848" s="194"/>
      <c r="J848" s="195"/>
      <c r="K848" s="201"/>
      <c r="L848" s="194"/>
      <c r="M848" s="194"/>
      <c r="N848" s="194"/>
      <c r="O848" s="195"/>
      <c r="P848" s="195"/>
    </row>
    <row r="849">
      <c r="A849" s="199"/>
      <c r="B849" s="200"/>
      <c r="C849" s="194"/>
      <c r="D849" s="194"/>
      <c r="E849" s="194"/>
      <c r="F849" s="194"/>
      <c r="G849" s="194"/>
      <c r="H849" s="194"/>
      <c r="I849" s="194"/>
      <c r="J849" s="195"/>
      <c r="K849" s="201"/>
      <c r="L849" s="194"/>
      <c r="M849" s="194"/>
      <c r="N849" s="194"/>
      <c r="O849" s="195"/>
      <c r="P849" s="195"/>
    </row>
    <row r="850">
      <c r="A850" s="199"/>
      <c r="B850" s="200"/>
      <c r="C850" s="194"/>
      <c r="D850" s="194"/>
      <c r="E850" s="194"/>
      <c r="F850" s="194"/>
      <c r="G850" s="194"/>
      <c r="H850" s="194"/>
      <c r="I850" s="194"/>
      <c r="J850" s="195"/>
      <c r="K850" s="201"/>
      <c r="L850" s="194"/>
      <c r="M850" s="194"/>
      <c r="N850" s="194"/>
      <c r="O850" s="195"/>
      <c r="P850" s="195"/>
    </row>
    <row r="851">
      <c r="A851" s="199"/>
      <c r="B851" s="200"/>
      <c r="C851" s="194"/>
      <c r="D851" s="194"/>
      <c r="E851" s="194"/>
      <c r="F851" s="194"/>
      <c r="G851" s="194"/>
      <c r="H851" s="194"/>
      <c r="I851" s="194"/>
      <c r="J851" s="195"/>
      <c r="K851" s="201"/>
      <c r="L851" s="194"/>
      <c r="M851" s="194"/>
      <c r="N851" s="194"/>
      <c r="O851" s="195"/>
      <c r="P851" s="195"/>
    </row>
    <row r="852">
      <c r="A852" s="199"/>
      <c r="B852" s="200"/>
      <c r="C852" s="194"/>
      <c r="D852" s="194"/>
      <c r="E852" s="194"/>
      <c r="F852" s="194"/>
      <c r="G852" s="194"/>
      <c r="H852" s="194"/>
      <c r="I852" s="194"/>
      <c r="J852" s="195"/>
      <c r="K852" s="201"/>
      <c r="L852" s="194"/>
      <c r="M852" s="194"/>
      <c r="N852" s="194"/>
      <c r="O852" s="195"/>
      <c r="P852" s="195"/>
    </row>
    <row r="853">
      <c r="A853" s="199"/>
      <c r="B853" s="200"/>
      <c r="C853" s="194"/>
      <c r="D853" s="194"/>
      <c r="E853" s="194"/>
      <c r="F853" s="194"/>
      <c r="G853" s="194"/>
      <c r="H853" s="194"/>
      <c r="I853" s="194"/>
      <c r="J853" s="195"/>
      <c r="K853" s="201"/>
      <c r="L853" s="194"/>
      <c r="M853" s="194"/>
      <c r="N853" s="194"/>
      <c r="O853" s="195"/>
      <c r="P853" s="195"/>
    </row>
    <row r="854">
      <c r="A854" s="199"/>
      <c r="B854" s="200"/>
      <c r="C854" s="194"/>
      <c r="D854" s="194"/>
      <c r="E854" s="194"/>
      <c r="F854" s="194"/>
      <c r="G854" s="194"/>
      <c r="H854" s="194"/>
      <c r="I854" s="194"/>
      <c r="J854" s="195"/>
      <c r="K854" s="201"/>
      <c r="L854" s="194"/>
      <c r="M854" s="194"/>
      <c r="N854" s="194"/>
      <c r="O854" s="195"/>
      <c r="P854" s="195"/>
    </row>
    <row r="855">
      <c r="A855" s="199"/>
      <c r="B855" s="200"/>
      <c r="C855" s="194"/>
      <c r="D855" s="194"/>
      <c r="E855" s="194"/>
      <c r="F855" s="194"/>
      <c r="G855" s="194"/>
      <c r="H855" s="194"/>
      <c r="I855" s="194"/>
      <c r="J855" s="195"/>
      <c r="K855" s="201"/>
      <c r="L855" s="194"/>
      <c r="M855" s="194"/>
      <c r="N855" s="194"/>
      <c r="O855" s="195"/>
      <c r="P855" s="195"/>
    </row>
    <row r="856">
      <c r="A856" s="199"/>
      <c r="B856" s="200"/>
      <c r="C856" s="194"/>
      <c r="D856" s="194"/>
      <c r="E856" s="194"/>
      <c r="F856" s="194"/>
      <c r="G856" s="194"/>
      <c r="H856" s="194"/>
      <c r="I856" s="194"/>
      <c r="J856" s="195"/>
      <c r="K856" s="201"/>
      <c r="L856" s="194"/>
      <c r="M856" s="194"/>
      <c r="N856" s="194"/>
      <c r="O856" s="195"/>
      <c r="P856" s="195"/>
    </row>
    <row r="857">
      <c r="A857" s="199"/>
      <c r="B857" s="200"/>
      <c r="C857" s="194"/>
      <c r="D857" s="194"/>
      <c r="E857" s="194"/>
      <c r="F857" s="194"/>
      <c r="G857" s="194"/>
      <c r="H857" s="194"/>
      <c r="I857" s="194"/>
      <c r="J857" s="195"/>
      <c r="K857" s="201"/>
      <c r="L857" s="194"/>
      <c r="M857" s="194"/>
      <c r="N857" s="194"/>
      <c r="O857" s="195"/>
      <c r="P857" s="195"/>
    </row>
    <row r="858">
      <c r="A858" s="199"/>
      <c r="B858" s="200"/>
      <c r="C858" s="194"/>
      <c r="D858" s="194"/>
      <c r="E858" s="194"/>
      <c r="F858" s="194"/>
      <c r="G858" s="194"/>
      <c r="H858" s="194"/>
      <c r="I858" s="194"/>
      <c r="J858" s="195"/>
      <c r="K858" s="201"/>
      <c r="L858" s="194"/>
      <c r="M858" s="194"/>
      <c r="N858" s="194"/>
      <c r="O858" s="195"/>
      <c r="P858" s="195"/>
    </row>
    <row r="859">
      <c r="A859" s="199"/>
      <c r="B859" s="200"/>
      <c r="C859" s="194"/>
      <c r="D859" s="194"/>
      <c r="E859" s="194"/>
      <c r="F859" s="194"/>
      <c r="G859" s="194"/>
      <c r="H859" s="194"/>
      <c r="I859" s="194"/>
      <c r="J859" s="195"/>
      <c r="K859" s="201"/>
      <c r="L859" s="194"/>
      <c r="M859" s="194"/>
      <c r="N859" s="194"/>
      <c r="O859" s="195"/>
      <c r="P859" s="195"/>
    </row>
    <row r="860">
      <c r="A860" s="199"/>
      <c r="B860" s="200"/>
      <c r="C860" s="194"/>
      <c r="D860" s="194"/>
      <c r="E860" s="194"/>
      <c r="F860" s="194"/>
      <c r="G860" s="194"/>
      <c r="H860" s="194"/>
      <c r="I860" s="194"/>
      <c r="J860" s="195"/>
      <c r="K860" s="201"/>
      <c r="L860" s="194"/>
      <c r="M860" s="194"/>
      <c r="N860" s="194"/>
      <c r="O860" s="195"/>
      <c r="P860" s="195"/>
    </row>
    <row r="861">
      <c r="A861" s="199"/>
      <c r="B861" s="200"/>
      <c r="C861" s="194"/>
      <c r="D861" s="194"/>
      <c r="E861" s="194"/>
      <c r="F861" s="194"/>
      <c r="G861" s="194"/>
      <c r="H861" s="194"/>
      <c r="I861" s="194"/>
      <c r="J861" s="195"/>
      <c r="K861" s="201"/>
      <c r="L861" s="194"/>
      <c r="M861" s="194"/>
      <c r="N861" s="194"/>
      <c r="O861" s="195"/>
      <c r="P861" s="195"/>
    </row>
    <row r="862">
      <c r="A862" s="199"/>
      <c r="B862" s="200"/>
      <c r="C862" s="194"/>
      <c r="D862" s="194"/>
      <c r="E862" s="194"/>
      <c r="F862" s="194"/>
      <c r="G862" s="194"/>
      <c r="H862" s="194"/>
      <c r="I862" s="194"/>
      <c r="J862" s="195"/>
      <c r="K862" s="201"/>
      <c r="L862" s="194"/>
      <c r="M862" s="194"/>
      <c r="N862" s="194"/>
      <c r="O862" s="195"/>
      <c r="P862" s="195"/>
    </row>
    <row r="863">
      <c r="A863" s="199"/>
      <c r="B863" s="200"/>
      <c r="C863" s="194"/>
      <c r="D863" s="194"/>
      <c r="E863" s="194"/>
      <c r="F863" s="194"/>
      <c r="G863" s="194"/>
      <c r="H863" s="194"/>
      <c r="I863" s="194"/>
      <c r="J863" s="195"/>
      <c r="K863" s="201"/>
      <c r="L863" s="194"/>
      <c r="M863" s="194"/>
      <c r="N863" s="194"/>
      <c r="O863" s="195"/>
      <c r="P863" s="195"/>
    </row>
    <row r="864">
      <c r="A864" s="199"/>
      <c r="B864" s="200"/>
      <c r="C864" s="194"/>
      <c r="D864" s="194"/>
      <c r="E864" s="194"/>
      <c r="F864" s="194"/>
      <c r="G864" s="194"/>
      <c r="H864" s="194"/>
      <c r="I864" s="194"/>
      <c r="J864" s="195"/>
      <c r="K864" s="201"/>
      <c r="L864" s="194"/>
      <c r="M864" s="194"/>
      <c r="N864" s="194"/>
      <c r="O864" s="195"/>
      <c r="P864" s="195"/>
    </row>
    <row r="865">
      <c r="A865" s="199"/>
      <c r="B865" s="200"/>
      <c r="C865" s="194"/>
      <c r="D865" s="194"/>
      <c r="E865" s="194"/>
      <c r="F865" s="194"/>
      <c r="G865" s="194"/>
      <c r="H865" s="194"/>
      <c r="I865" s="194"/>
      <c r="J865" s="195"/>
      <c r="K865" s="201"/>
      <c r="L865" s="194"/>
      <c r="M865" s="194"/>
      <c r="N865" s="194"/>
      <c r="O865" s="195"/>
      <c r="P865" s="195"/>
    </row>
    <row r="866">
      <c r="A866" s="199"/>
      <c r="B866" s="200"/>
      <c r="C866" s="194"/>
      <c r="D866" s="194"/>
      <c r="E866" s="194"/>
      <c r="F866" s="194"/>
      <c r="G866" s="194"/>
      <c r="H866" s="194"/>
      <c r="I866" s="194"/>
      <c r="J866" s="195"/>
      <c r="K866" s="201"/>
      <c r="L866" s="194"/>
      <c r="M866" s="194"/>
      <c r="N866" s="194"/>
      <c r="O866" s="195"/>
      <c r="P866" s="195"/>
    </row>
    <row r="867">
      <c r="A867" s="199"/>
      <c r="B867" s="200"/>
      <c r="C867" s="194"/>
      <c r="D867" s="194"/>
      <c r="E867" s="194"/>
      <c r="F867" s="194"/>
      <c r="G867" s="194"/>
      <c r="H867" s="194"/>
      <c r="I867" s="194"/>
      <c r="J867" s="195"/>
      <c r="K867" s="201"/>
      <c r="L867" s="194"/>
      <c r="M867" s="194"/>
      <c r="N867" s="194"/>
      <c r="O867" s="195"/>
      <c r="P867" s="195"/>
    </row>
    <row r="868">
      <c r="A868" s="199"/>
      <c r="B868" s="200"/>
      <c r="C868" s="194"/>
      <c r="D868" s="194"/>
      <c r="E868" s="194"/>
      <c r="F868" s="194"/>
      <c r="G868" s="194"/>
      <c r="H868" s="194"/>
      <c r="I868" s="194"/>
      <c r="J868" s="195"/>
      <c r="K868" s="201"/>
      <c r="L868" s="194"/>
      <c r="M868" s="194"/>
      <c r="N868" s="194"/>
      <c r="O868" s="195"/>
      <c r="P868" s="195"/>
    </row>
    <row r="869">
      <c r="A869" s="199"/>
      <c r="B869" s="200"/>
      <c r="C869" s="194"/>
      <c r="D869" s="194"/>
      <c r="E869" s="194"/>
      <c r="F869" s="194"/>
      <c r="G869" s="194"/>
      <c r="H869" s="194"/>
      <c r="I869" s="194"/>
      <c r="J869" s="195"/>
      <c r="K869" s="201"/>
      <c r="L869" s="194"/>
      <c r="M869" s="194"/>
      <c r="N869" s="194"/>
      <c r="O869" s="195"/>
      <c r="P869" s="195"/>
    </row>
    <row r="870">
      <c r="A870" s="199"/>
      <c r="B870" s="200"/>
      <c r="C870" s="194"/>
      <c r="D870" s="194"/>
      <c r="E870" s="194"/>
      <c r="F870" s="194"/>
      <c r="G870" s="194"/>
      <c r="H870" s="194"/>
      <c r="I870" s="194"/>
      <c r="J870" s="195"/>
      <c r="K870" s="201"/>
      <c r="L870" s="194"/>
      <c r="M870" s="194"/>
      <c r="N870" s="194"/>
      <c r="O870" s="195"/>
      <c r="P870" s="195"/>
    </row>
    <row r="871">
      <c r="A871" s="199"/>
      <c r="B871" s="200"/>
      <c r="C871" s="194"/>
      <c r="D871" s="194"/>
      <c r="E871" s="194"/>
      <c r="F871" s="194"/>
      <c r="G871" s="194"/>
      <c r="H871" s="194"/>
      <c r="I871" s="194"/>
      <c r="J871" s="195"/>
      <c r="K871" s="201"/>
      <c r="L871" s="194"/>
      <c r="M871" s="194"/>
      <c r="N871" s="194"/>
      <c r="O871" s="195"/>
      <c r="P871" s="195"/>
    </row>
    <row r="872">
      <c r="A872" s="199"/>
      <c r="B872" s="200"/>
      <c r="C872" s="194"/>
      <c r="D872" s="194"/>
      <c r="E872" s="194"/>
      <c r="F872" s="194"/>
      <c r="G872" s="194"/>
      <c r="H872" s="194"/>
      <c r="I872" s="194"/>
      <c r="J872" s="195"/>
      <c r="K872" s="201"/>
      <c r="L872" s="194"/>
      <c r="M872" s="194"/>
      <c r="N872" s="194"/>
      <c r="O872" s="195"/>
      <c r="P872" s="195"/>
    </row>
    <row r="873">
      <c r="A873" s="199"/>
      <c r="B873" s="200"/>
      <c r="C873" s="194"/>
      <c r="D873" s="194"/>
      <c r="E873" s="194"/>
      <c r="F873" s="194"/>
      <c r="G873" s="194"/>
      <c r="H873" s="194"/>
      <c r="I873" s="194"/>
      <c r="J873" s="195"/>
      <c r="K873" s="201"/>
      <c r="L873" s="194"/>
      <c r="M873" s="194"/>
      <c r="N873" s="194"/>
      <c r="O873" s="195"/>
      <c r="P873" s="195"/>
    </row>
    <row r="874">
      <c r="A874" s="199"/>
      <c r="B874" s="200"/>
      <c r="C874" s="194"/>
      <c r="D874" s="194"/>
      <c r="E874" s="194"/>
      <c r="F874" s="194"/>
      <c r="G874" s="194"/>
      <c r="H874" s="194"/>
      <c r="I874" s="194"/>
      <c r="J874" s="195"/>
      <c r="K874" s="201"/>
      <c r="L874" s="194"/>
      <c r="M874" s="194"/>
      <c r="N874" s="194"/>
      <c r="O874" s="195"/>
      <c r="P874" s="195"/>
    </row>
    <row r="875">
      <c r="A875" s="199"/>
      <c r="B875" s="200"/>
      <c r="C875" s="194"/>
      <c r="D875" s="194"/>
      <c r="E875" s="194"/>
      <c r="F875" s="194"/>
      <c r="G875" s="194"/>
      <c r="H875" s="194"/>
      <c r="I875" s="194"/>
      <c r="J875" s="195"/>
      <c r="K875" s="201"/>
      <c r="L875" s="194"/>
      <c r="M875" s="194"/>
      <c r="N875" s="194"/>
      <c r="O875" s="195"/>
      <c r="P875" s="195"/>
    </row>
    <row r="876">
      <c r="A876" s="199"/>
      <c r="B876" s="200"/>
      <c r="C876" s="194"/>
      <c r="D876" s="194"/>
      <c r="E876" s="194"/>
      <c r="F876" s="194"/>
      <c r="G876" s="194"/>
      <c r="H876" s="194"/>
      <c r="I876" s="194"/>
      <c r="J876" s="195"/>
      <c r="K876" s="201"/>
      <c r="L876" s="194"/>
      <c r="M876" s="194"/>
      <c r="N876" s="194"/>
      <c r="O876" s="195"/>
      <c r="P876" s="195"/>
    </row>
    <row r="877">
      <c r="A877" s="199"/>
      <c r="B877" s="200"/>
      <c r="C877" s="194"/>
      <c r="D877" s="194"/>
      <c r="E877" s="194"/>
      <c r="F877" s="194"/>
      <c r="G877" s="194"/>
      <c r="H877" s="194"/>
      <c r="I877" s="194"/>
      <c r="J877" s="195"/>
      <c r="K877" s="201"/>
      <c r="L877" s="194"/>
      <c r="M877" s="194"/>
      <c r="N877" s="194"/>
      <c r="O877" s="195"/>
      <c r="P877" s="195"/>
    </row>
    <row r="878">
      <c r="A878" s="199"/>
      <c r="B878" s="200"/>
      <c r="C878" s="194"/>
      <c r="D878" s="194"/>
      <c r="E878" s="194"/>
      <c r="F878" s="194"/>
      <c r="G878" s="194"/>
      <c r="H878" s="194"/>
      <c r="I878" s="194"/>
      <c r="J878" s="195"/>
      <c r="K878" s="201"/>
      <c r="L878" s="194"/>
      <c r="M878" s="194"/>
      <c r="N878" s="194"/>
      <c r="O878" s="195"/>
      <c r="P878" s="195"/>
    </row>
    <row r="879">
      <c r="A879" s="199"/>
      <c r="B879" s="200"/>
      <c r="C879" s="194"/>
      <c r="D879" s="194"/>
      <c r="E879" s="194"/>
      <c r="F879" s="194"/>
      <c r="G879" s="194"/>
      <c r="H879" s="194"/>
      <c r="I879" s="194"/>
      <c r="J879" s="195"/>
      <c r="K879" s="201"/>
      <c r="L879" s="194"/>
      <c r="M879" s="194"/>
      <c r="N879" s="194"/>
      <c r="O879" s="195"/>
      <c r="P879" s="195"/>
    </row>
    <row r="880">
      <c r="A880" s="199"/>
      <c r="B880" s="200"/>
      <c r="C880" s="194"/>
      <c r="D880" s="194"/>
      <c r="E880" s="194"/>
      <c r="F880" s="194"/>
      <c r="G880" s="194"/>
      <c r="H880" s="194"/>
      <c r="I880" s="194"/>
      <c r="J880" s="195"/>
      <c r="K880" s="201"/>
      <c r="L880" s="194"/>
      <c r="M880" s="194"/>
      <c r="N880" s="194"/>
      <c r="O880" s="195"/>
      <c r="P880" s="195"/>
    </row>
    <row r="881">
      <c r="A881" s="199"/>
      <c r="B881" s="200"/>
      <c r="C881" s="194"/>
      <c r="D881" s="194"/>
      <c r="E881" s="194"/>
      <c r="F881" s="194"/>
      <c r="G881" s="194"/>
      <c r="H881" s="194"/>
      <c r="I881" s="194"/>
      <c r="J881" s="195"/>
      <c r="K881" s="201"/>
      <c r="L881" s="194"/>
      <c r="M881" s="194"/>
      <c r="N881" s="194"/>
      <c r="O881" s="195"/>
      <c r="P881" s="195"/>
    </row>
    <row r="882">
      <c r="A882" s="199"/>
      <c r="B882" s="200"/>
      <c r="C882" s="194"/>
      <c r="D882" s="194"/>
      <c r="E882" s="194"/>
      <c r="F882" s="194"/>
      <c r="G882" s="194"/>
      <c r="H882" s="194"/>
      <c r="I882" s="194"/>
      <c r="J882" s="195"/>
      <c r="K882" s="201"/>
      <c r="L882" s="194"/>
      <c r="M882" s="194"/>
      <c r="N882" s="194"/>
      <c r="O882" s="195"/>
      <c r="P882" s="195"/>
    </row>
    <row r="883">
      <c r="A883" s="199"/>
      <c r="B883" s="200"/>
      <c r="C883" s="194"/>
      <c r="D883" s="194"/>
      <c r="E883" s="194"/>
      <c r="F883" s="194"/>
      <c r="G883" s="194"/>
      <c r="H883" s="194"/>
      <c r="I883" s="194"/>
      <c r="J883" s="195"/>
      <c r="K883" s="201"/>
      <c r="L883" s="194"/>
      <c r="M883" s="194"/>
      <c r="N883" s="194"/>
      <c r="O883" s="195"/>
      <c r="P883" s="195"/>
    </row>
    <row r="884">
      <c r="A884" s="199"/>
      <c r="B884" s="200"/>
      <c r="C884" s="194"/>
      <c r="D884" s="194"/>
      <c r="E884" s="194"/>
      <c r="F884" s="194"/>
      <c r="G884" s="194"/>
      <c r="H884" s="194"/>
      <c r="I884" s="194"/>
      <c r="J884" s="195"/>
      <c r="K884" s="201"/>
      <c r="L884" s="194"/>
      <c r="M884" s="194"/>
      <c r="N884" s="194"/>
      <c r="O884" s="195"/>
      <c r="P884" s="195"/>
    </row>
    <row r="885">
      <c r="A885" s="199"/>
      <c r="B885" s="200"/>
      <c r="C885" s="194"/>
      <c r="D885" s="194"/>
      <c r="E885" s="194"/>
      <c r="F885" s="194"/>
      <c r="G885" s="194"/>
      <c r="H885" s="194"/>
      <c r="I885" s="194"/>
      <c r="J885" s="195"/>
      <c r="K885" s="201"/>
      <c r="L885" s="194"/>
      <c r="M885" s="194"/>
      <c r="N885" s="194"/>
      <c r="O885" s="195"/>
      <c r="P885" s="195"/>
    </row>
    <row r="886">
      <c r="A886" s="199"/>
      <c r="B886" s="200"/>
      <c r="C886" s="194"/>
      <c r="D886" s="194"/>
      <c r="E886" s="194"/>
      <c r="F886" s="194"/>
      <c r="G886" s="194"/>
      <c r="H886" s="194"/>
      <c r="I886" s="194"/>
      <c r="J886" s="195"/>
      <c r="K886" s="201"/>
      <c r="L886" s="194"/>
      <c r="M886" s="194"/>
      <c r="N886" s="194"/>
      <c r="O886" s="195"/>
      <c r="P886" s="195"/>
    </row>
    <row r="887">
      <c r="A887" s="199"/>
      <c r="B887" s="200"/>
      <c r="C887" s="194"/>
      <c r="D887" s="194"/>
      <c r="E887" s="194"/>
      <c r="F887" s="194"/>
      <c r="G887" s="194"/>
      <c r="H887" s="194"/>
      <c r="I887" s="194"/>
      <c r="J887" s="195"/>
      <c r="K887" s="201"/>
      <c r="L887" s="194"/>
      <c r="M887" s="194"/>
      <c r="N887" s="194"/>
      <c r="O887" s="195"/>
      <c r="P887" s="195"/>
    </row>
    <row r="888">
      <c r="A888" s="199"/>
      <c r="B888" s="200"/>
      <c r="C888" s="194"/>
      <c r="D888" s="194"/>
      <c r="E888" s="194"/>
      <c r="F888" s="194"/>
      <c r="G888" s="194"/>
      <c r="H888" s="194"/>
      <c r="I888" s="194"/>
      <c r="J888" s="195"/>
      <c r="K888" s="201"/>
      <c r="L888" s="194"/>
      <c r="M888" s="194"/>
      <c r="N888" s="194"/>
      <c r="O888" s="195"/>
      <c r="P888" s="195"/>
    </row>
    <row r="889">
      <c r="A889" s="199"/>
      <c r="B889" s="200"/>
      <c r="C889" s="194"/>
      <c r="D889" s="194"/>
      <c r="E889" s="194"/>
      <c r="F889" s="194"/>
      <c r="G889" s="194"/>
      <c r="H889" s="194"/>
      <c r="I889" s="194"/>
      <c r="J889" s="195"/>
      <c r="K889" s="201"/>
      <c r="L889" s="194"/>
      <c r="M889" s="194"/>
      <c r="N889" s="194"/>
      <c r="O889" s="195"/>
      <c r="P889" s="195"/>
    </row>
    <row r="890">
      <c r="A890" s="199"/>
      <c r="B890" s="200"/>
      <c r="C890" s="194"/>
      <c r="D890" s="194"/>
      <c r="E890" s="194"/>
      <c r="F890" s="194"/>
      <c r="G890" s="194"/>
      <c r="H890" s="194"/>
      <c r="I890" s="194"/>
      <c r="J890" s="195"/>
      <c r="K890" s="201"/>
      <c r="L890" s="194"/>
      <c r="M890" s="194"/>
      <c r="N890" s="194"/>
      <c r="O890" s="195"/>
      <c r="P890" s="195"/>
    </row>
    <row r="891">
      <c r="A891" s="199"/>
      <c r="B891" s="200"/>
      <c r="C891" s="194"/>
      <c r="D891" s="194"/>
      <c r="E891" s="194"/>
      <c r="F891" s="194"/>
      <c r="G891" s="194"/>
      <c r="H891" s="194"/>
      <c r="I891" s="194"/>
      <c r="J891" s="195"/>
      <c r="K891" s="201"/>
      <c r="L891" s="194"/>
      <c r="M891" s="194"/>
      <c r="N891" s="194"/>
      <c r="O891" s="195"/>
      <c r="P891" s="195"/>
    </row>
    <row r="892">
      <c r="A892" s="199"/>
      <c r="B892" s="200"/>
      <c r="C892" s="194"/>
      <c r="D892" s="194"/>
      <c r="E892" s="194"/>
      <c r="F892" s="194"/>
      <c r="G892" s="194"/>
      <c r="H892" s="194"/>
      <c r="I892" s="194"/>
      <c r="J892" s="195"/>
      <c r="K892" s="201"/>
      <c r="L892" s="194"/>
      <c r="M892" s="194"/>
      <c r="N892" s="194"/>
      <c r="O892" s="195"/>
      <c r="P892" s="195"/>
    </row>
    <row r="893">
      <c r="A893" s="199"/>
      <c r="B893" s="200"/>
      <c r="C893" s="194"/>
      <c r="D893" s="194"/>
      <c r="E893" s="194"/>
      <c r="F893" s="194"/>
      <c r="G893" s="194"/>
      <c r="H893" s="194"/>
      <c r="I893" s="194"/>
      <c r="J893" s="195"/>
      <c r="K893" s="201"/>
      <c r="L893" s="194"/>
      <c r="M893" s="194"/>
      <c r="N893" s="194"/>
      <c r="O893" s="195"/>
      <c r="P893" s="195"/>
    </row>
    <row r="894">
      <c r="A894" s="199"/>
      <c r="B894" s="200"/>
      <c r="C894" s="194"/>
      <c r="D894" s="194"/>
      <c r="E894" s="194"/>
      <c r="F894" s="194"/>
      <c r="G894" s="194"/>
      <c r="H894" s="194"/>
      <c r="I894" s="194"/>
      <c r="J894" s="195"/>
      <c r="K894" s="201"/>
      <c r="L894" s="194"/>
      <c r="M894" s="194"/>
      <c r="N894" s="194"/>
      <c r="O894" s="195"/>
      <c r="P894" s="195"/>
    </row>
    <row r="895">
      <c r="A895" s="199"/>
      <c r="B895" s="200"/>
      <c r="C895" s="194"/>
      <c r="D895" s="194"/>
      <c r="E895" s="194"/>
      <c r="F895" s="194"/>
      <c r="G895" s="194"/>
      <c r="H895" s="194"/>
      <c r="I895" s="194"/>
      <c r="J895" s="195"/>
      <c r="K895" s="201"/>
      <c r="L895" s="194"/>
      <c r="M895" s="194"/>
      <c r="N895" s="194"/>
      <c r="O895" s="195"/>
      <c r="P895" s="195"/>
    </row>
    <row r="896">
      <c r="A896" s="199"/>
      <c r="B896" s="200"/>
      <c r="C896" s="194"/>
      <c r="D896" s="194"/>
      <c r="E896" s="194"/>
      <c r="F896" s="194"/>
      <c r="G896" s="194"/>
      <c r="H896" s="194"/>
      <c r="I896" s="194"/>
      <c r="J896" s="195"/>
      <c r="K896" s="201"/>
      <c r="L896" s="194"/>
      <c r="M896" s="194"/>
      <c r="N896" s="194"/>
      <c r="O896" s="195"/>
      <c r="P896" s="195"/>
    </row>
    <row r="897">
      <c r="A897" s="199"/>
      <c r="B897" s="200"/>
      <c r="C897" s="194"/>
      <c r="D897" s="194"/>
      <c r="E897" s="194"/>
      <c r="F897" s="194"/>
      <c r="G897" s="194"/>
      <c r="H897" s="194"/>
      <c r="I897" s="194"/>
      <c r="J897" s="195"/>
      <c r="K897" s="201"/>
      <c r="L897" s="194"/>
      <c r="M897" s="194"/>
      <c r="N897" s="194"/>
      <c r="O897" s="195"/>
      <c r="P897" s="195"/>
    </row>
    <row r="898">
      <c r="A898" s="199"/>
      <c r="B898" s="200"/>
      <c r="C898" s="194"/>
      <c r="D898" s="194"/>
      <c r="E898" s="194"/>
      <c r="F898" s="194"/>
      <c r="G898" s="194"/>
      <c r="H898" s="194"/>
      <c r="I898" s="194"/>
      <c r="J898" s="195"/>
      <c r="K898" s="201"/>
      <c r="L898" s="194"/>
      <c r="M898" s="194"/>
      <c r="N898" s="194"/>
      <c r="O898" s="195"/>
      <c r="P898" s="195"/>
    </row>
    <row r="899">
      <c r="A899" s="199"/>
      <c r="B899" s="200"/>
      <c r="C899" s="194"/>
      <c r="D899" s="194"/>
      <c r="E899" s="194"/>
      <c r="F899" s="194"/>
      <c r="G899" s="194"/>
      <c r="H899" s="194"/>
      <c r="I899" s="194"/>
      <c r="J899" s="195"/>
      <c r="K899" s="201"/>
      <c r="L899" s="194"/>
      <c r="M899" s="194"/>
      <c r="N899" s="194"/>
      <c r="O899" s="195"/>
      <c r="P899" s="195"/>
    </row>
    <row r="900">
      <c r="A900" s="199"/>
      <c r="B900" s="200"/>
      <c r="C900" s="194"/>
      <c r="D900" s="194"/>
      <c r="E900" s="194"/>
      <c r="F900" s="194"/>
      <c r="G900" s="194"/>
      <c r="H900" s="194"/>
      <c r="I900" s="194"/>
      <c r="J900" s="195"/>
      <c r="K900" s="201"/>
      <c r="L900" s="194"/>
      <c r="M900" s="194"/>
      <c r="N900" s="194"/>
      <c r="O900" s="195"/>
      <c r="P900" s="195"/>
    </row>
    <row r="901">
      <c r="A901" s="199"/>
      <c r="B901" s="200"/>
      <c r="C901" s="194"/>
      <c r="D901" s="194"/>
      <c r="E901" s="194"/>
      <c r="F901" s="194"/>
      <c r="G901" s="194"/>
      <c r="H901" s="194"/>
      <c r="I901" s="194"/>
      <c r="J901" s="195"/>
      <c r="K901" s="201"/>
      <c r="L901" s="194"/>
      <c r="M901" s="194"/>
      <c r="N901" s="194"/>
      <c r="O901" s="195"/>
      <c r="P901" s="195"/>
    </row>
    <row r="902">
      <c r="A902" s="199"/>
      <c r="B902" s="200"/>
      <c r="C902" s="194"/>
      <c r="D902" s="194"/>
      <c r="E902" s="194"/>
      <c r="F902" s="194"/>
      <c r="G902" s="194"/>
      <c r="H902" s="194"/>
      <c r="I902" s="194"/>
      <c r="J902" s="195"/>
      <c r="K902" s="201"/>
      <c r="L902" s="194"/>
      <c r="M902" s="194"/>
      <c r="N902" s="194"/>
      <c r="O902" s="195"/>
      <c r="P902" s="195"/>
    </row>
    <row r="903">
      <c r="A903" s="199"/>
      <c r="B903" s="200"/>
      <c r="C903" s="194"/>
      <c r="D903" s="194"/>
      <c r="E903" s="194"/>
      <c r="F903" s="194"/>
      <c r="G903" s="194"/>
      <c r="H903" s="194"/>
      <c r="I903" s="194"/>
      <c r="J903" s="195"/>
      <c r="K903" s="201"/>
      <c r="L903" s="194"/>
      <c r="M903" s="194"/>
      <c r="N903" s="194"/>
      <c r="O903" s="195"/>
      <c r="P903" s="195"/>
    </row>
    <row r="904">
      <c r="A904" s="199"/>
      <c r="B904" s="200"/>
      <c r="C904" s="194"/>
      <c r="D904" s="194"/>
      <c r="E904" s="194"/>
      <c r="F904" s="194"/>
      <c r="G904" s="194"/>
      <c r="H904" s="194"/>
      <c r="I904" s="194"/>
      <c r="J904" s="195"/>
      <c r="K904" s="201"/>
      <c r="L904" s="194"/>
      <c r="M904" s="194"/>
      <c r="N904" s="194"/>
      <c r="O904" s="195"/>
      <c r="P904" s="195"/>
    </row>
    <row r="905">
      <c r="A905" s="199"/>
      <c r="B905" s="200"/>
      <c r="C905" s="194"/>
      <c r="D905" s="194"/>
      <c r="E905" s="194"/>
      <c r="F905" s="194"/>
      <c r="G905" s="194"/>
      <c r="H905" s="194"/>
      <c r="I905" s="194"/>
      <c r="J905" s="195"/>
      <c r="K905" s="201"/>
      <c r="L905" s="194"/>
      <c r="M905" s="194"/>
      <c r="N905" s="194"/>
      <c r="O905" s="195"/>
      <c r="P905" s="195"/>
    </row>
    <row r="906">
      <c r="A906" s="199"/>
      <c r="B906" s="200"/>
      <c r="C906" s="194"/>
      <c r="D906" s="194"/>
      <c r="E906" s="194"/>
      <c r="F906" s="194"/>
      <c r="G906" s="194"/>
      <c r="H906" s="194"/>
      <c r="I906" s="194"/>
      <c r="J906" s="195"/>
      <c r="K906" s="201"/>
      <c r="L906" s="194"/>
      <c r="M906" s="194"/>
      <c r="N906" s="194"/>
      <c r="O906" s="195"/>
      <c r="P906" s="195"/>
    </row>
    <row r="907">
      <c r="A907" s="199"/>
      <c r="B907" s="200"/>
      <c r="C907" s="194"/>
      <c r="D907" s="194"/>
      <c r="E907" s="194"/>
      <c r="F907" s="194"/>
      <c r="G907" s="194"/>
      <c r="H907" s="194"/>
      <c r="I907" s="194"/>
      <c r="J907" s="195"/>
      <c r="K907" s="201"/>
      <c r="L907" s="194"/>
      <c r="M907" s="194"/>
      <c r="N907" s="194"/>
      <c r="O907" s="195"/>
      <c r="P907" s="195"/>
    </row>
    <row r="908">
      <c r="A908" s="199"/>
      <c r="B908" s="200"/>
      <c r="C908" s="194"/>
      <c r="D908" s="194"/>
      <c r="E908" s="194"/>
      <c r="F908" s="194"/>
      <c r="G908" s="194"/>
      <c r="H908" s="194"/>
      <c r="I908" s="194"/>
      <c r="J908" s="195"/>
      <c r="K908" s="201"/>
      <c r="L908" s="194"/>
      <c r="M908" s="194"/>
      <c r="N908" s="194"/>
      <c r="O908" s="195"/>
      <c r="P908" s="195"/>
    </row>
    <row r="909">
      <c r="A909" s="199"/>
      <c r="B909" s="200"/>
      <c r="C909" s="194"/>
      <c r="D909" s="194"/>
      <c r="E909" s="194"/>
      <c r="F909" s="194"/>
      <c r="G909" s="194"/>
      <c r="H909" s="194"/>
      <c r="I909" s="194"/>
      <c r="J909" s="195"/>
      <c r="K909" s="201"/>
      <c r="L909" s="194"/>
      <c r="M909" s="194"/>
      <c r="N909" s="194"/>
      <c r="O909" s="195"/>
      <c r="P909" s="195"/>
    </row>
    <row r="910">
      <c r="A910" s="199"/>
      <c r="B910" s="200"/>
      <c r="C910" s="194"/>
      <c r="D910" s="194"/>
      <c r="E910" s="194"/>
      <c r="F910" s="194"/>
      <c r="G910" s="194"/>
      <c r="H910" s="194"/>
      <c r="I910" s="194"/>
      <c r="J910" s="195"/>
      <c r="K910" s="201"/>
      <c r="L910" s="194"/>
      <c r="M910" s="194"/>
      <c r="N910" s="194"/>
      <c r="O910" s="195"/>
      <c r="P910" s="195"/>
    </row>
    <row r="911">
      <c r="A911" s="199"/>
      <c r="B911" s="200"/>
      <c r="C911" s="194"/>
      <c r="D911" s="194"/>
      <c r="E911" s="194"/>
      <c r="F911" s="194"/>
      <c r="G911" s="194"/>
      <c r="H911" s="194"/>
      <c r="I911" s="194"/>
      <c r="J911" s="195"/>
      <c r="K911" s="201"/>
      <c r="L911" s="194"/>
      <c r="M911" s="194"/>
      <c r="N911" s="194"/>
      <c r="O911" s="195"/>
      <c r="P911" s="195"/>
    </row>
    <row r="912">
      <c r="A912" s="199"/>
      <c r="B912" s="200"/>
      <c r="C912" s="194"/>
      <c r="D912" s="194"/>
      <c r="E912" s="194"/>
      <c r="F912" s="194"/>
      <c r="G912" s="194"/>
      <c r="H912" s="194"/>
      <c r="I912" s="194"/>
      <c r="J912" s="195"/>
      <c r="K912" s="201"/>
      <c r="L912" s="194"/>
      <c r="M912" s="194"/>
      <c r="N912" s="194"/>
      <c r="O912" s="195"/>
      <c r="P912" s="195"/>
    </row>
    <row r="913">
      <c r="A913" s="199"/>
      <c r="B913" s="200"/>
      <c r="C913" s="194"/>
      <c r="D913" s="194"/>
      <c r="E913" s="194"/>
      <c r="F913" s="194"/>
      <c r="G913" s="194"/>
      <c r="H913" s="194"/>
      <c r="I913" s="194"/>
      <c r="J913" s="195"/>
      <c r="K913" s="201"/>
      <c r="L913" s="194"/>
      <c r="M913" s="194"/>
      <c r="N913" s="194"/>
      <c r="O913" s="195"/>
      <c r="P913" s="195"/>
    </row>
    <row r="914">
      <c r="A914" s="199"/>
      <c r="B914" s="200"/>
      <c r="C914" s="194"/>
      <c r="D914" s="194"/>
      <c r="E914" s="194"/>
      <c r="F914" s="194"/>
      <c r="G914" s="194"/>
      <c r="H914" s="194"/>
      <c r="I914" s="194"/>
      <c r="J914" s="195"/>
      <c r="K914" s="201"/>
      <c r="L914" s="194"/>
      <c r="M914" s="194"/>
      <c r="N914" s="194"/>
      <c r="O914" s="195"/>
      <c r="P914" s="195"/>
    </row>
    <row r="915">
      <c r="A915" s="199"/>
      <c r="B915" s="200"/>
      <c r="C915" s="194"/>
      <c r="D915" s="194"/>
      <c r="E915" s="194"/>
      <c r="F915" s="194"/>
      <c r="G915" s="194"/>
      <c r="H915" s="194"/>
      <c r="I915" s="194"/>
      <c r="J915" s="195"/>
      <c r="K915" s="201"/>
      <c r="L915" s="194"/>
      <c r="M915" s="194"/>
      <c r="N915" s="194"/>
      <c r="O915" s="195"/>
      <c r="P915" s="195"/>
    </row>
    <row r="916">
      <c r="A916" s="199"/>
      <c r="B916" s="200"/>
      <c r="C916" s="194"/>
      <c r="D916" s="194"/>
      <c r="E916" s="194"/>
      <c r="F916" s="194"/>
      <c r="G916" s="194"/>
      <c r="H916" s="194"/>
      <c r="I916" s="194"/>
      <c r="J916" s="195"/>
      <c r="K916" s="201"/>
      <c r="L916" s="194"/>
      <c r="M916" s="194"/>
      <c r="N916" s="194"/>
      <c r="O916" s="195"/>
      <c r="P916" s="195"/>
    </row>
    <row r="917">
      <c r="A917" s="199"/>
      <c r="B917" s="200"/>
      <c r="C917" s="194"/>
      <c r="D917" s="194"/>
      <c r="E917" s="194"/>
      <c r="F917" s="194"/>
      <c r="G917" s="194"/>
      <c r="H917" s="194"/>
      <c r="I917" s="194"/>
      <c r="J917" s="195"/>
      <c r="K917" s="201"/>
      <c r="L917" s="194"/>
      <c r="M917" s="194"/>
      <c r="N917" s="194"/>
      <c r="O917" s="195"/>
      <c r="P917" s="195"/>
    </row>
    <row r="918">
      <c r="A918" s="199"/>
      <c r="B918" s="200"/>
      <c r="C918" s="194"/>
      <c r="D918" s="194"/>
      <c r="E918" s="194"/>
      <c r="F918" s="194"/>
      <c r="G918" s="194"/>
      <c r="H918" s="194"/>
      <c r="I918" s="194"/>
      <c r="J918" s="195"/>
      <c r="K918" s="201"/>
      <c r="L918" s="194"/>
      <c r="M918" s="194"/>
      <c r="N918" s="194"/>
      <c r="O918" s="195"/>
      <c r="P918" s="195"/>
    </row>
    <row r="919">
      <c r="A919" s="199"/>
      <c r="B919" s="200"/>
      <c r="C919" s="194"/>
      <c r="D919" s="194"/>
      <c r="E919" s="194"/>
      <c r="F919" s="194"/>
      <c r="G919" s="194"/>
      <c r="H919" s="194"/>
      <c r="I919" s="194"/>
      <c r="J919" s="195"/>
      <c r="K919" s="201"/>
      <c r="L919" s="194"/>
      <c r="M919" s="194"/>
      <c r="N919" s="194"/>
      <c r="O919" s="195"/>
      <c r="P919" s="195"/>
    </row>
    <row r="920">
      <c r="A920" s="199"/>
      <c r="B920" s="200"/>
      <c r="C920" s="194"/>
      <c r="D920" s="194"/>
      <c r="E920" s="194"/>
      <c r="F920" s="194"/>
      <c r="G920" s="194"/>
      <c r="H920" s="194"/>
      <c r="I920" s="194"/>
      <c r="J920" s="195"/>
      <c r="K920" s="201"/>
      <c r="L920" s="194"/>
      <c r="M920" s="194"/>
      <c r="N920" s="194"/>
      <c r="O920" s="195"/>
      <c r="P920" s="195"/>
    </row>
    <row r="921">
      <c r="A921" s="199"/>
      <c r="B921" s="200"/>
      <c r="C921" s="194"/>
      <c r="D921" s="194"/>
      <c r="E921" s="194"/>
      <c r="F921" s="194"/>
      <c r="G921" s="194"/>
      <c r="H921" s="194"/>
      <c r="I921" s="194"/>
      <c r="J921" s="195"/>
      <c r="K921" s="201"/>
      <c r="L921" s="194"/>
      <c r="M921" s="194"/>
      <c r="N921" s="194"/>
      <c r="O921" s="195"/>
      <c r="P921" s="195"/>
    </row>
    <row r="922">
      <c r="A922" s="199"/>
      <c r="B922" s="200"/>
      <c r="C922" s="194"/>
      <c r="D922" s="194"/>
      <c r="E922" s="194"/>
      <c r="F922" s="194"/>
      <c r="G922" s="194"/>
      <c r="H922" s="194"/>
      <c r="I922" s="194"/>
      <c r="J922" s="195"/>
      <c r="K922" s="201"/>
      <c r="L922" s="194"/>
      <c r="M922" s="194"/>
      <c r="N922" s="194"/>
      <c r="O922" s="195"/>
      <c r="P922" s="195"/>
    </row>
    <row r="923">
      <c r="A923" s="199"/>
      <c r="B923" s="200"/>
      <c r="C923" s="194"/>
      <c r="D923" s="194"/>
      <c r="E923" s="194"/>
      <c r="F923" s="194"/>
      <c r="G923" s="194"/>
      <c r="H923" s="194"/>
      <c r="I923" s="194"/>
      <c r="J923" s="195"/>
      <c r="K923" s="201"/>
      <c r="L923" s="194"/>
      <c r="M923" s="194"/>
      <c r="N923" s="194"/>
      <c r="O923" s="195"/>
      <c r="P923" s="195"/>
    </row>
    <row r="924">
      <c r="A924" s="199"/>
      <c r="B924" s="200"/>
      <c r="C924" s="194"/>
      <c r="D924" s="194"/>
      <c r="E924" s="194"/>
      <c r="F924" s="194"/>
      <c r="G924" s="194"/>
      <c r="H924" s="194"/>
      <c r="I924" s="194"/>
      <c r="J924" s="195"/>
      <c r="K924" s="201"/>
      <c r="L924" s="194"/>
      <c r="M924" s="194"/>
      <c r="N924" s="194"/>
      <c r="O924" s="195"/>
      <c r="P924" s="195"/>
    </row>
    <row r="925">
      <c r="A925" s="199"/>
      <c r="B925" s="200"/>
      <c r="C925" s="194"/>
      <c r="D925" s="194"/>
      <c r="E925" s="194"/>
      <c r="F925" s="194"/>
      <c r="G925" s="194"/>
      <c r="H925" s="194"/>
      <c r="I925" s="194"/>
      <c r="J925" s="195"/>
      <c r="K925" s="201"/>
      <c r="L925" s="194"/>
      <c r="M925" s="194"/>
      <c r="N925" s="194"/>
      <c r="O925" s="195"/>
      <c r="P925" s="195"/>
    </row>
    <row r="926">
      <c r="A926" s="199"/>
      <c r="B926" s="200"/>
      <c r="C926" s="194"/>
      <c r="D926" s="194"/>
      <c r="E926" s="194"/>
      <c r="F926" s="194"/>
      <c r="G926" s="194"/>
      <c r="H926" s="194"/>
      <c r="I926" s="194"/>
      <c r="J926" s="195"/>
      <c r="K926" s="201"/>
      <c r="L926" s="194"/>
      <c r="M926" s="194"/>
      <c r="N926" s="194"/>
      <c r="O926" s="195"/>
      <c r="P926" s="195"/>
    </row>
    <row r="927">
      <c r="A927" s="199"/>
      <c r="B927" s="200"/>
      <c r="C927" s="194"/>
      <c r="D927" s="194"/>
      <c r="E927" s="194"/>
      <c r="F927" s="194"/>
      <c r="G927" s="194"/>
      <c r="H927" s="194"/>
      <c r="I927" s="194"/>
      <c r="J927" s="195"/>
      <c r="K927" s="201"/>
      <c r="L927" s="194"/>
      <c r="M927" s="194"/>
      <c r="N927" s="194"/>
      <c r="O927" s="195"/>
      <c r="P927" s="195"/>
    </row>
    <row r="928">
      <c r="A928" s="199"/>
      <c r="B928" s="200"/>
      <c r="C928" s="194"/>
      <c r="D928" s="194"/>
      <c r="E928" s="194"/>
      <c r="F928" s="194"/>
      <c r="G928" s="194"/>
      <c r="H928" s="194"/>
      <c r="I928" s="194"/>
      <c r="J928" s="195"/>
      <c r="K928" s="201"/>
      <c r="L928" s="194"/>
      <c r="M928" s="194"/>
      <c r="N928" s="194"/>
      <c r="O928" s="195"/>
      <c r="P928" s="195"/>
    </row>
    <row r="929">
      <c r="A929" s="199"/>
      <c r="B929" s="200"/>
      <c r="C929" s="194"/>
      <c r="D929" s="194"/>
      <c r="E929" s="194"/>
      <c r="F929" s="194"/>
      <c r="G929" s="194"/>
      <c r="H929" s="194"/>
      <c r="I929" s="194"/>
      <c r="J929" s="195"/>
      <c r="K929" s="201"/>
      <c r="L929" s="194"/>
      <c r="M929" s="194"/>
      <c r="N929" s="194"/>
      <c r="O929" s="195"/>
      <c r="P929" s="195"/>
    </row>
    <row r="930">
      <c r="A930" s="199"/>
      <c r="B930" s="200"/>
      <c r="C930" s="194"/>
      <c r="D930" s="194"/>
      <c r="E930" s="194"/>
      <c r="F930" s="194"/>
      <c r="G930" s="194"/>
      <c r="H930" s="194"/>
      <c r="I930" s="194"/>
      <c r="J930" s="195"/>
      <c r="K930" s="201"/>
      <c r="L930" s="194"/>
      <c r="M930" s="194"/>
      <c r="N930" s="194"/>
      <c r="O930" s="195"/>
      <c r="P930" s="195"/>
    </row>
    <row r="931">
      <c r="A931" s="199"/>
      <c r="B931" s="200"/>
      <c r="C931" s="194"/>
      <c r="D931" s="194"/>
      <c r="E931" s="194"/>
      <c r="F931" s="194"/>
      <c r="G931" s="194"/>
      <c r="H931" s="194"/>
      <c r="I931" s="194"/>
      <c r="J931" s="195"/>
      <c r="K931" s="201"/>
      <c r="L931" s="194"/>
      <c r="M931" s="194"/>
      <c r="N931" s="194"/>
      <c r="O931" s="195"/>
      <c r="P931" s="195"/>
    </row>
    <row r="932">
      <c r="A932" s="199"/>
      <c r="B932" s="200"/>
      <c r="C932" s="194"/>
      <c r="D932" s="194"/>
      <c r="E932" s="194"/>
      <c r="F932" s="194"/>
      <c r="G932" s="194"/>
      <c r="H932" s="194"/>
      <c r="I932" s="194"/>
      <c r="J932" s="195"/>
      <c r="K932" s="201"/>
      <c r="L932" s="194"/>
      <c r="M932" s="194"/>
      <c r="N932" s="194"/>
      <c r="O932" s="195"/>
      <c r="P932" s="195"/>
    </row>
    <row r="933">
      <c r="A933" s="199"/>
      <c r="B933" s="200"/>
      <c r="C933" s="194"/>
      <c r="D933" s="194"/>
      <c r="E933" s="194"/>
      <c r="F933" s="194"/>
      <c r="G933" s="194"/>
      <c r="H933" s="194"/>
      <c r="I933" s="194"/>
      <c r="J933" s="195"/>
      <c r="K933" s="201"/>
      <c r="L933" s="194"/>
      <c r="M933" s="194"/>
      <c r="N933" s="194"/>
      <c r="O933" s="195"/>
      <c r="P933" s="195"/>
    </row>
    <row r="934">
      <c r="A934" s="199"/>
      <c r="B934" s="200"/>
      <c r="C934" s="194"/>
      <c r="D934" s="194"/>
      <c r="E934" s="194"/>
      <c r="F934" s="194"/>
      <c r="G934" s="194"/>
      <c r="H934" s="194"/>
      <c r="I934" s="194"/>
      <c r="J934" s="195"/>
      <c r="K934" s="201"/>
      <c r="L934" s="194"/>
      <c r="M934" s="194"/>
      <c r="N934" s="194"/>
      <c r="O934" s="195"/>
      <c r="P934" s="195"/>
    </row>
    <row r="935">
      <c r="A935" s="199"/>
      <c r="B935" s="200"/>
      <c r="C935" s="194"/>
      <c r="D935" s="194"/>
      <c r="E935" s="194"/>
      <c r="F935" s="194"/>
      <c r="G935" s="194"/>
      <c r="H935" s="194"/>
      <c r="I935" s="194"/>
      <c r="J935" s="195"/>
      <c r="K935" s="201"/>
      <c r="L935" s="194"/>
      <c r="M935" s="194"/>
      <c r="N935" s="194"/>
      <c r="O935" s="195"/>
      <c r="P935" s="195"/>
    </row>
    <row r="936">
      <c r="A936" s="199"/>
      <c r="B936" s="200"/>
      <c r="C936" s="194"/>
      <c r="D936" s="194"/>
      <c r="E936" s="194"/>
      <c r="F936" s="194"/>
      <c r="G936" s="194"/>
      <c r="H936" s="194"/>
      <c r="I936" s="194"/>
      <c r="J936" s="195"/>
      <c r="K936" s="201"/>
      <c r="L936" s="194"/>
      <c r="M936" s="194"/>
      <c r="N936" s="194"/>
      <c r="O936" s="195"/>
      <c r="P936" s="195"/>
    </row>
    <row r="937">
      <c r="A937" s="199"/>
      <c r="B937" s="200"/>
      <c r="C937" s="194"/>
      <c r="D937" s="194"/>
      <c r="E937" s="194"/>
      <c r="F937" s="194"/>
      <c r="G937" s="194"/>
      <c r="H937" s="194"/>
      <c r="I937" s="194"/>
      <c r="J937" s="195"/>
      <c r="K937" s="201"/>
      <c r="L937" s="194"/>
      <c r="M937" s="194"/>
      <c r="N937" s="194"/>
      <c r="O937" s="195"/>
      <c r="P937" s="195"/>
    </row>
    <row r="938">
      <c r="A938" s="199"/>
      <c r="B938" s="200"/>
      <c r="C938" s="194"/>
      <c r="D938" s="194"/>
      <c r="E938" s="194"/>
      <c r="F938" s="194"/>
      <c r="G938" s="194"/>
      <c r="H938" s="194"/>
      <c r="I938" s="194"/>
      <c r="J938" s="195"/>
      <c r="K938" s="201"/>
      <c r="L938" s="194"/>
      <c r="M938" s="194"/>
      <c r="N938" s="194"/>
      <c r="O938" s="195"/>
      <c r="P938" s="195"/>
    </row>
    <row r="939">
      <c r="A939" s="199"/>
      <c r="B939" s="200"/>
      <c r="C939" s="194"/>
      <c r="D939" s="194"/>
      <c r="E939" s="194"/>
      <c r="F939" s="194"/>
      <c r="G939" s="194"/>
      <c r="H939" s="194"/>
      <c r="I939" s="194"/>
      <c r="J939" s="195"/>
      <c r="K939" s="201"/>
      <c r="L939" s="194"/>
      <c r="M939" s="194"/>
      <c r="N939" s="194"/>
      <c r="O939" s="195"/>
      <c r="P939" s="195"/>
    </row>
    <row r="940">
      <c r="A940" s="199"/>
      <c r="B940" s="200"/>
      <c r="C940" s="194"/>
      <c r="D940" s="194"/>
      <c r="E940" s="194"/>
      <c r="F940" s="194"/>
      <c r="G940" s="194"/>
      <c r="H940" s="194"/>
      <c r="I940" s="194"/>
      <c r="J940" s="195"/>
      <c r="K940" s="201"/>
      <c r="L940" s="194"/>
      <c r="M940" s="194"/>
      <c r="N940" s="194"/>
      <c r="O940" s="195"/>
      <c r="P940" s="195"/>
    </row>
    <row r="941">
      <c r="A941" s="199"/>
      <c r="B941" s="200"/>
      <c r="C941" s="194"/>
      <c r="D941" s="194"/>
      <c r="E941" s="194"/>
      <c r="F941" s="194"/>
      <c r="G941" s="194"/>
      <c r="H941" s="194"/>
      <c r="I941" s="194"/>
      <c r="J941" s="195"/>
      <c r="K941" s="201"/>
      <c r="L941" s="194"/>
      <c r="M941" s="194"/>
      <c r="N941" s="194"/>
      <c r="O941" s="195"/>
      <c r="P941" s="195"/>
    </row>
    <row r="942">
      <c r="A942" s="199"/>
      <c r="B942" s="200"/>
      <c r="C942" s="194"/>
      <c r="D942" s="194"/>
      <c r="E942" s="194"/>
      <c r="F942" s="194"/>
      <c r="G942" s="194"/>
      <c r="H942" s="194"/>
      <c r="I942" s="194"/>
      <c r="J942" s="195"/>
      <c r="K942" s="201"/>
      <c r="L942" s="194"/>
      <c r="M942" s="194"/>
      <c r="N942" s="194"/>
      <c r="O942" s="195"/>
      <c r="P942" s="195"/>
    </row>
    <row r="943">
      <c r="A943" s="199"/>
      <c r="B943" s="200"/>
      <c r="C943" s="194"/>
      <c r="D943" s="194"/>
      <c r="E943" s="194"/>
      <c r="F943" s="194"/>
      <c r="G943" s="194"/>
      <c r="H943" s="194"/>
      <c r="I943" s="194"/>
      <c r="J943" s="195"/>
      <c r="K943" s="201"/>
      <c r="L943" s="194"/>
      <c r="M943" s="194"/>
      <c r="N943" s="194"/>
      <c r="O943" s="195"/>
      <c r="P943" s="195"/>
    </row>
    <row r="944">
      <c r="A944" s="199"/>
      <c r="B944" s="200"/>
      <c r="C944" s="194"/>
      <c r="D944" s="194"/>
      <c r="E944" s="194"/>
      <c r="F944" s="194"/>
      <c r="G944" s="194"/>
      <c r="H944" s="194"/>
      <c r="I944" s="194"/>
      <c r="J944" s="195"/>
      <c r="K944" s="201"/>
      <c r="L944" s="194"/>
      <c r="M944" s="194"/>
      <c r="N944" s="194"/>
      <c r="O944" s="195"/>
      <c r="P944" s="195"/>
    </row>
    <row r="945">
      <c r="A945" s="199"/>
      <c r="B945" s="200"/>
      <c r="C945" s="194"/>
      <c r="D945" s="194"/>
      <c r="E945" s="194"/>
      <c r="F945" s="194"/>
      <c r="G945" s="194"/>
      <c r="H945" s="194"/>
      <c r="I945" s="194"/>
      <c r="J945" s="195"/>
      <c r="K945" s="201"/>
      <c r="L945" s="194"/>
      <c r="M945" s="194"/>
      <c r="N945" s="194"/>
      <c r="O945" s="195"/>
      <c r="P945" s="195"/>
    </row>
    <row r="946">
      <c r="A946" s="199"/>
      <c r="B946" s="200"/>
      <c r="C946" s="194"/>
      <c r="D946" s="194"/>
      <c r="E946" s="194"/>
      <c r="F946" s="194"/>
      <c r="G946" s="194"/>
      <c r="H946" s="194"/>
      <c r="I946" s="194"/>
      <c r="J946" s="195"/>
      <c r="K946" s="201"/>
      <c r="L946" s="194"/>
      <c r="M946" s="194"/>
      <c r="N946" s="194"/>
      <c r="O946" s="195"/>
      <c r="P946" s="195"/>
    </row>
    <row r="947">
      <c r="A947" s="199"/>
      <c r="B947" s="200"/>
      <c r="C947" s="194"/>
      <c r="D947" s="194"/>
      <c r="E947" s="194"/>
      <c r="F947" s="194"/>
      <c r="G947" s="194"/>
      <c r="H947" s="194"/>
      <c r="I947" s="194"/>
      <c r="J947" s="195"/>
      <c r="K947" s="201"/>
      <c r="L947" s="194"/>
      <c r="M947" s="194"/>
      <c r="N947" s="194"/>
      <c r="O947" s="195"/>
      <c r="P947" s="195"/>
    </row>
    <row r="948">
      <c r="A948" s="199"/>
      <c r="B948" s="200"/>
      <c r="C948" s="194"/>
      <c r="D948" s="194"/>
      <c r="E948" s="194"/>
      <c r="F948" s="194"/>
      <c r="G948" s="194"/>
      <c r="H948" s="194"/>
      <c r="I948" s="194"/>
      <c r="J948" s="195"/>
      <c r="K948" s="201"/>
      <c r="L948" s="194"/>
      <c r="M948" s="194"/>
      <c r="N948" s="194"/>
      <c r="O948" s="195"/>
      <c r="P948" s="195"/>
    </row>
    <row r="949">
      <c r="A949" s="199"/>
      <c r="B949" s="200"/>
      <c r="C949" s="194"/>
      <c r="D949" s="194"/>
      <c r="E949" s="194"/>
      <c r="F949" s="194"/>
      <c r="G949" s="194"/>
      <c r="H949" s="194"/>
      <c r="I949" s="194"/>
      <c r="J949" s="195"/>
      <c r="K949" s="201"/>
      <c r="L949" s="194"/>
      <c r="M949" s="194"/>
      <c r="N949" s="194"/>
      <c r="O949" s="195"/>
      <c r="P949" s="195"/>
    </row>
    <row r="950">
      <c r="A950" s="199"/>
      <c r="B950" s="200"/>
      <c r="C950" s="194"/>
      <c r="D950" s="194"/>
      <c r="E950" s="194"/>
      <c r="F950" s="194"/>
      <c r="G950" s="194"/>
      <c r="H950" s="194"/>
      <c r="I950" s="194"/>
      <c r="J950" s="195"/>
      <c r="K950" s="201"/>
      <c r="L950" s="194"/>
      <c r="M950" s="194"/>
      <c r="N950" s="194"/>
      <c r="O950" s="195"/>
      <c r="P950" s="195"/>
    </row>
    <row r="951">
      <c r="A951" s="199"/>
      <c r="B951" s="200"/>
      <c r="C951" s="194"/>
      <c r="D951" s="194"/>
      <c r="E951" s="194"/>
      <c r="F951" s="194"/>
      <c r="G951" s="194"/>
      <c r="H951" s="194"/>
      <c r="I951" s="194"/>
      <c r="J951" s="195"/>
      <c r="K951" s="201"/>
      <c r="L951" s="194"/>
      <c r="M951" s="194"/>
      <c r="N951" s="194"/>
      <c r="O951" s="195"/>
      <c r="P951" s="195"/>
    </row>
    <row r="952">
      <c r="A952" s="199"/>
      <c r="B952" s="200"/>
      <c r="C952" s="194"/>
      <c r="D952" s="194"/>
      <c r="E952" s="194"/>
      <c r="F952" s="194"/>
      <c r="G952" s="194"/>
      <c r="H952" s="194"/>
      <c r="I952" s="194"/>
      <c r="J952" s="195"/>
      <c r="K952" s="201"/>
      <c r="L952" s="194"/>
      <c r="M952" s="194"/>
      <c r="N952" s="194"/>
      <c r="O952" s="195"/>
      <c r="P952" s="195"/>
    </row>
    <row r="953">
      <c r="A953" s="199"/>
      <c r="B953" s="200"/>
      <c r="C953" s="194"/>
      <c r="D953" s="194"/>
      <c r="E953" s="194"/>
      <c r="F953" s="194"/>
      <c r="G953" s="194"/>
      <c r="H953" s="194"/>
      <c r="I953" s="194"/>
      <c r="J953" s="195"/>
      <c r="K953" s="201"/>
      <c r="L953" s="194"/>
      <c r="M953" s="194"/>
      <c r="N953" s="194"/>
      <c r="O953" s="195"/>
      <c r="P953" s="195"/>
    </row>
    <row r="954">
      <c r="A954" s="199"/>
      <c r="B954" s="200"/>
      <c r="C954" s="194"/>
      <c r="D954" s="194"/>
      <c r="E954" s="194"/>
      <c r="F954" s="194"/>
      <c r="G954" s="194"/>
      <c r="H954" s="194"/>
      <c r="I954" s="194"/>
      <c r="J954" s="195"/>
      <c r="K954" s="201"/>
      <c r="L954" s="194"/>
      <c r="M954" s="194"/>
      <c r="N954" s="194"/>
      <c r="O954" s="195"/>
      <c r="P954" s="195"/>
    </row>
    <row r="955">
      <c r="A955" s="199"/>
      <c r="B955" s="200"/>
      <c r="C955" s="194"/>
      <c r="D955" s="194"/>
      <c r="E955" s="194"/>
      <c r="F955" s="194"/>
      <c r="G955" s="194"/>
      <c r="H955" s="194"/>
      <c r="I955" s="194"/>
      <c r="J955" s="195"/>
      <c r="K955" s="201"/>
      <c r="L955" s="194"/>
      <c r="M955" s="194"/>
      <c r="N955" s="194"/>
      <c r="O955" s="195"/>
      <c r="P955" s="195"/>
    </row>
    <row r="956">
      <c r="A956" s="199"/>
      <c r="B956" s="200"/>
      <c r="C956" s="194"/>
      <c r="D956" s="194"/>
      <c r="E956" s="194"/>
      <c r="F956" s="194"/>
      <c r="G956" s="194"/>
      <c r="H956" s="194"/>
      <c r="I956" s="194"/>
      <c r="J956" s="195"/>
      <c r="K956" s="201"/>
      <c r="L956" s="194"/>
      <c r="M956" s="194"/>
      <c r="N956" s="194"/>
      <c r="O956" s="195"/>
      <c r="P956" s="195"/>
    </row>
    <row r="957">
      <c r="A957" s="199"/>
      <c r="B957" s="200"/>
      <c r="C957" s="194"/>
      <c r="D957" s="194"/>
      <c r="E957" s="194"/>
      <c r="F957" s="194"/>
      <c r="G957" s="194"/>
      <c r="H957" s="194"/>
      <c r="I957" s="194"/>
      <c r="J957" s="195"/>
      <c r="K957" s="201"/>
      <c r="L957" s="194"/>
      <c r="M957" s="194"/>
      <c r="N957" s="194"/>
      <c r="O957" s="195"/>
      <c r="P957" s="195"/>
    </row>
    <row r="958">
      <c r="A958" s="199"/>
      <c r="B958" s="200"/>
      <c r="C958" s="194"/>
      <c r="D958" s="194"/>
      <c r="E958" s="194"/>
      <c r="F958" s="194"/>
      <c r="G958" s="194"/>
      <c r="H958" s="194"/>
      <c r="I958" s="194"/>
      <c r="J958" s="195"/>
      <c r="K958" s="201"/>
      <c r="L958" s="194"/>
      <c r="M958" s="194"/>
      <c r="N958" s="194"/>
      <c r="O958" s="195"/>
      <c r="P958" s="195"/>
    </row>
    <row r="959">
      <c r="A959" s="199"/>
      <c r="B959" s="200"/>
      <c r="C959" s="194"/>
      <c r="D959" s="194"/>
      <c r="E959" s="194"/>
      <c r="F959" s="194"/>
      <c r="G959" s="194"/>
      <c r="H959" s="194"/>
      <c r="I959" s="194"/>
      <c r="J959" s="195"/>
      <c r="K959" s="201"/>
      <c r="L959" s="194"/>
      <c r="M959" s="194"/>
      <c r="N959" s="194"/>
      <c r="O959" s="195"/>
      <c r="P959" s="195"/>
    </row>
    <row r="960">
      <c r="A960" s="199"/>
      <c r="B960" s="200"/>
      <c r="C960" s="194"/>
      <c r="D960" s="194"/>
      <c r="E960" s="194"/>
      <c r="F960" s="194"/>
      <c r="G960" s="194"/>
      <c r="H960" s="194"/>
      <c r="I960" s="194"/>
      <c r="J960" s="195"/>
      <c r="K960" s="201"/>
      <c r="L960" s="194"/>
      <c r="M960" s="194"/>
      <c r="N960" s="194"/>
      <c r="O960" s="195"/>
      <c r="P960" s="195"/>
    </row>
    <row r="961">
      <c r="A961" s="199"/>
      <c r="B961" s="200"/>
      <c r="C961" s="194"/>
      <c r="D961" s="194"/>
      <c r="E961" s="194"/>
      <c r="F961" s="194"/>
      <c r="G961" s="194"/>
      <c r="H961" s="194"/>
      <c r="I961" s="194"/>
      <c r="J961" s="195"/>
      <c r="K961" s="201"/>
      <c r="L961" s="194"/>
      <c r="M961" s="194"/>
      <c r="N961" s="194"/>
      <c r="O961" s="195"/>
      <c r="P961" s="195"/>
    </row>
    <row r="962">
      <c r="A962" s="199"/>
      <c r="B962" s="200"/>
      <c r="C962" s="194"/>
      <c r="D962" s="194"/>
      <c r="E962" s="194"/>
      <c r="F962" s="194"/>
      <c r="G962" s="194"/>
      <c r="H962" s="194"/>
      <c r="I962" s="194"/>
      <c r="J962" s="195"/>
      <c r="K962" s="201"/>
      <c r="L962" s="194"/>
      <c r="M962" s="194"/>
      <c r="N962" s="194"/>
      <c r="O962" s="195"/>
      <c r="P962" s="195"/>
    </row>
    <row r="963">
      <c r="A963" s="199"/>
      <c r="B963" s="200"/>
      <c r="C963" s="194"/>
      <c r="D963" s="194"/>
      <c r="E963" s="194"/>
      <c r="F963" s="194"/>
      <c r="G963" s="194"/>
      <c r="H963" s="194"/>
      <c r="I963" s="194"/>
      <c r="J963" s="195"/>
      <c r="K963" s="201"/>
      <c r="L963" s="194"/>
      <c r="M963" s="194"/>
      <c r="N963" s="194"/>
      <c r="O963" s="195"/>
      <c r="P963" s="195"/>
    </row>
    <row r="964">
      <c r="A964" s="199"/>
      <c r="B964" s="200"/>
      <c r="C964" s="194"/>
      <c r="D964" s="194"/>
      <c r="E964" s="194"/>
      <c r="F964" s="194"/>
      <c r="G964" s="194"/>
      <c r="H964" s="194"/>
      <c r="I964" s="194"/>
      <c r="J964" s="195"/>
      <c r="K964" s="201"/>
      <c r="L964" s="194"/>
      <c r="M964" s="194"/>
      <c r="N964" s="194"/>
      <c r="O964" s="195"/>
      <c r="P964" s="195"/>
    </row>
    <row r="965">
      <c r="A965" s="199"/>
      <c r="B965" s="200"/>
      <c r="C965" s="194"/>
      <c r="D965" s="194"/>
      <c r="E965" s="194"/>
      <c r="F965" s="194"/>
      <c r="G965" s="194"/>
      <c r="H965" s="194"/>
      <c r="I965" s="194"/>
      <c r="J965" s="195"/>
      <c r="K965" s="201"/>
      <c r="L965" s="194"/>
      <c r="M965" s="194"/>
      <c r="N965" s="194"/>
      <c r="O965" s="195"/>
      <c r="P965" s="195"/>
    </row>
    <row r="966">
      <c r="A966" s="199"/>
      <c r="B966" s="200"/>
      <c r="C966" s="194"/>
      <c r="D966" s="194"/>
      <c r="E966" s="194"/>
      <c r="F966" s="194"/>
      <c r="G966" s="194"/>
      <c r="H966" s="194"/>
      <c r="I966" s="194"/>
      <c r="J966" s="195"/>
      <c r="K966" s="201"/>
      <c r="L966" s="194"/>
      <c r="M966" s="194"/>
      <c r="N966" s="194"/>
      <c r="O966" s="195"/>
      <c r="P966" s="195"/>
    </row>
    <row r="967">
      <c r="A967" s="199"/>
      <c r="B967" s="200"/>
      <c r="C967" s="194"/>
      <c r="D967" s="194"/>
      <c r="E967" s="194"/>
      <c r="F967" s="194"/>
      <c r="G967" s="194"/>
      <c r="H967" s="194"/>
      <c r="I967" s="194"/>
      <c r="J967" s="195"/>
      <c r="K967" s="201"/>
      <c r="L967" s="194"/>
      <c r="M967" s="194"/>
      <c r="N967" s="194"/>
      <c r="O967" s="195"/>
      <c r="P967" s="195"/>
    </row>
    <row r="968">
      <c r="A968" s="199"/>
      <c r="B968" s="200"/>
      <c r="C968" s="194"/>
      <c r="D968" s="194"/>
      <c r="E968" s="194"/>
      <c r="F968" s="194"/>
      <c r="G968" s="194"/>
      <c r="H968" s="194"/>
      <c r="I968" s="194"/>
      <c r="J968" s="195"/>
      <c r="K968" s="201"/>
      <c r="L968" s="194"/>
      <c r="M968" s="194"/>
      <c r="N968" s="194"/>
      <c r="O968" s="195"/>
      <c r="P968" s="195"/>
    </row>
    <row r="969">
      <c r="A969" s="199"/>
      <c r="B969" s="200"/>
      <c r="C969" s="194"/>
      <c r="D969" s="194"/>
      <c r="E969" s="194"/>
      <c r="F969" s="194"/>
      <c r="G969" s="194"/>
      <c r="H969" s="194"/>
      <c r="I969" s="194"/>
      <c r="J969" s="195"/>
      <c r="K969" s="201"/>
      <c r="L969" s="194"/>
      <c r="M969" s="194"/>
      <c r="N969" s="194"/>
      <c r="O969" s="195"/>
      <c r="P969" s="195"/>
    </row>
    <row r="970">
      <c r="A970" s="199"/>
      <c r="B970" s="200"/>
      <c r="C970" s="194"/>
      <c r="D970" s="194"/>
      <c r="E970" s="194"/>
      <c r="F970" s="194"/>
      <c r="G970" s="194"/>
      <c r="H970" s="194"/>
      <c r="I970" s="194"/>
      <c r="J970" s="195"/>
      <c r="K970" s="201"/>
      <c r="L970" s="194"/>
      <c r="M970" s="194"/>
      <c r="N970" s="194"/>
      <c r="O970" s="195"/>
      <c r="P970" s="195"/>
    </row>
    <row r="971">
      <c r="A971" s="199"/>
      <c r="B971" s="200"/>
      <c r="C971" s="194"/>
      <c r="D971" s="194"/>
      <c r="E971" s="194"/>
      <c r="F971" s="194"/>
      <c r="G971" s="194"/>
      <c r="H971" s="194"/>
      <c r="I971" s="194"/>
      <c r="J971" s="195"/>
      <c r="K971" s="201"/>
      <c r="L971" s="194"/>
      <c r="M971" s="194"/>
      <c r="N971" s="194"/>
      <c r="O971" s="195"/>
      <c r="P971" s="195"/>
    </row>
    <row r="972">
      <c r="A972" s="199"/>
      <c r="B972" s="200"/>
      <c r="C972" s="194"/>
      <c r="D972" s="194"/>
      <c r="E972" s="194"/>
      <c r="F972" s="194"/>
      <c r="G972" s="194"/>
      <c r="H972" s="194"/>
      <c r="I972" s="194"/>
      <c r="J972" s="195"/>
      <c r="K972" s="201"/>
      <c r="L972" s="194"/>
      <c r="M972" s="194"/>
      <c r="N972" s="194"/>
      <c r="O972" s="195"/>
      <c r="P972" s="195"/>
    </row>
    <row r="973">
      <c r="A973" s="199"/>
      <c r="B973" s="200"/>
      <c r="C973" s="194"/>
      <c r="D973" s="194"/>
      <c r="E973" s="194"/>
      <c r="F973" s="194"/>
      <c r="G973" s="194"/>
      <c r="H973" s="194"/>
      <c r="I973" s="194"/>
      <c r="J973" s="195"/>
      <c r="K973" s="201"/>
      <c r="L973" s="194"/>
      <c r="M973" s="194"/>
      <c r="N973" s="194"/>
      <c r="O973" s="195"/>
      <c r="P973" s="195"/>
    </row>
    <row r="974">
      <c r="A974" s="199"/>
      <c r="B974" s="200"/>
      <c r="C974" s="194"/>
      <c r="D974" s="194"/>
      <c r="E974" s="194"/>
      <c r="F974" s="194"/>
      <c r="G974" s="194"/>
      <c r="H974" s="194"/>
      <c r="I974" s="194"/>
      <c r="J974" s="195"/>
      <c r="K974" s="201"/>
      <c r="L974" s="194"/>
      <c r="M974" s="194"/>
      <c r="N974" s="194"/>
      <c r="O974" s="195"/>
      <c r="P974" s="195"/>
    </row>
    <row r="975">
      <c r="A975" s="199"/>
      <c r="B975" s="200"/>
      <c r="C975" s="194"/>
      <c r="D975" s="194"/>
      <c r="E975" s="194"/>
      <c r="F975" s="194"/>
      <c r="G975" s="194"/>
      <c r="H975" s="194"/>
      <c r="I975" s="194"/>
      <c r="J975" s="195"/>
      <c r="K975" s="201"/>
      <c r="L975" s="194"/>
      <c r="M975" s="194"/>
      <c r="N975" s="194"/>
      <c r="O975" s="195"/>
      <c r="P975" s="195"/>
    </row>
    <row r="976">
      <c r="A976" s="199"/>
      <c r="B976" s="200"/>
      <c r="C976" s="194"/>
      <c r="D976" s="194"/>
      <c r="E976" s="194"/>
      <c r="F976" s="194"/>
      <c r="G976" s="194"/>
      <c r="H976" s="194"/>
      <c r="I976" s="194"/>
      <c r="J976" s="195"/>
      <c r="K976" s="201"/>
      <c r="L976" s="194"/>
      <c r="M976" s="194"/>
      <c r="N976" s="194"/>
      <c r="O976" s="195"/>
      <c r="P976" s="195"/>
    </row>
    <row r="977">
      <c r="A977" s="199"/>
      <c r="B977" s="200"/>
      <c r="C977" s="194"/>
      <c r="D977" s="194"/>
      <c r="E977" s="194"/>
      <c r="F977" s="194"/>
      <c r="G977" s="194"/>
      <c r="H977" s="194"/>
      <c r="I977" s="194"/>
      <c r="J977" s="195"/>
      <c r="K977" s="201"/>
      <c r="L977" s="194"/>
      <c r="M977" s="194"/>
      <c r="N977" s="194"/>
      <c r="O977" s="195"/>
      <c r="P977" s="195"/>
    </row>
    <row r="978">
      <c r="A978" s="199"/>
      <c r="B978" s="200"/>
      <c r="C978" s="194"/>
      <c r="D978" s="194"/>
      <c r="E978" s="194"/>
      <c r="F978" s="194"/>
      <c r="G978" s="194"/>
      <c r="H978" s="194"/>
      <c r="I978" s="194"/>
      <c r="J978" s="195"/>
      <c r="K978" s="201"/>
      <c r="L978" s="194"/>
      <c r="M978" s="194"/>
      <c r="N978" s="194"/>
      <c r="O978" s="195"/>
      <c r="P978" s="195"/>
    </row>
    <row r="979">
      <c r="A979" s="199"/>
      <c r="B979" s="200"/>
      <c r="C979" s="194"/>
      <c r="D979" s="194"/>
      <c r="E979" s="194"/>
      <c r="F979" s="194"/>
      <c r="G979" s="194"/>
      <c r="H979" s="194"/>
      <c r="I979" s="194"/>
      <c r="J979" s="195"/>
      <c r="K979" s="201"/>
      <c r="L979" s="194"/>
      <c r="M979" s="194"/>
      <c r="N979" s="194"/>
      <c r="O979" s="195"/>
      <c r="P979" s="195"/>
    </row>
    <row r="980">
      <c r="A980" s="199"/>
      <c r="B980" s="200"/>
      <c r="C980" s="194"/>
      <c r="D980" s="194"/>
      <c r="E980" s="194"/>
      <c r="F980" s="194"/>
      <c r="G980" s="194"/>
      <c r="H980" s="194"/>
      <c r="I980" s="194"/>
      <c r="J980" s="195"/>
      <c r="K980" s="201"/>
      <c r="L980" s="194"/>
      <c r="M980" s="194"/>
      <c r="N980" s="194"/>
      <c r="O980" s="195"/>
      <c r="P980" s="195"/>
    </row>
    <row r="981">
      <c r="A981" s="199"/>
      <c r="B981" s="200"/>
      <c r="C981" s="194"/>
      <c r="D981" s="194"/>
      <c r="E981" s="194"/>
      <c r="F981" s="194"/>
      <c r="G981" s="194"/>
      <c r="H981" s="194"/>
      <c r="I981" s="194"/>
      <c r="J981" s="195"/>
      <c r="K981" s="201"/>
      <c r="L981" s="194"/>
      <c r="M981" s="194"/>
      <c r="N981" s="194"/>
      <c r="O981" s="195"/>
      <c r="P981" s="195"/>
    </row>
    <row r="982">
      <c r="A982" s="199"/>
      <c r="B982" s="200"/>
      <c r="C982" s="194"/>
      <c r="D982" s="194"/>
      <c r="E982" s="194"/>
      <c r="F982" s="194"/>
      <c r="G982" s="194"/>
      <c r="H982" s="194"/>
      <c r="I982" s="194"/>
      <c r="J982" s="195"/>
      <c r="K982" s="201"/>
      <c r="L982" s="194"/>
      <c r="M982" s="194"/>
      <c r="N982" s="194"/>
      <c r="O982" s="195"/>
      <c r="P982" s="195"/>
    </row>
    <row r="983">
      <c r="A983" s="199"/>
      <c r="B983" s="200"/>
      <c r="C983" s="194"/>
      <c r="D983" s="194"/>
      <c r="E983" s="194"/>
      <c r="F983" s="194"/>
      <c r="G983" s="194"/>
      <c r="H983" s="194"/>
      <c r="I983" s="194"/>
      <c r="J983" s="195"/>
      <c r="K983" s="201"/>
      <c r="L983" s="194"/>
      <c r="M983" s="194"/>
      <c r="N983" s="194"/>
      <c r="O983" s="195"/>
      <c r="P983" s="195"/>
    </row>
    <row r="984">
      <c r="A984" s="199"/>
      <c r="B984" s="200"/>
      <c r="C984" s="194"/>
      <c r="D984" s="194"/>
      <c r="E984" s="194"/>
      <c r="F984" s="194"/>
      <c r="G984" s="194"/>
      <c r="H984" s="194"/>
      <c r="I984" s="194"/>
      <c r="J984" s="195"/>
      <c r="K984" s="201"/>
      <c r="L984" s="194"/>
      <c r="M984" s="194"/>
      <c r="N984" s="194"/>
      <c r="O984" s="195"/>
      <c r="P984" s="195"/>
    </row>
    <row r="985">
      <c r="A985" s="199"/>
      <c r="B985" s="200"/>
      <c r="C985" s="194"/>
      <c r="D985" s="194"/>
      <c r="E985" s="194"/>
      <c r="F985" s="194"/>
      <c r="G985" s="194"/>
      <c r="H985" s="194"/>
      <c r="I985" s="194"/>
      <c r="J985" s="195"/>
      <c r="K985" s="201"/>
      <c r="L985" s="194"/>
      <c r="M985" s="194"/>
      <c r="N985" s="194"/>
      <c r="O985" s="195"/>
      <c r="P985" s="195"/>
    </row>
    <row r="986">
      <c r="A986" s="199"/>
      <c r="B986" s="200"/>
      <c r="C986" s="194"/>
      <c r="D986" s="194"/>
      <c r="E986" s="194"/>
      <c r="F986" s="194"/>
      <c r="G986" s="194"/>
      <c r="H986" s="194"/>
      <c r="I986" s="194"/>
      <c r="J986" s="195"/>
      <c r="K986" s="201"/>
      <c r="L986" s="194"/>
      <c r="M986" s="194"/>
      <c r="N986" s="194"/>
      <c r="O986" s="195"/>
      <c r="P986" s="195"/>
    </row>
    <row r="987">
      <c r="A987" s="199"/>
      <c r="B987" s="200"/>
      <c r="C987" s="194"/>
      <c r="D987" s="194"/>
      <c r="E987" s="194"/>
      <c r="F987" s="194"/>
      <c r="G987" s="194"/>
      <c r="H987" s="194"/>
      <c r="I987" s="194"/>
      <c r="J987" s="195"/>
      <c r="K987" s="201"/>
      <c r="L987" s="194"/>
      <c r="M987" s="194"/>
      <c r="N987" s="194"/>
      <c r="O987" s="195"/>
      <c r="P987" s="195"/>
    </row>
    <row r="988">
      <c r="A988" s="199"/>
      <c r="B988" s="200"/>
      <c r="C988" s="194"/>
      <c r="D988" s="194"/>
      <c r="E988" s="194"/>
      <c r="F988" s="194"/>
      <c r="G988" s="194"/>
      <c r="H988" s="194"/>
      <c r="I988" s="194"/>
      <c r="J988" s="195"/>
      <c r="K988" s="201"/>
      <c r="L988" s="194"/>
      <c r="M988" s="194"/>
      <c r="N988" s="194"/>
      <c r="O988" s="195"/>
      <c r="P988" s="195"/>
    </row>
    <row r="989">
      <c r="A989" s="199"/>
      <c r="B989" s="200"/>
      <c r="C989" s="194"/>
      <c r="D989" s="194"/>
      <c r="E989" s="194"/>
      <c r="F989" s="194"/>
      <c r="G989" s="194"/>
      <c r="H989" s="194"/>
      <c r="I989" s="194"/>
      <c r="J989" s="195"/>
      <c r="K989" s="201"/>
      <c r="L989" s="194"/>
      <c r="M989" s="194"/>
      <c r="N989" s="194"/>
      <c r="O989" s="195"/>
      <c r="P989" s="195"/>
    </row>
    <row r="990">
      <c r="A990" s="199"/>
      <c r="B990" s="200"/>
      <c r="C990" s="194"/>
      <c r="D990" s="194"/>
      <c r="E990" s="194"/>
      <c r="F990" s="194"/>
      <c r="G990" s="194"/>
      <c r="H990" s="194"/>
      <c r="I990" s="194"/>
      <c r="J990" s="195"/>
      <c r="K990" s="201"/>
      <c r="L990" s="194"/>
      <c r="M990" s="194"/>
      <c r="N990" s="194"/>
      <c r="O990" s="195"/>
      <c r="P990" s="195"/>
    </row>
    <row r="991">
      <c r="A991" s="199"/>
      <c r="B991" s="200"/>
      <c r="C991" s="194"/>
      <c r="D991" s="194"/>
      <c r="E991" s="194"/>
      <c r="F991" s="194"/>
      <c r="G991" s="194"/>
      <c r="H991" s="194"/>
      <c r="I991" s="194"/>
      <c r="J991" s="195"/>
      <c r="K991" s="201"/>
      <c r="L991" s="194"/>
      <c r="M991" s="194"/>
      <c r="N991" s="194"/>
      <c r="O991" s="195"/>
      <c r="P991" s="195"/>
    </row>
    <row r="992">
      <c r="A992" s="199"/>
      <c r="B992" s="200"/>
      <c r="C992" s="194"/>
      <c r="D992" s="194"/>
      <c r="E992" s="194"/>
      <c r="F992" s="194"/>
      <c r="G992" s="194"/>
      <c r="H992" s="194"/>
      <c r="I992" s="194"/>
      <c r="J992" s="195"/>
      <c r="K992" s="201"/>
      <c r="L992" s="194"/>
      <c r="M992" s="194"/>
      <c r="N992" s="194"/>
      <c r="O992" s="195"/>
      <c r="P992" s="195"/>
    </row>
    <row r="993">
      <c r="A993" s="199"/>
      <c r="B993" s="200"/>
      <c r="C993" s="194"/>
      <c r="D993" s="194"/>
      <c r="E993" s="194"/>
      <c r="F993" s="194"/>
      <c r="G993" s="194"/>
      <c r="H993" s="194"/>
      <c r="I993" s="194"/>
      <c r="J993" s="195"/>
      <c r="K993" s="201"/>
      <c r="L993" s="194"/>
      <c r="M993" s="194"/>
      <c r="N993" s="194"/>
      <c r="O993" s="195"/>
      <c r="P993" s="195"/>
    </row>
    <row r="994">
      <c r="A994" s="199"/>
      <c r="B994" s="200"/>
      <c r="C994" s="194"/>
      <c r="D994" s="194"/>
      <c r="E994" s="194"/>
      <c r="F994" s="194"/>
      <c r="G994" s="194"/>
      <c r="H994" s="194"/>
      <c r="I994" s="194"/>
      <c r="J994" s="195"/>
      <c r="K994" s="201"/>
      <c r="L994" s="194"/>
      <c r="M994" s="194"/>
      <c r="N994" s="194"/>
      <c r="O994" s="195"/>
      <c r="P994" s="195"/>
    </row>
    <row r="995">
      <c r="A995" s="199"/>
      <c r="B995" s="200"/>
      <c r="C995" s="194"/>
      <c r="D995" s="194"/>
      <c r="E995" s="194"/>
      <c r="F995" s="194"/>
      <c r="G995" s="194"/>
      <c r="H995" s="194"/>
      <c r="I995" s="194"/>
      <c r="J995" s="195"/>
      <c r="K995" s="201"/>
      <c r="L995" s="194"/>
      <c r="M995" s="194"/>
      <c r="N995" s="194"/>
      <c r="O995" s="195"/>
      <c r="P995" s="195"/>
    </row>
    <row r="996">
      <c r="A996" s="199"/>
      <c r="B996" s="200"/>
      <c r="C996" s="194"/>
      <c r="D996" s="194"/>
      <c r="E996" s="194"/>
      <c r="F996" s="194"/>
      <c r="G996" s="194"/>
      <c r="H996" s="194"/>
      <c r="I996" s="194"/>
      <c r="J996" s="195"/>
      <c r="K996" s="201"/>
      <c r="L996" s="194"/>
      <c r="M996" s="194"/>
      <c r="N996" s="194"/>
      <c r="O996" s="195"/>
      <c r="P996" s="195"/>
    </row>
    <row r="997">
      <c r="A997" s="199"/>
      <c r="B997" s="200"/>
      <c r="C997" s="194"/>
      <c r="D997" s="194"/>
      <c r="E997" s="194"/>
      <c r="F997" s="194"/>
      <c r="G997" s="194"/>
      <c r="H997" s="194"/>
      <c r="I997" s="194"/>
      <c r="J997" s="195"/>
      <c r="K997" s="201"/>
      <c r="L997" s="194"/>
      <c r="M997" s="194"/>
      <c r="N997" s="194"/>
      <c r="O997" s="195"/>
      <c r="P997" s="195"/>
    </row>
    <row r="998">
      <c r="A998" s="199"/>
      <c r="B998" s="200"/>
      <c r="C998" s="194"/>
      <c r="D998" s="194"/>
      <c r="E998" s="194"/>
      <c r="F998" s="194"/>
      <c r="G998" s="194"/>
      <c r="H998" s="194"/>
      <c r="I998" s="194"/>
      <c r="J998" s="195"/>
      <c r="K998" s="201"/>
      <c r="L998" s="194"/>
      <c r="M998" s="194"/>
      <c r="N998" s="194"/>
      <c r="O998" s="195"/>
      <c r="P998" s="195"/>
    </row>
    <row r="999">
      <c r="A999" s="199"/>
      <c r="B999" s="200"/>
      <c r="C999" s="194"/>
      <c r="D999" s="194"/>
      <c r="E999" s="194"/>
      <c r="F999" s="194"/>
      <c r="G999" s="194"/>
      <c r="H999" s="194"/>
      <c r="I999" s="194"/>
      <c r="J999" s="195"/>
      <c r="K999" s="201"/>
      <c r="L999" s="194"/>
      <c r="M999" s="194"/>
      <c r="N999" s="194"/>
      <c r="O999" s="195"/>
      <c r="P999" s="195"/>
    </row>
    <row r="1000">
      <c r="A1000" s="199"/>
      <c r="B1000" s="200"/>
      <c r="C1000" s="194"/>
      <c r="D1000" s="194"/>
      <c r="E1000" s="194"/>
      <c r="F1000" s="194"/>
      <c r="G1000" s="194"/>
      <c r="H1000" s="194"/>
      <c r="I1000" s="194"/>
      <c r="J1000" s="195"/>
      <c r="K1000" s="201"/>
      <c r="L1000" s="194"/>
      <c r="M1000" s="194"/>
      <c r="N1000" s="194"/>
      <c r="O1000" s="195"/>
      <c r="P1000" s="195"/>
    </row>
    <row r="1001">
      <c r="A1001" s="199"/>
      <c r="B1001" s="200"/>
      <c r="C1001" s="194"/>
      <c r="D1001" s="194"/>
      <c r="E1001" s="194"/>
      <c r="F1001" s="194"/>
      <c r="G1001" s="194"/>
      <c r="H1001" s="194"/>
      <c r="I1001" s="194"/>
      <c r="J1001" s="195"/>
      <c r="K1001" s="201"/>
      <c r="L1001" s="194"/>
      <c r="M1001" s="194"/>
      <c r="N1001" s="194"/>
      <c r="O1001" s="195"/>
      <c r="P1001" s="195"/>
    </row>
    <row r="1002">
      <c r="A1002" s="199"/>
      <c r="B1002" s="200"/>
      <c r="C1002" s="194"/>
      <c r="D1002" s="194"/>
      <c r="E1002" s="194"/>
      <c r="F1002" s="194"/>
      <c r="G1002" s="194"/>
      <c r="H1002" s="194"/>
      <c r="I1002" s="194"/>
      <c r="J1002" s="195"/>
      <c r="K1002" s="201"/>
      <c r="L1002" s="194"/>
      <c r="M1002" s="194"/>
      <c r="N1002" s="194"/>
      <c r="O1002" s="195"/>
      <c r="P1002" s="195"/>
    </row>
    <row r="1003">
      <c r="A1003" s="199"/>
      <c r="B1003" s="200"/>
      <c r="C1003" s="194"/>
      <c r="D1003" s="194"/>
      <c r="E1003" s="194"/>
      <c r="F1003" s="194"/>
      <c r="G1003" s="194"/>
      <c r="H1003" s="194"/>
      <c r="I1003" s="194"/>
      <c r="J1003" s="195"/>
      <c r="K1003" s="201"/>
      <c r="L1003" s="194"/>
      <c r="M1003" s="194"/>
      <c r="N1003" s="194"/>
      <c r="O1003" s="195"/>
      <c r="P1003" s="195"/>
    </row>
    <row r="1004">
      <c r="A1004" s="199"/>
      <c r="B1004" s="200"/>
      <c r="C1004" s="194"/>
      <c r="D1004" s="194"/>
      <c r="E1004" s="194"/>
      <c r="F1004" s="194"/>
      <c r="G1004" s="194"/>
      <c r="H1004" s="194"/>
      <c r="I1004" s="194"/>
      <c r="J1004" s="195"/>
      <c r="K1004" s="201"/>
      <c r="L1004" s="194"/>
      <c r="M1004" s="194"/>
      <c r="N1004" s="194"/>
      <c r="O1004" s="195"/>
      <c r="P1004" s="195"/>
    </row>
    <row r="1005">
      <c r="A1005" s="199"/>
      <c r="B1005" s="200"/>
      <c r="C1005" s="194"/>
      <c r="D1005" s="194"/>
      <c r="E1005" s="194"/>
      <c r="F1005" s="194"/>
      <c r="G1005" s="194"/>
      <c r="H1005" s="194"/>
      <c r="I1005" s="194"/>
      <c r="J1005" s="195"/>
      <c r="K1005" s="201"/>
      <c r="L1005" s="194"/>
      <c r="M1005" s="194"/>
      <c r="N1005" s="194"/>
      <c r="O1005" s="195"/>
      <c r="P1005" s="195"/>
    </row>
    <row r="1006">
      <c r="A1006" s="199"/>
      <c r="B1006" s="200"/>
      <c r="C1006" s="194"/>
      <c r="D1006" s="194"/>
      <c r="E1006" s="194"/>
      <c r="F1006" s="194"/>
      <c r="G1006" s="194"/>
      <c r="H1006" s="194"/>
      <c r="I1006" s="194"/>
      <c r="J1006" s="195"/>
      <c r="K1006" s="201"/>
      <c r="L1006" s="194"/>
      <c r="M1006" s="194"/>
      <c r="N1006" s="194"/>
      <c r="O1006" s="195"/>
      <c r="P1006" s="195"/>
    </row>
    <row r="1007">
      <c r="A1007" s="199"/>
      <c r="B1007" s="200"/>
      <c r="C1007" s="194"/>
      <c r="D1007" s="194"/>
      <c r="E1007" s="194"/>
      <c r="F1007" s="194"/>
      <c r="G1007" s="194"/>
      <c r="H1007" s="194"/>
      <c r="I1007" s="194"/>
      <c r="J1007" s="195"/>
      <c r="K1007" s="201"/>
      <c r="L1007" s="194"/>
      <c r="M1007" s="194"/>
      <c r="N1007" s="194"/>
      <c r="O1007" s="195"/>
      <c r="P1007" s="195"/>
    </row>
    <row r="1008">
      <c r="A1008" s="199"/>
      <c r="B1008" s="200"/>
      <c r="C1008" s="194"/>
      <c r="D1008" s="194"/>
      <c r="E1008" s="194"/>
      <c r="F1008" s="194"/>
      <c r="G1008" s="194"/>
      <c r="H1008" s="194"/>
      <c r="I1008" s="194"/>
      <c r="J1008" s="195"/>
      <c r="K1008" s="201"/>
      <c r="L1008" s="194"/>
      <c r="M1008" s="194"/>
      <c r="N1008" s="194"/>
      <c r="O1008" s="195"/>
      <c r="P1008" s="195"/>
    </row>
    <row r="1009">
      <c r="A1009" s="199"/>
      <c r="B1009" s="200"/>
      <c r="C1009" s="194"/>
      <c r="D1009" s="194"/>
      <c r="E1009" s="194"/>
      <c r="F1009" s="194"/>
      <c r="G1009" s="194"/>
      <c r="H1009" s="194"/>
      <c r="I1009" s="194"/>
      <c r="J1009" s="195"/>
      <c r="K1009" s="201"/>
      <c r="L1009" s="194"/>
      <c r="M1009" s="194"/>
      <c r="N1009" s="194"/>
      <c r="O1009" s="195"/>
      <c r="P1009" s="195"/>
    </row>
    <row r="1010">
      <c r="A1010" s="199"/>
      <c r="B1010" s="200"/>
      <c r="C1010" s="194"/>
      <c r="D1010" s="194"/>
      <c r="E1010" s="194"/>
      <c r="F1010" s="194"/>
      <c r="G1010" s="194"/>
      <c r="H1010" s="194"/>
      <c r="I1010" s="194"/>
      <c r="J1010" s="195"/>
      <c r="K1010" s="201"/>
      <c r="L1010" s="194"/>
      <c r="M1010" s="194"/>
      <c r="N1010" s="194"/>
      <c r="O1010" s="195"/>
      <c r="P1010" s="195"/>
    </row>
    <row r="1011">
      <c r="A1011" s="199"/>
      <c r="B1011" s="200"/>
      <c r="C1011" s="194"/>
      <c r="D1011" s="194"/>
      <c r="E1011" s="194"/>
      <c r="F1011" s="194"/>
      <c r="G1011" s="194"/>
      <c r="H1011" s="194"/>
      <c r="I1011" s="194"/>
      <c r="J1011" s="195"/>
      <c r="K1011" s="201"/>
      <c r="L1011" s="194"/>
      <c r="M1011" s="194"/>
      <c r="N1011" s="194"/>
      <c r="O1011" s="195"/>
      <c r="P1011" s="195"/>
    </row>
    <row r="1012">
      <c r="A1012" s="199"/>
      <c r="B1012" s="200"/>
      <c r="C1012" s="194"/>
      <c r="D1012" s="194"/>
      <c r="E1012" s="194"/>
      <c r="F1012" s="194"/>
      <c r="G1012" s="194"/>
      <c r="H1012" s="194"/>
      <c r="I1012" s="194"/>
      <c r="J1012" s="195"/>
      <c r="K1012" s="201"/>
      <c r="L1012" s="194"/>
      <c r="M1012" s="194"/>
      <c r="N1012" s="194"/>
      <c r="O1012" s="195"/>
      <c r="P1012" s="195"/>
    </row>
    <row r="1013">
      <c r="A1013" s="199"/>
      <c r="B1013" s="200"/>
      <c r="C1013" s="194"/>
      <c r="D1013" s="194"/>
      <c r="E1013" s="194"/>
      <c r="F1013" s="194"/>
      <c r="G1013" s="194"/>
      <c r="H1013" s="194"/>
      <c r="I1013" s="194"/>
      <c r="J1013" s="195"/>
      <c r="K1013" s="201"/>
      <c r="L1013" s="194"/>
      <c r="M1013" s="194"/>
      <c r="N1013" s="194"/>
      <c r="O1013" s="195"/>
      <c r="P1013" s="195"/>
    </row>
    <row r="1014">
      <c r="A1014" s="199"/>
      <c r="B1014" s="200"/>
      <c r="C1014" s="194"/>
      <c r="D1014" s="194"/>
      <c r="E1014" s="194"/>
      <c r="F1014" s="194"/>
      <c r="G1014" s="194"/>
      <c r="H1014" s="194"/>
      <c r="I1014" s="194"/>
      <c r="J1014" s="195"/>
      <c r="K1014" s="201"/>
      <c r="L1014" s="194"/>
      <c r="M1014" s="194"/>
      <c r="N1014" s="194"/>
      <c r="O1014" s="195"/>
      <c r="P1014" s="195"/>
    </row>
    <row r="1015">
      <c r="A1015" s="199"/>
      <c r="B1015" s="200"/>
      <c r="C1015" s="194"/>
      <c r="D1015" s="194"/>
      <c r="E1015" s="194"/>
      <c r="F1015" s="194"/>
      <c r="G1015" s="194"/>
      <c r="H1015" s="194"/>
      <c r="I1015" s="194"/>
      <c r="J1015" s="195"/>
      <c r="K1015" s="201"/>
      <c r="L1015" s="194"/>
      <c r="M1015" s="194"/>
      <c r="N1015" s="194"/>
      <c r="O1015" s="195"/>
      <c r="P1015" s="195"/>
    </row>
    <row r="1016">
      <c r="A1016" s="199"/>
      <c r="B1016" s="200"/>
      <c r="C1016" s="194"/>
      <c r="D1016" s="194"/>
      <c r="E1016" s="194"/>
      <c r="F1016" s="194"/>
      <c r="G1016" s="194"/>
      <c r="H1016" s="194"/>
      <c r="I1016" s="194"/>
      <c r="J1016" s="195"/>
      <c r="K1016" s="201"/>
      <c r="L1016" s="194"/>
      <c r="M1016" s="194"/>
      <c r="N1016" s="194"/>
      <c r="O1016" s="195"/>
      <c r="P1016" s="195"/>
    </row>
    <row r="1017">
      <c r="A1017" s="199"/>
      <c r="B1017" s="200"/>
      <c r="C1017" s="194"/>
      <c r="D1017" s="194"/>
      <c r="E1017" s="194"/>
      <c r="F1017" s="194"/>
      <c r="G1017" s="194"/>
      <c r="H1017" s="194"/>
      <c r="I1017" s="194"/>
      <c r="J1017" s="195"/>
      <c r="K1017" s="201"/>
      <c r="L1017" s="194"/>
      <c r="M1017" s="194"/>
      <c r="N1017" s="194"/>
      <c r="O1017" s="195"/>
      <c r="P1017" s="195"/>
    </row>
    <row r="1018">
      <c r="A1018" s="199"/>
      <c r="B1018" s="200"/>
      <c r="C1018" s="194"/>
      <c r="D1018" s="194"/>
      <c r="E1018" s="194"/>
      <c r="F1018" s="194"/>
      <c r="G1018" s="194"/>
      <c r="H1018" s="194"/>
      <c r="I1018" s="194"/>
      <c r="J1018" s="195"/>
      <c r="K1018" s="201"/>
      <c r="L1018" s="194"/>
      <c r="M1018" s="194"/>
      <c r="N1018" s="194"/>
      <c r="O1018" s="195"/>
      <c r="P1018" s="195"/>
    </row>
    <row r="1019">
      <c r="A1019" s="199"/>
      <c r="B1019" s="200"/>
      <c r="C1019" s="194"/>
      <c r="D1019" s="194"/>
      <c r="E1019" s="194"/>
      <c r="F1019" s="194"/>
      <c r="G1019" s="194"/>
      <c r="H1019" s="194"/>
      <c r="I1019" s="194"/>
      <c r="J1019" s="195"/>
      <c r="K1019" s="201"/>
      <c r="L1019" s="194"/>
      <c r="M1019" s="194"/>
      <c r="N1019" s="194"/>
      <c r="O1019" s="195"/>
      <c r="P1019" s="195"/>
    </row>
    <row r="1020">
      <c r="A1020" s="199"/>
      <c r="B1020" s="200"/>
      <c r="C1020" s="194"/>
      <c r="D1020" s="194"/>
      <c r="E1020" s="194"/>
      <c r="F1020" s="194"/>
      <c r="G1020" s="194"/>
      <c r="H1020" s="194"/>
      <c r="I1020" s="194"/>
      <c r="J1020" s="195"/>
      <c r="K1020" s="201"/>
      <c r="L1020" s="194"/>
      <c r="M1020" s="194"/>
      <c r="N1020" s="194"/>
      <c r="O1020" s="195"/>
      <c r="P1020" s="195"/>
    </row>
    <row r="1021">
      <c r="A1021" s="199"/>
      <c r="B1021" s="200"/>
      <c r="C1021" s="194"/>
      <c r="D1021" s="194"/>
      <c r="E1021" s="194"/>
      <c r="F1021" s="194"/>
      <c r="G1021" s="194"/>
      <c r="H1021" s="194"/>
      <c r="I1021" s="194"/>
      <c r="J1021" s="195"/>
      <c r="K1021" s="201"/>
      <c r="L1021" s="194"/>
      <c r="M1021" s="194"/>
      <c r="N1021" s="194"/>
      <c r="O1021" s="195"/>
      <c r="P1021" s="195"/>
    </row>
    <row r="1022">
      <c r="A1022" s="199"/>
      <c r="B1022" s="200"/>
      <c r="C1022" s="194"/>
      <c r="D1022" s="194"/>
      <c r="E1022" s="194"/>
      <c r="F1022" s="194"/>
      <c r="G1022" s="194"/>
      <c r="H1022" s="194"/>
      <c r="I1022" s="194"/>
      <c r="J1022" s="195"/>
      <c r="K1022" s="201"/>
      <c r="L1022" s="194"/>
      <c r="M1022" s="194"/>
      <c r="N1022" s="194"/>
      <c r="O1022" s="195"/>
      <c r="P1022" s="195"/>
    </row>
    <row r="1023">
      <c r="A1023" s="199"/>
      <c r="B1023" s="200"/>
      <c r="C1023" s="194"/>
      <c r="D1023" s="194"/>
      <c r="E1023" s="194"/>
      <c r="F1023" s="194"/>
      <c r="G1023" s="194"/>
      <c r="H1023" s="194"/>
      <c r="I1023" s="194"/>
      <c r="J1023" s="195"/>
      <c r="K1023" s="201"/>
      <c r="L1023" s="194"/>
      <c r="M1023" s="194"/>
      <c r="N1023" s="194"/>
      <c r="O1023" s="195"/>
      <c r="P1023" s="195"/>
    </row>
    <row r="1024">
      <c r="A1024" s="199"/>
      <c r="B1024" s="200"/>
      <c r="C1024" s="194"/>
      <c r="D1024" s="194"/>
      <c r="E1024" s="194"/>
      <c r="F1024" s="194"/>
      <c r="G1024" s="194"/>
      <c r="H1024" s="194"/>
      <c r="I1024" s="194"/>
      <c r="J1024" s="195"/>
      <c r="K1024" s="201"/>
      <c r="L1024" s="194"/>
      <c r="M1024" s="194"/>
      <c r="N1024" s="194"/>
      <c r="O1024" s="195"/>
      <c r="P1024" s="195"/>
    </row>
    <row r="1025">
      <c r="A1025" s="199"/>
      <c r="B1025" s="200"/>
      <c r="C1025" s="194"/>
      <c r="D1025" s="194"/>
      <c r="E1025" s="194"/>
      <c r="F1025" s="194"/>
      <c r="G1025" s="194"/>
      <c r="H1025" s="194"/>
      <c r="I1025" s="194"/>
      <c r="J1025" s="195"/>
      <c r="K1025" s="201"/>
      <c r="L1025" s="194"/>
      <c r="M1025" s="194"/>
      <c r="N1025" s="194"/>
      <c r="O1025" s="195"/>
      <c r="P1025" s="195"/>
    </row>
    <row r="1026">
      <c r="A1026" s="199"/>
      <c r="B1026" s="200"/>
      <c r="C1026" s="194"/>
      <c r="D1026" s="194"/>
      <c r="E1026" s="194"/>
      <c r="F1026" s="194"/>
      <c r="G1026" s="194"/>
      <c r="H1026" s="194"/>
      <c r="I1026" s="194"/>
      <c r="J1026" s="195"/>
      <c r="K1026" s="201"/>
      <c r="L1026" s="194"/>
      <c r="M1026" s="194"/>
      <c r="N1026" s="194"/>
      <c r="O1026" s="195"/>
      <c r="P1026" s="195"/>
    </row>
    <row r="1027">
      <c r="A1027" s="199"/>
      <c r="B1027" s="200"/>
      <c r="C1027" s="194"/>
      <c r="D1027" s="194"/>
      <c r="E1027" s="194"/>
      <c r="F1027" s="194"/>
      <c r="G1027" s="194"/>
      <c r="H1027" s="194"/>
      <c r="I1027" s="194"/>
      <c r="J1027" s="195"/>
      <c r="K1027" s="201"/>
      <c r="L1027" s="194"/>
      <c r="M1027" s="194"/>
      <c r="N1027" s="194"/>
      <c r="O1027" s="195"/>
      <c r="P1027" s="195"/>
    </row>
    <row r="1028">
      <c r="A1028" s="199"/>
      <c r="B1028" s="200"/>
      <c r="C1028" s="194"/>
      <c r="D1028" s="194"/>
      <c r="E1028" s="194"/>
      <c r="F1028" s="194"/>
      <c r="G1028" s="194"/>
      <c r="H1028" s="194"/>
      <c r="I1028" s="194"/>
      <c r="J1028" s="195"/>
      <c r="K1028" s="201"/>
      <c r="L1028" s="194"/>
      <c r="M1028" s="194"/>
      <c r="N1028" s="194"/>
      <c r="O1028" s="195"/>
      <c r="P1028" s="195"/>
    </row>
    <row r="1029">
      <c r="A1029" s="199"/>
      <c r="B1029" s="200"/>
      <c r="C1029" s="194"/>
      <c r="D1029" s="194"/>
      <c r="E1029" s="194"/>
      <c r="F1029" s="194"/>
      <c r="G1029" s="194"/>
      <c r="H1029" s="194"/>
      <c r="I1029" s="194"/>
      <c r="J1029" s="195"/>
      <c r="K1029" s="201"/>
      <c r="L1029" s="194"/>
      <c r="M1029" s="194"/>
      <c r="N1029" s="194"/>
      <c r="O1029" s="195"/>
      <c r="P1029" s="195"/>
    </row>
    <row r="1030">
      <c r="A1030" s="199"/>
      <c r="B1030" s="200"/>
      <c r="C1030" s="194"/>
      <c r="D1030" s="194"/>
      <c r="E1030" s="194"/>
      <c r="F1030" s="194"/>
      <c r="G1030" s="194"/>
      <c r="H1030" s="194"/>
      <c r="I1030" s="194"/>
      <c r="J1030" s="195"/>
      <c r="K1030" s="201"/>
      <c r="L1030" s="194"/>
      <c r="M1030" s="194"/>
      <c r="N1030" s="194"/>
      <c r="O1030" s="195"/>
      <c r="P1030" s="195"/>
    </row>
    <row r="1031">
      <c r="A1031" s="199"/>
      <c r="B1031" s="200"/>
      <c r="C1031" s="194"/>
      <c r="D1031" s="194"/>
      <c r="E1031" s="194"/>
      <c r="F1031" s="194"/>
      <c r="G1031" s="194"/>
      <c r="H1031" s="194"/>
      <c r="I1031" s="194"/>
      <c r="J1031" s="195"/>
      <c r="K1031" s="201"/>
      <c r="L1031" s="194"/>
      <c r="M1031" s="194"/>
      <c r="N1031" s="194"/>
      <c r="O1031" s="195"/>
      <c r="P1031" s="195"/>
    </row>
    <row r="1032">
      <c r="A1032" s="199"/>
      <c r="B1032" s="200"/>
      <c r="C1032" s="194"/>
      <c r="D1032" s="194"/>
      <c r="E1032" s="194"/>
      <c r="F1032" s="194"/>
      <c r="G1032" s="194"/>
      <c r="H1032" s="194"/>
      <c r="I1032" s="194"/>
      <c r="J1032" s="195"/>
      <c r="K1032" s="201"/>
      <c r="L1032" s="194"/>
      <c r="M1032" s="194"/>
      <c r="N1032" s="194"/>
      <c r="O1032" s="195"/>
      <c r="P1032" s="195"/>
    </row>
    <row r="1033">
      <c r="A1033" s="199"/>
      <c r="B1033" s="200"/>
      <c r="C1033" s="194"/>
      <c r="D1033" s="194"/>
      <c r="E1033" s="194"/>
      <c r="F1033" s="194"/>
      <c r="G1033" s="194"/>
      <c r="H1033" s="194"/>
      <c r="I1033" s="194"/>
      <c r="J1033" s="195"/>
      <c r="K1033" s="201"/>
      <c r="L1033" s="194"/>
      <c r="M1033" s="194"/>
      <c r="N1033" s="194"/>
      <c r="O1033" s="195"/>
      <c r="P1033" s="195"/>
    </row>
    <row r="1034">
      <c r="A1034" s="199"/>
      <c r="B1034" s="200"/>
      <c r="C1034" s="194"/>
      <c r="D1034" s="194"/>
      <c r="E1034" s="194"/>
      <c r="F1034" s="194"/>
      <c r="G1034" s="194"/>
      <c r="H1034" s="194"/>
      <c r="I1034" s="194"/>
      <c r="J1034" s="195"/>
      <c r="K1034" s="201"/>
      <c r="L1034" s="194"/>
      <c r="M1034" s="194"/>
      <c r="N1034" s="194"/>
      <c r="O1034" s="195"/>
      <c r="P1034" s="195"/>
    </row>
    <row r="1035">
      <c r="A1035" s="199"/>
      <c r="B1035" s="200"/>
      <c r="C1035" s="194"/>
      <c r="D1035" s="194"/>
      <c r="E1035" s="194"/>
      <c r="F1035" s="194"/>
      <c r="G1035" s="194"/>
      <c r="H1035" s="194"/>
      <c r="I1035" s="194"/>
      <c r="J1035" s="195"/>
      <c r="K1035" s="201"/>
      <c r="L1035" s="194"/>
      <c r="M1035" s="194"/>
      <c r="N1035" s="194"/>
      <c r="O1035" s="195"/>
      <c r="P1035" s="195"/>
    </row>
    <row r="1036">
      <c r="A1036" s="199"/>
      <c r="B1036" s="200"/>
      <c r="C1036" s="194"/>
      <c r="D1036" s="194"/>
      <c r="E1036" s="194"/>
      <c r="F1036" s="194"/>
      <c r="G1036" s="194"/>
      <c r="H1036" s="194"/>
      <c r="I1036" s="194"/>
      <c r="J1036" s="195"/>
      <c r="K1036" s="201"/>
      <c r="L1036" s="194"/>
      <c r="M1036" s="194"/>
      <c r="N1036" s="194"/>
      <c r="O1036" s="195"/>
      <c r="P1036" s="195"/>
    </row>
    <row r="1037">
      <c r="A1037" s="199"/>
      <c r="B1037" s="200"/>
      <c r="C1037" s="194"/>
      <c r="D1037" s="194"/>
      <c r="E1037" s="194"/>
      <c r="F1037" s="194"/>
      <c r="G1037" s="194"/>
      <c r="H1037" s="194"/>
      <c r="I1037" s="194"/>
      <c r="J1037" s="195"/>
      <c r="K1037" s="201"/>
      <c r="L1037" s="194"/>
      <c r="M1037" s="194"/>
      <c r="N1037" s="194"/>
      <c r="O1037" s="195"/>
      <c r="P1037" s="195"/>
    </row>
    <row r="1038">
      <c r="A1038" s="199"/>
      <c r="B1038" s="200"/>
      <c r="C1038" s="194"/>
      <c r="D1038" s="194"/>
      <c r="E1038" s="194"/>
      <c r="F1038" s="194"/>
      <c r="G1038" s="194"/>
      <c r="H1038" s="194"/>
      <c r="I1038" s="194"/>
      <c r="J1038" s="195"/>
      <c r="K1038" s="201"/>
      <c r="L1038" s="194"/>
      <c r="M1038" s="194"/>
      <c r="N1038" s="194"/>
      <c r="O1038" s="195"/>
      <c r="P1038" s="195"/>
    </row>
    <row r="1039">
      <c r="A1039" s="199"/>
      <c r="B1039" s="200"/>
      <c r="C1039" s="194"/>
      <c r="D1039" s="194"/>
      <c r="E1039" s="194"/>
      <c r="F1039" s="194"/>
      <c r="G1039" s="194"/>
      <c r="H1039" s="194"/>
      <c r="I1039" s="194"/>
      <c r="J1039" s="195"/>
      <c r="K1039" s="201"/>
      <c r="L1039" s="194"/>
      <c r="M1039" s="194"/>
      <c r="N1039" s="194"/>
      <c r="O1039" s="195"/>
      <c r="P1039" s="195"/>
    </row>
    <row r="1040">
      <c r="A1040" s="199"/>
      <c r="B1040" s="200"/>
      <c r="C1040" s="194"/>
      <c r="D1040" s="194"/>
      <c r="E1040" s="194"/>
      <c r="F1040" s="194"/>
      <c r="G1040" s="194"/>
      <c r="H1040" s="194"/>
      <c r="I1040" s="194"/>
      <c r="J1040" s="195"/>
      <c r="K1040" s="201"/>
      <c r="L1040" s="194"/>
      <c r="M1040" s="194"/>
      <c r="N1040" s="194"/>
      <c r="O1040" s="195"/>
      <c r="P1040" s="195"/>
    </row>
    <row r="1041">
      <c r="A1041" s="199"/>
      <c r="B1041" s="200"/>
      <c r="C1041" s="194"/>
      <c r="D1041" s="194"/>
      <c r="E1041" s="194"/>
      <c r="F1041" s="194"/>
      <c r="G1041" s="194"/>
      <c r="H1041" s="194"/>
      <c r="I1041" s="194"/>
      <c r="J1041" s="195"/>
      <c r="K1041" s="201"/>
      <c r="L1041" s="194"/>
      <c r="M1041" s="194"/>
      <c r="N1041" s="194"/>
      <c r="O1041" s="195"/>
      <c r="P1041" s="195"/>
    </row>
    <row r="1042">
      <c r="A1042" s="199"/>
      <c r="B1042" s="200"/>
      <c r="C1042" s="194"/>
      <c r="D1042" s="194"/>
      <c r="E1042" s="194"/>
      <c r="F1042" s="194"/>
      <c r="G1042" s="194"/>
      <c r="H1042" s="194"/>
      <c r="I1042" s="194"/>
      <c r="J1042" s="195"/>
      <c r="K1042" s="201"/>
      <c r="L1042" s="194"/>
      <c r="M1042" s="194"/>
      <c r="N1042" s="194"/>
      <c r="O1042" s="195"/>
      <c r="P1042" s="195"/>
    </row>
    <row r="1043">
      <c r="A1043" s="199"/>
      <c r="B1043" s="200"/>
      <c r="C1043" s="194"/>
      <c r="D1043" s="194"/>
      <c r="E1043" s="194"/>
      <c r="F1043" s="194"/>
      <c r="G1043" s="194"/>
      <c r="H1043" s="194"/>
      <c r="I1043" s="194"/>
      <c r="J1043" s="195"/>
      <c r="K1043" s="201"/>
      <c r="L1043" s="194"/>
      <c r="M1043" s="194"/>
      <c r="N1043" s="194"/>
      <c r="O1043" s="195"/>
      <c r="P1043" s="195"/>
    </row>
    <row r="1044">
      <c r="A1044" s="199"/>
      <c r="B1044" s="200"/>
      <c r="C1044" s="194"/>
      <c r="D1044" s="194"/>
      <c r="E1044" s="194"/>
      <c r="F1044" s="194"/>
      <c r="G1044" s="194"/>
      <c r="H1044" s="194"/>
      <c r="I1044" s="194"/>
      <c r="J1044" s="195"/>
      <c r="K1044" s="201"/>
      <c r="L1044" s="194"/>
      <c r="M1044" s="194"/>
      <c r="N1044" s="194"/>
      <c r="O1044" s="195"/>
      <c r="P1044" s="195"/>
    </row>
    <row r="1045">
      <c r="A1045" s="199"/>
      <c r="B1045" s="200"/>
      <c r="C1045" s="194"/>
      <c r="D1045" s="194"/>
      <c r="E1045" s="194"/>
      <c r="F1045" s="194"/>
      <c r="G1045" s="194"/>
      <c r="H1045" s="194"/>
      <c r="I1045" s="194"/>
      <c r="J1045" s="195"/>
      <c r="K1045" s="201"/>
      <c r="L1045" s="194"/>
      <c r="M1045" s="194"/>
      <c r="N1045" s="194"/>
      <c r="O1045" s="195"/>
      <c r="P1045" s="195"/>
    </row>
    <row r="1046">
      <c r="A1046" s="199"/>
      <c r="B1046" s="200"/>
      <c r="C1046" s="194"/>
      <c r="D1046" s="194"/>
      <c r="E1046" s="194"/>
      <c r="F1046" s="194"/>
      <c r="G1046" s="194"/>
      <c r="H1046" s="194"/>
      <c r="I1046" s="194"/>
      <c r="J1046" s="195"/>
      <c r="K1046" s="201"/>
      <c r="L1046" s="194"/>
      <c r="M1046" s="194"/>
      <c r="N1046" s="194"/>
      <c r="O1046" s="195"/>
      <c r="P1046" s="195"/>
    </row>
    <row r="1047">
      <c r="A1047" s="199"/>
      <c r="B1047" s="200"/>
      <c r="C1047" s="194"/>
      <c r="D1047" s="194"/>
      <c r="E1047" s="194"/>
      <c r="F1047" s="194"/>
      <c r="G1047" s="194"/>
      <c r="H1047" s="194"/>
      <c r="I1047" s="194"/>
      <c r="J1047" s="195"/>
      <c r="K1047" s="201"/>
      <c r="L1047" s="194"/>
      <c r="M1047" s="194"/>
      <c r="N1047" s="194"/>
      <c r="O1047" s="195"/>
      <c r="P1047" s="195"/>
    </row>
    <row r="1048">
      <c r="A1048" s="199"/>
      <c r="B1048" s="200"/>
      <c r="C1048" s="194"/>
      <c r="D1048" s="194"/>
      <c r="E1048" s="194"/>
      <c r="F1048" s="194"/>
      <c r="G1048" s="194"/>
      <c r="H1048" s="194"/>
      <c r="I1048" s="194"/>
      <c r="J1048" s="195"/>
      <c r="K1048" s="201"/>
      <c r="L1048" s="194"/>
      <c r="M1048" s="194"/>
      <c r="N1048" s="194"/>
      <c r="O1048" s="195"/>
      <c r="P1048" s="195"/>
    </row>
    <row r="1049">
      <c r="A1049" s="199"/>
      <c r="B1049" s="200"/>
      <c r="C1049" s="194"/>
      <c r="D1049" s="194"/>
      <c r="E1049" s="194"/>
      <c r="F1049" s="194"/>
      <c r="G1049" s="194"/>
      <c r="H1049" s="194"/>
      <c r="I1049" s="194"/>
      <c r="J1049" s="195"/>
      <c r="K1049" s="201"/>
      <c r="L1049" s="194"/>
      <c r="M1049" s="194"/>
      <c r="N1049" s="194"/>
      <c r="O1049" s="195"/>
      <c r="P1049" s="195"/>
    </row>
    <row r="1050">
      <c r="A1050" s="199"/>
      <c r="B1050" s="200"/>
      <c r="C1050" s="194"/>
      <c r="D1050" s="194"/>
      <c r="E1050" s="194"/>
      <c r="F1050" s="194"/>
      <c r="G1050" s="194"/>
      <c r="H1050" s="194"/>
      <c r="I1050" s="194"/>
      <c r="J1050" s="195"/>
      <c r="K1050" s="201"/>
      <c r="L1050" s="194"/>
      <c r="M1050" s="194"/>
      <c r="N1050" s="194"/>
      <c r="O1050" s="195"/>
      <c r="P1050" s="195"/>
    </row>
    <row r="1051">
      <c r="A1051" s="199"/>
      <c r="B1051" s="200"/>
      <c r="C1051" s="194"/>
      <c r="D1051" s="194"/>
      <c r="E1051" s="194"/>
      <c r="F1051" s="194"/>
      <c r="G1051" s="194"/>
      <c r="H1051" s="194"/>
      <c r="I1051" s="194"/>
      <c r="J1051" s="195"/>
      <c r="K1051" s="201"/>
      <c r="L1051" s="194"/>
      <c r="M1051" s="194"/>
      <c r="N1051" s="194"/>
      <c r="O1051" s="195"/>
      <c r="P1051" s="195"/>
    </row>
    <row r="1052">
      <c r="A1052" s="199"/>
      <c r="B1052" s="200"/>
      <c r="C1052" s="194"/>
      <c r="D1052" s="194"/>
      <c r="E1052" s="194"/>
      <c r="F1052" s="194"/>
      <c r="G1052" s="194"/>
      <c r="H1052" s="194"/>
      <c r="I1052" s="194"/>
      <c r="J1052" s="195"/>
      <c r="K1052" s="201"/>
      <c r="L1052" s="194"/>
      <c r="M1052" s="194"/>
      <c r="N1052" s="194"/>
      <c r="O1052" s="195"/>
      <c r="P1052" s="195"/>
    </row>
    <row r="1053">
      <c r="A1053" s="199"/>
      <c r="B1053" s="200"/>
      <c r="C1053" s="194"/>
      <c r="D1053" s="194"/>
      <c r="E1053" s="194"/>
      <c r="F1053" s="194"/>
      <c r="G1053" s="194"/>
      <c r="H1053" s="194"/>
      <c r="I1053" s="194"/>
      <c r="J1053" s="195"/>
      <c r="K1053" s="201"/>
      <c r="L1053" s="194"/>
      <c r="M1053" s="194"/>
      <c r="N1053" s="194"/>
      <c r="O1053" s="195"/>
      <c r="P1053" s="195"/>
    </row>
    <row r="1054">
      <c r="A1054" s="199"/>
      <c r="B1054" s="200"/>
      <c r="C1054" s="194"/>
      <c r="D1054" s="194"/>
      <c r="E1054" s="194"/>
      <c r="F1054" s="194"/>
      <c r="G1054" s="194"/>
      <c r="H1054" s="194"/>
      <c r="I1054" s="194"/>
      <c r="J1054" s="195"/>
      <c r="K1054" s="201"/>
      <c r="L1054" s="194"/>
      <c r="M1054" s="194"/>
      <c r="N1054" s="194"/>
      <c r="O1054" s="195"/>
      <c r="P1054" s="195"/>
    </row>
    <row r="1055">
      <c r="A1055" s="199"/>
      <c r="B1055" s="200"/>
      <c r="C1055" s="194"/>
      <c r="D1055" s="194"/>
      <c r="E1055" s="194"/>
      <c r="F1055" s="194"/>
      <c r="G1055" s="194"/>
      <c r="H1055" s="194"/>
      <c r="I1055" s="194"/>
      <c r="J1055" s="195"/>
      <c r="K1055" s="201"/>
      <c r="L1055" s="194"/>
      <c r="M1055" s="194"/>
      <c r="N1055" s="194"/>
      <c r="O1055" s="195"/>
      <c r="P1055" s="195"/>
    </row>
    <row r="1056">
      <c r="A1056" s="199"/>
      <c r="B1056" s="200"/>
      <c r="C1056" s="194"/>
      <c r="D1056" s="194"/>
      <c r="E1056" s="194"/>
      <c r="F1056" s="194"/>
      <c r="G1056" s="194"/>
      <c r="H1056" s="194"/>
      <c r="I1056" s="194"/>
      <c r="J1056" s="195"/>
      <c r="K1056" s="201"/>
      <c r="L1056" s="194"/>
      <c r="M1056" s="194"/>
      <c r="N1056" s="194"/>
      <c r="O1056" s="195"/>
      <c r="P1056" s="195"/>
    </row>
    <row r="1057">
      <c r="A1057" s="199"/>
      <c r="B1057" s="200"/>
      <c r="C1057" s="194"/>
      <c r="D1057" s="194"/>
      <c r="E1057" s="194"/>
      <c r="F1057" s="194"/>
      <c r="G1057" s="194"/>
      <c r="H1057" s="194"/>
      <c r="I1057" s="194"/>
      <c r="J1057" s="195"/>
      <c r="K1057" s="201"/>
      <c r="L1057" s="194"/>
      <c r="M1057" s="194"/>
      <c r="N1057" s="194"/>
      <c r="O1057" s="195"/>
      <c r="P1057" s="195"/>
    </row>
    <row r="1058">
      <c r="A1058" s="199"/>
      <c r="B1058" s="200"/>
      <c r="C1058" s="194"/>
      <c r="D1058" s="194"/>
      <c r="E1058" s="194"/>
      <c r="F1058" s="194"/>
      <c r="G1058" s="194"/>
      <c r="H1058" s="194"/>
      <c r="I1058" s="194"/>
      <c r="J1058" s="195"/>
      <c r="K1058" s="201"/>
      <c r="L1058" s="194"/>
      <c r="M1058" s="194"/>
      <c r="N1058" s="194"/>
      <c r="O1058" s="195"/>
      <c r="P1058" s="195"/>
    </row>
    <row r="1059">
      <c r="A1059" s="199"/>
      <c r="B1059" s="200"/>
      <c r="C1059" s="194"/>
      <c r="D1059" s="194"/>
      <c r="E1059" s="194"/>
      <c r="F1059" s="194"/>
      <c r="G1059" s="194"/>
      <c r="H1059" s="194"/>
      <c r="I1059" s="194"/>
      <c r="J1059" s="195"/>
      <c r="K1059" s="201"/>
      <c r="L1059" s="194"/>
      <c r="M1059" s="194"/>
      <c r="N1059" s="194"/>
      <c r="O1059" s="195"/>
      <c r="P1059" s="195"/>
    </row>
    <row r="1060">
      <c r="A1060" s="199"/>
      <c r="B1060" s="200"/>
      <c r="C1060" s="194"/>
      <c r="D1060" s="194"/>
      <c r="E1060" s="194"/>
      <c r="F1060" s="194"/>
      <c r="G1060" s="194"/>
      <c r="H1060" s="194"/>
      <c r="I1060" s="194"/>
      <c r="J1060" s="195"/>
      <c r="K1060" s="201"/>
      <c r="L1060" s="194"/>
      <c r="M1060" s="194"/>
      <c r="N1060" s="194"/>
      <c r="O1060" s="195"/>
      <c r="P1060" s="195"/>
    </row>
    <row r="1061">
      <c r="A1061" s="199"/>
      <c r="B1061" s="200"/>
      <c r="C1061" s="194"/>
      <c r="D1061" s="194"/>
      <c r="E1061" s="194"/>
      <c r="F1061" s="194"/>
      <c r="G1061" s="194"/>
      <c r="H1061" s="194"/>
      <c r="I1061" s="194"/>
      <c r="J1061" s="195"/>
      <c r="K1061" s="201"/>
      <c r="L1061" s="194"/>
      <c r="M1061" s="194"/>
      <c r="N1061" s="194"/>
      <c r="O1061" s="195"/>
      <c r="P1061" s="195"/>
    </row>
    <row r="1062">
      <c r="A1062" s="199"/>
      <c r="B1062" s="200"/>
      <c r="C1062" s="194"/>
      <c r="D1062" s="194"/>
      <c r="E1062" s="194"/>
      <c r="F1062" s="194"/>
      <c r="G1062" s="194"/>
      <c r="H1062" s="194"/>
      <c r="I1062" s="194"/>
      <c r="J1062" s="195"/>
      <c r="K1062" s="201"/>
      <c r="L1062" s="194"/>
      <c r="M1062" s="194"/>
      <c r="N1062" s="194"/>
      <c r="O1062" s="195"/>
      <c r="P1062" s="195"/>
    </row>
    <row r="1063">
      <c r="A1063" s="199"/>
      <c r="B1063" s="200"/>
      <c r="C1063" s="194"/>
      <c r="D1063" s="194"/>
      <c r="E1063" s="194"/>
      <c r="F1063" s="194"/>
      <c r="G1063" s="194"/>
      <c r="H1063" s="194"/>
      <c r="I1063" s="194"/>
      <c r="J1063" s="195"/>
      <c r="K1063" s="201"/>
      <c r="L1063" s="194"/>
      <c r="M1063" s="194"/>
      <c r="N1063" s="194"/>
      <c r="O1063" s="195"/>
      <c r="P1063" s="195"/>
    </row>
    <row r="1064">
      <c r="A1064" s="199"/>
      <c r="B1064" s="200"/>
      <c r="C1064" s="194"/>
      <c r="D1064" s="194"/>
      <c r="E1064" s="194"/>
      <c r="F1064" s="194"/>
      <c r="G1064" s="194"/>
      <c r="H1064" s="194"/>
      <c r="I1064" s="194"/>
      <c r="J1064" s="195"/>
      <c r="K1064" s="201"/>
      <c r="L1064" s="194"/>
      <c r="M1064" s="194"/>
      <c r="N1064" s="194"/>
      <c r="O1064" s="195"/>
      <c r="P1064" s="195"/>
    </row>
    <row r="1065">
      <c r="A1065" s="199"/>
      <c r="B1065" s="200"/>
      <c r="C1065" s="194"/>
      <c r="D1065" s="194"/>
      <c r="E1065" s="194"/>
      <c r="F1065" s="194"/>
      <c r="G1065" s="194"/>
      <c r="H1065" s="194"/>
      <c r="I1065" s="194"/>
      <c r="J1065" s="195"/>
      <c r="K1065" s="201"/>
      <c r="L1065" s="194"/>
      <c r="M1065" s="194"/>
      <c r="N1065" s="194"/>
      <c r="O1065" s="195"/>
      <c r="P1065" s="195"/>
    </row>
    <row r="1066">
      <c r="A1066" s="199"/>
      <c r="B1066" s="200"/>
      <c r="C1066" s="194"/>
      <c r="D1066" s="194"/>
      <c r="E1066" s="194"/>
      <c r="F1066" s="194"/>
      <c r="G1066" s="194"/>
      <c r="H1066" s="194"/>
      <c r="I1066" s="194"/>
      <c r="J1066" s="195"/>
      <c r="K1066" s="201"/>
      <c r="L1066" s="194"/>
      <c r="M1066" s="194"/>
      <c r="N1066" s="194"/>
      <c r="O1066" s="195"/>
      <c r="P1066" s="195"/>
    </row>
    <row r="1067">
      <c r="A1067" s="199"/>
      <c r="B1067" s="200"/>
      <c r="C1067" s="194"/>
      <c r="D1067" s="194"/>
      <c r="E1067" s="194"/>
      <c r="F1067" s="194"/>
      <c r="G1067" s="194"/>
      <c r="H1067" s="194"/>
      <c r="I1067" s="194"/>
      <c r="J1067" s="195"/>
      <c r="K1067" s="201"/>
      <c r="L1067" s="194"/>
      <c r="M1067" s="194"/>
      <c r="N1067" s="194"/>
      <c r="O1067" s="195"/>
      <c r="P1067" s="195"/>
    </row>
    <row r="1068">
      <c r="A1068" s="199"/>
      <c r="B1068" s="200"/>
      <c r="C1068" s="194"/>
      <c r="D1068" s="194"/>
      <c r="E1068" s="194"/>
      <c r="F1068" s="194"/>
      <c r="G1068" s="194"/>
      <c r="H1068" s="194"/>
      <c r="I1068" s="194"/>
      <c r="J1068" s="195"/>
      <c r="K1068" s="201"/>
      <c r="L1068" s="194"/>
      <c r="M1068" s="194"/>
      <c r="N1068" s="194"/>
      <c r="O1068" s="195"/>
      <c r="P1068" s="195"/>
    </row>
    <row r="1069">
      <c r="A1069" s="199"/>
      <c r="B1069" s="200"/>
      <c r="C1069" s="194"/>
      <c r="D1069" s="194"/>
      <c r="E1069" s="194"/>
      <c r="F1069" s="194"/>
      <c r="G1069" s="194"/>
      <c r="H1069" s="194"/>
      <c r="I1069" s="194"/>
      <c r="J1069" s="195"/>
      <c r="K1069" s="201"/>
      <c r="L1069" s="194"/>
      <c r="M1069" s="194"/>
      <c r="N1069" s="194"/>
      <c r="O1069" s="195"/>
      <c r="P1069" s="195"/>
    </row>
    <row r="1070">
      <c r="A1070" s="199"/>
      <c r="B1070" s="200"/>
      <c r="C1070" s="194"/>
      <c r="D1070" s="194"/>
      <c r="E1070" s="194"/>
      <c r="F1070" s="194"/>
      <c r="G1070" s="194"/>
      <c r="H1070" s="194"/>
      <c r="I1070" s="194"/>
      <c r="J1070" s="195"/>
      <c r="K1070" s="201"/>
      <c r="L1070" s="194"/>
      <c r="M1070" s="194"/>
      <c r="N1070" s="194"/>
      <c r="O1070" s="195"/>
      <c r="P1070" s="195"/>
    </row>
    <row r="1071">
      <c r="A1071" s="199"/>
      <c r="B1071" s="200"/>
      <c r="C1071" s="194"/>
      <c r="D1071" s="194"/>
      <c r="E1071" s="194"/>
      <c r="F1071" s="194"/>
      <c r="G1071" s="194"/>
      <c r="H1071" s="194"/>
      <c r="I1071" s="194"/>
      <c r="J1071" s="195"/>
      <c r="K1071" s="201"/>
      <c r="L1071" s="194"/>
      <c r="M1071" s="194"/>
      <c r="N1071" s="194"/>
      <c r="O1071" s="195"/>
      <c r="P1071" s="195"/>
    </row>
    <row r="1072">
      <c r="A1072" s="199"/>
      <c r="B1072" s="200"/>
      <c r="C1072" s="194"/>
      <c r="D1072" s="194"/>
      <c r="E1072" s="194"/>
      <c r="F1072" s="194"/>
      <c r="G1072" s="194"/>
      <c r="H1072" s="194"/>
      <c r="I1072" s="194"/>
      <c r="J1072" s="195"/>
      <c r="K1072" s="201"/>
      <c r="L1072" s="194"/>
      <c r="M1072" s="194"/>
      <c r="N1072" s="194"/>
      <c r="O1072" s="195"/>
      <c r="P1072" s="195"/>
    </row>
    <row r="1073">
      <c r="A1073" s="199"/>
      <c r="B1073" s="200"/>
      <c r="C1073" s="194"/>
      <c r="D1073" s="194"/>
      <c r="E1073" s="194"/>
      <c r="F1073" s="194"/>
      <c r="G1073" s="194"/>
      <c r="H1073" s="194"/>
      <c r="I1073" s="194"/>
      <c r="J1073" s="195"/>
      <c r="K1073" s="201"/>
      <c r="L1073" s="194"/>
      <c r="M1073" s="194"/>
      <c r="N1073" s="194"/>
      <c r="O1073" s="195"/>
      <c r="P1073" s="195"/>
    </row>
    <row r="1074">
      <c r="A1074" s="199"/>
      <c r="B1074" s="200"/>
      <c r="C1074" s="194"/>
      <c r="D1074" s="194"/>
      <c r="E1074" s="194"/>
      <c r="F1074" s="194"/>
      <c r="G1074" s="194"/>
      <c r="H1074" s="194"/>
      <c r="I1074" s="194"/>
      <c r="J1074" s="195"/>
      <c r="K1074" s="201"/>
      <c r="L1074" s="194"/>
      <c r="M1074" s="194"/>
      <c r="N1074" s="194"/>
      <c r="O1074" s="195"/>
      <c r="P1074" s="195"/>
    </row>
    <row r="1075">
      <c r="A1075" s="199"/>
      <c r="B1075" s="200"/>
      <c r="C1075" s="194"/>
      <c r="D1075" s="194"/>
      <c r="E1075" s="194"/>
      <c r="F1075" s="194"/>
      <c r="G1075" s="194"/>
      <c r="H1075" s="194"/>
      <c r="I1075" s="194"/>
      <c r="J1075" s="195"/>
      <c r="K1075" s="201"/>
      <c r="L1075" s="194"/>
      <c r="M1075" s="194"/>
      <c r="N1075" s="194"/>
      <c r="O1075" s="195"/>
      <c r="P1075" s="195"/>
    </row>
    <row r="1076">
      <c r="A1076" s="199"/>
      <c r="B1076" s="200"/>
      <c r="C1076" s="194"/>
      <c r="D1076" s="194"/>
      <c r="E1076" s="194"/>
      <c r="F1076" s="194"/>
      <c r="G1076" s="194"/>
      <c r="H1076" s="194"/>
      <c r="I1076" s="194"/>
      <c r="J1076" s="195"/>
      <c r="K1076" s="201"/>
      <c r="L1076" s="194"/>
      <c r="M1076" s="194"/>
      <c r="N1076" s="194"/>
      <c r="O1076" s="195"/>
      <c r="P1076" s="195"/>
    </row>
    <row r="1077">
      <c r="A1077" s="199"/>
      <c r="B1077" s="200"/>
      <c r="C1077" s="194"/>
      <c r="D1077" s="194"/>
      <c r="E1077" s="194"/>
      <c r="F1077" s="194"/>
      <c r="G1077" s="194"/>
      <c r="H1077" s="194"/>
      <c r="I1077" s="194"/>
      <c r="J1077" s="195"/>
      <c r="K1077" s="201"/>
      <c r="L1077" s="194"/>
      <c r="M1077" s="194"/>
      <c r="N1077" s="194"/>
      <c r="O1077" s="195"/>
      <c r="P1077" s="195"/>
    </row>
    <row r="1078">
      <c r="A1078" s="199"/>
      <c r="B1078" s="200"/>
      <c r="C1078" s="194"/>
      <c r="D1078" s="194"/>
      <c r="E1078" s="194"/>
      <c r="F1078" s="194"/>
      <c r="G1078" s="194"/>
      <c r="H1078" s="194"/>
      <c r="I1078" s="194"/>
      <c r="J1078" s="195"/>
      <c r="K1078" s="201"/>
      <c r="L1078" s="194"/>
      <c r="M1078" s="194"/>
      <c r="N1078" s="194"/>
      <c r="O1078" s="195"/>
      <c r="P1078" s="195"/>
    </row>
    <row r="1079">
      <c r="A1079" s="199"/>
      <c r="B1079" s="200"/>
      <c r="C1079" s="194"/>
      <c r="D1079" s="194"/>
      <c r="E1079" s="194"/>
      <c r="F1079" s="194"/>
      <c r="G1079" s="194"/>
      <c r="H1079" s="194"/>
      <c r="I1079" s="194"/>
      <c r="J1079" s="195"/>
      <c r="K1079" s="201"/>
      <c r="L1079" s="194"/>
      <c r="M1079" s="194"/>
      <c r="N1079" s="194"/>
      <c r="O1079" s="195"/>
      <c r="P1079" s="195"/>
    </row>
    <row r="1080">
      <c r="A1080" s="199"/>
      <c r="B1080" s="200"/>
      <c r="C1080" s="194"/>
      <c r="D1080" s="194"/>
      <c r="E1080" s="194"/>
      <c r="F1080" s="194"/>
      <c r="G1080" s="194"/>
      <c r="H1080" s="194"/>
      <c r="I1080" s="194"/>
      <c r="J1080" s="195"/>
      <c r="K1080" s="201"/>
      <c r="L1080" s="194"/>
      <c r="M1080" s="194"/>
      <c r="N1080" s="194"/>
      <c r="O1080" s="195"/>
      <c r="P1080" s="195"/>
    </row>
    <row r="1081">
      <c r="A1081" s="199"/>
      <c r="B1081" s="200"/>
      <c r="C1081" s="194"/>
      <c r="D1081" s="194"/>
      <c r="E1081" s="194"/>
      <c r="F1081" s="194"/>
      <c r="G1081" s="194"/>
      <c r="H1081" s="194"/>
      <c r="I1081" s="194"/>
      <c r="J1081" s="195"/>
      <c r="K1081" s="201"/>
      <c r="L1081" s="194"/>
      <c r="M1081" s="194"/>
      <c r="N1081" s="194"/>
      <c r="O1081" s="195"/>
      <c r="P1081" s="195"/>
    </row>
    <row r="1082">
      <c r="A1082" s="199"/>
      <c r="B1082" s="200"/>
      <c r="C1082" s="194"/>
      <c r="D1082" s="194"/>
      <c r="E1082" s="194"/>
      <c r="F1082" s="194"/>
      <c r="G1082" s="194"/>
      <c r="H1082" s="194"/>
      <c r="I1082" s="194"/>
      <c r="J1082" s="195"/>
      <c r="K1082" s="201"/>
      <c r="L1082" s="194"/>
      <c r="M1082" s="194"/>
      <c r="N1082" s="194"/>
      <c r="O1082" s="195"/>
      <c r="P1082" s="195"/>
    </row>
    <row r="1083">
      <c r="A1083" s="199"/>
      <c r="B1083" s="200"/>
      <c r="C1083" s="194"/>
      <c r="D1083" s="194"/>
      <c r="E1083" s="194"/>
      <c r="F1083" s="194"/>
      <c r="G1083" s="194"/>
      <c r="H1083" s="194"/>
      <c r="I1083" s="194"/>
      <c r="J1083" s="195"/>
      <c r="K1083" s="201"/>
      <c r="L1083" s="194"/>
      <c r="M1083" s="194"/>
      <c r="N1083" s="194"/>
      <c r="O1083" s="195"/>
      <c r="P1083" s="195"/>
    </row>
    <row r="1084">
      <c r="A1084" s="199"/>
      <c r="B1084" s="200"/>
      <c r="C1084" s="194"/>
      <c r="D1084" s="194"/>
      <c r="E1084" s="194"/>
      <c r="F1084" s="194"/>
      <c r="G1084" s="194"/>
      <c r="H1084" s="194"/>
      <c r="I1084" s="194"/>
      <c r="J1084" s="195"/>
      <c r="K1084" s="201"/>
      <c r="L1084" s="194"/>
      <c r="M1084" s="194"/>
      <c r="N1084" s="194"/>
      <c r="O1084" s="195"/>
      <c r="P1084" s="195"/>
    </row>
    <row r="1085">
      <c r="A1085" s="199"/>
      <c r="B1085" s="200"/>
      <c r="C1085" s="194"/>
      <c r="D1085" s="194"/>
      <c r="E1085" s="194"/>
      <c r="F1085" s="194"/>
      <c r="G1085" s="194"/>
      <c r="H1085" s="194"/>
      <c r="I1085" s="194"/>
      <c r="J1085" s="195"/>
      <c r="K1085" s="201"/>
      <c r="L1085" s="194"/>
      <c r="M1085" s="194"/>
      <c r="N1085" s="194"/>
      <c r="O1085" s="195"/>
      <c r="P1085" s="195"/>
    </row>
    <row r="1086">
      <c r="A1086" s="199"/>
      <c r="B1086" s="200"/>
      <c r="C1086" s="194"/>
      <c r="D1086" s="194"/>
      <c r="E1086" s="194"/>
      <c r="F1086" s="194"/>
      <c r="G1086" s="194"/>
      <c r="H1086" s="194"/>
      <c r="I1086" s="194"/>
      <c r="J1086" s="195"/>
      <c r="K1086" s="201"/>
      <c r="L1086" s="194"/>
      <c r="M1086" s="194"/>
      <c r="N1086" s="194"/>
      <c r="O1086" s="195"/>
      <c r="P1086" s="195"/>
    </row>
    <row r="1087">
      <c r="A1087" s="199"/>
      <c r="B1087" s="200"/>
      <c r="C1087" s="194"/>
      <c r="D1087" s="194"/>
      <c r="E1087" s="194"/>
      <c r="F1087" s="194"/>
      <c r="G1087" s="194"/>
      <c r="H1087" s="194"/>
      <c r="I1087" s="194"/>
      <c r="J1087" s="195"/>
      <c r="K1087" s="201"/>
      <c r="L1087" s="194"/>
      <c r="M1087" s="194"/>
      <c r="N1087" s="194"/>
      <c r="O1087" s="195"/>
      <c r="P1087" s="195"/>
    </row>
    <row r="1088">
      <c r="A1088" s="199"/>
      <c r="B1088" s="200"/>
      <c r="C1088" s="194"/>
      <c r="D1088" s="194"/>
      <c r="E1088" s="194"/>
      <c r="F1088" s="194"/>
      <c r="G1088" s="194"/>
      <c r="H1088" s="194"/>
      <c r="I1088" s="194"/>
      <c r="J1088" s="195"/>
      <c r="K1088" s="201"/>
      <c r="L1088" s="194"/>
      <c r="M1088" s="194"/>
      <c r="N1088" s="194"/>
      <c r="O1088" s="195"/>
      <c r="P1088" s="195"/>
    </row>
    <row r="1089">
      <c r="A1089" s="199"/>
      <c r="B1089" s="200"/>
      <c r="C1089" s="194"/>
      <c r="D1089" s="194"/>
      <c r="E1089" s="194"/>
      <c r="F1089" s="194"/>
      <c r="G1089" s="194"/>
      <c r="H1089" s="194"/>
      <c r="I1089" s="194"/>
      <c r="J1089" s="195"/>
      <c r="K1089" s="201"/>
      <c r="L1089" s="194"/>
      <c r="M1089" s="194"/>
      <c r="N1089" s="194"/>
      <c r="O1089" s="195"/>
      <c r="P1089" s="195"/>
    </row>
    <row r="1090">
      <c r="A1090" s="199"/>
      <c r="B1090" s="200"/>
      <c r="C1090" s="194"/>
      <c r="D1090" s="194"/>
      <c r="E1090" s="194"/>
      <c r="F1090" s="194"/>
      <c r="G1090" s="194"/>
      <c r="H1090" s="194"/>
      <c r="I1090" s="194"/>
      <c r="J1090" s="195"/>
      <c r="K1090" s="201"/>
      <c r="L1090" s="194"/>
      <c r="M1090" s="194"/>
      <c r="N1090" s="194"/>
      <c r="O1090" s="195"/>
      <c r="P1090" s="195"/>
    </row>
    <row r="1091">
      <c r="A1091" s="199"/>
      <c r="B1091" s="200"/>
      <c r="C1091" s="194"/>
      <c r="D1091" s="194"/>
      <c r="E1091" s="194"/>
      <c r="F1091" s="194"/>
      <c r="G1091" s="194"/>
      <c r="H1091" s="194"/>
      <c r="I1091" s="194"/>
      <c r="J1091" s="195"/>
      <c r="K1091" s="201"/>
      <c r="L1091" s="194"/>
      <c r="M1091" s="194"/>
      <c r="N1091" s="194"/>
      <c r="O1091" s="195"/>
      <c r="P1091" s="195"/>
    </row>
    <row r="1092">
      <c r="A1092" s="199"/>
      <c r="B1092" s="200"/>
      <c r="C1092" s="194"/>
      <c r="D1092" s="194"/>
      <c r="E1092" s="194"/>
      <c r="F1092" s="194"/>
      <c r="G1092" s="194"/>
      <c r="H1092" s="194"/>
      <c r="I1092" s="194"/>
      <c r="J1092" s="195"/>
      <c r="K1092" s="201"/>
      <c r="L1092" s="194"/>
      <c r="M1092" s="194"/>
      <c r="N1092" s="194"/>
      <c r="O1092" s="195"/>
      <c r="P1092" s="195"/>
    </row>
    <row r="1093">
      <c r="A1093" s="199"/>
      <c r="B1093" s="200"/>
      <c r="C1093" s="194"/>
      <c r="D1093" s="194"/>
      <c r="E1093" s="194"/>
      <c r="F1093" s="194"/>
      <c r="G1093" s="194"/>
      <c r="H1093" s="194"/>
      <c r="I1093" s="194"/>
      <c r="J1093" s="195"/>
      <c r="K1093" s="201"/>
      <c r="L1093" s="194"/>
      <c r="M1093" s="194"/>
      <c r="N1093" s="194"/>
      <c r="O1093" s="195"/>
      <c r="P1093" s="195"/>
    </row>
    <row r="1094">
      <c r="A1094" s="199"/>
      <c r="B1094" s="200"/>
      <c r="C1094" s="194"/>
      <c r="D1094" s="194"/>
      <c r="E1094" s="194"/>
      <c r="F1094" s="194"/>
      <c r="G1094" s="194"/>
      <c r="H1094" s="194"/>
      <c r="I1094" s="194"/>
      <c r="J1094" s="195"/>
      <c r="K1094" s="201"/>
      <c r="L1094" s="194"/>
      <c r="M1094" s="194"/>
      <c r="N1094" s="194"/>
      <c r="O1094" s="195"/>
      <c r="P1094" s="195"/>
    </row>
    <row r="1095">
      <c r="A1095" s="199"/>
      <c r="B1095" s="200"/>
      <c r="C1095" s="194"/>
      <c r="D1095" s="194"/>
      <c r="E1095" s="194"/>
      <c r="F1095" s="194"/>
      <c r="G1095" s="194"/>
      <c r="H1095" s="194"/>
      <c r="I1095" s="194"/>
      <c r="J1095" s="195"/>
      <c r="K1095" s="201"/>
      <c r="L1095" s="194"/>
      <c r="M1095" s="194"/>
      <c r="N1095" s="194"/>
      <c r="O1095" s="195"/>
      <c r="P1095" s="195"/>
    </row>
    <row r="1096">
      <c r="A1096" s="199"/>
      <c r="B1096" s="200"/>
      <c r="C1096" s="194"/>
      <c r="D1096" s="194"/>
      <c r="E1096" s="194"/>
      <c r="F1096" s="194"/>
      <c r="G1096" s="194"/>
      <c r="H1096" s="194"/>
      <c r="I1096" s="194"/>
      <c r="J1096" s="195"/>
      <c r="K1096" s="201"/>
      <c r="L1096" s="194"/>
      <c r="M1096" s="194"/>
      <c r="N1096" s="194"/>
      <c r="O1096" s="195"/>
      <c r="P1096" s="195"/>
    </row>
    <row r="1097">
      <c r="A1097" s="199"/>
      <c r="B1097" s="200"/>
      <c r="C1097" s="194"/>
      <c r="D1097" s="194"/>
      <c r="E1097" s="194"/>
      <c r="F1097" s="194"/>
      <c r="G1097" s="194"/>
      <c r="H1097" s="194"/>
      <c r="I1097" s="194"/>
      <c r="J1097" s="195"/>
      <c r="K1097" s="201"/>
      <c r="L1097" s="194"/>
      <c r="M1097" s="194"/>
      <c r="N1097" s="194"/>
      <c r="O1097" s="195"/>
      <c r="P1097" s="195"/>
    </row>
    <row r="1098">
      <c r="A1098" s="199"/>
      <c r="B1098" s="200"/>
      <c r="C1098" s="194"/>
      <c r="D1098" s="194"/>
      <c r="E1098" s="194"/>
      <c r="F1098" s="194"/>
      <c r="G1098" s="194"/>
      <c r="H1098" s="194"/>
      <c r="I1098" s="194"/>
      <c r="J1098" s="195"/>
      <c r="K1098" s="201"/>
      <c r="L1098" s="194"/>
      <c r="M1098" s="194"/>
      <c r="N1098" s="194"/>
      <c r="O1098" s="195"/>
      <c r="P1098" s="195"/>
    </row>
    <row r="1099">
      <c r="A1099" s="199"/>
      <c r="B1099" s="200"/>
      <c r="C1099" s="194"/>
      <c r="D1099" s="194"/>
      <c r="E1099" s="194"/>
      <c r="F1099" s="194"/>
      <c r="G1099" s="194"/>
      <c r="H1099" s="194"/>
      <c r="I1099" s="194"/>
      <c r="J1099" s="195"/>
      <c r="K1099" s="201"/>
      <c r="L1099" s="194"/>
      <c r="M1099" s="194"/>
      <c r="N1099" s="194"/>
      <c r="O1099" s="195"/>
      <c r="P1099" s="195"/>
    </row>
    <row r="1100">
      <c r="A1100" s="199"/>
      <c r="B1100" s="200"/>
      <c r="C1100" s="194"/>
      <c r="D1100" s="194"/>
      <c r="E1100" s="194"/>
      <c r="F1100" s="194"/>
      <c r="G1100" s="194"/>
      <c r="H1100" s="194"/>
      <c r="I1100" s="194"/>
      <c r="J1100" s="195"/>
      <c r="K1100" s="201"/>
      <c r="L1100" s="194"/>
      <c r="M1100" s="194"/>
      <c r="N1100" s="194"/>
      <c r="O1100" s="195"/>
      <c r="P1100" s="195"/>
    </row>
    <row r="1101">
      <c r="A1101" s="199"/>
      <c r="B1101" s="200"/>
      <c r="C1101" s="194"/>
      <c r="D1101" s="194"/>
      <c r="E1101" s="194"/>
      <c r="F1101" s="194"/>
      <c r="G1101" s="194"/>
      <c r="H1101" s="194"/>
      <c r="I1101" s="194"/>
      <c r="J1101" s="195"/>
      <c r="K1101" s="201"/>
      <c r="L1101" s="194"/>
      <c r="M1101" s="194"/>
      <c r="N1101" s="194"/>
      <c r="O1101" s="195"/>
      <c r="P1101" s="195"/>
    </row>
    <row r="1102">
      <c r="A1102" s="199"/>
      <c r="B1102" s="200"/>
      <c r="C1102" s="194"/>
      <c r="D1102" s="194"/>
      <c r="E1102" s="194"/>
      <c r="F1102" s="194"/>
      <c r="G1102" s="194"/>
      <c r="H1102" s="194"/>
      <c r="I1102" s="194"/>
      <c r="J1102" s="195"/>
      <c r="K1102" s="201"/>
      <c r="L1102" s="194"/>
      <c r="M1102" s="194"/>
      <c r="N1102" s="194"/>
      <c r="O1102" s="195"/>
      <c r="P1102" s="195"/>
    </row>
    <row r="1103">
      <c r="A1103" s="199"/>
      <c r="B1103" s="200"/>
      <c r="C1103" s="194"/>
      <c r="D1103" s="194"/>
      <c r="E1103" s="194"/>
      <c r="F1103" s="194"/>
      <c r="G1103" s="194"/>
      <c r="H1103" s="194"/>
      <c r="I1103" s="194"/>
      <c r="J1103" s="195"/>
      <c r="K1103" s="201"/>
      <c r="L1103" s="194"/>
      <c r="M1103" s="194"/>
      <c r="N1103" s="194"/>
      <c r="O1103" s="195"/>
      <c r="P1103" s="195"/>
    </row>
    <row r="1104">
      <c r="A1104" s="199"/>
      <c r="B1104" s="200"/>
      <c r="C1104" s="194"/>
      <c r="D1104" s="194"/>
      <c r="E1104" s="194"/>
      <c r="F1104" s="194"/>
      <c r="G1104" s="194"/>
      <c r="H1104" s="194"/>
      <c r="I1104" s="194"/>
      <c r="J1104" s="195"/>
      <c r="K1104" s="201"/>
      <c r="L1104" s="194"/>
      <c r="M1104" s="194"/>
      <c r="N1104" s="194"/>
      <c r="O1104" s="195"/>
      <c r="P1104" s="195"/>
    </row>
    <row r="1105">
      <c r="A1105" s="199"/>
      <c r="B1105" s="200"/>
      <c r="C1105" s="194"/>
      <c r="D1105" s="194"/>
      <c r="E1105" s="194"/>
      <c r="F1105" s="194"/>
      <c r="G1105" s="194"/>
      <c r="H1105" s="194"/>
      <c r="I1105" s="194"/>
      <c r="J1105" s="195"/>
      <c r="K1105" s="201"/>
      <c r="L1105" s="194"/>
      <c r="M1105" s="194"/>
      <c r="N1105" s="194"/>
      <c r="O1105" s="195"/>
      <c r="P1105" s="195"/>
    </row>
    <row r="1106">
      <c r="A1106" s="199"/>
      <c r="B1106" s="200"/>
      <c r="C1106" s="194"/>
      <c r="D1106" s="194"/>
      <c r="E1106" s="194"/>
      <c r="F1106" s="194"/>
      <c r="G1106" s="194"/>
      <c r="H1106" s="194"/>
      <c r="I1106" s="194"/>
      <c r="J1106" s="195"/>
      <c r="K1106" s="201"/>
      <c r="L1106" s="194"/>
      <c r="M1106" s="194"/>
      <c r="N1106" s="194"/>
      <c r="O1106" s="195"/>
      <c r="P1106" s="195"/>
    </row>
    <row r="1107">
      <c r="A1107" s="199"/>
      <c r="B1107" s="200"/>
      <c r="C1107" s="194"/>
      <c r="D1107" s="194"/>
      <c r="E1107" s="194"/>
      <c r="F1107" s="194"/>
      <c r="G1107" s="194"/>
      <c r="H1107" s="194"/>
      <c r="I1107" s="194"/>
      <c r="J1107" s="195"/>
      <c r="K1107" s="201"/>
      <c r="L1107" s="194"/>
      <c r="M1107" s="194"/>
      <c r="N1107" s="194"/>
      <c r="O1107" s="195"/>
      <c r="P1107" s="195"/>
    </row>
    <row r="1108">
      <c r="A1108" s="199"/>
      <c r="B1108" s="200"/>
      <c r="C1108" s="194"/>
      <c r="D1108" s="194"/>
      <c r="E1108" s="194"/>
      <c r="F1108" s="194"/>
      <c r="G1108" s="194"/>
      <c r="H1108" s="194"/>
      <c r="I1108" s="194"/>
      <c r="J1108" s="195"/>
      <c r="K1108" s="201"/>
      <c r="L1108" s="194"/>
      <c r="M1108" s="194"/>
      <c r="N1108" s="194"/>
      <c r="O1108" s="195"/>
      <c r="P1108" s="195"/>
    </row>
    <row r="1109">
      <c r="A1109" s="199"/>
      <c r="B1109" s="200"/>
      <c r="C1109" s="194"/>
      <c r="D1109" s="194"/>
      <c r="E1109" s="194"/>
      <c r="F1109" s="194"/>
      <c r="G1109" s="194"/>
      <c r="H1109" s="194"/>
      <c r="I1109" s="194"/>
      <c r="J1109" s="195"/>
      <c r="K1109" s="201"/>
      <c r="L1109" s="194"/>
      <c r="M1109" s="194"/>
      <c r="N1109" s="194"/>
      <c r="O1109" s="195"/>
      <c r="P1109" s="195"/>
    </row>
    <row r="1110">
      <c r="A1110" s="199"/>
      <c r="B1110" s="200"/>
      <c r="C1110" s="194"/>
      <c r="D1110" s="194"/>
      <c r="E1110" s="194"/>
      <c r="F1110" s="194"/>
      <c r="G1110" s="194"/>
      <c r="H1110" s="194"/>
      <c r="I1110" s="194"/>
      <c r="J1110" s="195"/>
      <c r="K1110" s="201"/>
      <c r="L1110" s="194"/>
      <c r="M1110" s="194"/>
      <c r="N1110" s="194"/>
      <c r="O1110" s="195"/>
      <c r="P1110" s="195"/>
    </row>
    <row r="1111">
      <c r="A1111" s="199"/>
      <c r="B1111" s="200"/>
      <c r="C1111" s="194"/>
      <c r="D1111" s="194"/>
      <c r="E1111" s="194"/>
      <c r="F1111" s="194"/>
      <c r="G1111" s="194"/>
      <c r="H1111" s="194"/>
      <c r="I1111" s="194"/>
      <c r="J1111" s="195"/>
      <c r="K1111" s="201"/>
      <c r="L1111" s="194"/>
      <c r="M1111" s="194"/>
      <c r="N1111" s="194"/>
      <c r="O1111" s="195"/>
      <c r="P1111" s="195"/>
    </row>
    <row r="1112">
      <c r="A1112" s="199"/>
      <c r="B1112" s="200"/>
      <c r="C1112" s="194"/>
      <c r="D1112" s="194"/>
      <c r="E1112" s="194"/>
      <c r="F1112" s="194"/>
      <c r="G1112" s="194"/>
      <c r="H1112" s="194"/>
      <c r="I1112" s="194"/>
      <c r="J1112" s="195"/>
      <c r="K1112" s="201"/>
      <c r="L1112" s="194"/>
      <c r="M1112" s="194"/>
      <c r="N1112" s="194"/>
      <c r="O1112" s="195"/>
      <c r="P1112" s="195"/>
    </row>
    <row r="1113">
      <c r="A1113" s="199"/>
      <c r="B1113" s="200"/>
      <c r="C1113" s="194"/>
      <c r="D1113" s="194"/>
      <c r="E1113" s="194"/>
      <c r="F1113" s="194"/>
      <c r="G1113" s="194"/>
      <c r="H1113" s="194"/>
      <c r="I1113" s="194"/>
      <c r="J1113" s="195"/>
      <c r="K1113" s="201"/>
      <c r="L1113" s="194"/>
      <c r="M1113" s="194"/>
      <c r="N1113" s="194"/>
      <c r="O1113" s="195"/>
      <c r="P1113" s="195"/>
    </row>
    <row r="1114">
      <c r="A1114" s="199"/>
      <c r="B1114" s="200"/>
      <c r="C1114" s="194"/>
      <c r="D1114" s="194"/>
      <c r="E1114" s="194"/>
      <c r="F1114" s="194"/>
      <c r="G1114" s="194"/>
      <c r="H1114" s="194"/>
      <c r="I1114" s="194"/>
      <c r="J1114" s="195"/>
      <c r="K1114" s="201"/>
      <c r="L1114" s="194"/>
      <c r="M1114" s="194"/>
      <c r="N1114" s="194"/>
      <c r="O1114" s="195"/>
      <c r="P1114" s="195"/>
    </row>
    <row r="1115">
      <c r="A1115" s="199"/>
      <c r="B1115" s="200"/>
      <c r="C1115" s="194"/>
      <c r="D1115" s="194"/>
      <c r="E1115" s="194"/>
      <c r="F1115" s="194"/>
      <c r="G1115" s="194"/>
      <c r="H1115" s="194"/>
      <c r="I1115" s="194"/>
      <c r="J1115" s="195"/>
      <c r="K1115" s="201"/>
      <c r="L1115" s="194"/>
      <c r="M1115" s="194"/>
      <c r="N1115" s="194"/>
      <c r="O1115" s="195"/>
      <c r="P1115" s="195"/>
    </row>
    <row r="1116">
      <c r="A1116" s="199"/>
      <c r="B1116" s="200"/>
      <c r="C1116" s="194"/>
      <c r="D1116" s="194"/>
      <c r="E1116" s="194"/>
      <c r="F1116" s="194"/>
      <c r="G1116" s="194"/>
      <c r="H1116" s="194"/>
      <c r="I1116" s="194"/>
      <c r="J1116" s="195"/>
      <c r="K1116" s="201"/>
      <c r="L1116" s="194"/>
      <c r="M1116" s="194"/>
      <c r="N1116" s="194"/>
      <c r="O1116" s="195"/>
      <c r="P1116" s="195"/>
    </row>
    <row r="1117">
      <c r="A1117" s="199"/>
      <c r="B1117" s="200"/>
      <c r="C1117" s="194"/>
      <c r="D1117" s="194"/>
      <c r="E1117" s="194"/>
      <c r="F1117" s="194"/>
      <c r="G1117" s="194"/>
      <c r="H1117" s="194"/>
      <c r="I1117" s="194"/>
      <c r="J1117" s="195"/>
      <c r="K1117" s="201"/>
      <c r="L1117" s="194"/>
      <c r="M1117" s="194"/>
      <c r="N1117" s="194"/>
      <c r="O1117" s="195"/>
      <c r="P1117" s="195"/>
    </row>
    <row r="1118">
      <c r="A1118" s="199"/>
      <c r="B1118" s="200"/>
      <c r="C1118" s="194"/>
      <c r="D1118" s="194"/>
      <c r="E1118" s="194"/>
      <c r="F1118" s="194"/>
      <c r="G1118" s="194"/>
      <c r="H1118" s="194"/>
      <c r="I1118" s="194"/>
      <c r="J1118" s="195"/>
      <c r="K1118" s="201"/>
      <c r="L1118" s="194"/>
      <c r="M1118" s="194"/>
      <c r="N1118" s="194"/>
      <c r="O1118" s="195"/>
      <c r="P1118" s="195"/>
    </row>
    <row r="1119">
      <c r="A1119" s="199"/>
      <c r="B1119" s="200"/>
      <c r="C1119" s="194"/>
      <c r="D1119" s="194"/>
      <c r="E1119" s="194"/>
      <c r="F1119" s="194"/>
      <c r="G1119" s="194"/>
      <c r="H1119" s="194"/>
      <c r="I1119" s="194"/>
      <c r="J1119" s="195"/>
      <c r="K1119" s="201"/>
      <c r="L1119" s="194"/>
      <c r="M1119" s="194"/>
      <c r="N1119" s="194"/>
      <c r="O1119" s="195"/>
      <c r="P1119" s="195"/>
    </row>
    <row r="1120">
      <c r="A1120" s="199"/>
      <c r="B1120" s="200"/>
      <c r="C1120" s="194"/>
      <c r="D1120" s="194"/>
      <c r="E1120" s="194"/>
      <c r="F1120" s="194"/>
      <c r="G1120" s="194"/>
      <c r="H1120" s="194"/>
      <c r="I1120" s="194"/>
      <c r="J1120" s="195"/>
      <c r="K1120" s="201"/>
      <c r="L1120" s="194"/>
      <c r="M1120" s="194"/>
      <c r="N1120" s="194"/>
      <c r="O1120" s="195"/>
      <c r="P1120" s="195"/>
    </row>
    <row r="1121">
      <c r="A1121" s="199"/>
      <c r="B1121" s="200"/>
      <c r="C1121" s="194"/>
      <c r="D1121" s="194"/>
      <c r="E1121" s="194"/>
      <c r="F1121" s="194"/>
      <c r="G1121" s="194"/>
      <c r="H1121" s="194"/>
      <c r="I1121" s="194"/>
      <c r="J1121" s="195"/>
      <c r="K1121" s="201"/>
      <c r="L1121" s="194"/>
      <c r="M1121" s="194"/>
      <c r="N1121" s="194"/>
      <c r="O1121" s="195"/>
      <c r="P1121" s="195"/>
    </row>
    <row r="1122">
      <c r="A1122" s="199"/>
      <c r="B1122" s="200"/>
      <c r="C1122" s="194"/>
      <c r="D1122" s="194"/>
      <c r="E1122" s="194"/>
      <c r="F1122" s="194"/>
      <c r="G1122" s="194"/>
      <c r="H1122" s="194"/>
      <c r="I1122" s="194"/>
      <c r="J1122" s="195"/>
      <c r="K1122" s="201"/>
      <c r="L1122" s="194"/>
      <c r="M1122" s="194"/>
      <c r="N1122" s="194"/>
      <c r="O1122" s="195"/>
      <c r="P1122" s="195"/>
    </row>
    <row r="1123">
      <c r="A1123" s="199"/>
      <c r="B1123" s="200"/>
      <c r="C1123" s="194"/>
      <c r="D1123" s="194"/>
      <c r="E1123" s="194"/>
      <c r="F1123" s="194"/>
      <c r="G1123" s="194"/>
      <c r="H1123" s="194"/>
      <c r="I1123" s="194"/>
      <c r="J1123" s="195"/>
      <c r="K1123" s="201"/>
      <c r="L1123" s="194"/>
      <c r="M1123" s="194"/>
      <c r="N1123" s="194"/>
      <c r="O1123" s="195"/>
      <c r="P1123" s="195"/>
    </row>
    <row r="1124">
      <c r="A1124" s="199"/>
      <c r="B1124" s="200"/>
      <c r="C1124" s="194"/>
      <c r="D1124" s="194"/>
      <c r="E1124" s="194"/>
      <c r="F1124" s="194"/>
      <c r="G1124" s="194"/>
      <c r="H1124" s="194"/>
      <c r="I1124" s="194"/>
      <c r="J1124" s="195"/>
      <c r="K1124" s="201"/>
      <c r="L1124" s="194"/>
      <c r="M1124" s="194"/>
      <c r="N1124" s="194"/>
      <c r="O1124" s="195"/>
      <c r="P1124" s="195"/>
    </row>
    <row r="1125">
      <c r="A1125" s="199"/>
      <c r="B1125" s="200"/>
      <c r="C1125" s="194"/>
      <c r="D1125" s="194"/>
      <c r="E1125" s="194"/>
      <c r="F1125" s="194"/>
      <c r="G1125" s="194"/>
      <c r="H1125" s="194"/>
      <c r="I1125" s="194"/>
      <c r="J1125" s="195"/>
      <c r="K1125" s="201"/>
      <c r="L1125" s="194"/>
      <c r="M1125" s="194"/>
      <c r="N1125" s="194"/>
      <c r="O1125" s="195"/>
      <c r="P1125" s="195"/>
    </row>
    <row r="1126">
      <c r="A1126" s="199"/>
      <c r="B1126" s="200"/>
      <c r="C1126" s="194"/>
      <c r="D1126" s="194"/>
      <c r="E1126" s="194"/>
      <c r="F1126" s="194"/>
      <c r="G1126" s="194"/>
      <c r="H1126" s="194"/>
      <c r="I1126" s="194"/>
      <c r="J1126" s="195"/>
      <c r="K1126" s="201"/>
      <c r="L1126" s="194"/>
      <c r="M1126" s="194"/>
      <c r="N1126" s="194"/>
      <c r="O1126" s="195"/>
      <c r="P1126" s="195"/>
    </row>
    <row r="1127">
      <c r="A1127" s="199"/>
      <c r="B1127" s="200"/>
      <c r="C1127" s="194"/>
      <c r="D1127" s="194"/>
      <c r="E1127" s="194"/>
      <c r="F1127" s="194"/>
      <c r="G1127" s="194"/>
      <c r="H1127" s="194"/>
      <c r="I1127" s="194"/>
      <c r="J1127" s="195"/>
      <c r="K1127" s="201"/>
      <c r="L1127" s="194"/>
      <c r="M1127" s="194"/>
      <c r="N1127" s="194"/>
      <c r="O1127" s="195"/>
      <c r="P1127" s="195"/>
    </row>
    <row r="1128">
      <c r="A1128" s="199"/>
      <c r="B1128" s="200"/>
      <c r="C1128" s="194"/>
      <c r="D1128" s="194"/>
      <c r="E1128" s="194"/>
      <c r="F1128" s="194"/>
      <c r="G1128" s="194"/>
      <c r="H1128" s="194"/>
      <c r="I1128" s="194"/>
      <c r="J1128" s="195"/>
      <c r="K1128" s="201"/>
      <c r="L1128" s="194"/>
      <c r="M1128" s="194"/>
      <c r="N1128" s="194"/>
      <c r="O1128" s="195"/>
      <c r="P1128" s="195"/>
    </row>
    <row r="1129">
      <c r="A1129" s="199"/>
      <c r="B1129" s="200"/>
      <c r="C1129" s="194"/>
      <c r="D1129" s="194"/>
      <c r="E1129" s="194"/>
      <c r="F1129" s="194"/>
      <c r="G1129" s="194"/>
      <c r="H1129" s="194"/>
      <c r="I1129" s="194"/>
      <c r="J1129" s="195"/>
      <c r="K1129" s="201"/>
      <c r="L1129" s="194"/>
      <c r="M1129" s="194"/>
      <c r="N1129" s="194"/>
      <c r="O1129" s="195"/>
      <c r="P1129" s="195"/>
    </row>
    <row r="1130">
      <c r="A1130" s="199"/>
      <c r="B1130" s="200"/>
      <c r="C1130" s="194"/>
      <c r="D1130" s="194"/>
      <c r="E1130" s="194"/>
      <c r="F1130" s="194"/>
      <c r="G1130" s="194"/>
      <c r="H1130" s="194"/>
      <c r="I1130" s="194"/>
      <c r="J1130" s="195"/>
      <c r="K1130" s="201"/>
      <c r="L1130" s="194"/>
      <c r="M1130" s="194"/>
      <c r="N1130" s="194"/>
      <c r="O1130" s="195"/>
      <c r="P1130" s="195"/>
    </row>
    <row r="1131">
      <c r="A1131" s="199"/>
      <c r="B1131" s="200"/>
      <c r="C1131" s="194"/>
      <c r="D1131" s="194"/>
      <c r="E1131" s="194"/>
      <c r="F1131" s="194"/>
      <c r="G1131" s="194"/>
      <c r="H1131" s="194"/>
      <c r="I1131" s="194"/>
      <c r="J1131" s="195"/>
      <c r="K1131" s="201"/>
      <c r="L1131" s="194"/>
      <c r="M1131" s="194"/>
      <c r="N1131" s="194"/>
      <c r="O1131" s="195"/>
      <c r="P1131" s="195"/>
    </row>
    <row r="1132">
      <c r="A1132" s="199"/>
      <c r="B1132" s="200"/>
      <c r="C1132" s="194"/>
      <c r="D1132" s="194"/>
      <c r="E1132" s="194"/>
      <c r="F1132" s="194"/>
      <c r="G1132" s="194"/>
      <c r="H1132" s="194"/>
      <c r="I1132" s="194"/>
      <c r="J1132" s="195"/>
      <c r="K1132" s="201"/>
      <c r="L1132" s="194"/>
      <c r="M1132" s="194"/>
      <c r="N1132" s="194"/>
      <c r="O1132" s="195"/>
      <c r="P1132" s="195"/>
    </row>
    <row r="1133">
      <c r="A1133" s="199"/>
      <c r="B1133" s="200"/>
      <c r="C1133" s="194"/>
      <c r="D1133" s="194"/>
      <c r="E1133" s="194"/>
      <c r="F1133" s="194"/>
      <c r="G1133" s="194"/>
      <c r="H1133" s="194"/>
      <c r="I1133" s="194"/>
      <c r="J1133" s="195"/>
      <c r="K1133" s="201"/>
      <c r="L1133" s="194"/>
      <c r="M1133" s="194"/>
      <c r="N1133" s="194"/>
      <c r="O1133" s="195"/>
      <c r="P1133" s="195"/>
    </row>
    <row r="1134">
      <c r="A1134" s="199"/>
      <c r="B1134" s="200"/>
      <c r="C1134" s="194"/>
      <c r="D1134" s="194"/>
      <c r="E1134" s="194"/>
      <c r="F1134" s="194"/>
      <c r="G1134" s="194"/>
      <c r="H1134" s="194"/>
      <c r="I1134" s="194"/>
      <c r="J1134" s="195"/>
      <c r="K1134" s="201"/>
      <c r="L1134" s="194"/>
      <c r="M1134" s="194"/>
      <c r="N1134" s="194"/>
      <c r="O1134" s="195"/>
      <c r="P1134" s="195"/>
    </row>
    <row r="1135">
      <c r="A1135" s="199"/>
      <c r="B1135" s="200"/>
      <c r="C1135" s="194"/>
      <c r="D1135" s="194"/>
      <c r="E1135" s="194"/>
      <c r="F1135" s="194"/>
      <c r="G1135" s="194"/>
      <c r="H1135" s="194"/>
      <c r="I1135" s="194"/>
      <c r="J1135" s="195"/>
      <c r="K1135" s="201"/>
      <c r="L1135" s="194"/>
      <c r="M1135" s="194"/>
      <c r="N1135" s="194"/>
      <c r="O1135" s="195"/>
      <c r="P1135" s="195"/>
    </row>
    <row r="1136">
      <c r="A1136" s="199"/>
      <c r="B1136" s="200"/>
      <c r="C1136" s="194"/>
      <c r="D1136" s="194"/>
      <c r="E1136" s="194"/>
      <c r="F1136" s="194"/>
      <c r="G1136" s="194"/>
      <c r="H1136" s="194"/>
      <c r="I1136" s="194"/>
      <c r="J1136" s="195"/>
      <c r="K1136" s="201"/>
      <c r="L1136" s="194"/>
      <c r="M1136" s="194"/>
      <c r="N1136" s="194"/>
      <c r="O1136" s="195"/>
      <c r="P1136" s="195"/>
    </row>
    <row r="1137">
      <c r="A1137" s="199"/>
      <c r="B1137" s="200"/>
      <c r="C1137" s="194"/>
      <c r="D1137" s="194"/>
      <c r="E1137" s="194"/>
      <c r="F1137" s="194"/>
      <c r="G1137" s="194"/>
      <c r="H1137" s="194"/>
      <c r="I1137" s="194"/>
      <c r="J1137" s="195"/>
      <c r="K1137" s="201"/>
      <c r="L1137" s="194"/>
      <c r="M1137" s="194"/>
      <c r="N1137" s="194"/>
      <c r="O1137" s="195"/>
      <c r="P1137" s="195"/>
    </row>
    <row r="1138">
      <c r="A1138" s="199"/>
      <c r="B1138" s="200"/>
      <c r="C1138" s="194"/>
      <c r="D1138" s="194"/>
      <c r="E1138" s="194"/>
      <c r="F1138" s="194"/>
      <c r="G1138" s="194"/>
      <c r="H1138" s="194"/>
      <c r="I1138" s="194"/>
      <c r="J1138" s="195"/>
      <c r="K1138" s="201"/>
      <c r="L1138" s="194"/>
      <c r="M1138" s="194"/>
      <c r="N1138" s="194"/>
      <c r="O1138" s="195"/>
      <c r="P1138" s="195"/>
    </row>
    <row r="1139">
      <c r="A1139" s="199"/>
      <c r="B1139" s="200"/>
      <c r="C1139" s="194"/>
      <c r="D1139" s="194"/>
      <c r="E1139" s="194"/>
      <c r="F1139" s="194"/>
      <c r="G1139" s="194"/>
      <c r="H1139" s="194"/>
      <c r="I1139" s="194"/>
      <c r="J1139" s="195"/>
      <c r="K1139" s="201"/>
      <c r="L1139" s="194"/>
      <c r="M1139" s="194"/>
      <c r="N1139" s="194"/>
      <c r="O1139" s="195"/>
      <c r="P1139" s="195"/>
    </row>
    <row r="1140">
      <c r="A1140" s="199"/>
      <c r="B1140" s="200"/>
      <c r="C1140" s="194"/>
      <c r="D1140" s="194"/>
      <c r="E1140" s="194"/>
      <c r="F1140" s="194"/>
      <c r="G1140" s="194"/>
      <c r="H1140" s="194"/>
      <c r="I1140" s="194"/>
      <c r="J1140" s="195"/>
      <c r="K1140" s="201"/>
      <c r="L1140" s="194"/>
      <c r="M1140" s="194"/>
      <c r="N1140" s="194"/>
      <c r="O1140" s="195"/>
      <c r="P1140" s="195"/>
    </row>
    <row r="1141">
      <c r="A1141" s="199"/>
      <c r="B1141" s="200"/>
      <c r="C1141" s="194"/>
      <c r="D1141" s="194"/>
      <c r="E1141" s="194"/>
      <c r="F1141" s="194"/>
      <c r="G1141" s="194"/>
      <c r="H1141" s="194"/>
      <c r="I1141" s="194"/>
      <c r="J1141" s="195"/>
      <c r="K1141" s="201"/>
      <c r="L1141" s="194"/>
      <c r="M1141" s="194"/>
      <c r="N1141" s="194"/>
      <c r="O1141" s="195"/>
      <c r="P1141" s="195"/>
    </row>
    <row r="1142">
      <c r="A1142" s="199"/>
      <c r="B1142" s="200"/>
      <c r="C1142" s="194"/>
      <c r="D1142" s="194"/>
      <c r="E1142" s="194"/>
      <c r="F1142" s="194"/>
      <c r="G1142" s="194"/>
      <c r="H1142" s="194"/>
      <c r="I1142" s="194"/>
      <c r="J1142" s="195"/>
      <c r="K1142" s="201"/>
      <c r="L1142" s="194"/>
      <c r="M1142" s="194"/>
      <c r="N1142" s="194"/>
      <c r="O1142" s="195"/>
      <c r="P1142" s="195"/>
    </row>
    <row r="1143">
      <c r="A1143" s="199"/>
      <c r="B1143" s="200"/>
      <c r="C1143" s="194"/>
      <c r="D1143" s="194"/>
      <c r="E1143" s="194"/>
      <c r="F1143" s="194"/>
      <c r="G1143" s="194"/>
      <c r="H1143" s="194"/>
      <c r="I1143" s="194"/>
      <c r="J1143" s="195"/>
      <c r="K1143" s="201"/>
      <c r="L1143" s="194"/>
      <c r="M1143" s="194"/>
      <c r="N1143" s="194"/>
      <c r="O1143" s="195"/>
      <c r="P1143" s="195"/>
    </row>
    <row r="1144">
      <c r="A1144" s="199"/>
      <c r="B1144" s="200"/>
      <c r="C1144" s="194"/>
      <c r="D1144" s="194"/>
      <c r="E1144" s="194"/>
      <c r="F1144" s="194"/>
      <c r="G1144" s="194"/>
      <c r="H1144" s="194"/>
      <c r="I1144" s="194"/>
      <c r="J1144" s="195"/>
      <c r="K1144" s="201"/>
      <c r="L1144" s="194"/>
      <c r="M1144" s="194"/>
      <c r="N1144" s="194"/>
      <c r="O1144" s="195"/>
      <c r="P1144" s="195"/>
    </row>
    <row r="1145">
      <c r="A1145" s="199"/>
      <c r="B1145" s="200"/>
      <c r="C1145" s="194"/>
      <c r="D1145" s="194"/>
      <c r="E1145" s="194"/>
      <c r="F1145" s="194"/>
      <c r="G1145" s="194"/>
      <c r="H1145" s="194"/>
      <c r="I1145" s="194"/>
      <c r="J1145" s="195"/>
      <c r="K1145" s="201"/>
      <c r="L1145" s="194"/>
      <c r="M1145" s="194"/>
      <c r="N1145" s="194"/>
      <c r="O1145" s="195"/>
      <c r="P1145" s="195"/>
    </row>
    <row r="1146">
      <c r="A1146" s="199"/>
      <c r="B1146" s="200"/>
      <c r="C1146" s="194"/>
      <c r="D1146" s="194"/>
      <c r="E1146" s="194"/>
      <c r="F1146" s="194"/>
      <c r="G1146" s="194"/>
      <c r="H1146" s="194"/>
      <c r="I1146" s="194"/>
      <c r="J1146" s="195"/>
      <c r="K1146" s="201"/>
      <c r="L1146" s="194"/>
      <c r="M1146" s="194"/>
      <c r="N1146" s="194"/>
      <c r="O1146" s="195"/>
      <c r="P1146" s="195"/>
    </row>
    <row r="1147">
      <c r="A1147" s="199"/>
      <c r="B1147" s="200"/>
      <c r="C1147" s="194"/>
      <c r="D1147" s="194"/>
      <c r="E1147" s="194"/>
      <c r="F1147" s="194"/>
      <c r="G1147" s="194"/>
      <c r="H1147" s="194"/>
      <c r="I1147" s="194"/>
      <c r="J1147" s="195"/>
      <c r="K1147" s="201"/>
      <c r="L1147" s="194"/>
      <c r="M1147" s="194"/>
      <c r="N1147" s="194"/>
      <c r="O1147" s="195"/>
      <c r="P1147" s="195"/>
    </row>
    <row r="1148">
      <c r="A1148" s="199"/>
      <c r="B1148" s="200"/>
      <c r="C1148" s="194"/>
      <c r="D1148" s="194"/>
      <c r="E1148" s="194"/>
      <c r="F1148" s="194"/>
      <c r="G1148" s="194"/>
      <c r="H1148" s="194"/>
      <c r="I1148" s="194"/>
      <c r="J1148" s="195"/>
      <c r="K1148" s="201"/>
      <c r="L1148" s="194"/>
      <c r="M1148" s="194"/>
      <c r="N1148" s="194"/>
      <c r="O1148" s="195"/>
      <c r="P1148" s="195"/>
    </row>
    <row r="1149">
      <c r="A1149" s="199"/>
      <c r="B1149" s="200"/>
      <c r="C1149" s="194"/>
      <c r="D1149" s="194"/>
      <c r="E1149" s="194"/>
      <c r="F1149" s="194"/>
      <c r="G1149" s="194"/>
      <c r="H1149" s="194"/>
      <c r="I1149" s="194"/>
      <c r="J1149" s="195"/>
      <c r="K1149" s="201"/>
      <c r="L1149" s="194"/>
      <c r="M1149" s="194"/>
      <c r="N1149" s="194"/>
      <c r="O1149" s="195"/>
      <c r="P1149" s="195"/>
    </row>
    <row r="1150">
      <c r="A1150" s="199"/>
      <c r="B1150" s="200"/>
      <c r="C1150" s="194"/>
      <c r="D1150" s="194"/>
      <c r="E1150" s="194"/>
      <c r="F1150" s="194"/>
      <c r="G1150" s="194"/>
      <c r="H1150" s="194"/>
      <c r="I1150" s="194"/>
      <c r="J1150" s="195"/>
      <c r="K1150" s="201"/>
      <c r="L1150" s="194"/>
      <c r="M1150" s="194"/>
      <c r="N1150" s="194"/>
      <c r="O1150" s="195"/>
      <c r="P1150" s="195"/>
    </row>
    <row r="1151">
      <c r="A1151" s="199"/>
      <c r="B1151" s="200"/>
      <c r="C1151" s="194"/>
      <c r="D1151" s="194"/>
      <c r="E1151" s="194"/>
      <c r="F1151" s="194"/>
      <c r="G1151" s="194"/>
      <c r="H1151" s="194"/>
      <c r="I1151" s="194"/>
      <c r="J1151" s="195"/>
      <c r="K1151" s="201"/>
      <c r="L1151" s="194"/>
      <c r="M1151" s="194"/>
      <c r="N1151" s="194"/>
      <c r="O1151" s="195"/>
      <c r="P1151" s="195"/>
    </row>
    <row r="1152">
      <c r="A1152" s="199"/>
      <c r="B1152" s="200"/>
      <c r="C1152" s="194"/>
      <c r="D1152" s="194"/>
      <c r="E1152" s="194"/>
      <c r="F1152" s="194"/>
      <c r="G1152" s="194"/>
      <c r="H1152" s="194"/>
      <c r="I1152" s="194"/>
      <c r="J1152" s="195"/>
      <c r="K1152" s="201"/>
      <c r="L1152" s="194"/>
      <c r="M1152" s="194"/>
      <c r="N1152" s="194"/>
      <c r="O1152" s="195"/>
      <c r="P1152" s="195"/>
    </row>
    <row r="1153">
      <c r="A1153" s="199"/>
      <c r="B1153" s="200"/>
      <c r="C1153" s="194"/>
      <c r="D1153" s="194"/>
      <c r="E1153" s="194"/>
      <c r="F1153" s="194"/>
      <c r="G1153" s="194"/>
      <c r="H1153" s="194"/>
      <c r="I1153" s="194"/>
      <c r="J1153" s="195"/>
      <c r="K1153" s="201"/>
      <c r="L1153" s="194"/>
      <c r="M1153" s="194"/>
      <c r="N1153" s="194"/>
      <c r="O1153" s="195"/>
      <c r="P1153" s="195"/>
    </row>
    <row r="1154">
      <c r="A1154" s="199"/>
      <c r="B1154" s="200"/>
      <c r="C1154" s="194"/>
      <c r="D1154" s="194"/>
      <c r="E1154" s="194"/>
      <c r="F1154" s="194"/>
      <c r="G1154" s="194"/>
      <c r="H1154" s="194"/>
      <c r="I1154" s="194"/>
      <c r="J1154" s="195"/>
      <c r="K1154" s="201"/>
      <c r="L1154" s="194"/>
      <c r="M1154" s="194"/>
      <c r="N1154" s="194"/>
      <c r="O1154" s="195"/>
      <c r="P1154" s="195"/>
    </row>
    <row r="1155">
      <c r="A1155" s="199"/>
      <c r="B1155" s="200"/>
      <c r="C1155" s="194"/>
      <c r="D1155" s="194"/>
      <c r="E1155" s="194"/>
      <c r="F1155" s="194"/>
      <c r="G1155" s="194"/>
      <c r="H1155" s="194"/>
      <c r="I1155" s="194"/>
      <c r="J1155" s="195"/>
      <c r="K1155" s="201"/>
      <c r="L1155" s="194"/>
      <c r="M1155" s="194"/>
      <c r="N1155" s="194"/>
      <c r="O1155" s="195"/>
      <c r="P1155" s="195"/>
    </row>
    <row r="1156">
      <c r="A1156" s="199"/>
      <c r="B1156" s="200"/>
      <c r="C1156" s="194"/>
      <c r="D1156" s="194"/>
      <c r="E1156" s="194"/>
      <c r="F1156" s="194"/>
      <c r="G1156" s="194"/>
      <c r="H1156" s="194"/>
      <c r="I1156" s="194"/>
      <c r="J1156" s="195"/>
      <c r="K1156" s="201"/>
      <c r="L1156" s="194"/>
      <c r="M1156" s="194"/>
      <c r="N1156" s="194"/>
      <c r="O1156" s="195"/>
      <c r="P1156" s="195"/>
    </row>
    <row r="1157">
      <c r="A1157" s="199"/>
      <c r="B1157" s="200"/>
      <c r="C1157" s="194"/>
      <c r="D1157" s="194"/>
      <c r="E1157" s="194"/>
      <c r="F1157" s="194"/>
      <c r="G1157" s="194"/>
      <c r="H1157" s="194"/>
      <c r="I1157" s="194"/>
      <c r="J1157" s="195"/>
      <c r="K1157" s="201"/>
      <c r="L1157" s="194"/>
      <c r="M1157" s="194"/>
      <c r="N1157" s="194"/>
      <c r="O1157" s="195"/>
      <c r="P1157" s="195"/>
    </row>
    <row r="1158">
      <c r="A1158" s="199"/>
      <c r="B1158" s="200"/>
      <c r="C1158" s="194"/>
      <c r="D1158" s="194"/>
      <c r="E1158" s="194"/>
      <c r="F1158" s="194"/>
      <c r="G1158" s="194"/>
      <c r="H1158" s="194"/>
      <c r="I1158" s="194"/>
      <c r="J1158" s="195"/>
      <c r="K1158" s="201"/>
      <c r="L1158" s="194"/>
      <c r="M1158" s="194"/>
      <c r="N1158" s="194"/>
      <c r="O1158" s="195"/>
      <c r="P1158" s="195"/>
    </row>
    <row r="1159">
      <c r="A1159" s="199"/>
      <c r="B1159" s="200"/>
      <c r="C1159" s="194"/>
      <c r="D1159" s="194"/>
      <c r="E1159" s="194"/>
      <c r="F1159" s="194"/>
      <c r="G1159" s="194"/>
      <c r="H1159" s="194"/>
      <c r="I1159" s="194"/>
      <c r="J1159" s="195"/>
      <c r="K1159" s="201"/>
      <c r="L1159" s="194"/>
      <c r="M1159" s="194"/>
      <c r="N1159" s="194"/>
      <c r="O1159" s="195"/>
      <c r="P1159" s="195"/>
    </row>
    <row r="1160">
      <c r="A1160" s="199"/>
      <c r="B1160" s="200"/>
      <c r="C1160" s="194"/>
      <c r="D1160" s="194"/>
      <c r="E1160" s="194"/>
      <c r="F1160" s="194"/>
      <c r="G1160" s="194"/>
      <c r="H1160" s="194"/>
      <c r="I1160" s="194"/>
      <c r="J1160" s="195"/>
      <c r="K1160" s="201"/>
      <c r="L1160" s="194"/>
      <c r="M1160" s="194"/>
      <c r="N1160" s="194"/>
      <c r="O1160" s="195"/>
      <c r="P1160" s="195"/>
    </row>
    <row r="1161">
      <c r="A1161" s="199"/>
      <c r="B1161" s="200"/>
      <c r="C1161" s="194"/>
      <c r="D1161" s="194"/>
      <c r="E1161" s="194"/>
      <c r="F1161" s="194"/>
      <c r="G1161" s="194"/>
      <c r="H1161" s="194"/>
      <c r="I1161" s="194"/>
      <c r="J1161" s="195"/>
      <c r="K1161" s="201"/>
      <c r="L1161" s="194"/>
      <c r="M1161" s="194"/>
      <c r="N1161" s="194"/>
      <c r="O1161" s="195"/>
      <c r="P1161" s="195"/>
    </row>
    <row r="1162">
      <c r="A1162" s="199"/>
      <c r="B1162" s="200"/>
      <c r="C1162" s="194"/>
      <c r="D1162" s="194"/>
      <c r="E1162" s="194"/>
      <c r="F1162" s="194"/>
      <c r="G1162" s="194"/>
      <c r="H1162" s="194"/>
      <c r="I1162" s="194"/>
      <c r="J1162" s="195"/>
      <c r="K1162" s="201"/>
      <c r="L1162" s="194"/>
      <c r="M1162" s="194"/>
      <c r="N1162" s="194"/>
      <c r="O1162" s="195"/>
      <c r="P1162" s="195"/>
    </row>
    <row r="1163">
      <c r="A1163" s="199"/>
      <c r="B1163" s="200"/>
      <c r="C1163" s="194"/>
      <c r="D1163" s="194"/>
      <c r="E1163" s="194"/>
      <c r="F1163" s="194"/>
      <c r="G1163" s="194"/>
      <c r="H1163" s="194"/>
      <c r="I1163" s="194"/>
      <c r="J1163" s="195"/>
      <c r="K1163" s="201"/>
      <c r="L1163" s="194"/>
      <c r="M1163" s="194"/>
      <c r="N1163" s="194"/>
      <c r="O1163" s="195"/>
      <c r="P1163" s="195"/>
    </row>
    <row r="1164">
      <c r="A1164" s="199"/>
      <c r="B1164" s="200"/>
      <c r="C1164" s="194"/>
      <c r="D1164" s="194"/>
      <c r="E1164" s="194"/>
      <c r="F1164" s="194"/>
      <c r="G1164" s="194"/>
      <c r="H1164" s="194"/>
      <c r="I1164" s="194"/>
      <c r="J1164" s="195"/>
      <c r="K1164" s="201"/>
      <c r="L1164" s="194"/>
      <c r="M1164" s="194"/>
      <c r="N1164" s="194"/>
      <c r="O1164" s="195"/>
      <c r="P1164" s="195"/>
    </row>
    <row r="1165">
      <c r="A1165" s="199"/>
      <c r="B1165" s="200"/>
      <c r="C1165" s="194"/>
      <c r="D1165" s="194"/>
      <c r="E1165" s="194"/>
      <c r="F1165" s="194"/>
      <c r="G1165" s="194"/>
      <c r="H1165" s="194"/>
      <c r="I1165" s="194"/>
      <c r="J1165" s="195"/>
      <c r="K1165" s="201"/>
      <c r="L1165" s="194"/>
      <c r="M1165" s="194"/>
      <c r="N1165" s="194"/>
      <c r="O1165" s="195"/>
      <c r="P1165" s="195"/>
    </row>
    <row r="1166">
      <c r="A1166" s="199"/>
      <c r="B1166" s="200"/>
      <c r="C1166" s="194"/>
      <c r="D1166" s="194"/>
      <c r="E1166" s="194"/>
      <c r="F1166" s="194"/>
      <c r="G1166" s="194"/>
      <c r="H1166" s="194"/>
      <c r="I1166" s="194"/>
      <c r="J1166" s="195"/>
      <c r="K1166" s="201"/>
      <c r="L1166" s="194"/>
      <c r="M1166" s="194"/>
      <c r="N1166" s="194"/>
      <c r="O1166" s="195"/>
      <c r="P1166" s="195"/>
    </row>
    <row r="1167">
      <c r="A1167" s="199"/>
      <c r="B1167" s="200"/>
      <c r="C1167" s="194"/>
      <c r="D1167" s="194"/>
      <c r="E1167" s="194"/>
      <c r="F1167" s="194"/>
      <c r="G1167" s="194"/>
      <c r="H1167" s="194"/>
      <c r="I1167" s="194"/>
      <c r="J1167" s="195"/>
      <c r="K1167" s="201"/>
      <c r="L1167" s="194"/>
      <c r="M1167" s="194"/>
      <c r="N1167" s="194"/>
      <c r="O1167" s="195"/>
      <c r="P1167" s="195"/>
    </row>
    <row r="1168">
      <c r="A1168" s="199"/>
      <c r="B1168" s="200"/>
      <c r="C1168" s="194"/>
      <c r="D1168" s="194"/>
      <c r="E1168" s="194"/>
      <c r="F1168" s="194"/>
      <c r="G1168" s="194"/>
      <c r="H1168" s="194"/>
      <c r="I1168" s="194"/>
      <c r="J1168" s="195"/>
      <c r="K1168" s="201"/>
      <c r="L1168" s="194"/>
      <c r="M1168" s="194"/>
      <c r="N1168" s="194"/>
      <c r="O1168" s="195"/>
      <c r="P1168" s="195"/>
    </row>
    <row r="1169">
      <c r="A1169" s="199"/>
      <c r="B1169" s="200"/>
      <c r="C1169" s="194"/>
      <c r="D1169" s="194"/>
      <c r="E1169" s="194"/>
      <c r="F1169" s="194"/>
      <c r="G1169" s="194"/>
      <c r="H1169" s="194"/>
      <c r="I1169" s="194"/>
      <c r="J1169" s="195"/>
      <c r="K1169" s="201"/>
      <c r="L1169" s="194"/>
      <c r="M1169" s="194"/>
      <c r="N1169" s="194"/>
      <c r="O1169" s="195"/>
      <c r="P1169" s="195"/>
    </row>
    <row r="1170">
      <c r="A1170" s="199"/>
      <c r="B1170" s="200"/>
      <c r="C1170" s="194"/>
      <c r="D1170" s="194"/>
      <c r="E1170" s="194"/>
      <c r="F1170" s="194"/>
      <c r="G1170" s="194"/>
      <c r="H1170" s="194"/>
      <c r="I1170" s="194"/>
      <c r="J1170" s="195"/>
      <c r="K1170" s="201"/>
      <c r="L1170" s="194"/>
      <c r="M1170" s="194"/>
      <c r="N1170" s="194"/>
      <c r="O1170" s="195"/>
      <c r="P1170" s="195"/>
    </row>
    <row r="1171">
      <c r="A1171" s="199"/>
      <c r="B1171" s="200"/>
      <c r="C1171" s="194"/>
      <c r="D1171" s="194"/>
      <c r="E1171" s="194"/>
      <c r="F1171" s="194"/>
      <c r="G1171" s="194"/>
      <c r="H1171" s="194"/>
      <c r="I1171" s="194"/>
      <c r="J1171" s="195"/>
      <c r="K1171" s="201"/>
      <c r="L1171" s="194"/>
      <c r="M1171" s="194"/>
      <c r="N1171" s="194"/>
      <c r="O1171" s="195"/>
      <c r="P1171" s="195"/>
    </row>
    <row r="1172">
      <c r="A1172" s="199"/>
      <c r="B1172" s="200"/>
      <c r="C1172" s="194"/>
      <c r="D1172" s="194"/>
      <c r="E1172" s="194"/>
      <c r="F1172" s="194"/>
      <c r="G1172" s="194"/>
      <c r="H1172" s="194"/>
      <c r="I1172" s="194"/>
      <c r="J1172" s="195"/>
      <c r="K1172" s="201"/>
      <c r="L1172" s="194"/>
      <c r="M1172" s="194"/>
      <c r="N1172" s="194"/>
      <c r="O1172" s="195"/>
      <c r="P1172" s="195"/>
    </row>
    <row r="1173">
      <c r="A1173" s="199"/>
      <c r="B1173" s="200"/>
      <c r="C1173" s="194"/>
      <c r="D1173" s="194"/>
      <c r="E1173" s="194"/>
      <c r="F1173" s="194"/>
      <c r="G1173" s="194"/>
      <c r="H1173" s="194"/>
      <c r="I1173" s="194"/>
      <c r="J1173" s="195"/>
      <c r="K1173" s="201"/>
      <c r="L1173" s="194"/>
      <c r="M1173" s="194"/>
      <c r="N1173" s="194"/>
      <c r="O1173" s="195"/>
      <c r="P1173" s="195"/>
    </row>
    <row r="1174">
      <c r="A1174" s="199"/>
      <c r="B1174" s="200"/>
      <c r="C1174" s="194"/>
      <c r="D1174" s="194"/>
      <c r="E1174" s="194"/>
      <c r="F1174" s="194"/>
      <c r="G1174" s="194"/>
      <c r="H1174" s="194"/>
      <c r="I1174" s="194"/>
      <c r="J1174" s="195"/>
      <c r="K1174" s="201"/>
      <c r="L1174" s="194"/>
      <c r="M1174" s="194"/>
      <c r="N1174" s="194"/>
      <c r="O1174" s="195"/>
      <c r="P1174" s="195"/>
    </row>
    <row r="1175">
      <c r="A1175" s="199"/>
      <c r="B1175" s="200"/>
      <c r="C1175" s="194"/>
      <c r="D1175" s="194"/>
      <c r="E1175" s="194"/>
      <c r="F1175" s="194"/>
      <c r="G1175" s="194"/>
      <c r="H1175" s="194"/>
      <c r="I1175" s="194"/>
      <c r="J1175" s="195"/>
      <c r="K1175" s="201"/>
      <c r="L1175" s="194"/>
      <c r="M1175" s="194"/>
      <c r="N1175" s="194"/>
      <c r="O1175" s="195"/>
      <c r="P1175" s="195"/>
    </row>
    <row r="1176">
      <c r="A1176" s="199"/>
      <c r="B1176" s="200"/>
      <c r="C1176" s="194"/>
      <c r="D1176" s="194"/>
      <c r="E1176" s="194"/>
      <c r="F1176" s="194"/>
      <c r="G1176" s="194"/>
      <c r="H1176" s="194"/>
      <c r="I1176" s="194"/>
      <c r="J1176" s="195"/>
      <c r="K1176" s="201"/>
      <c r="L1176" s="194"/>
      <c r="M1176" s="194"/>
      <c r="N1176" s="194"/>
      <c r="O1176" s="195"/>
      <c r="P1176" s="195"/>
    </row>
    <row r="1177">
      <c r="A1177" s="199"/>
      <c r="B1177" s="200"/>
      <c r="C1177" s="194"/>
      <c r="D1177" s="194"/>
      <c r="E1177" s="194"/>
      <c r="F1177" s="194"/>
      <c r="G1177" s="194"/>
      <c r="H1177" s="194"/>
      <c r="I1177" s="194"/>
      <c r="J1177" s="195"/>
      <c r="K1177" s="201"/>
      <c r="L1177" s="194"/>
      <c r="M1177" s="194"/>
      <c r="N1177" s="194"/>
      <c r="O1177" s="195"/>
      <c r="P1177" s="195"/>
    </row>
    <row r="1178">
      <c r="A1178" s="199"/>
      <c r="B1178" s="200"/>
      <c r="C1178" s="194"/>
      <c r="D1178" s="194"/>
      <c r="E1178" s="194"/>
      <c r="F1178" s="194"/>
      <c r="G1178" s="194"/>
      <c r="H1178" s="194"/>
      <c r="I1178" s="194"/>
      <c r="J1178" s="195"/>
      <c r="K1178" s="201"/>
      <c r="L1178" s="194"/>
      <c r="M1178" s="194"/>
      <c r="N1178" s="194"/>
      <c r="O1178" s="195"/>
      <c r="P1178" s="195"/>
    </row>
    <row r="1179">
      <c r="A1179" s="199"/>
      <c r="B1179" s="200"/>
      <c r="C1179" s="194"/>
      <c r="D1179" s="194"/>
      <c r="E1179" s="194"/>
      <c r="F1179" s="194"/>
      <c r="G1179" s="194"/>
      <c r="H1179" s="194"/>
      <c r="I1179" s="194"/>
      <c r="J1179" s="195"/>
      <c r="K1179" s="201"/>
      <c r="L1179" s="194"/>
      <c r="M1179" s="194"/>
      <c r="N1179" s="194"/>
      <c r="O1179" s="195"/>
      <c r="P1179" s="195"/>
    </row>
    <row r="1180">
      <c r="A1180" s="199"/>
      <c r="B1180" s="200"/>
      <c r="C1180" s="194"/>
      <c r="D1180" s="194"/>
      <c r="E1180" s="194"/>
      <c r="F1180" s="194"/>
      <c r="G1180" s="194"/>
      <c r="H1180" s="194"/>
      <c r="I1180" s="194"/>
      <c r="J1180" s="195"/>
      <c r="K1180" s="201"/>
      <c r="L1180" s="194"/>
      <c r="M1180" s="194"/>
      <c r="N1180" s="194"/>
      <c r="O1180" s="195"/>
      <c r="P1180" s="195"/>
    </row>
    <row r="1181">
      <c r="A1181" s="199"/>
      <c r="B1181" s="200"/>
      <c r="C1181" s="194"/>
      <c r="D1181" s="194"/>
      <c r="E1181" s="194"/>
      <c r="F1181" s="194"/>
      <c r="G1181" s="194"/>
      <c r="H1181" s="194"/>
      <c r="I1181" s="194"/>
      <c r="J1181" s="195"/>
      <c r="K1181" s="201"/>
      <c r="L1181" s="194"/>
      <c r="M1181" s="194"/>
      <c r="N1181" s="194"/>
      <c r="O1181" s="195"/>
      <c r="P1181" s="195"/>
    </row>
    <row r="1182">
      <c r="A1182" s="199"/>
      <c r="B1182" s="200"/>
      <c r="C1182" s="194"/>
      <c r="D1182" s="194"/>
      <c r="E1182" s="194"/>
      <c r="F1182" s="194"/>
      <c r="G1182" s="194"/>
      <c r="H1182" s="194"/>
      <c r="I1182" s="194"/>
      <c r="J1182" s="195"/>
      <c r="K1182" s="201"/>
      <c r="L1182" s="194"/>
      <c r="M1182" s="194"/>
      <c r="N1182" s="194"/>
      <c r="O1182" s="195"/>
      <c r="P1182" s="195"/>
    </row>
    <row r="1183">
      <c r="A1183" s="199"/>
      <c r="B1183" s="200"/>
      <c r="C1183" s="194"/>
      <c r="D1183" s="194"/>
      <c r="E1183" s="194"/>
      <c r="F1183" s="194"/>
      <c r="G1183" s="194"/>
      <c r="H1183" s="194"/>
      <c r="I1183" s="194"/>
      <c r="J1183" s="195"/>
      <c r="K1183" s="201"/>
      <c r="L1183" s="194"/>
      <c r="M1183" s="194"/>
      <c r="N1183" s="194"/>
      <c r="O1183" s="195"/>
      <c r="P1183" s="195"/>
    </row>
    <row r="1184">
      <c r="A1184" s="199"/>
      <c r="B1184" s="200"/>
      <c r="C1184" s="194"/>
      <c r="D1184" s="194"/>
      <c r="E1184" s="194"/>
      <c r="F1184" s="194"/>
      <c r="G1184" s="194"/>
      <c r="H1184" s="194"/>
      <c r="I1184" s="194"/>
      <c r="J1184" s="195"/>
      <c r="K1184" s="201"/>
      <c r="L1184" s="194"/>
      <c r="M1184" s="194"/>
      <c r="N1184" s="194"/>
      <c r="O1184" s="195"/>
      <c r="P1184" s="195"/>
    </row>
    <row r="1185">
      <c r="A1185" s="199"/>
      <c r="B1185" s="200"/>
      <c r="C1185" s="194"/>
      <c r="D1185" s="194"/>
      <c r="E1185" s="194"/>
      <c r="F1185" s="194"/>
      <c r="G1185" s="194"/>
      <c r="H1185" s="194"/>
      <c r="I1185" s="194"/>
      <c r="J1185" s="195"/>
      <c r="K1185" s="201"/>
      <c r="L1185" s="194"/>
      <c r="M1185" s="194"/>
      <c r="N1185" s="194"/>
      <c r="O1185" s="195"/>
      <c r="P1185" s="195"/>
    </row>
    <row r="1186">
      <c r="A1186" s="199"/>
      <c r="B1186" s="200"/>
      <c r="C1186" s="194"/>
      <c r="D1186" s="194"/>
      <c r="E1186" s="194"/>
      <c r="F1186" s="194"/>
      <c r="G1186" s="194"/>
      <c r="H1186" s="194"/>
      <c r="I1186" s="194"/>
      <c r="J1186" s="195"/>
      <c r="K1186" s="201"/>
      <c r="L1186" s="194"/>
      <c r="M1186" s="194"/>
      <c r="N1186" s="194"/>
      <c r="O1186" s="195"/>
      <c r="P1186" s="195"/>
    </row>
    <row r="1187">
      <c r="A1187" s="199"/>
      <c r="B1187" s="200"/>
      <c r="C1187" s="194"/>
      <c r="D1187" s="194"/>
      <c r="E1187" s="194"/>
      <c r="F1187" s="194"/>
      <c r="G1187" s="194"/>
      <c r="H1187" s="194"/>
      <c r="I1187" s="194"/>
      <c r="J1187" s="195"/>
      <c r="K1187" s="201"/>
      <c r="L1187" s="194"/>
      <c r="M1187" s="194"/>
      <c r="N1187" s="194"/>
      <c r="O1187" s="195"/>
      <c r="P1187" s="195"/>
    </row>
    <row r="1188">
      <c r="A1188" s="199"/>
      <c r="B1188" s="200"/>
      <c r="C1188" s="194"/>
      <c r="D1188" s="194"/>
      <c r="E1188" s="194"/>
      <c r="F1188" s="194"/>
      <c r="G1188" s="194"/>
      <c r="H1188" s="194"/>
      <c r="I1188" s="194"/>
      <c r="J1188" s="195"/>
      <c r="K1188" s="201"/>
      <c r="L1188" s="194"/>
      <c r="M1188" s="194"/>
      <c r="N1188" s="194"/>
      <c r="O1188" s="195"/>
      <c r="P1188" s="195"/>
    </row>
    <row r="1189">
      <c r="A1189" s="199"/>
      <c r="B1189" s="200"/>
      <c r="C1189" s="194"/>
      <c r="D1189" s="194"/>
      <c r="E1189" s="194"/>
      <c r="F1189" s="194"/>
      <c r="G1189" s="194"/>
      <c r="H1189" s="194"/>
      <c r="I1189" s="194"/>
      <c r="J1189" s="195"/>
      <c r="K1189" s="201"/>
      <c r="L1189" s="194"/>
      <c r="M1189" s="194"/>
      <c r="N1189" s="194"/>
      <c r="O1189" s="195"/>
      <c r="P1189" s="195"/>
    </row>
    <row r="1190">
      <c r="A1190" s="199"/>
      <c r="B1190" s="200"/>
      <c r="C1190" s="194"/>
      <c r="D1190" s="194"/>
      <c r="E1190" s="194"/>
      <c r="F1190" s="194"/>
      <c r="G1190" s="194"/>
      <c r="H1190" s="194"/>
      <c r="I1190" s="194"/>
      <c r="J1190" s="195"/>
      <c r="K1190" s="201"/>
      <c r="L1190" s="194"/>
      <c r="M1190" s="194"/>
      <c r="N1190" s="194"/>
      <c r="O1190" s="195"/>
      <c r="P1190" s="195"/>
    </row>
    <row r="1191">
      <c r="A1191" s="199"/>
      <c r="B1191" s="200"/>
      <c r="C1191" s="194"/>
      <c r="D1191" s="194"/>
      <c r="E1191" s="194"/>
      <c r="F1191" s="194"/>
      <c r="G1191" s="194"/>
      <c r="H1191" s="194"/>
      <c r="I1191" s="194"/>
      <c r="J1191" s="195"/>
      <c r="K1191" s="201"/>
      <c r="L1191" s="194"/>
      <c r="M1191" s="194"/>
      <c r="N1191" s="194"/>
      <c r="O1191" s="195"/>
      <c r="P1191" s="195"/>
    </row>
    <row r="1192">
      <c r="A1192" s="199"/>
      <c r="B1192" s="200"/>
      <c r="C1192" s="194"/>
      <c r="D1192" s="194"/>
      <c r="E1192" s="194"/>
      <c r="F1192" s="194"/>
      <c r="G1192" s="194"/>
      <c r="H1192" s="194"/>
      <c r="I1192" s="194"/>
      <c r="J1192" s="195"/>
      <c r="K1192" s="201"/>
      <c r="L1192" s="194"/>
      <c r="M1192" s="194"/>
      <c r="N1192" s="194"/>
      <c r="O1192" s="195"/>
      <c r="P1192" s="195"/>
    </row>
    <row r="1193">
      <c r="A1193" s="199"/>
      <c r="B1193" s="200"/>
      <c r="C1193" s="194"/>
      <c r="D1193" s="194"/>
      <c r="E1193" s="194"/>
      <c r="F1193" s="194"/>
      <c r="G1193" s="194"/>
      <c r="H1193" s="194"/>
      <c r="I1193" s="194"/>
      <c r="J1193" s="195"/>
      <c r="K1193" s="201"/>
      <c r="L1193" s="194"/>
      <c r="M1193" s="194"/>
      <c r="N1193" s="194"/>
      <c r="O1193" s="195"/>
      <c r="P1193" s="195"/>
    </row>
    <row r="1194">
      <c r="A1194" s="199"/>
      <c r="B1194" s="200"/>
      <c r="C1194" s="194"/>
      <c r="D1194" s="194"/>
      <c r="E1194" s="194"/>
      <c r="F1194" s="194"/>
      <c r="G1194" s="194"/>
      <c r="H1194" s="194"/>
      <c r="I1194" s="194"/>
      <c r="J1194" s="195"/>
      <c r="K1194" s="201"/>
      <c r="L1194" s="194"/>
      <c r="M1194" s="194"/>
      <c r="N1194" s="194"/>
      <c r="O1194" s="195"/>
      <c r="P1194" s="195"/>
    </row>
    <row r="1195">
      <c r="A1195" s="199"/>
      <c r="B1195" s="200"/>
      <c r="C1195" s="194"/>
      <c r="D1195" s="194"/>
      <c r="E1195" s="194"/>
      <c r="F1195" s="194"/>
      <c r="G1195" s="194"/>
      <c r="H1195" s="194"/>
      <c r="I1195" s="194"/>
      <c r="J1195" s="195"/>
      <c r="K1195" s="201"/>
      <c r="L1195" s="194"/>
      <c r="M1195" s="194"/>
      <c r="N1195" s="194"/>
      <c r="O1195" s="195"/>
      <c r="P1195" s="195"/>
    </row>
    <row r="1196">
      <c r="A1196" s="199"/>
      <c r="B1196" s="200"/>
      <c r="C1196" s="194"/>
      <c r="D1196" s="194"/>
      <c r="E1196" s="194"/>
      <c r="F1196" s="194"/>
      <c r="G1196" s="194"/>
      <c r="H1196" s="194"/>
      <c r="I1196" s="194"/>
      <c r="J1196" s="195"/>
      <c r="K1196" s="201"/>
      <c r="L1196" s="194"/>
      <c r="M1196" s="194"/>
      <c r="N1196" s="194"/>
      <c r="O1196" s="195"/>
      <c r="P1196" s="195"/>
    </row>
    <row r="1197">
      <c r="A1197" s="199"/>
      <c r="B1197" s="200"/>
      <c r="C1197" s="194"/>
      <c r="D1197" s="194"/>
      <c r="E1197" s="194"/>
      <c r="F1197" s="194"/>
      <c r="G1197" s="194"/>
      <c r="H1197" s="194"/>
      <c r="I1197" s="194"/>
      <c r="J1197" s="195"/>
      <c r="K1197" s="201"/>
      <c r="L1197" s="194"/>
      <c r="M1197" s="194"/>
      <c r="N1197" s="194"/>
      <c r="O1197" s="195"/>
      <c r="P1197" s="195"/>
    </row>
    <row r="1198">
      <c r="A1198" s="199"/>
      <c r="B1198" s="200"/>
      <c r="C1198" s="194"/>
      <c r="D1198" s="194"/>
      <c r="E1198" s="194"/>
      <c r="F1198" s="194"/>
      <c r="G1198" s="194"/>
      <c r="H1198" s="194"/>
      <c r="I1198" s="194"/>
      <c r="J1198" s="195"/>
      <c r="K1198" s="201"/>
      <c r="L1198" s="194"/>
      <c r="M1198" s="194"/>
      <c r="N1198" s="194"/>
      <c r="O1198" s="195"/>
      <c r="P1198" s="195"/>
    </row>
    <row r="1199">
      <c r="A1199" s="199"/>
      <c r="B1199" s="200"/>
      <c r="C1199" s="194"/>
      <c r="D1199" s="194"/>
      <c r="E1199" s="194"/>
      <c r="F1199" s="194"/>
      <c r="G1199" s="194"/>
      <c r="H1199" s="194"/>
      <c r="I1199" s="194"/>
      <c r="J1199" s="195"/>
      <c r="K1199" s="201"/>
      <c r="L1199" s="194"/>
      <c r="M1199" s="194"/>
      <c r="N1199" s="194"/>
      <c r="O1199" s="195"/>
      <c r="P1199" s="195"/>
    </row>
    <row r="1200">
      <c r="A1200" s="199"/>
      <c r="B1200" s="200"/>
      <c r="C1200" s="194"/>
      <c r="D1200" s="194"/>
      <c r="E1200" s="194"/>
      <c r="F1200" s="194"/>
      <c r="G1200" s="194"/>
      <c r="H1200" s="194"/>
      <c r="I1200" s="194"/>
      <c r="J1200" s="195"/>
      <c r="K1200" s="201"/>
      <c r="L1200" s="194"/>
      <c r="M1200" s="194"/>
      <c r="N1200" s="194"/>
      <c r="O1200" s="195"/>
      <c r="P1200" s="195"/>
    </row>
    <row r="1201">
      <c r="A1201" s="199"/>
      <c r="B1201" s="200"/>
      <c r="C1201" s="194"/>
      <c r="D1201" s="194"/>
      <c r="E1201" s="194"/>
      <c r="F1201" s="194"/>
      <c r="G1201" s="194"/>
      <c r="H1201" s="194"/>
      <c r="I1201" s="194"/>
      <c r="J1201" s="195"/>
      <c r="K1201" s="201"/>
      <c r="L1201" s="194"/>
      <c r="M1201" s="194"/>
      <c r="N1201" s="194"/>
      <c r="O1201" s="195"/>
      <c r="P1201" s="195"/>
    </row>
    <row r="1202">
      <c r="A1202" s="199"/>
      <c r="B1202" s="200"/>
      <c r="C1202" s="194"/>
      <c r="D1202" s="194"/>
      <c r="E1202" s="194"/>
      <c r="F1202" s="194"/>
      <c r="G1202" s="194"/>
      <c r="H1202" s="194"/>
      <c r="I1202" s="194"/>
      <c r="J1202" s="195"/>
      <c r="K1202" s="201"/>
      <c r="L1202" s="194"/>
      <c r="M1202" s="194"/>
      <c r="N1202" s="194"/>
      <c r="O1202" s="195"/>
      <c r="P1202" s="195"/>
    </row>
    <row r="1203">
      <c r="A1203" s="199"/>
      <c r="B1203" s="200"/>
      <c r="C1203" s="194"/>
      <c r="D1203" s="194"/>
      <c r="E1203" s="194"/>
      <c r="F1203" s="194"/>
      <c r="G1203" s="194"/>
      <c r="H1203" s="194"/>
      <c r="I1203" s="194"/>
      <c r="J1203" s="195"/>
      <c r="K1203" s="201"/>
      <c r="L1203" s="194"/>
      <c r="M1203" s="194"/>
      <c r="N1203" s="194"/>
      <c r="O1203" s="195"/>
      <c r="P1203" s="195"/>
    </row>
    <row r="1204">
      <c r="A1204" s="199"/>
      <c r="B1204" s="200"/>
      <c r="C1204" s="194"/>
      <c r="D1204" s="194"/>
      <c r="E1204" s="194"/>
      <c r="F1204" s="194"/>
      <c r="G1204" s="194"/>
      <c r="H1204" s="194"/>
      <c r="I1204" s="194"/>
      <c r="J1204" s="195"/>
      <c r="K1204" s="201"/>
      <c r="L1204" s="194"/>
      <c r="M1204" s="194"/>
      <c r="N1204" s="194"/>
      <c r="O1204" s="195"/>
      <c r="P1204" s="195"/>
    </row>
    <row r="1205">
      <c r="A1205" s="199"/>
      <c r="B1205" s="200"/>
      <c r="C1205" s="194"/>
      <c r="D1205" s="194"/>
      <c r="E1205" s="194"/>
      <c r="F1205" s="194"/>
      <c r="G1205" s="194"/>
      <c r="H1205" s="194"/>
      <c r="I1205" s="194"/>
      <c r="J1205" s="195"/>
      <c r="K1205" s="201"/>
      <c r="L1205" s="194"/>
      <c r="M1205" s="194"/>
      <c r="N1205" s="194"/>
      <c r="O1205" s="195"/>
      <c r="P1205" s="195"/>
    </row>
    <row r="1206">
      <c r="A1206" s="199"/>
      <c r="B1206" s="200"/>
      <c r="C1206" s="194"/>
      <c r="D1206" s="194"/>
      <c r="E1206" s="194"/>
      <c r="F1206" s="194"/>
      <c r="G1206" s="194"/>
      <c r="H1206" s="194"/>
      <c r="I1206" s="194"/>
      <c r="J1206" s="195"/>
      <c r="K1206" s="201"/>
      <c r="L1206" s="194"/>
      <c r="M1206" s="194"/>
      <c r="N1206" s="194"/>
      <c r="O1206" s="195"/>
      <c r="P1206" s="195"/>
    </row>
    <row r="1207">
      <c r="A1207" s="199"/>
      <c r="B1207" s="200"/>
      <c r="C1207" s="194"/>
      <c r="D1207" s="194"/>
      <c r="E1207" s="194"/>
      <c r="F1207" s="194"/>
      <c r="G1207" s="194"/>
      <c r="H1207" s="194"/>
      <c r="I1207" s="194"/>
      <c r="J1207" s="195"/>
      <c r="K1207" s="201"/>
      <c r="L1207" s="194"/>
      <c r="M1207" s="194"/>
      <c r="N1207" s="194"/>
      <c r="O1207" s="195"/>
      <c r="P1207" s="195"/>
    </row>
    <row r="1208">
      <c r="A1208" s="199"/>
      <c r="B1208" s="200"/>
      <c r="C1208" s="194"/>
      <c r="D1208" s="194"/>
      <c r="E1208" s="194"/>
      <c r="F1208" s="194"/>
      <c r="G1208" s="194"/>
      <c r="H1208" s="194"/>
      <c r="I1208" s="194"/>
      <c r="J1208" s="195"/>
      <c r="K1208" s="201"/>
      <c r="L1208" s="194"/>
      <c r="M1208" s="194"/>
      <c r="N1208" s="194"/>
      <c r="O1208" s="195"/>
      <c r="P1208" s="195"/>
    </row>
    <row r="1209">
      <c r="A1209" s="199"/>
      <c r="B1209" s="200"/>
      <c r="C1209" s="194"/>
      <c r="D1209" s="194"/>
      <c r="E1209" s="194"/>
      <c r="F1209" s="194"/>
      <c r="G1209" s="194"/>
      <c r="H1209" s="194"/>
      <c r="I1209" s="194"/>
      <c r="J1209" s="195"/>
      <c r="K1209" s="201"/>
      <c r="L1209" s="194"/>
      <c r="M1209" s="194"/>
      <c r="N1209" s="194"/>
      <c r="O1209" s="195"/>
      <c r="P1209" s="195"/>
    </row>
    <row r="1210">
      <c r="A1210" s="199"/>
      <c r="B1210" s="200"/>
      <c r="C1210" s="194"/>
      <c r="D1210" s="194"/>
      <c r="E1210" s="194"/>
      <c r="F1210" s="194"/>
      <c r="G1210" s="194"/>
      <c r="H1210" s="194"/>
      <c r="I1210" s="194"/>
      <c r="J1210" s="195"/>
      <c r="K1210" s="201"/>
      <c r="L1210" s="194"/>
      <c r="M1210" s="194"/>
      <c r="N1210" s="194"/>
      <c r="O1210" s="195"/>
      <c r="P1210" s="195"/>
    </row>
    <row r="1211">
      <c r="A1211" s="199"/>
      <c r="B1211" s="200"/>
      <c r="C1211" s="194"/>
      <c r="D1211" s="194"/>
      <c r="E1211" s="194"/>
      <c r="F1211" s="194"/>
      <c r="G1211" s="194"/>
      <c r="H1211" s="194"/>
      <c r="I1211" s="194"/>
      <c r="J1211" s="195"/>
      <c r="K1211" s="201"/>
      <c r="L1211" s="194"/>
      <c r="M1211" s="194"/>
      <c r="N1211" s="194"/>
      <c r="O1211" s="195"/>
      <c r="P1211" s="195"/>
    </row>
    <row r="1212">
      <c r="A1212" s="199"/>
      <c r="B1212" s="200"/>
      <c r="C1212" s="194"/>
      <c r="D1212" s="194"/>
      <c r="E1212" s="194"/>
      <c r="F1212" s="194"/>
      <c r="G1212" s="194"/>
      <c r="H1212" s="194"/>
      <c r="I1212" s="194"/>
      <c r="J1212" s="195"/>
      <c r="K1212" s="201"/>
      <c r="L1212" s="194"/>
      <c r="M1212" s="194"/>
      <c r="N1212" s="194"/>
      <c r="O1212" s="195"/>
      <c r="P1212" s="195"/>
    </row>
    <row r="1213">
      <c r="A1213" s="199"/>
      <c r="B1213" s="200"/>
      <c r="C1213" s="194"/>
      <c r="D1213" s="194"/>
      <c r="E1213" s="194"/>
      <c r="F1213" s="194"/>
      <c r="G1213" s="194"/>
      <c r="H1213" s="194"/>
      <c r="I1213" s="194"/>
      <c r="J1213" s="195"/>
      <c r="K1213" s="201"/>
      <c r="L1213" s="194"/>
      <c r="M1213" s="194"/>
      <c r="N1213" s="194"/>
      <c r="O1213" s="195"/>
      <c r="P1213" s="195"/>
    </row>
    <row r="1214">
      <c r="A1214" s="199"/>
      <c r="B1214" s="200"/>
      <c r="C1214" s="194"/>
      <c r="D1214" s="194"/>
      <c r="E1214" s="194"/>
      <c r="F1214" s="194"/>
      <c r="G1214" s="194"/>
      <c r="H1214" s="194"/>
      <c r="I1214" s="194"/>
      <c r="J1214" s="195"/>
      <c r="K1214" s="201"/>
      <c r="L1214" s="194"/>
      <c r="M1214" s="194"/>
      <c r="N1214" s="194"/>
      <c r="O1214" s="195"/>
      <c r="P1214" s="195"/>
    </row>
    <row r="1215">
      <c r="A1215" s="199"/>
      <c r="B1215" s="200"/>
      <c r="C1215" s="194"/>
      <c r="D1215" s="194"/>
      <c r="E1215" s="194"/>
      <c r="F1215" s="194"/>
      <c r="G1215" s="194"/>
      <c r="H1215" s="194"/>
      <c r="I1215" s="194"/>
      <c r="J1215" s="195"/>
      <c r="K1215" s="201"/>
      <c r="L1215" s="194"/>
      <c r="M1215" s="194"/>
      <c r="N1215" s="194"/>
      <c r="O1215" s="195"/>
      <c r="P1215" s="195"/>
    </row>
    <row r="1216">
      <c r="A1216" s="199"/>
      <c r="B1216" s="200"/>
      <c r="C1216" s="194"/>
      <c r="D1216" s="194"/>
      <c r="E1216" s="194"/>
      <c r="F1216" s="194"/>
      <c r="G1216" s="194"/>
      <c r="H1216" s="194"/>
      <c r="I1216" s="194"/>
      <c r="J1216" s="195"/>
      <c r="K1216" s="201"/>
      <c r="L1216" s="194"/>
      <c r="M1216" s="194"/>
      <c r="N1216" s="194"/>
      <c r="O1216" s="195"/>
      <c r="P1216" s="195"/>
    </row>
    <row r="1217">
      <c r="A1217" s="199"/>
      <c r="B1217" s="200"/>
      <c r="C1217" s="194"/>
      <c r="D1217" s="194"/>
      <c r="E1217" s="194"/>
      <c r="F1217" s="194"/>
      <c r="G1217" s="194"/>
      <c r="H1217" s="194"/>
      <c r="I1217" s="194"/>
      <c r="J1217" s="195"/>
      <c r="K1217" s="201"/>
      <c r="L1217" s="194"/>
      <c r="M1217" s="194"/>
      <c r="N1217" s="194"/>
      <c r="O1217" s="195"/>
      <c r="P1217" s="195"/>
    </row>
    <row r="1218">
      <c r="A1218" s="199"/>
      <c r="B1218" s="200"/>
      <c r="C1218" s="194"/>
      <c r="D1218" s="194"/>
      <c r="E1218" s="194"/>
      <c r="F1218" s="194"/>
      <c r="G1218" s="194"/>
      <c r="H1218" s="194"/>
      <c r="I1218" s="194"/>
      <c r="J1218" s="195"/>
      <c r="K1218" s="201"/>
      <c r="L1218" s="194"/>
      <c r="M1218" s="194"/>
      <c r="N1218" s="194"/>
      <c r="O1218" s="195"/>
      <c r="P1218" s="195"/>
    </row>
    <row r="1219">
      <c r="A1219" s="199"/>
      <c r="B1219" s="200"/>
      <c r="C1219" s="194"/>
      <c r="D1219" s="194"/>
      <c r="E1219" s="194"/>
      <c r="F1219" s="194"/>
      <c r="G1219" s="194"/>
      <c r="H1219" s="194"/>
      <c r="I1219" s="194"/>
      <c r="J1219" s="195"/>
      <c r="K1219" s="201"/>
      <c r="L1219" s="194"/>
      <c r="M1219" s="194"/>
      <c r="N1219" s="194"/>
      <c r="O1219" s="195"/>
      <c r="P1219" s="195"/>
    </row>
    <row r="1220">
      <c r="A1220" s="199"/>
      <c r="B1220" s="200"/>
      <c r="C1220" s="194"/>
      <c r="D1220" s="194"/>
      <c r="E1220" s="194"/>
      <c r="F1220" s="194"/>
      <c r="G1220" s="194"/>
      <c r="H1220" s="194"/>
      <c r="I1220" s="194"/>
      <c r="J1220" s="195"/>
      <c r="K1220" s="201"/>
      <c r="L1220" s="194"/>
      <c r="M1220" s="194"/>
      <c r="N1220" s="194"/>
      <c r="O1220" s="195"/>
      <c r="P1220" s="195"/>
    </row>
    <row r="1221">
      <c r="A1221" s="199"/>
      <c r="B1221" s="200"/>
      <c r="C1221" s="194"/>
      <c r="D1221" s="194"/>
      <c r="E1221" s="194"/>
      <c r="F1221" s="194"/>
      <c r="G1221" s="194"/>
      <c r="H1221" s="194"/>
      <c r="I1221" s="194"/>
      <c r="J1221" s="195"/>
      <c r="K1221" s="201"/>
      <c r="L1221" s="194"/>
      <c r="M1221" s="194"/>
      <c r="N1221" s="194"/>
      <c r="O1221" s="195"/>
      <c r="P1221" s="195"/>
    </row>
    <row r="1222">
      <c r="A1222" s="199"/>
      <c r="B1222" s="200"/>
      <c r="C1222" s="194"/>
      <c r="D1222" s="194"/>
      <c r="E1222" s="194"/>
      <c r="F1222" s="194"/>
      <c r="G1222" s="194"/>
      <c r="H1222" s="194"/>
      <c r="I1222" s="194"/>
      <c r="J1222" s="195"/>
      <c r="K1222" s="201"/>
      <c r="L1222" s="194"/>
      <c r="M1222" s="194"/>
      <c r="N1222" s="194"/>
      <c r="O1222" s="195"/>
      <c r="P1222" s="195"/>
    </row>
    <row r="1223">
      <c r="A1223" s="199"/>
      <c r="B1223" s="200"/>
      <c r="C1223" s="194"/>
      <c r="D1223" s="194"/>
      <c r="E1223" s="194"/>
      <c r="F1223" s="194"/>
      <c r="G1223" s="194"/>
      <c r="H1223" s="194"/>
      <c r="I1223" s="194"/>
      <c r="J1223" s="195"/>
      <c r="K1223" s="201"/>
      <c r="L1223" s="194"/>
      <c r="M1223" s="194"/>
      <c r="N1223" s="194"/>
      <c r="O1223" s="195"/>
      <c r="P1223" s="195"/>
    </row>
    <row r="1224">
      <c r="A1224" s="199"/>
      <c r="B1224" s="200"/>
      <c r="C1224" s="194"/>
      <c r="D1224" s="194"/>
      <c r="E1224" s="194"/>
      <c r="F1224" s="194"/>
      <c r="G1224" s="194"/>
      <c r="H1224" s="194"/>
      <c r="I1224" s="194"/>
      <c r="J1224" s="195"/>
      <c r="K1224" s="201"/>
      <c r="L1224" s="194"/>
      <c r="M1224" s="194"/>
      <c r="N1224" s="194"/>
      <c r="O1224" s="195"/>
      <c r="P1224" s="195"/>
    </row>
    <row r="1225">
      <c r="A1225" s="199"/>
      <c r="B1225" s="200"/>
      <c r="C1225" s="194"/>
      <c r="D1225" s="194"/>
      <c r="E1225" s="194"/>
      <c r="F1225" s="194"/>
      <c r="G1225" s="194"/>
      <c r="H1225" s="194"/>
      <c r="I1225" s="194"/>
      <c r="J1225" s="195"/>
      <c r="K1225" s="201"/>
      <c r="L1225" s="194"/>
      <c r="M1225" s="194"/>
      <c r="N1225" s="194"/>
      <c r="O1225" s="195"/>
      <c r="P1225" s="195"/>
    </row>
    <row r="1226">
      <c r="A1226" s="199"/>
      <c r="B1226" s="200"/>
      <c r="C1226" s="194"/>
      <c r="D1226" s="194"/>
      <c r="E1226" s="194"/>
      <c r="F1226" s="194"/>
      <c r="G1226" s="194"/>
      <c r="H1226" s="194"/>
      <c r="I1226" s="194"/>
      <c r="J1226" s="195"/>
      <c r="K1226" s="201"/>
      <c r="L1226" s="194"/>
      <c r="M1226" s="194"/>
      <c r="N1226" s="194"/>
      <c r="O1226" s="195"/>
      <c r="P1226" s="195"/>
    </row>
    <row r="1227">
      <c r="A1227" s="199"/>
      <c r="B1227" s="200"/>
      <c r="C1227" s="194"/>
      <c r="D1227" s="194"/>
      <c r="E1227" s="194"/>
      <c r="F1227" s="194"/>
      <c r="G1227" s="194"/>
      <c r="H1227" s="194"/>
      <c r="I1227" s="194"/>
      <c r="J1227" s="195"/>
      <c r="K1227" s="201"/>
      <c r="L1227" s="194"/>
      <c r="M1227" s="194"/>
      <c r="N1227" s="194"/>
      <c r="O1227" s="195"/>
      <c r="P1227" s="195"/>
    </row>
    <row r="1228">
      <c r="A1228" s="199"/>
      <c r="B1228" s="200"/>
      <c r="C1228" s="194"/>
      <c r="D1228" s="194"/>
      <c r="E1228" s="194"/>
      <c r="F1228" s="194"/>
      <c r="G1228" s="194"/>
      <c r="H1228" s="194"/>
      <c r="I1228" s="194"/>
      <c r="J1228" s="195"/>
      <c r="K1228" s="201"/>
      <c r="L1228" s="194"/>
      <c r="M1228" s="194"/>
      <c r="N1228" s="194"/>
      <c r="O1228" s="195"/>
      <c r="P1228" s="195"/>
    </row>
    <row r="1229">
      <c r="A1229" s="199"/>
      <c r="B1229" s="200"/>
      <c r="C1229" s="194"/>
      <c r="D1229" s="194"/>
      <c r="E1229" s="194"/>
      <c r="F1229" s="194"/>
      <c r="G1229" s="194"/>
      <c r="H1229" s="194"/>
      <c r="I1229" s="194"/>
      <c r="J1229" s="195"/>
      <c r="K1229" s="201"/>
      <c r="L1229" s="194"/>
      <c r="M1229" s="194"/>
      <c r="N1229" s="194"/>
      <c r="O1229" s="195"/>
      <c r="P1229" s="195"/>
    </row>
    <row r="1230">
      <c r="A1230" s="199"/>
      <c r="B1230" s="200"/>
      <c r="C1230" s="194"/>
      <c r="D1230" s="194"/>
      <c r="E1230" s="194"/>
      <c r="F1230" s="194"/>
      <c r="G1230" s="194"/>
      <c r="H1230" s="194"/>
      <c r="I1230" s="194"/>
      <c r="J1230" s="195"/>
      <c r="K1230" s="201"/>
      <c r="L1230" s="194"/>
      <c r="M1230" s="194"/>
      <c r="N1230" s="194"/>
      <c r="O1230" s="195"/>
      <c r="P1230" s="195"/>
    </row>
    <row r="1231">
      <c r="A1231" s="199"/>
      <c r="B1231" s="200"/>
      <c r="C1231" s="194"/>
      <c r="D1231" s="194"/>
      <c r="E1231" s="194"/>
      <c r="F1231" s="194"/>
      <c r="G1231" s="194"/>
      <c r="H1231" s="194"/>
      <c r="I1231" s="194"/>
      <c r="J1231" s="195"/>
      <c r="K1231" s="201"/>
      <c r="L1231" s="194"/>
      <c r="M1231" s="194"/>
      <c r="N1231" s="194"/>
      <c r="O1231" s="195"/>
      <c r="P1231" s="195"/>
    </row>
    <row r="1232">
      <c r="A1232" s="199"/>
      <c r="B1232" s="200"/>
      <c r="C1232" s="194"/>
      <c r="D1232" s="194"/>
      <c r="E1232" s="194"/>
      <c r="F1232" s="194"/>
      <c r="G1232" s="194"/>
      <c r="H1232" s="194"/>
      <c r="I1232" s="194"/>
      <c r="J1232" s="195"/>
      <c r="K1232" s="201"/>
      <c r="L1232" s="194"/>
      <c r="M1232" s="194"/>
      <c r="N1232" s="194"/>
      <c r="O1232" s="195"/>
      <c r="P1232" s="195"/>
    </row>
    <row r="1233">
      <c r="A1233" s="199"/>
      <c r="B1233" s="200"/>
      <c r="C1233" s="194"/>
      <c r="D1233" s="194"/>
      <c r="E1233" s="194"/>
      <c r="F1233" s="194"/>
      <c r="G1233" s="194"/>
      <c r="H1233" s="194"/>
      <c r="I1233" s="194"/>
      <c r="J1233" s="195"/>
      <c r="K1233" s="201"/>
      <c r="L1233" s="194"/>
      <c r="M1233" s="194"/>
      <c r="N1233" s="194"/>
      <c r="O1233" s="195"/>
      <c r="P1233" s="195"/>
    </row>
    <row r="1234">
      <c r="A1234" s="199"/>
      <c r="B1234" s="200"/>
      <c r="C1234" s="194"/>
      <c r="D1234" s="194"/>
      <c r="E1234" s="194"/>
      <c r="F1234" s="194"/>
      <c r="G1234" s="194"/>
      <c r="H1234" s="194"/>
      <c r="I1234" s="194"/>
      <c r="J1234" s="195"/>
      <c r="K1234" s="201"/>
      <c r="L1234" s="194"/>
      <c r="M1234" s="194"/>
      <c r="N1234" s="194"/>
      <c r="O1234" s="195"/>
      <c r="P1234" s="195"/>
    </row>
    <row r="1235">
      <c r="A1235" s="199"/>
      <c r="B1235" s="200"/>
      <c r="C1235" s="194"/>
      <c r="D1235" s="194"/>
      <c r="E1235" s="194"/>
      <c r="F1235" s="194"/>
      <c r="G1235" s="194"/>
      <c r="H1235" s="194"/>
      <c r="I1235" s="194"/>
      <c r="J1235" s="195"/>
      <c r="K1235" s="201"/>
      <c r="L1235" s="194"/>
      <c r="M1235" s="194"/>
      <c r="N1235" s="194"/>
      <c r="O1235" s="195"/>
      <c r="P1235" s="195"/>
    </row>
    <row r="1236">
      <c r="A1236" s="199"/>
      <c r="B1236" s="200"/>
      <c r="C1236" s="194"/>
      <c r="D1236" s="194"/>
      <c r="E1236" s="194"/>
      <c r="F1236" s="194"/>
      <c r="G1236" s="194"/>
      <c r="H1236" s="194"/>
      <c r="I1236" s="194"/>
      <c r="J1236" s="195"/>
      <c r="K1236" s="201"/>
      <c r="L1236" s="194"/>
      <c r="M1236" s="194"/>
      <c r="N1236" s="194"/>
      <c r="O1236" s="195"/>
      <c r="P1236" s="195"/>
    </row>
    <row r="1237">
      <c r="A1237" s="199"/>
      <c r="B1237" s="200"/>
      <c r="C1237" s="194"/>
      <c r="D1237" s="194"/>
      <c r="E1237" s="194"/>
      <c r="F1237" s="194"/>
      <c r="G1237" s="194"/>
      <c r="H1237" s="194"/>
      <c r="I1237" s="194"/>
      <c r="J1237" s="195"/>
      <c r="K1237" s="201"/>
      <c r="L1237" s="194"/>
      <c r="M1237" s="194"/>
      <c r="N1237" s="194"/>
      <c r="O1237" s="195"/>
      <c r="P1237" s="195"/>
    </row>
    <row r="1238">
      <c r="A1238" s="199"/>
      <c r="B1238" s="200"/>
      <c r="C1238" s="194"/>
      <c r="D1238" s="194"/>
      <c r="E1238" s="194"/>
      <c r="F1238" s="194"/>
      <c r="G1238" s="194"/>
      <c r="H1238" s="194"/>
      <c r="I1238" s="194"/>
      <c r="J1238" s="195"/>
      <c r="K1238" s="201"/>
      <c r="L1238" s="194"/>
      <c r="M1238" s="194"/>
      <c r="N1238" s="194"/>
      <c r="O1238" s="195"/>
      <c r="P1238" s="195"/>
    </row>
    <row r="1239">
      <c r="A1239" s="199"/>
      <c r="B1239" s="200"/>
      <c r="C1239" s="194"/>
      <c r="D1239" s="194"/>
      <c r="E1239" s="194"/>
      <c r="F1239" s="194"/>
      <c r="G1239" s="194"/>
      <c r="H1239" s="194"/>
      <c r="I1239" s="194"/>
      <c r="J1239" s="195"/>
      <c r="K1239" s="201"/>
      <c r="L1239" s="194"/>
      <c r="M1239" s="194"/>
      <c r="N1239" s="194"/>
      <c r="O1239" s="195"/>
      <c r="P1239" s="195"/>
    </row>
    <row r="1240">
      <c r="A1240" s="199"/>
      <c r="B1240" s="200"/>
      <c r="C1240" s="194"/>
      <c r="D1240" s="194"/>
      <c r="E1240" s="194"/>
      <c r="F1240" s="194"/>
      <c r="G1240" s="194"/>
      <c r="H1240" s="194"/>
      <c r="I1240" s="194"/>
      <c r="J1240" s="195"/>
      <c r="K1240" s="201"/>
      <c r="L1240" s="194"/>
      <c r="M1240" s="194"/>
      <c r="N1240" s="194"/>
      <c r="O1240" s="195"/>
      <c r="P1240" s="195"/>
    </row>
    <row r="1241">
      <c r="A1241" s="199"/>
      <c r="B1241" s="200"/>
      <c r="C1241" s="194"/>
      <c r="D1241" s="194"/>
      <c r="E1241" s="194"/>
      <c r="F1241" s="194"/>
      <c r="G1241" s="194"/>
      <c r="H1241" s="194"/>
      <c r="I1241" s="194"/>
      <c r="J1241" s="195"/>
      <c r="K1241" s="201"/>
      <c r="L1241" s="194"/>
      <c r="M1241" s="194"/>
      <c r="N1241" s="194"/>
      <c r="O1241" s="195"/>
      <c r="P1241" s="195"/>
    </row>
    <row r="1242">
      <c r="A1242" s="199"/>
      <c r="B1242" s="200"/>
      <c r="C1242" s="194"/>
      <c r="D1242" s="194"/>
      <c r="E1242" s="194"/>
      <c r="F1242" s="194"/>
      <c r="G1242" s="194"/>
      <c r="H1242" s="194"/>
      <c r="I1242" s="194"/>
      <c r="J1242" s="195"/>
      <c r="K1242" s="201"/>
      <c r="L1242" s="194"/>
      <c r="M1242" s="194"/>
      <c r="N1242" s="194"/>
      <c r="O1242" s="195"/>
      <c r="P1242" s="195"/>
    </row>
    <row r="1243">
      <c r="A1243" s="199"/>
      <c r="B1243" s="200"/>
      <c r="C1243" s="194"/>
      <c r="D1243" s="194"/>
      <c r="E1243" s="194"/>
      <c r="F1243" s="194"/>
      <c r="G1243" s="194"/>
      <c r="H1243" s="194"/>
      <c r="I1243" s="194"/>
      <c r="J1243" s="195"/>
      <c r="K1243" s="201"/>
      <c r="L1243" s="194"/>
      <c r="M1243" s="194"/>
      <c r="N1243" s="194"/>
      <c r="O1243" s="195"/>
      <c r="P1243" s="195"/>
    </row>
    <row r="1244">
      <c r="A1244" s="199"/>
      <c r="B1244" s="200"/>
      <c r="C1244" s="194"/>
      <c r="D1244" s="194"/>
      <c r="E1244" s="194"/>
      <c r="F1244" s="194"/>
      <c r="G1244" s="194"/>
      <c r="H1244" s="194"/>
      <c r="I1244" s="194"/>
      <c r="J1244" s="195"/>
      <c r="K1244" s="201"/>
      <c r="L1244" s="194"/>
      <c r="M1244" s="194"/>
      <c r="N1244" s="194"/>
      <c r="O1244" s="195"/>
      <c r="P1244" s="195"/>
    </row>
    <row r="1245">
      <c r="A1245" s="199"/>
      <c r="B1245" s="200"/>
      <c r="C1245" s="194"/>
      <c r="D1245" s="194"/>
      <c r="E1245" s="194"/>
      <c r="F1245" s="194"/>
      <c r="G1245" s="194"/>
      <c r="H1245" s="194"/>
      <c r="I1245" s="194"/>
      <c r="J1245" s="195"/>
      <c r="K1245" s="201"/>
      <c r="L1245" s="194"/>
      <c r="M1245" s="194"/>
      <c r="N1245" s="194"/>
      <c r="O1245" s="195"/>
      <c r="P1245" s="195"/>
    </row>
    <row r="1246">
      <c r="A1246" s="199"/>
      <c r="B1246" s="200"/>
      <c r="C1246" s="194"/>
      <c r="D1246" s="194"/>
      <c r="E1246" s="194"/>
      <c r="F1246" s="194"/>
      <c r="G1246" s="194"/>
      <c r="H1246" s="194"/>
      <c r="I1246" s="194"/>
      <c r="J1246" s="195"/>
      <c r="K1246" s="201"/>
      <c r="L1246" s="194"/>
      <c r="M1246" s="194"/>
      <c r="N1246" s="194"/>
      <c r="O1246" s="195"/>
      <c r="P1246" s="195"/>
    </row>
    <row r="1247">
      <c r="A1247" s="199"/>
      <c r="B1247" s="200"/>
      <c r="C1247" s="194"/>
      <c r="D1247" s="194"/>
      <c r="E1247" s="194"/>
      <c r="F1247" s="194"/>
      <c r="G1247" s="194"/>
      <c r="H1247" s="194"/>
      <c r="I1247" s="194"/>
      <c r="J1247" s="195"/>
      <c r="K1247" s="201"/>
      <c r="L1247" s="194"/>
      <c r="M1247" s="194"/>
      <c r="N1247" s="194"/>
      <c r="O1247" s="195"/>
      <c r="P1247" s="195"/>
    </row>
    <row r="1248">
      <c r="A1248" s="199"/>
      <c r="B1248" s="200"/>
      <c r="C1248" s="194"/>
      <c r="D1248" s="194"/>
      <c r="E1248" s="194"/>
      <c r="F1248" s="194"/>
      <c r="G1248" s="194"/>
      <c r="H1248" s="194"/>
      <c r="I1248" s="194"/>
      <c r="J1248" s="195"/>
      <c r="K1248" s="201"/>
      <c r="L1248" s="194"/>
      <c r="M1248" s="194"/>
      <c r="N1248" s="194"/>
      <c r="O1248" s="195"/>
      <c r="P1248" s="195"/>
    </row>
    <row r="1249">
      <c r="A1249" s="199"/>
      <c r="B1249" s="200"/>
      <c r="C1249" s="194"/>
      <c r="D1249" s="194"/>
      <c r="E1249" s="194"/>
      <c r="F1249" s="194"/>
      <c r="G1249" s="194"/>
      <c r="H1249" s="194"/>
      <c r="I1249" s="194"/>
      <c r="J1249" s="195"/>
      <c r="K1249" s="201"/>
      <c r="L1249" s="194"/>
      <c r="M1249" s="194"/>
      <c r="N1249" s="194"/>
      <c r="O1249" s="195"/>
      <c r="P1249" s="195"/>
    </row>
    <row r="1250">
      <c r="A1250" s="199"/>
      <c r="B1250" s="200"/>
      <c r="C1250" s="194"/>
      <c r="D1250" s="194"/>
      <c r="E1250" s="194"/>
      <c r="F1250" s="194"/>
      <c r="G1250" s="194"/>
      <c r="H1250" s="194"/>
      <c r="I1250" s="194"/>
      <c r="J1250" s="195"/>
      <c r="K1250" s="201"/>
      <c r="L1250" s="194"/>
      <c r="M1250" s="194"/>
      <c r="N1250" s="194"/>
      <c r="O1250" s="195"/>
      <c r="P1250" s="195"/>
    </row>
    <row r="1251">
      <c r="A1251" s="199"/>
      <c r="B1251" s="200"/>
      <c r="C1251" s="194"/>
      <c r="D1251" s="194"/>
      <c r="E1251" s="194"/>
      <c r="F1251" s="194"/>
      <c r="G1251" s="194"/>
      <c r="H1251" s="194"/>
      <c r="I1251" s="194"/>
      <c r="J1251" s="195"/>
      <c r="K1251" s="201"/>
      <c r="L1251" s="194"/>
      <c r="M1251" s="194"/>
      <c r="N1251" s="194"/>
      <c r="O1251" s="195"/>
      <c r="P1251" s="195"/>
    </row>
    <row r="1252">
      <c r="A1252" s="199"/>
      <c r="B1252" s="200"/>
      <c r="C1252" s="194"/>
      <c r="D1252" s="194"/>
      <c r="E1252" s="194"/>
      <c r="F1252" s="194"/>
      <c r="G1252" s="194"/>
      <c r="H1252" s="194"/>
      <c r="I1252" s="194"/>
      <c r="J1252" s="195"/>
      <c r="K1252" s="201"/>
      <c r="L1252" s="194"/>
      <c r="M1252" s="194"/>
      <c r="N1252" s="194"/>
      <c r="O1252" s="195"/>
      <c r="P1252" s="195"/>
    </row>
    <row r="1253">
      <c r="A1253" s="199"/>
      <c r="B1253" s="200"/>
      <c r="C1253" s="194"/>
      <c r="D1253" s="194"/>
      <c r="E1253" s="194"/>
      <c r="F1253" s="194"/>
      <c r="G1253" s="194"/>
      <c r="H1253" s="194"/>
      <c r="I1253" s="194"/>
      <c r="J1253" s="195"/>
      <c r="K1253" s="201"/>
      <c r="L1253" s="194"/>
      <c r="M1253" s="194"/>
      <c r="N1253" s="194"/>
      <c r="O1253" s="195"/>
      <c r="P1253" s="195"/>
    </row>
    <row r="1254">
      <c r="A1254" s="199"/>
      <c r="B1254" s="200"/>
      <c r="C1254" s="194"/>
      <c r="D1254" s="194"/>
      <c r="E1254" s="194"/>
      <c r="F1254" s="194"/>
      <c r="G1254" s="194"/>
      <c r="H1254" s="194"/>
      <c r="I1254" s="194"/>
      <c r="J1254" s="195"/>
      <c r="K1254" s="201"/>
      <c r="L1254" s="194"/>
      <c r="M1254" s="194"/>
      <c r="N1254" s="194"/>
      <c r="O1254" s="195"/>
      <c r="P1254" s="195"/>
    </row>
    <row r="1255">
      <c r="A1255" s="199"/>
      <c r="B1255" s="200"/>
      <c r="C1255" s="194"/>
      <c r="D1255" s="194"/>
      <c r="E1255" s="194"/>
      <c r="F1255" s="194"/>
      <c r="G1255" s="194"/>
      <c r="H1255" s="194"/>
      <c r="I1255" s="194"/>
      <c r="J1255" s="195"/>
      <c r="K1255" s="201"/>
      <c r="L1255" s="194"/>
      <c r="M1255" s="194"/>
      <c r="N1255" s="194"/>
      <c r="O1255" s="195"/>
      <c r="P1255" s="195"/>
    </row>
    <row r="1256">
      <c r="A1256" s="199"/>
      <c r="B1256" s="200"/>
      <c r="C1256" s="194"/>
      <c r="D1256" s="194"/>
      <c r="E1256" s="194"/>
      <c r="F1256" s="194"/>
      <c r="G1256" s="194"/>
      <c r="H1256" s="194"/>
      <c r="I1256" s="194"/>
      <c r="J1256" s="195"/>
      <c r="K1256" s="201"/>
      <c r="L1256" s="194"/>
      <c r="M1256" s="194"/>
      <c r="N1256" s="194"/>
      <c r="O1256" s="195"/>
      <c r="P1256" s="195"/>
    </row>
    <row r="1257">
      <c r="A1257" s="199"/>
      <c r="B1257" s="200"/>
      <c r="C1257" s="194"/>
      <c r="D1257" s="194"/>
      <c r="E1257" s="194"/>
      <c r="F1257" s="194"/>
      <c r="G1257" s="194"/>
      <c r="H1257" s="194"/>
      <c r="I1257" s="194"/>
      <c r="J1257" s="195"/>
      <c r="K1257" s="201"/>
      <c r="L1257" s="194"/>
      <c r="M1257" s="194"/>
      <c r="N1257" s="194"/>
      <c r="O1257" s="195"/>
      <c r="P1257" s="195"/>
    </row>
    <row r="1258">
      <c r="A1258" s="199"/>
      <c r="B1258" s="200"/>
      <c r="C1258" s="194"/>
      <c r="D1258" s="194"/>
      <c r="E1258" s="194"/>
      <c r="F1258" s="194"/>
      <c r="G1258" s="194"/>
      <c r="H1258" s="194"/>
      <c r="I1258" s="194"/>
      <c r="J1258" s="195"/>
      <c r="K1258" s="201"/>
      <c r="L1258" s="194"/>
      <c r="M1258" s="194"/>
      <c r="N1258" s="194"/>
      <c r="O1258" s="195"/>
      <c r="P1258" s="195"/>
    </row>
    <row r="1259">
      <c r="A1259" s="199"/>
      <c r="B1259" s="200"/>
      <c r="C1259" s="194"/>
      <c r="D1259" s="194"/>
      <c r="E1259" s="194"/>
      <c r="F1259" s="194"/>
      <c r="G1259" s="194"/>
      <c r="H1259" s="194"/>
      <c r="I1259" s="194"/>
      <c r="J1259" s="195"/>
      <c r="K1259" s="201"/>
      <c r="L1259" s="194"/>
      <c r="M1259" s="194"/>
      <c r="N1259" s="194"/>
      <c r="O1259" s="195"/>
      <c r="P1259" s="195"/>
    </row>
    <row r="1260">
      <c r="A1260" s="199"/>
      <c r="B1260" s="200"/>
      <c r="C1260" s="194"/>
      <c r="D1260" s="194"/>
      <c r="E1260" s="194"/>
      <c r="F1260" s="194"/>
      <c r="G1260" s="194"/>
      <c r="H1260" s="194"/>
      <c r="I1260" s="194"/>
      <c r="J1260" s="195"/>
      <c r="K1260" s="201"/>
      <c r="L1260" s="194"/>
      <c r="M1260" s="194"/>
      <c r="N1260" s="194"/>
      <c r="O1260" s="195"/>
      <c r="P1260" s="195"/>
    </row>
    <row r="1261">
      <c r="A1261" s="199"/>
      <c r="B1261" s="200"/>
      <c r="C1261" s="194"/>
      <c r="D1261" s="194"/>
      <c r="E1261" s="194"/>
      <c r="F1261" s="194"/>
      <c r="G1261" s="194"/>
      <c r="H1261" s="194"/>
      <c r="I1261" s="194"/>
      <c r="J1261" s="195"/>
      <c r="K1261" s="201"/>
      <c r="L1261" s="194"/>
      <c r="M1261" s="194"/>
      <c r="N1261" s="194"/>
      <c r="O1261" s="195"/>
      <c r="P1261" s="195"/>
    </row>
    <row r="1262">
      <c r="A1262" s="199"/>
      <c r="B1262" s="200"/>
      <c r="C1262" s="194"/>
      <c r="D1262" s="194"/>
      <c r="E1262" s="194"/>
      <c r="F1262" s="194"/>
      <c r="G1262" s="194"/>
      <c r="H1262" s="194"/>
      <c r="I1262" s="194"/>
      <c r="J1262" s="195"/>
      <c r="K1262" s="201"/>
      <c r="L1262" s="194"/>
      <c r="M1262" s="194"/>
      <c r="N1262" s="194"/>
      <c r="O1262" s="195"/>
      <c r="P1262" s="195"/>
    </row>
    <row r="1263">
      <c r="A1263" s="199"/>
      <c r="B1263" s="200"/>
      <c r="C1263" s="194"/>
      <c r="D1263" s="194"/>
      <c r="E1263" s="194"/>
      <c r="F1263" s="194"/>
      <c r="G1263" s="194"/>
      <c r="H1263" s="194"/>
      <c r="I1263" s="194"/>
      <c r="J1263" s="195"/>
      <c r="K1263" s="201"/>
      <c r="L1263" s="194"/>
      <c r="M1263" s="194"/>
      <c r="N1263" s="194"/>
      <c r="O1263" s="195"/>
      <c r="P1263" s="195"/>
    </row>
    <row r="1264">
      <c r="A1264" s="199"/>
      <c r="B1264" s="200"/>
      <c r="C1264" s="194"/>
      <c r="D1264" s="194"/>
      <c r="E1264" s="194"/>
      <c r="F1264" s="194"/>
      <c r="G1264" s="194"/>
      <c r="H1264" s="194"/>
      <c r="I1264" s="194"/>
      <c r="J1264" s="195"/>
      <c r="K1264" s="201"/>
      <c r="L1264" s="194"/>
      <c r="M1264" s="194"/>
      <c r="N1264" s="194"/>
      <c r="O1264" s="195"/>
      <c r="P1264" s="195"/>
    </row>
    <row r="1265">
      <c r="A1265" s="199"/>
      <c r="B1265" s="200"/>
      <c r="C1265" s="194"/>
      <c r="D1265" s="194"/>
      <c r="E1265" s="194"/>
      <c r="F1265" s="194"/>
      <c r="G1265" s="194"/>
      <c r="H1265" s="194"/>
      <c r="I1265" s="194"/>
      <c r="J1265" s="195"/>
      <c r="K1265" s="201"/>
      <c r="L1265" s="194"/>
      <c r="M1265" s="194"/>
      <c r="N1265" s="194"/>
      <c r="O1265" s="195"/>
      <c r="P1265" s="195"/>
    </row>
    <row r="1266">
      <c r="A1266" s="199"/>
      <c r="B1266" s="200"/>
      <c r="C1266" s="194"/>
      <c r="D1266" s="194"/>
      <c r="E1266" s="194"/>
      <c r="F1266" s="194"/>
      <c r="G1266" s="194"/>
      <c r="H1266" s="194"/>
      <c r="I1266" s="194"/>
      <c r="J1266" s="195"/>
      <c r="K1266" s="201"/>
      <c r="L1266" s="194"/>
      <c r="M1266" s="194"/>
      <c r="N1266" s="194"/>
      <c r="O1266" s="195"/>
      <c r="P1266" s="195"/>
    </row>
    <row r="1267">
      <c r="A1267" s="199"/>
      <c r="B1267" s="200"/>
      <c r="C1267" s="194"/>
      <c r="D1267" s="194"/>
      <c r="E1267" s="194"/>
      <c r="F1267" s="194"/>
      <c r="G1267" s="194"/>
      <c r="H1267" s="194"/>
      <c r="I1267" s="194"/>
      <c r="J1267" s="195"/>
      <c r="K1267" s="201"/>
      <c r="L1267" s="194"/>
      <c r="M1267" s="194"/>
      <c r="N1267" s="194"/>
      <c r="O1267" s="195"/>
      <c r="P1267" s="195"/>
    </row>
    <row r="1268">
      <c r="A1268" s="199"/>
      <c r="B1268" s="200"/>
      <c r="C1268" s="194"/>
      <c r="D1268" s="194"/>
      <c r="E1268" s="194"/>
      <c r="F1268" s="194"/>
      <c r="G1268" s="194"/>
      <c r="H1268" s="194"/>
      <c r="I1268" s="194"/>
      <c r="J1268" s="195"/>
      <c r="K1268" s="201"/>
      <c r="L1268" s="194"/>
      <c r="M1268" s="194"/>
      <c r="N1268" s="194"/>
      <c r="O1268" s="195"/>
      <c r="P1268" s="195"/>
    </row>
    <row r="1269">
      <c r="A1269" s="199"/>
      <c r="B1269" s="200"/>
      <c r="C1269" s="194"/>
      <c r="D1269" s="194"/>
      <c r="E1269" s="194"/>
      <c r="F1269" s="194"/>
      <c r="G1269" s="194"/>
      <c r="H1269" s="194"/>
      <c r="I1269" s="194"/>
      <c r="J1269" s="195"/>
      <c r="K1269" s="201"/>
      <c r="L1269" s="194"/>
      <c r="M1269" s="194"/>
      <c r="N1269" s="194"/>
      <c r="O1269" s="195"/>
      <c r="P1269" s="195"/>
    </row>
    <row r="1270">
      <c r="A1270" s="199"/>
      <c r="B1270" s="200"/>
      <c r="C1270" s="194"/>
      <c r="D1270" s="194"/>
      <c r="E1270" s="194"/>
      <c r="F1270" s="194"/>
      <c r="G1270" s="194"/>
      <c r="H1270" s="194"/>
      <c r="I1270" s="194"/>
      <c r="J1270" s="195"/>
      <c r="K1270" s="201"/>
      <c r="L1270" s="194"/>
      <c r="M1270" s="194"/>
      <c r="N1270" s="194"/>
      <c r="O1270" s="195"/>
      <c r="P1270" s="195"/>
    </row>
    <row r="1271">
      <c r="A1271" s="199"/>
      <c r="B1271" s="200"/>
      <c r="C1271" s="194"/>
      <c r="D1271" s="194"/>
      <c r="E1271" s="194"/>
      <c r="F1271" s="194"/>
      <c r="G1271" s="194"/>
      <c r="H1271" s="194"/>
      <c r="I1271" s="194"/>
      <c r="J1271" s="195"/>
      <c r="K1271" s="201"/>
      <c r="L1271" s="194"/>
      <c r="M1271" s="194"/>
      <c r="N1271" s="194"/>
      <c r="O1271" s="195"/>
      <c r="P1271" s="195"/>
    </row>
    <row r="1272">
      <c r="A1272" s="199"/>
      <c r="B1272" s="200"/>
      <c r="C1272" s="194"/>
      <c r="D1272" s="194"/>
      <c r="E1272" s="194"/>
      <c r="F1272" s="194"/>
      <c r="G1272" s="194"/>
      <c r="H1272" s="194"/>
      <c r="I1272" s="194"/>
      <c r="J1272" s="195"/>
      <c r="K1272" s="201"/>
      <c r="L1272" s="194"/>
      <c r="M1272" s="194"/>
      <c r="N1272" s="194"/>
      <c r="O1272" s="195"/>
      <c r="P1272" s="195"/>
    </row>
    <row r="1273">
      <c r="A1273" s="199"/>
      <c r="B1273" s="200"/>
      <c r="C1273" s="194"/>
      <c r="D1273" s="194"/>
      <c r="E1273" s="194"/>
      <c r="F1273" s="194"/>
      <c r="G1273" s="194"/>
      <c r="H1273" s="194"/>
      <c r="I1273" s="194"/>
      <c r="J1273" s="195"/>
      <c r="K1273" s="201"/>
      <c r="L1273" s="194"/>
      <c r="M1273" s="194"/>
      <c r="N1273" s="194"/>
      <c r="O1273" s="195"/>
      <c r="P1273" s="195"/>
    </row>
    <row r="1274">
      <c r="A1274" s="199"/>
      <c r="B1274" s="200"/>
      <c r="C1274" s="194"/>
      <c r="D1274" s="194"/>
      <c r="E1274" s="194"/>
      <c r="F1274" s="194"/>
      <c r="G1274" s="194"/>
      <c r="H1274" s="194"/>
      <c r="I1274" s="194"/>
      <c r="J1274" s="195"/>
      <c r="K1274" s="201"/>
      <c r="L1274" s="194"/>
      <c r="M1274" s="194"/>
      <c r="N1274" s="194"/>
      <c r="O1274" s="195"/>
      <c r="P1274" s="195"/>
    </row>
    <row r="1275">
      <c r="A1275" s="199"/>
      <c r="B1275" s="200"/>
      <c r="C1275" s="194"/>
      <c r="D1275" s="194"/>
      <c r="E1275" s="194"/>
      <c r="F1275" s="194"/>
      <c r="G1275" s="194"/>
      <c r="H1275" s="194"/>
      <c r="I1275" s="194"/>
      <c r="J1275" s="195"/>
      <c r="K1275" s="201"/>
      <c r="L1275" s="194"/>
      <c r="M1275" s="194"/>
      <c r="N1275" s="194"/>
      <c r="O1275" s="195"/>
      <c r="P1275" s="195"/>
    </row>
    <row r="1276">
      <c r="A1276" s="199"/>
      <c r="B1276" s="200"/>
      <c r="C1276" s="194"/>
      <c r="D1276" s="194"/>
      <c r="E1276" s="194"/>
      <c r="F1276" s="194"/>
      <c r="G1276" s="194"/>
      <c r="H1276" s="194"/>
      <c r="I1276" s="194"/>
      <c r="J1276" s="195"/>
      <c r="K1276" s="201"/>
      <c r="L1276" s="194"/>
      <c r="M1276" s="194"/>
      <c r="N1276" s="194"/>
      <c r="O1276" s="195"/>
      <c r="P1276" s="195"/>
    </row>
    <row r="1277">
      <c r="A1277" s="199"/>
      <c r="B1277" s="200"/>
      <c r="C1277" s="194"/>
      <c r="D1277" s="194"/>
      <c r="E1277" s="194"/>
      <c r="F1277" s="194"/>
      <c r="G1277" s="194"/>
      <c r="H1277" s="194"/>
      <c r="I1277" s="194"/>
      <c r="J1277" s="195"/>
      <c r="K1277" s="201"/>
      <c r="L1277" s="194"/>
      <c r="M1277" s="194"/>
      <c r="N1277" s="194"/>
      <c r="O1277" s="195"/>
      <c r="P1277" s="195"/>
    </row>
    <row r="1278">
      <c r="A1278" s="199"/>
      <c r="B1278" s="200"/>
      <c r="C1278" s="194"/>
      <c r="D1278" s="194"/>
      <c r="E1278" s="194"/>
      <c r="F1278" s="194"/>
      <c r="G1278" s="194"/>
      <c r="H1278" s="194"/>
      <c r="I1278" s="194"/>
      <c r="J1278" s="195"/>
      <c r="K1278" s="201"/>
      <c r="L1278" s="194"/>
      <c r="M1278" s="194"/>
      <c r="N1278" s="194"/>
      <c r="O1278" s="195"/>
      <c r="P1278" s="195"/>
    </row>
    <row r="1279">
      <c r="A1279" s="199"/>
      <c r="B1279" s="200"/>
      <c r="C1279" s="194"/>
      <c r="D1279" s="194"/>
      <c r="E1279" s="194"/>
      <c r="F1279" s="194"/>
      <c r="G1279" s="194"/>
      <c r="H1279" s="194"/>
      <c r="I1279" s="194"/>
      <c r="J1279" s="195"/>
      <c r="K1279" s="201"/>
      <c r="L1279" s="194"/>
      <c r="M1279" s="194"/>
      <c r="N1279" s="194"/>
      <c r="O1279" s="195"/>
      <c r="P1279" s="195"/>
    </row>
    <row r="1280">
      <c r="A1280" s="199"/>
      <c r="B1280" s="200"/>
      <c r="C1280" s="194"/>
      <c r="D1280" s="194"/>
      <c r="E1280" s="194"/>
      <c r="F1280" s="194"/>
      <c r="G1280" s="194"/>
      <c r="H1280" s="194"/>
      <c r="I1280" s="194"/>
      <c r="J1280" s="195"/>
      <c r="K1280" s="201"/>
      <c r="L1280" s="194"/>
      <c r="M1280" s="194"/>
      <c r="N1280" s="194"/>
      <c r="O1280" s="195"/>
      <c r="P1280" s="195"/>
    </row>
    <row r="1281">
      <c r="A1281" s="199"/>
      <c r="B1281" s="200"/>
      <c r="C1281" s="194"/>
      <c r="D1281" s="194"/>
      <c r="E1281" s="194"/>
      <c r="F1281" s="194"/>
      <c r="G1281" s="194"/>
      <c r="H1281" s="194"/>
      <c r="I1281" s="194"/>
      <c r="J1281" s="195"/>
      <c r="K1281" s="201"/>
      <c r="L1281" s="194"/>
      <c r="M1281" s="194"/>
      <c r="N1281" s="194"/>
      <c r="O1281" s="195"/>
      <c r="P1281" s="195"/>
    </row>
    <row r="1282">
      <c r="A1282" s="199"/>
      <c r="B1282" s="200"/>
      <c r="C1282" s="194"/>
      <c r="D1282" s="194"/>
      <c r="E1282" s="194"/>
      <c r="F1282" s="194"/>
      <c r="G1282" s="194"/>
      <c r="H1282" s="194"/>
      <c r="I1282" s="194"/>
      <c r="J1282" s="195"/>
      <c r="K1282" s="201"/>
      <c r="L1282" s="194"/>
      <c r="M1282" s="194"/>
      <c r="N1282" s="194"/>
      <c r="O1282" s="195"/>
      <c r="P1282" s="195"/>
    </row>
    <row r="1283">
      <c r="A1283" s="199"/>
      <c r="B1283" s="200"/>
      <c r="C1283" s="194"/>
      <c r="D1283" s="194"/>
      <c r="E1283" s="194"/>
      <c r="F1283" s="194"/>
      <c r="G1283" s="194"/>
      <c r="H1283" s="194"/>
      <c r="I1283" s="194"/>
      <c r="J1283" s="195"/>
      <c r="K1283" s="201"/>
      <c r="L1283" s="194"/>
      <c r="M1283" s="194"/>
      <c r="N1283" s="194"/>
      <c r="O1283" s="195"/>
      <c r="P1283" s="195"/>
    </row>
    <row r="1284">
      <c r="A1284" s="199"/>
      <c r="B1284" s="200"/>
      <c r="C1284" s="194"/>
      <c r="D1284" s="194"/>
      <c r="E1284" s="194"/>
      <c r="F1284" s="194"/>
      <c r="G1284" s="194"/>
      <c r="H1284" s="194"/>
      <c r="I1284" s="194"/>
      <c r="J1284" s="195"/>
      <c r="K1284" s="201"/>
      <c r="L1284" s="194"/>
      <c r="M1284" s="194"/>
      <c r="N1284" s="194"/>
      <c r="O1284" s="195"/>
      <c r="P1284" s="195"/>
    </row>
    <row r="1285">
      <c r="A1285" s="199"/>
      <c r="B1285" s="200"/>
      <c r="C1285" s="194"/>
      <c r="D1285" s="194"/>
      <c r="E1285" s="194"/>
      <c r="F1285" s="194"/>
      <c r="G1285" s="194"/>
      <c r="H1285" s="194"/>
      <c r="I1285" s="194"/>
      <c r="J1285" s="195"/>
      <c r="K1285" s="201"/>
      <c r="L1285" s="194"/>
      <c r="M1285" s="194"/>
      <c r="N1285" s="194"/>
      <c r="O1285" s="195"/>
      <c r="P1285" s="195"/>
    </row>
    <row r="1286">
      <c r="A1286" s="199"/>
      <c r="B1286" s="200"/>
      <c r="C1286" s="194"/>
      <c r="D1286" s="194"/>
      <c r="E1286" s="194"/>
      <c r="F1286" s="194"/>
      <c r="G1286" s="194"/>
      <c r="H1286" s="194"/>
      <c r="I1286" s="194"/>
      <c r="J1286" s="195"/>
      <c r="K1286" s="201"/>
      <c r="L1286" s="194"/>
      <c r="M1286" s="194"/>
      <c r="N1286" s="194"/>
      <c r="O1286" s="195"/>
      <c r="P1286" s="195"/>
    </row>
    <row r="1287">
      <c r="A1287" s="199"/>
      <c r="B1287" s="200"/>
      <c r="C1287" s="194"/>
      <c r="D1287" s="194"/>
      <c r="E1287" s="194"/>
      <c r="F1287" s="194"/>
      <c r="G1287" s="194"/>
      <c r="H1287" s="194"/>
      <c r="I1287" s="194"/>
      <c r="J1287" s="195"/>
      <c r="K1287" s="201"/>
      <c r="L1287" s="194"/>
      <c r="M1287" s="194"/>
      <c r="N1287" s="194"/>
      <c r="O1287" s="195"/>
      <c r="P1287" s="195"/>
    </row>
    <row r="1288">
      <c r="A1288" s="199"/>
      <c r="B1288" s="200"/>
      <c r="C1288" s="194"/>
      <c r="D1288" s="194"/>
      <c r="E1288" s="194"/>
      <c r="F1288" s="194"/>
      <c r="G1288" s="194"/>
      <c r="H1288" s="194"/>
      <c r="I1288" s="194"/>
      <c r="J1288" s="195"/>
      <c r="K1288" s="201"/>
      <c r="L1288" s="194"/>
      <c r="M1288" s="194"/>
      <c r="N1288" s="194"/>
      <c r="O1288" s="195"/>
      <c r="P1288" s="195"/>
    </row>
    <row r="1289">
      <c r="A1289" s="199"/>
      <c r="B1289" s="200"/>
      <c r="C1289" s="194"/>
      <c r="D1289" s="194"/>
      <c r="E1289" s="194"/>
      <c r="F1289" s="194"/>
      <c r="G1289" s="194"/>
      <c r="H1289" s="194"/>
      <c r="I1289" s="194"/>
      <c r="J1289" s="195"/>
      <c r="K1289" s="201"/>
      <c r="L1289" s="194"/>
      <c r="M1289" s="194"/>
      <c r="N1289" s="194"/>
      <c r="O1289" s="195"/>
      <c r="P1289" s="195"/>
    </row>
    <row r="1290">
      <c r="A1290" s="199"/>
      <c r="B1290" s="200"/>
      <c r="C1290" s="194"/>
      <c r="D1290" s="194"/>
      <c r="E1290" s="194"/>
      <c r="F1290" s="194"/>
      <c r="G1290" s="194"/>
      <c r="H1290" s="194"/>
      <c r="I1290" s="194"/>
      <c r="J1290" s="195"/>
      <c r="K1290" s="201"/>
      <c r="L1290" s="194"/>
      <c r="M1290" s="194"/>
      <c r="N1290" s="194"/>
      <c r="O1290" s="195"/>
      <c r="P1290" s="195"/>
    </row>
    <row r="1291">
      <c r="A1291" s="199"/>
      <c r="B1291" s="200"/>
      <c r="C1291" s="194"/>
      <c r="D1291" s="194"/>
      <c r="E1291" s="194"/>
      <c r="F1291" s="194"/>
      <c r="G1291" s="194"/>
      <c r="H1291" s="194"/>
      <c r="I1291" s="194"/>
      <c r="J1291" s="195"/>
      <c r="K1291" s="201"/>
      <c r="L1291" s="194"/>
      <c r="M1291" s="194"/>
      <c r="N1291" s="194"/>
      <c r="O1291" s="195"/>
      <c r="P1291" s="195"/>
    </row>
    <row r="1292">
      <c r="A1292" s="199"/>
      <c r="B1292" s="200"/>
      <c r="C1292" s="194"/>
      <c r="D1292" s="194"/>
      <c r="E1292" s="194"/>
      <c r="F1292" s="194"/>
      <c r="G1292" s="194"/>
      <c r="H1292" s="194"/>
      <c r="I1292" s="194"/>
      <c r="J1292" s="195"/>
      <c r="K1292" s="201"/>
      <c r="L1292" s="194"/>
      <c r="M1292" s="194"/>
      <c r="N1292" s="194"/>
      <c r="O1292" s="195"/>
      <c r="P1292" s="195"/>
    </row>
    <row r="1293">
      <c r="A1293" s="199"/>
      <c r="B1293" s="200"/>
      <c r="C1293" s="194"/>
      <c r="D1293" s="194"/>
      <c r="E1293" s="194"/>
      <c r="F1293" s="194"/>
      <c r="G1293" s="194"/>
      <c r="H1293" s="194"/>
      <c r="I1293" s="194"/>
      <c r="J1293" s="195"/>
      <c r="K1293" s="201"/>
      <c r="L1293" s="194"/>
      <c r="M1293" s="194"/>
      <c r="N1293" s="194"/>
      <c r="O1293" s="195"/>
      <c r="P1293" s="195"/>
    </row>
    <row r="1294">
      <c r="A1294" s="199"/>
      <c r="B1294" s="200"/>
      <c r="C1294" s="194"/>
      <c r="D1294" s="194"/>
      <c r="E1294" s="194"/>
      <c r="F1294" s="194"/>
      <c r="G1294" s="194"/>
      <c r="H1294" s="194"/>
      <c r="I1294" s="194"/>
      <c r="J1294" s="195"/>
      <c r="K1294" s="201"/>
      <c r="L1294" s="194"/>
      <c r="M1294" s="194"/>
      <c r="N1294" s="194"/>
      <c r="O1294" s="195"/>
      <c r="P1294" s="195"/>
    </row>
    <row r="1295">
      <c r="A1295" s="199"/>
      <c r="B1295" s="200"/>
      <c r="C1295" s="194"/>
      <c r="D1295" s="194"/>
      <c r="E1295" s="194"/>
      <c r="F1295" s="194"/>
      <c r="G1295" s="194"/>
      <c r="H1295" s="194"/>
      <c r="I1295" s="194"/>
      <c r="J1295" s="195"/>
      <c r="K1295" s="201"/>
      <c r="L1295" s="194"/>
      <c r="M1295" s="194"/>
      <c r="N1295" s="194"/>
      <c r="O1295" s="195"/>
      <c r="P1295" s="195"/>
    </row>
    <row r="1296">
      <c r="A1296" s="199"/>
      <c r="B1296" s="200"/>
      <c r="C1296" s="194"/>
      <c r="D1296" s="194"/>
      <c r="E1296" s="194"/>
      <c r="F1296" s="194"/>
      <c r="G1296" s="194"/>
      <c r="H1296" s="194"/>
      <c r="I1296" s="194"/>
      <c r="J1296" s="195"/>
      <c r="K1296" s="201"/>
      <c r="L1296" s="194"/>
      <c r="M1296" s="194"/>
      <c r="N1296" s="194"/>
      <c r="O1296" s="195"/>
      <c r="P1296" s="195"/>
    </row>
    <row r="1297">
      <c r="A1297" s="199"/>
      <c r="B1297" s="200"/>
      <c r="C1297" s="194"/>
      <c r="D1297" s="194"/>
      <c r="E1297" s="194"/>
      <c r="F1297" s="194"/>
      <c r="G1297" s="194"/>
      <c r="H1297" s="194"/>
      <c r="I1297" s="194"/>
      <c r="J1297" s="195"/>
      <c r="K1297" s="201"/>
      <c r="L1297" s="194"/>
      <c r="M1297" s="194"/>
      <c r="N1297" s="194"/>
      <c r="O1297" s="195"/>
      <c r="P1297" s="195"/>
    </row>
    <row r="1298">
      <c r="A1298" s="199"/>
      <c r="B1298" s="200"/>
      <c r="C1298" s="194"/>
      <c r="D1298" s="194"/>
      <c r="E1298" s="194"/>
      <c r="F1298" s="194"/>
      <c r="G1298" s="194"/>
      <c r="H1298" s="194"/>
      <c r="I1298" s="194"/>
      <c r="J1298" s="195"/>
      <c r="K1298" s="201"/>
      <c r="L1298" s="194"/>
      <c r="M1298" s="194"/>
      <c r="N1298" s="194"/>
      <c r="O1298" s="195"/>
      <c r="P1298" s="195"/>
    </row>
    <row r="1299">
      <c r="A1299" s="199"/>
      <c r="B1299" s="200"/>
      <c r="C1299" s="194"/>
      <c r="D1299" s="194"/>
      <c r="E1299" s="194"/>
      <c r="F1299" s="194"/>
      <c r="G1299" s="194"/>
      <c r="H1299" s="194"/>
      <c r="I1299" s="194"/>
      <c r="J1299" s="195"/>
      <c r="K1299" s="201"/>
      <c r="L1299" s="194"/>
      <c r="M1299" s="194"/>
      <c r="N1299" s="194"/>
      <c r="O1299" s="195"/>
      <c r="P1299" s="195"/>
    </row>
    <row r="1300">
      <c r="A1300" s="199"/>
      <c r="B1300" s="200"/>
      <c r="C1300" s="194"/>
      <c r="D1300" s="194"/>
      <c r="E1300" s="194"/>
      <c r="F1300" s="194"/>
      <c r="G1300" s="194"/>
      <c r="H1300" s="194"/>
      <c r="I1300" s="194"/>
      <c r="J1300" s="195"/>
      <c r="K1300" s="201"/>
      <c r="L1300" s="194"/>
      <c r="M1300" s="194"/>
      <c r="N1300" s="194"/>
      <c r="O1300" s="195"/>
      <c r="P1300" s="195"/>
    </row>
    <row r="1301">
      <c r="A1301" s="199"/>
      <c r="B1301" s="200"/>
      <c r="C1301" s="194"/>
      <c r="D1301" s="194"/>
      <c r="E1301" s="194"/>
      <c r="F1301" s="194"/>
      <c r="G1301" s="194"/>
      <c r="H1301" s="194"/>
      <c r="I1301" s="194"/>
      <c r="J1301" s="195"/>
      <c r="K1301" s="201"/>
      <c r="L1301" s="194"/>
      <c r="M1301" s="194"/>
      <c r="N1301" s="194"/>
      <c r="O1301" s="195"/>
      <c r="P1301" s="195"/>
    </row>
    <row r="1302">
      <c r="A1302" s="199"/>
      <c r="B1302" s="200"/>
      <c r="C1302" s="194"/>
      <c r="D1302" s="194"/>
      <c r="E1302" s="194"/>
      <c r="F1302" s="194"/>
      <c r="G1302" s="194"/>
      <c r="H1302" s="194"/>
      <c r="I1302" s="194"/>
      <c r="J1302" s="195"/>
      <c r="K1302" s="201"/>
      <c r="L1302" s="194"/>
      <c r="M1302" s="194"/>
      <c r="N1302" s="194"/>
      <c r="O1302" s="195"/>
      <c r="P1302" s="195"/>
    </row>
    <row r="1303">
      <c r="A1303" s="199"/>
      <c r="B1303" s="200"/>
      <c r="C1303" s="194"/>
      <c r="D1303" s="194"/>
      <c r="E1303" s="194"/>
      <c r="F1303" s="194"/>
      <c r="G1303" s="194"/>
      <c r="H1303" s="194"/>
      <c r="I1303" s="194"/>
      <c r="J1303" s="195"/>
      <c r="K1303" s="201"/>
      <c r="L1303" s="194"/>
      <c r="M1303" s="194"/>
      <c r="N1303" s="194"/>
      <c r="O1303" s="195"/>
      <c r="P1303" s="195"/>
    </row>
    <row r="1304">
      <c r="A1304" s="199"/>
      <c r="B1304" s="200"/>
      <c r="C1304" s="194"/>
      <c r="D1304" s="194"/>
      <c r="E1304" s="194"/>
      <c r="F1304" s="194"/>
      <c r="G1304" s="194"/>
      <c r="H1304" s="194"/>
      <c r="I1304" s="194"/>
      <c r="J1304" s="195"/>
      <c r="K1304" s="201"/>
      <c r="L1304" s="194"/>
      <c r="M1304" s="194"/>
      <c r="N1304" s="194"/>
      <c r="O1304" s="195"/>
      <c r="P1304" s="195"/>
    </row>
    <row r="1305">
      <c r="A1305" s="199"/>
      <c r="B1305" s="200"/>
      <c r="C1305" s="194"/>
      <c r="D1305" s="194"/>
      <c r="E1305" s="194"/>
      <c r="F1305" s="194"/>
      <c r="G1305" s="194"/>
      <c r="H1305" s="194"/>
      <c r="I1305" s="194"/>
      <c r="J1305" s="195"/>
      <c r="K1305" s="201"/>
      <c r="L1305" s="194"/>
      <c r="M1305" s="194"/>
      <c r="N1305" s="194"/>
      <c r="O1305" s="195"/>
      <c r="P1305" s="195"/>
    </row>
    <row r="1306">
      <c r="A1306" s="199"/>
      <c r="B1306" s="200"/>
      <c r="C1306" s="194"/>
      <c r="D1306" s="194"/>
      <c r="E1306" s="194"/>
      <c r="F1306" s="194"/>
      <c r="G1306" s="194"/>
      <c r="H1306" s="194"/>
      <c r="I1306" s="194"/>
      <c r="J1306" s="195"/>
      <c r="K1306" s="201"/>
      <c r="L1306" s="194"/>
      <c r="M1306" s="194"/>
      <c r="N1306" s="194"/>
      <c r="O1306" s="195"/>
      <c r="P1306" s="195"/>
    </row>
    <row r="1307">
      <c r="A1307" s="199"/>
      <c r="B1307" s="200"/>
      <c r="C1307" s="194"/>
      <c r="D1307" s="194"/>
      <c r="E1307" s="194"/>
      <c r="F1307" s="194"/>
      <c r="G1307" s="194"/>
      <c r="H1307" s="194"/>
      <c r="I1307" s="194"/>
      <c r="J1307" s="195"/>
      <c r="K1307" s="201"/>
      <c r="L1307" s="194"/>
      <c r="M1307" s="194"/>
      <c r="N1307" s="194"/>
      <c r="O1307" s="195"/>
      <c r="P1307" s="195"/>
    </row>
    <row r="1308">
      <c r="A1308" s="199"/>
      <c r="B1308" s="200"/>
      <c r="C1308" s="194"/>
      <c r="D1308" s="194"/>
      <c r="E1308" s="194"/>
      <c r="F1308" s="194"/>
      <c r="G1308" s="194"/>
      <c r="H1308" s="194"/>
      <c r="I1308" s="194"/>
      <c r="J1308" s="195"/>
      <c r="K1308" s="201"/>
      <c r="L1308" s="194"/>
      <c r="M1308" s="194"/>
      <c r="N1308" s="194"/>
      <c r="O1308" s="195"/>
      <c r="P1308" s="195"/>
    </row>
    <row r="1309">
      <c r="A1309" s="199"/>
      <c r="B1309" s="200"/>
      <c r="C1309" s="194"/>
      <c r="D1309" s="194"/>
      <c r="E1309" s="194"/>
      <c r="F1309" s="194"/>
      <c r="G1309" s="194"/>
      <c r="H1309" s="194"/>
      <c r="I1309" s="194"/>
      <c r="J1309" s="195"/>
      <c r="K1309" s="201"/>
      <c r="L1309" s="194"/>
      <c r="M1309" s="194"/>
      <c r="N1309" s="194"/>
      <c r="O1309" s="195"/>
      <c r="P1309" s="195"/>
    </row>
    <row r="1310">
      <c r="A1310" s="199"/>
      <c r="B1310" s="200"/>
      <c r="C1310" s="194"/>
      <c r="D1310" s="194"/>
      <c r="E1310" s="194"/>
      <c r="F1310" s="194"/>
      <c r="G1310" s="194"/>
      <c r="H1310" s="194"/>
      <c r="I1310" s="194"/>
      <c r="J1310" s="195"/>
      <c r="K1310" s="201"/>
      <c r="L1310" s="194"/>
      <c r="M1310" s="194"/>
      <c r="N1310" s="194"/>
      <c r="O1310" s="195"/>
      <c r="P1310" s="195"/>
    </row>
    <row r="1311">
      <c r="A1311" s="199"/>
      <c r="B1311" s="200"/>
      <c r="C1311" s="194"/>
      <c r="D1311" s="194"/>
      <c r="E1311" s="194"/>
      <c r="F1311" s="194"/>
      <c r="G1311" s="194"/>
      <c r="H1311" s="194"/>
      <c r="I1311" s="194"/>
      <c r="J1311" s="195"/>
      <c r="K1311" s="201"/>
      <c r="L1311" s="194"/>
      <c r="M1311" s="194"/>
      <c r="N1311" s="194"/>
      <c r="O1311" s="195"/>
      <c r="P1311" s="195"/>
    </row>
    <row r="1312">
      <c r="A1312" s="199"/>
      <c r="B1312" s="200"/>
      <c r="C1312" s="194"/>
      <c r="D1312" s="194"/>
      <c r="E1312" s="194"/>
      <c r="F1312" s="194"/>
      <c r="G1312" s="194"/>
      <c r="H1312" s="194"/>
      <c r="I1312" s="194"/>
      <c r="J1312" s="195"/>
      <c r="K1312" s="201"/>
      <c r="L1312" s="194"/>
      <c r="M1312" s="194"/>
      <c r="N1312" s="194"/>
      <c r="O1312" s="195"/>
      <c r="P1312" s="195"/>
    </row>
    <row r="1313">
      <c r="A1313" s="199"/>
      <c r="B1313" s="200"/>
      <c r="C1313" s="194"/>
      <c r="D1313" s="194"/>
      <c r="E1313" s="194"/>
      <c r="F1313" s="194"/>
      <c r="G1313" s="194"/>
      <c r="H1313" s="194"/>
      <c r="I1313" s="194"/>
      <c r="J1313" s="195"/>
      <c r="K1313" s="201"/>
      <c r="L1313" s="194"/>
      <c r="M1313" s="194"/>
      <c r="N1313" s="194"/>
      <c r="O1313" s="195"/>
      <c r="P1313" s="195"/>
    </row>
    <row r="1314">
      <c r="A1314" s="199"/>
      <c r="B1314" s="200"/>
      <c r="C1314" s="194"/>
      <c r="D1314" s="194"/>
      <c r="E1314" s="194"/>
      <c r="F1314" s="194"/>
      <c r="G1314" s="194"/>
      <c r="H1314" s="194"/>
      <c r="I1314" s="194"/>
      <c r="J1314" s="195"/>
      <c r="K1314" s="201"/>
      <c r="L1314" s="194"/>
      <c r="M1314" s="194"/>
      <c r="N1314" s="194"/>
      <c r="O1314" s="195"/>
      <c r="P1314" s="195"/>
    </row>
    <row r="1315">
      <c r="A1315" s="199"/>
      <c r="B1315" s="200"/>
      <c r="C1315" s="194"/>
      <c r="D1315" s="194"/>
      <c r="E1315" s="194"/>
      <c r="F1315" s="194"/>
      <c r="G1315" s="194"/>
      <c r="H1315" s="194"/>
      <c r="I1315" s="194"/>
      <c r="J1315" s="195"/>
      <c r="K1315" s="201"/>
      <c r="L1315" s="194"/>
      <c r="M1315" s="194"/>
      <c r="N1315" s="194"/>
      <c r="O1315" s="195"/>
      <c r="P1315" s="195"/>
    </row>
    <row r="1316">
      <c r="A1316" s="199"/>
      <c r="B1316" s="200"/>
      <c r="C1316" s="194"/>
      <c r="D1316" s="194"/>
      <c r="E1316" s="194"/>
      <c r="F1316" s="194"/>
      <c r="G1316" s="194"/>
      <c r="H1316" s="194"/>
      <c r="I1316" s="194"/>
      <c r="J1316" s="195"/>
      <c r="K1316" s="201"/>
      <c r="L1316" s="194"/>
      <c r="M1316" s="194"/>
      <c r="N1316" s="194"/>
      <c r="O1316" s="195"/>
      <c r="P1316" s="195"/>
    </row>
    <row r="1317">
      <c r="A1317" s="199"/>
      <c r="B1317" s="200"/>
      <c r="C1317" s="194"/>
      <c r="D1317" s="194"/>
      <c r="E1317" s="194"/>
      <c r="F1317" s="194"/>
      <c r="G1317" s="194"/>
      <c r="H1317" s="194"/>
      <c r="I1317" s="194"/>
      <c r="J1317" s="195"/>
      <c r="K1317" s="201"/>
      <c r="L1317" s="194"/>
      <c r="M1317" s="194"/>
      <c r="N1317" s="194"/>
      <c r="O1317" s="195"/>
      <c r="P1317" s="195"/>
    </row>
    <row r="1318">
      <c r="A1318" s="199"/>
      <c r="B1318" s="200"/>
      <c r="C1318" s="194"/>
      <c r="D1318" s="194"/>
      <c r="E1318" s="194"/>
      <c r="F1318" s="194"/>
      <c r="G1318" s="194"/>
      <c r="H1318" s="194"/>
      <c r="I1318" s="194"/>
      <c r="J1318" s="195"/>
      <c r="K1318" s="201"/>
      <c r="L1318" s="194"/>
      <c r="M1318" s="194"/>
      <c r="N1318" s="194"/>
      <c r="O1318" s="195"/>
      <c r="P1318" s="195"/>
    </row>
    <row r="1319">
      <c r="A1319" s="199"/>
      <c r="B1319" s="200"/>
      <c r="C1319" s="194"/>
      <c r="D1319" s="194"/>
      <c r="E1319" s="194"/>
      <c r="F1319" s="194"/>
      <c r="G1319" s="194"/>
      <c r="H1319" s="194"/>
      <c r="I1319" s="194"/>
      <c r="J1319" s="195"/>
      <c r="K1319" s="201"/>
      <c r="L1319" s="194"/>
      <c r="M1319" s="194"/>
      <c r="N1319" s="194"/>
      <c r="O1319" s="195"/>
      <c r="P1319" s="195"/>
    </row>
    <row r="1320">
      <c r="A1320" s="199"/>
      <c r="B1320" s="200"/>
      <c r="C1320" s="194"/>
      <c r="D1320" s="194"/>
      <c r="E1320" s="194"/>
      <c r="F1320" s="194"/>
      <c r="G1320" s="194"/>
      <c r="H1320" s="194"/>
      <c r="I1320" s="194"/>
      <c r="J1320" s="195"/>
      <c r="K1320" s="201"/>
      <c r="L1320" s="194"/>
      <c r="M1320" s="194"/>
      <c r="N1320" s="194"/>
      <c r="O1320" s="195"/>
      <c r="P1320" s="195"/>
    </row>
    <row r="1321">
      <c r="A1321" s="199"/>
      <c r="B1321" s="200"/>
      <c r="C1321" s="194"/>
      <c r="D1321" s="194"/>
      <c r="E1321" s="194"/>
      <c r="F1321" s="194"/>
      <c r="G1321" s="194"/>
      <c r="H1321" s="194"/>
      <c r="I1321" s="194"/>
      <c r="J1321" s="195"/>
      <c r="K1321" s="201"/>
      <c r="L1321" s="194"/>
      <c r="M1321" s="194"/>
      <c r="N1321" s="194"/>
      <c r="O1321" s="195"/>
      <c r="P1321" s="195"/>
    </row>
    <row r="1322">
      <c r="A1322" s="199"/>
      <c r="B1322" s="200"/>
      <c r="C1322" s="194"/>
      <c r="D1322" s="194"/>
      <c r="E1322" s="194"/>
      <c r="F1322" s="194"/>
      <c r="G1322" s="194"/>
      <c r="H1322" s="194"/>
      <c r="I1322" s="194"/>
      <c r="J1322" s="195"/>
      <c r="K1322" s="201"/>
      <c r="L1322" s="194"/>
      <c r="M1322" s="194"/>
      <c r="N1322" s="194"/>
      <c r="O1322" s="195"/>
      <c r="P1322" s="195"/>
    </row>
    <row r="1323">
      <c r="A1323" s="199"/>
      <c r="B1323" s="200"/>
      <c r="C1323" s="194"/>
      <c r="D1323" s="194"/>
      <c r="E1323" s="194"/>
      <c r="F1323" s="194"/>
      <c r="G1323" s="194"/>
      <c r="H1323" s="194"/>
      <c r="I1323" s="194"/>
      <c r="J1323" s="195"/>
      <c r="K1323" s="201"/>
      <c r="L1323" s="194"/>
      <c r="M1323" s="194"/>
      <c r="N1323" s="194"/>
      <c r="O1323" s="195"/>
      <c r="P1323" s="195"/>
    </row>
    <row r="1324">
      <c r="A1324" s="199"/>
      <c r="B1324" s="200"/>
      <c r="C1324" s="194"/>
      <c r="D1324" s="194"/>
      <c r="E1324" s="194"/>
      <c r="F1324" s="194"/>
      <c r="G1324" s="194"/>
      <c r="H1324" s="194"/>
      <c r="I1324" s="194"/>
      <c r="J1324" s="195"/>
      <c r="K1324" s="201"/>
      <c r="L1324" s="194"/>
      <c r="M1324" s="194"/>
      <c r="N1324" s="194"/>
      <c r="O1324" s="195"/>
      <c r="P1324" s="195"/>
    </row>
    <row r="1325">
      <c r="A1325" s="199"/>
      <c r="B1325" s="200"/>
      <c r="C1325" s="194"/>
      <c r="D1325" s="194"/>
      <c r="E1325" s="194"/>
      <c r="F1325" s="194"/>
      <c r="G1325" s="194"/>
      <c r="H1325" s="194"/>
      <c r="I1325" s="194"/>
      <c r="J1325" s="195"/>
      <c r="K1325" s="201"/>
      <c r="L1325" s="194"/>
      <c r="M1325" s="194"/>
      <c r="N1325" s="194"/>
      <c r="O1325" s="195"/>
      <c r="P1325" s="195"/>
    </row>
    <row r="1326">
      <c r="A1326" s="199"/>
      <c r="B1326" s="200"/>
      <c r="C1326" s="194"/>
      <c r="D1326" s="194"/>
      <c r="E1326" s="194"/>
      <c r="F1326" s="194"/>
      <c r="G1326" s="194"/>
      <c r="H1326" s="194"/>
      <c r="I1326" s="194"/>
      <c r="J1326" s="195"/>
      <c r="K1326" s="201"/>
      <c r="L1326" s="194"/>
      <c r="M1326" s="194"/>
      <c r="N1326" s="194"/>
      <c r="O1326" s="195"/>
      <c r="P1326" s="195"/>
    </row>
    <row r="1327">
      <c r="A1327" s="199"/>
      <c r="B1327" s="200"/>
      <c r="C1327" s="194"/>
      <c r="D1327" s="194"/>
      <c r="E1327" s="194"/>
      <c r="F1327" s="194"/>
      <c r="G1327" s="194"/>
      <c r="H1327" s="194"/>
      <c r="I1327" s="194"/>
      <c r="J1327" s="195"/>
      <c r="K1327" s="201"/>
      <c r="L1327" s="194"/>
      <c r="M1327" s="194"/>
      <c r="N1327" s="194"/>
      <c r="O1327" s="195"/>
      <c r="P1327" s="195"/>
    </row>
    <row r="1328">
      <c r="A1328" s="199"/>
      <c r="B1328" s="200"/>
      <c r="C1328" s="194"/>
      <c r="D1328" s="194"/>
      <c r="E1328" s="194"/>
      <c r="F1328" s="194"/>
      <c r="G1328" s="194"/>
      <c r="H1328" s="194"/>
      <c r="I1328" s="194"/>
      <c r="J1328" s="195"/>
      <c r="K1328" s="201"/>
      <c r="L1328" s="194"/>
      <c r="M1328" s="194"/>
      <c r="N1328" s="194"/>
      <c r="O1328" s="195"/>
      <c r="P1328" s="195"/>
    </row>
    <row r="1329">
      <c r="A1329" s="199"/>
      <c r="B1329" s="200"/>
      <c r="C1329" s="194"/>
      <c r="D1329" s="194"/>
      <c r="E1329" s="194"/>
      <c r="F1329" s="194"/>
      <c r="G1329" s="194"/>
      <c r="H1329" s="194"/>
      <c r="I1329" s="194"/>
      <c r="J1329" s="195"/>
      <c r="K1329" s="201"/>
      <c r="L1329" s="194"/>
      <c r="M1329" s="194"/>
      <c r="N1329" s="194"/>
      <c r="O1329" s="195"/>
      <c r="P1329" s="195"/>
    </row>
    <row r="1330">
      <c r="A1330" s="199"/>
      <c r="B1330" s="200"/>
      <c r="C1330" s="194"/>
      <c r="D1330" s="194"/>
      <c r="E1330" s="194"/>
      <c r="F1330" s="194"/>
      <c r="G1330" s="194"/>
      <c r="H1330" s="194"/>
      <c r="I1330" s="194"/>
      <c r="J1330" s="195"/>
      <c r="K1330" s="201"/>
      <c r="L1330" s="194"/>
      <c r="M1330" s="194"/>
      <c r="N1330" s="194"/>
      <c r="O1330" s="195"/>
      <c r="P1330" s="195"/>
    </row>
    <row r="1331">
      <c r="A1331" s="199"/>
      <c r="B1331" s="200"/>
      <c r="C1331" s="194"/>
      <c r="D1331" s="194"/>
      <c r="E1331" s="194"/>
      <c r="F1331" s="194"/>
      <c r="G1331" s="194"/>
      <c r="H1331" s="194"/>
      <c r="I1331" s="194"/>
      <c r="J1331" s="195"/>
      <c r="K1331" s="201"/>
      <c r="L1331" s="194"/>
      <c r="M1331" s="194"/>
      <c r="N1331" s="194"/>
      <c r="O1331" s="195"/>
      <c r="P1331" s="195"/>
    </row>
    <row r="1332">
      <c r="A1332" s="199"/>
      <c r="B1332" s="200"/>
      <c r="C1332" s="194"/>
      <c r="D1332" s="194"/>
      <c r="E1332" s="194"/>
      <c r="F1332" s="194"/>
      <c r="G1332" s="194"/>
      <c r="H1332" s="194"/>
      <c r="I1332" s="194"/>
      <c r="J1332" s="195"/>
      <c r="K1332" s="201"/>
      <c r="L1332" s="194"/>
      <c r="M1332" s="194"/>
      <c r="N1332" s="194"/>
      <c r="O1332" s="195"/>
      <c r="P1332" s="195"/>
    </row>
    <row r="1333">
      <c r="A1333" s="199"/>
      <c r="B1333" s="200"/>
      <c r="C1333" s="194"/>
      <c r="D1333" s="194"/>
      <c r="E1333" s="194"/>
      <c r="F1333" s="194"/>
      <c r="G1333" s="194"/>
      <c r="H1333" s="194"/>
      <c r="I1333" s="194"/>
      <c r="J1333" s="195"/>
      <c r="K1333" s="201"/>
      <c r="L1333" s="194"/>
      <c r="M1333" s="194"/>
      <c r="N1333" s="194"/>
      <c r="O1333" s="195"/>
      <c r="P1333" s="195"/>
    </row>
    <row r="1334">
      <c r="A1334" s="199"/>
      <c r="B1334" s="200"/>
      <c r="C1334" s="194"/>
      <c r="D1334" s="194"/>
      <c r="E1334" s="194"/>
      <c r="F1334" s="194"/>
      <c r="G1334" s="194"/>
      <c r="H1334" s="194"/>
      <c r="I1334" s="194"/>
      <c r="J1334" s="195"/>
      <c r="K1334" s="201"/>
      <c r="L1334" s="194"/>
      <c r="M1334" s="194"/>
      <c r="N1334" s="194"/>
      <c r="O1334" s="195"/>
      <c r="P1334" s="195"/>
    </row>
    <row r="1335">
      <c r="A1335" s="199"/>
      <c r="B1335" s="200"/>
      <c r="C1335" s="194"/>
      <c r="D1335" s="194"/>
      <c r="E1335" s="194"/>
      <c r="F1335" s="194"/>
      <c r="G1335" s="194"/>
      <c r="H1335" s="194"/>
      <c r="I1335" s="194"/>
      <c r="J1335" s="195"/>
      <c r="K1335" s="201"/>
      <c r="L1335" s="194"/>
      <c r="M1335" s="194"/>
      <c r="N1335" s="194"/>
      <c r="O1335" s="195"/>
      <c r="P1335" s="195"/>
    </row>
    <row r="1336">
      <c r="A1336" s="199"/>
      <c r="B1336" s="200"/>
      <c r="C1336" s="194"/>
      <c r="D1336" s="194"/>
      <c r="E1336" s="194"/>
      <c r="F1336" s="194"/>
      <c r="G1336" s="194"/>
      <c r="H1336" s="194"/>
      <c r="I1336" s="194"/>
      <c r="J1336" s="195"/>
      <c r="K1336" s="201"/>
      <c r="L1336" s="194"/>
      <c r="M1336" s="194"/>
      <c r="N1336" s="194"/>
      <c r="O1336" s="195"/>
      <c r="P1336" s="195"/>
    </row>
    <row r="1337">
      <c r="A1337" s="199"/>
      <c r="B1337" s="200"/>
      <c r="C1337" s="194"/>
      <c r="D1337" s="194"/>
      <c r="E1337" s="194"/>
      <c r="F1337" s="194"/>
      <c r="G1337" s="194"/>
      <c r="H1337" s="194"/>
      <c r="I1337" s="194"/>
      <c r="J1337" s="195"/>
      <c r="K1337" s="201"/>
      <c r="L1337" s="194"/>
      <c r="M1337" s="194"/>
      <c r="N1337" s="194"/>
      <c r="O1337" s="195"/>
      <c r="P1337" s="195"/>
    </row>
    <row r="1338">
      <c r="A1338" s="199"/>
      <c r="B1338" s="200"/>
      <c r="C1338" s="194"/>
      <c r="D1338" s="194"/>
      <c r="E1338" s="194"/>
      <c r="F1338" s="194"/>
      <c r="G1338" s="194"/>
      <c r="H1338" s="194"/>
      <c r="I1338" s="194"/>
      <c r="J1338" s="195"/>
      <c r="K1338" s="201"/>
      <c r="L1338" s="194"/>
      <c r="M1338" s="194"/>
      <c r="N1338" s="194"/>
      <c r="O1338" s="195"/>
      <c r="P1338" s="195"/>
    </row>
    <row r="1339">
      <c r="A1339" s="199"/>
      <c r="B1339" s="200"/>
      <c r="C1339" s="194"/>
      <c r="D1339" s="194"/>
      <c r="E1339" s="194"/>
      <c r="F1339" s="194"/>
      <c r="G1339" s="194"/>
      <c r="H1339" s="194"/>
      <c r="I1339" s="194"/>
      <c r="J1339" s="195"/>
      <c r="K1339" s="201"/>
      <c r="L1339" s="194"/>
      <c r="M1339" s="194"/>
      <c r="N1339" s="194"/>
      <c r="O1339" s="195"/>
      <c r="P1339" s="195"/>
    </row>
    <row r="1340">
      <c r="A1340" s="199"/>
      <c r="B1340" s="200"/>
      <c r="C1340" s="194"/>
      <c r="D1340" s="194"/>
      <c r="E1340" s="194"/>
      <c r="F1340" s="194"/>
      <c r="G1340" s="194"/>
      <c r="H1340" s="194"/>
      <c r="I1340" s="194"/>
      <c r="J1340" s="195"/>
      <c r="K1340" s="201"/>
      <c r="L1340" s="194"/>
      <c r="M1340" s="194"/>
      <c r="N1340" s="194"/>
      <c r="O1340" s="195"/>
      <c r="P1340" s="195"/>
    </row>
    <row r="1341">
      <c r="A1341" s="199"/>
      <c r="B1341" s="200"/>
      <c r="C1341" s="194"/>
      <c r="D1341" s="194"/>
      <c r="E1341" s="194"/>
      <c r="F1341" s="194"/>
      <c r="G1341" s="194"/>
      <c r="H1341" s="194"/>
      <c r="I1341" s="194"/>
      <c r="J1341" s="195"/>
      <c r="K1341" s="201"/>
      <c r="L1341" s="194"/>
      <c r="M1341" s="194"/>
      <c r="N1341" s="194"/>
      <c r="O1341" s="195"/>
      <c r="P1341" s="195"/>
    </row>
    <row r="1342">
      <c r="A1342" s="199"/>
      <c r="B1342" s="200"/>
      <c r="C1342" s="194"/>
      <c r="D1342" s="194"/>
      <c r="E1342" s="194"/>
      <c r="F1342" s="194"/>
      <c r="G1342" s="194"/>
      <c r="H1342" s="194"/>
      <c r="I1342" s="194"/>
      <c r="J1342" s="195"/>
      <c r="K1342" s="201"/>
      <c r="L1342" s="194"/>
      <c r="M1342" s="194"/>
      <c r="N1342" s="194"/>
      <c r="O1342" s="195"/>
      <c r="P1342" s="195"/>
    </row>
    <row r="1343">
      <c r="A1343" s="199"/>
      <c r="B1343" s="200"/>
      <c r="C1343" s="194"/>
      <c r="D1343" s="194"/>
      <c r="E1343" s="194"/>
      <c r="F1343" s="194"/>
      <c r="G1343" s="194"/>
      <c r="H1343" s="194"/>
      <c r="I1343" s="194"/>
      <c r="J1343" s="195"/>
      <c r="K1343" s="201"/>
      <c r="L1343" s="194"/>
      <c r="M1343" s="194"/>
      <c r="N1343" s="194"/>
      <c r="O1343" s="195"/>
      <c r="P1343" s="195"/>
    </row>
    <row r="1344">
      <c r="A1344" s="199"/>
      <c r="B1344" s="200"/>
      <c r="C1344" s="194"/>
      <c r="D1344" s="194"/>
      <c r="E1344" s="194"/>
      <c r="F1344" s="194"/>
      <c r="G1344" s="194"/>
      <c r="H1344" s="194"/>
      <c r="I1344" s="194"/>
      <c r="J1344" s="195"/>
      <c r="K1344" s="201"/>
      <c r="L1344" s="194"/>
      <c r="M1344" s="194"/>
      <c r="N1344" s="194"/>
      <c r="O1344" s="195"/>
      <c r="P1344" s="195"/>
    </row>
    <row r="1345">
      <c r="A1345" s="199"/>
      <c r="B1345" s="200"/>
      <c r="C1345" s="194"/>
      <c r="D1345" s="194"/>
      <c r="E1345" s="194"/>
      <c r="F1345" s="194"/>
      <c r="G1345" s="194"/>
      <c r="H1345" s="194"/>
      <c r="I1345" s="194"/>
      <c r="J1345" s="195"/>
      <c r="K1345" s="201"/>
      <c r="L1345" s="194"/>
      <c r="M1345" s="194"/>
      <c r="N1345" s="194"/>
      <c r="O1345" s="195"/>
      <c r="P1345" s="195"/>
    </row>
    <row r="1346">
      <c r="A1346" s="199"/>
      <c r="B1346" s="200"/>
      <c r="C1346" s="194"/>
      <c r="D1346" s="194"/>
      <c r="E1346" s="194"/>
      <c r="F1346" s="194"/>
      <c r="G1346" s="194"/>
      <c r="H1346" s="194"/>
      <c r="I1346" s="194"/>
      <c r="J1346" s="195"/>
      <c r="K1346" s="201"/>
      <c r="L1346" s="194"/>
      <c r="M1346" s="194"/>
      <c r="N1346" s="194"/>
      <c r="O1346" s="195"/>
      <c r="P1346" s="195"/>
    </row>
    <row r="1347">
      <c r="A1347" s="199"/>
      <c r="B1347" s="200"/>
      <c r="C1347" s="194"/>
      <c r="D1347" s="194"/>
      <c r="E1347" s="194"/>
      <c r="F1347" s="194"/>
      <c r="G1347" s="194"/>
      <c r="H1347" s="194"/>
      <c r="I1347" s="194"/>
      <c r="J1347" s="195"/>
      <c r="K1347" s="201"/>
      <c r="L1347" s="194"/>
      <c r="M1347" s="194"/>
      <c r="N1347" s="194"/>
      <c r="O1347" s="195"/>
      <c r="P1347" s="195"/>
    </row>
    <row r="1348">
      <c r="A1348" s="199"/>
      <c r="B1348" s="200"/>
      <c r="C1348" s="194"/>
      <c r="D1348" s="194"/>
      <c r="E1348" s="194"/>
      <c r="F1348" s="194"/>
      <c r="G1348" s="194"/>
      <c r="H1348" s="194"/>
      <c r="I1348" s="194"/>
      <c r="J1348" s="195"/>
      <c r="K1348" s="201"/>
      <c r="L1348" s="194"/>
      <c r="M1348" s="194"/>
      <c r="N1348" s="194"/>
      <c r="O1348" s="195"/>
      <c r="P1348" s="195"/>
    </row>
    <row r="1349">
      <c r="A1349" s="199"/>
      <c r="B1349" s="200"/>
      <c r="C1349" s="194"/>
      <c r="D1349" s="194"/>
      <c r="E1349" s="194"/>
      <c r="F1349" s="194"/>
      <c r="G1349" s="194"/>
      <c r="H1349" s="194"/>
      <c r="I1349" s="194"/>
      <c r="J1349" s="195"/>
      <c r="K1349" s="201"/>
      <c r="L1349" s="194"/>
      <c r="M1349" s="194"/>
      <c r="N1349" s="194"/>
      <c r="O1349" s="195"/>
      <c r="P1349" s="195"/>
    </row>
    <row r="1350">
      <c r="A1350" s="199"/>
      <c r="B1350" s="200"/>
      <c r="C1350" s="194"/>
      <c r="D1350" s="194"/>
      <c r="E1350" s="194"/>
      <c r="F1350" s="194"/>
      <c r="G1350" s="194"/>
      <c r="H1350" s="194"/>
      <c r="I1350" s="194"/>
      <c r="J1350" s="195"/>
      <c r="K1350" s="201"/>
      <c r="L1350" s="194"/>
      <c r="M1350" s="194"/>
      <c r="N1350" s="194"/>
      <c r="O1350" s="195"/>
      <c r="P1350" s="195"/>
    </row>
    <row r="1351">
      <c r="A1351" s="199"/>
      <c r="B1351" s="200"/>
      <c r="C1351" s="194"/>
      <c r="D1351" s="194"/>
      <c r="E1351" s="194"/>
      <c r="F1351" s="194"/>
      <c r="G1351" s="194"/>
      <c r="H1351" s="194"/>
      <c r="I1351" s="194"/>
      <c r="J1351" s="195"/>
      <c r="K1351" s="201"/>
      <c r="L1351" s="194"/>
      <c r="M1351" s="194"/>
      <c r="N1351" s="194"/>
      <c r="O1351" s="195"/>
      <c r="P1351" s="195"/>
    </row>
    <row r="1352">
      <c r="A1352" s="199"/>
      <c r="B1352" s="200"/>
      <c r="C1352" s="194"/>
      <c r="D1352" s="194"/>
      <c r="E1352" s="194"/>
      <c r="F1352" s="194"/>
      <c r="G1352" s="194"/>
      <c r="H1352" s="194"/>
      <c r="I1352" s="194"/>
      <c r="J1352" s="195"/>
      <c r="K1352" s="201"/>
      <c r="L1352" s="194"/>
      <c r="M1352" s="194"/>
      <c r="N1352" s="194"/>
      <c r="O1352" s="195"/>
      <c r="P1352" s="195"/>
    </row>
    <row r="1353">
      <c r="A1353" s="199"/>
      <c r="B1353" s="200"/>
      <c r="C1353" s="194"/>
      <c r="D1353" s="194"/>
      <c r="E1353" s="194"/>
      <c r="F1353" s="194"/>
      <c r="G1353" s="194"/>
      <c r="H1353" s="194"/>
      <c r="I1353" s="194"/>
      <c r="J1353" s="195"/>
      <c r="K1353" s="201"/>
      <c r="L1353" s="194"/>
      <c r="M1353" s="194"/>
      <c r="N1353" s="194"/>
      <c r="O1353" s="195"/>
      <c r="P1353" s="195"/>
    </row>
    <row r="1354">
      <c r="A1354" s="199"/>
      <c r="B1354" s="200"/>
      <c r="C1354" s="194"/>
      <c r="D1354" s="194"/>
      <c r="E1354" s="194"/>
      <c r="F1354" s="194"/>
      <c r="G1354" s="194"/>
      <c r="H1354" s="194"/>
      <c r="I1354" s="194"/>
      <c r="J1354" s="195"/>
      <c r="K1354" s="201"/>
      <c r="L1354" s="194"/>
      <c r="M1354" s="194"/>
      <c r="N1354" s="194"/>
      <c r="O1354" s="195"/>
      <c r="P1354" s="195"/>
    </row>
    <row r="1355">
      <c r="A1355" s="199"/>
      <c r="B1355" s="200"/>
      <c r="C1355" s="194"/>
      <c r="D1355" s="194"/>
      <c r="E1355" s="194"/>
      <c r="F1355" s="194"/>
      <c r="G1355" s="194"/>
      <c r="H1355" s="194"/>
      <c r="I1355" s="194"/>
      <c r="J1355" s="195"/>
      <c r="K1355" s="201"/>
      <c r="L1355" s="194"/>
      <c r="M1355" s="194"/>
      <c r="N1355" s="194"/>
      <c r="O1355" s="195"/>
      <c r="P1355" s="195"/>
    </row>
    <row r="1356">
      <c r="A1356" s="199"/>
      <c r="B1356" s="200"/>
      <c r="C1356" s="194"/>
      <c r="D1356" s="194"/>
      <c r="E1356" s="194"/>
      <c r="F1356" s="194"/>
      <c r="G1356" s="194"/>
      <c r="H1356" s="194"/>
      <c r="I1356" s="194"/>
      <c r="J1356" s="195"/>
      <c r="K1356" s="201"/>
      <c r="L1356" s="194"/>
      <c r="M1356" s="194"/>
      <c r="N1356" s="194"/>
      <c r="O1356" s="195"/>
      <c r="P1356" s="195"/>
    </row>
    <row r="1357">
      <c r="A1357" s="199"/>
      <c r="B1357" s="200"/>
      <c r="C1357" s="194"/>
      <c r="D1357" s="194"/>
      <c r="E1357" s="194"/>
      <c r="F1357" s="194"/>
      <c r="G1357" s="194"/>
      <c r="H1357" s="194"/>
      <c r="I1357" s="194"/>
      <c r="J1357" s="195"/>
      <c r="K1357" s="201"/>
      <c r="L1357" s="194"/>
      <c r="M1357" s="194"/>
      <c r="N1357" s="194"/>
      <c r="O1357" s="195"/>
      <c r="P1357" s="195"/>
    </row>
    <row r="1358">
      <c r="A1358" s="199"/>
      <c r="B1358" s="200"/>
      <c r="C1358" s="194"/>
      <c r="D1358" s="194"/>
      <c r="E1358" s="194"/>
      <c r="F1358" s="194"/>
      <c r="G1358" s="194"/>
      <c r="H1358" s="194"/>
      <c r="I1358" s="194"/>
      <c r="J1358" s="195"/>
      <c r="K1358" s="201"/>
      <c r="L1358" s="194"/>
      <c r="M1358" s="194"/>
      <c r="N1358" s="194"/>
      <c r="O1358" s="195"/>
      <c r="P1358" s="195"/>
    </row>
    <row r="1359">
      <c r="A1359" s="199"/>
      <c r="B1359" s="200"/>
      <c r="C1359" s="194"/>
      <c r="D1359" s="194"/>
      <c r="E1359" s="194"/>
      <c r="F1359" s="194"/>
      <c r="G1359" s="194"/>
      <c r="H1359" s="194"/>
      <c r="I1359" s="194"/>
      <c r="J1359" s="195"/>
      <c r="K1359" s="201"/>
      <c r="L1359" s="194"/>
      <c r="M1359" s="194"/>
      <c r="N1359" s="194"/>
      <c r="O1359" s="195"/>
      <c r="P1359" s="195"/>
    </row>
    <row r="1360">
      <c r="A1360" s="199"/>
      <c r="B1360" s="200"/>
      <c r="C1360" s="194"/>
      <c r="D1360" s="194"/>
      <c r="E1360" s="194"/>
      <c r="F1360" s="194"/>
      <c r="G1360" s="194"/>
      <c r="H1360" s="194"/>
      <c r="I1360" s="194"/>
      <c r="J1360" s="195"/>
      <c r="K1360" s="201"/>
      <c r="L1360" s="194"/>
      <c r="M1360" s="194"/>
      <c r="N1360" s="194"/>
      <c r="O1360" s="195"/>
      <c r="P1360" s="195"/>
    </row>
    <row r="1361">
      <c r="A1361" s="199"/>
      <c r="B1361" s="200"/>
      <c r="C1361" s="194"/>
      <c r="D1361" s="194"/>
      <c r="E1361" s="194"/>
      <c r="F1361" s="194"/>
      <c r="G1361" s="194"/>
      <c r="H1361" s="194"/>
      <c r="I1361" s="194"/>
      <c r="J1361" s="195"/>
      <c r="K1361" s="201"/>
      <c r="L1361" s="194"/>
      <c r="M1361" s="194"/>
      <c r="N1361" s="194"/>
      <c r="O1361" s="195"/>
      <c r="P1361" s="195"/>
    </row>
    <row r="1362">
      <c r="A1362" s="199"/>
      <c r="B1362" s="200"/>
      <c r="C1362" s="194"/>
      <c r="D1362" s="194"/>
      <c r="E1362" s="194"/>
      <c r="F1362" s="194"/>
      <c r="G1362" s="194"/>
      <c r="H1362" s="194"/>
      <c r="I1362" s="194"/>
      <c r="J1362" s="195"/>
      <c r="K1362" s="201"/>
      <c r="L1362" s="194"/>
      <c r="M1362" s="194"/>
      <c r="N1362" s="194"/>
      <c r="O1362" s="195"/>
      <c r="P1362" s="195"/>
    </row>
    <row r="1363">
      <c r="A1363" s="199"/>
      <c r="B1363" s="200"/>
      <c r="C1363" s="194"/>
      <c r="D1363" s="194"/>
      <c r="E1363" s="194"/>
      <c r="F1363" s="194"/>
      <c r="G1363" s="194"/>
      <c r="H1363" s="194"/>
      <c r="I1363" s="194"/>
      <c r="J1363" s="195"/>
      <c r="K1363" s="201"/>
      <c r="L1363" s="194"/>
      <c r="M1363" s="194"/>
      <c r="N1363" s="194"/>
      <c r="O1363" s="195"/>
      <c r="P1363" s="195"/>
    </row>
    <row r="1364">
      <c r="A1364" s="199"/>
      <c r="B1364" s="200"/>
      <c r="C1364" s="194"/>
      <c r="D1364" s="194"/>
      <c r="E1364" s="194"/>
      <c r="F1364" s="194"/>
      <c r="G1364" s="194"/>
      <c r="H1364" s="194"/>
      <c r="I1364" s="194"/>
      <c r="J1364" s="195"/>
      <c r="K1364" s="201"/>
      <c r="L1364" s="194"/>
      <c r="M1364" s="194"/>
      <c r="N1364" s="194"/>
      <c r="O1364" s="195"/>
      <c r="P1364" s="195"/>
    </row>
    <row r="1365">
      <c r="A1365" s="199"/>
      <c r="B1365" s="200"/>
      <c r="C1365" s="194"/>
      <c r="D1365" s="194"/>
      <c r="E1365" s="194"/>
      <c r="F1365" s="194"/>
      <c r="G1365" s="194"/>
      <c r="H1365" s="194"/>
      <c r="I1365" s="194"/>
      <c r="J1365" s="195"/>
      <c r="K1365" s="201"/>
      <c r="L1365" s="194"/>
      <c r="M1365" s="194"/>
      <c r="N1365" s="194"/>
      <c r="O1365" s="195"/>
      <c r="P1365" s="195"/>
    </row>
    <row r="1366">
      <c r="A1366" s="199"/>
      <c r="B1366" s="200"/>
      <c r="C1366" s="194"/>
      <c r="D1366" s="194"/>
      <c r="E1366" s="194"/>
      <c r="F1366" s="194"/>
      <c r="G1366" s="194"/>
      <c r="H1366" s="194"/>
      <c r="I1366" s="194"/>
      <c r="J1366" s="195"/>
      <c r="K1366" s="201"/>
      <c r="L1366" s="194"/>
      <c r="M1366" s="194"/>
      <c r="N1366" s="194"/>
      <c r="O1366" s="195"/>
      <c r="P1366" s="195"/>
    </row>
    <row r="1367">
      <c r="A1367" s="199"/>
      <c r="B1367" s="200"/>
      <c r="C1367" s="194"/>
      <c r="D1367" s="194"/>
      <c r="E1367" s="194"/>
      <c r="F1367" s="194"/>
      <c r="G1367" s="194"/>
      <c r="H1367" s="194"/>
      <c r="I1367" s="194"/>
      <c r="J1367" s="195"/>
      <c r="K1367" s="201"/>
      <c r="L1367" s="194"/>
      <c r="M1367" s="194"/>
      <c r="N1367" s="194"/>
      <c r="O1367" s="195"/>
      <c r="P1367" s="195"/>
    </row>
    <row r="1368">
      <c r="A1368" s="199"/>
      <c r="B1368" s="200"/>
      <c r="C1368" s="194"/>
      <c r="D1368" s="194"/>
      <c r="E1368" s="194"/>
      <c r="F1368" s="194"/>
      <c r="G1368" s="194"/>
      <c r="H1368" s="194"/>
      <c r="I1368" s="194"/>
      <c r="J1368" s="195"/>
      <c r="K1368" s="201"/>
      <c r="L1368" s="194"/>
      <c r="M1368" s="194"/>
      <c r="N1368" s="194"/>
      <c r="O1368" s="195"/>
      <c r="P1368" s="195"/>
    </row>
    <row r="1369">
      <c r="A1369" s="199"/>
      <c r="B1369" s="200"/>
      <c r="C1369" s="194"/>
      <c r="D1369" s="194"/>
      <c r="E1369" s="194"/>
      <c r="F1369" s="194"/>
      <c r="G1369" s="194"/>
      <c r="H1369" s="194"/>
      <c r="I1369" s="194"/>
      <c r="J1369" s="195"/>
      <c r="K1369" s="201"/>
      <c r="L1369" s="194"/>
      <c r="M1369" s="194"/>
      <c r="N1369" s="194"/>
      <c r="O1369" s="195"/>
      <c r="P1369" s="195"/>
    </row>
    <row r="1370">
      <c r="A1370" s="199"/>
      <c r="B1370" s="200"/>
      <c r="C1370" s="194"/>
      <c r="D1370" s="194"/>
      <c r="E1370" s="194"/>
      <c r="F1370" s="194"/>
      <c r="G1370" s="194"/>
      <c r="H1370" s="194"/>
      <c r="I1370" s="194"/>
      <c r="J1370" s="195"/>
      <c r="K1370" s="201"/>
      <c r="L1370" s="194"/>
      <c r="M1370" s="194"/>
      <c r="N1370" s="194"/>
      <c r="O1370" s="195"/>
      <c r="P1370" s="195"/>
    </row>
    <row r="1371">
      <c r="A1371" s="199"/>
      <c r="B1371" s="200"/>
      <c r="C1371" s="194"/>
      <c r="D1371" s="194"/>
      <c r="E1371" s="194"/>
      <c r="F1371" s="194"/>
      <c r="G1371" s="194"/>
      <c r="H1371" s="194"/>
      <c r="I1371" s="194"/>
      <c r="J1371" s="195"/>
      <c r="K1371" s="201"/>
      <c r="L1371" s="194"/>
      <c r="M1371" s="194"/>
      <c r="N1371" s="194"/>
      <c r="O1371" s="195"/>
      <c r="P1371" s="195"/>
    </row>
    <row r="1372">
      <c r="A1372" s="199"/>
      <c r="B1372" s="200"/>
      <c r="C1372" s="194"/>
      <c r="D1372" s="194"/>
      <c r="E1372" s="194"/>
      <c r="F1372" s="194"/>
      <c r="G1372" s="194"/>
      <c r="H1372" s="194"/>
      <c r="I1372" s="194"/>
      <c r="J1372" s="195"/>
      <c r="K1372" s="201"/>
      <c r="L1372" s="194"/>
      <c r="M1372" s="194"/>
      <c r="N1372" s="194"/>
      <c r="O1372" s="195"/>
      <c r="P1372" s="195"/>
    </row>
    <row r="1373">
      <c r="A1373" s="199"/>
      <c r="B1373" s="200"/>
      <c r="C1373" s="194"/>
      <c r="D1373" s="194"/>
      <c r="E1373" s="194"/>
      <c r="F1373" s="194"/>
      <c r="G1373" s="194"/>
      <c r="H1373" s="194"/>
      <c r="I1373" s="194"/>
      <c r="J1373" s="195"/>
      <c r="K1373" s="201"/>
      <c r="L1373" s="194"/>
      <c r="M1373" s="194"/>
      <c r="N1373" s="194"/>
      <c r="O1373" s="195"/>
      <c r="P1373" s="195"/>
    </row>
    <row r="1374">
      <c r="A1374" s="199"/>
      <c r="B1374" s="200"/>
      <c r="C1374" s="194"/>
      <c r="D1374" s="194"/>
      <c r="E1374" s="194"/>
      <c r="F1374" s="194"/>
      <c r="G1374" s="194"/>
      <c r="H1374" s="194"/>
      <c r="I1374" s="194"/>
      <c r="J1374" s="195"/>
      <c r="K1374" s="201"/>
      <c r="L1374" s="194"/>
      <c r="M1374" s="194"/>
      <c r="N1374" s="194"/>
      <c r="O1374" s="195"/>
      <c r="P1374" s="195"/>
    </row>
    <row r="1375">
      <c r="A1375" s="199"/>
      <c r="B1375" s="200"/>
      <c r="C1375" s="194"/>
      <c r="D1375" s="194"/>
      <c r="E1375" s="194"/>
      <c r="F1375" s="194"/>
      <c r="G1375" s="194"/>
      <c r="H1375" s="194"/>
      <c r="I1375" s="194"/>
      <c r="J1375" s="195"/>
      <c r="K1375" s="201"/>
      <c r="L1375" s="194"/>
      <c r="M1375" s="194"/>
      <c r="N1375" s="194"/>
      <c r="O1375" s="195"/>
      <c r="P1375" s="195"/>
    </row>
    <row r="1376">
      <c r="A1376" s="199"/>
      <c r="B1376" s="200"/>
      <c r="C1376" s="194"/>
      <c r="D1376" s="194"/>
      <c r="E1376" s="194"/>
      <c r="F1376" s="194"/>
      <c r="G1376" s="194"/>
      <c r="H1376" s="194"/>
      <c r="I1376" s="194"/>
      <c r="J1376" s="195"/>
      <c r="K1376" s="201"/>
      <c r="L1376" s="194"/>
      <c r="M1376" s="194"/>
      <c r="N1376" s="194"/>
      <c r="O1376" s="195"/>
      <c r="P1376" s="195"/>
    </row>
    <row r="1377">
      <c r="A1377" s="199"/>
      <c r="B1377" s="200"/>
      <c r="C1377" s="194"/>
      <c r="D1377" s="194"/>
      <c r="E1377" s="194"/>
      <c r="F1377" s="194"/>
      <c r="G1377" s="194"/>
      <c r="H1377" s="194"/>
      <c r="I1377" s="194"/>
      <c r="J1377" s="195"/>
      <c r="K1377" s="201"/>
      <c r="L1377" s="194"/>
      <c r="M1377" s="194"/>
      <c r="N1377" s="194"/>
      <c r="O1377" s="195"/>
      <c r="P1377" s="195"/>
    </row>
    <row r="1378">
      <c r="A1378" s="199"/>
      <c r="B1378" s="200"/>
      <c r="C1378" s="194"/>
      <c r="D1378" s="194"/>
      <c r="E1378" s="194"/>
      <c r="F1378" s="194"/>
      <c r="G1378" s="194"/>
      <c r="H1378" s="194"/>
      <c r="I1378" s="194"/>
      <c r="J1378" s="194"/>
      <c r="K1378" s="201"/>
      <c r="L1378" s="194"/>
      <c r="M1378" s="194"/>
      <c r="N1378" s="194"/>
      <c r="O1378" s="195"/>
      <c r="P1378" s="195"/>
    </row>
    <row r="1379">
      <c r="A1379" s="199"/>
      <c r="B1379" s="200"/>
      <c r="C1379" s="194"/>
      <c r="D1379" s="194"/>
      <c r="E1379" s="194"/>
      <c r="F1379" s="194"/>
      <c r="G1379" s="194"/>
      <c r="H1379" s="194"/>
      <c r="I1379" s="194"/>
      <c r="J1379" s="194"/>
      <c r="K1379" s="201"/>
      <c r="L1379" s="194"/>
      <c r="M1379" s="194"/>
      <c r="N1379" s="194"/>
      <c r="O1379" s="195"/>
      <c r="P1379" s="195"/>
    </row>
    <row r="1380">
      <c r="A1380" s="199"/>
      <c r="B1380" s="200"/>
      <c r="C1380" s="194"/>
      <c r="D1380" s="194"/>
      <c r="E1380" s="194"/>
      <c r="F1380" s="194"/>
      <c r="G1380" s="194"/>
      <c r="H1380" s="194"/>
      <c r="I1380" s="194"/>
      <c r="J1380" s="194"/>
      <c r="K1380" s="201"/>
      <c r="L1380" s="194"/>
      <c r="M1380" s="194"/>
      <c r="N1380" s="194"/>
      <c r="O1380" s="195"/>
      <c r="P1380" s="195"/>
    </row>
    <row r="1381">
      <c r="A1381" s="199"/>
      <c r="B1381" s="200"/>
      <c r="C1381" s="194"/>
      <c r="D1381" s="194"/>
      <c r="E1381" s="194"/>
      <c r="F1381" s="194"/>
      <c r="G1381" s="194"/>
      <c r="H1381" s="194"/>
      <c r="I1381" s="194"/>
      <c r="J1381" s="194"/>
      <c r="K1381" s="201"/>
      <c r="L1381" s="194"/>
      <c r="M1381" s="194"/>
      <c r="N1381" s="194"/>
      <c r="O1381" s="195"/>
      <c r="P1381" s="195"/>
    </row>
    <row r="1382">
      <c r="A1382" s="199"/>
      <c r="B1382" s="200"/>
      <c r="C1382" s="194"/>
      <c r="D1382" s="194"/>
      <c r="E1382" s="194"/>
      <c r="F1382" s="194"/>
      <c r="G1382" s="194"/>
      <c r="H1382" s="194"/>
      <c r="I1382" s="194"/>
      <c r="J1382" s="194"/>
      <c r="K1382" s="201"/>
      <c r="L1382" s="194"/>
      <c r="M1382" s="194"/>
      <c r="N1382" s="194"/>
      <c r="O1382" s="195"/>
      <c r="P1382" s="195"/>
    </row>
    <row r="1383">
      <c r="A1383" s="199"/>
      <c r="B1383" s="200"/>
      <c r="C1383" s="194"/>
      <c r="D1383" s="194"/>
      <c r="E1383" s="194"/>
      <c r="F1383" s="194"/>
      <c r="G1383" s="194"/>
      <c r="H1383" s="194"/>
      <c r="I1383" s="194"/>
      <c r="J1383" s="194"/>
      <c r="K1383" s="201"/>
      <c r="L1383" s="194"/>
      <c r="M1383" s="194"/>
      <c r="N1383" s="194"/>
      <c r="O1383" s="195"/>
      <c r="P1383" s="195"/>
    </row>
    <row r="1384">
      <c r="A1384" s="199"/>
      <c r="B1384" s="200"/>
      <c r="C1384" s="194"/>
      <c r="D1384" s="194"/>
      <c r="E1384" s="194"/>
      <c r="F1384" s="194"/>
      <c r="G1384" s="194"/>
      <c r="H1384" s="194"/>
      <c r="I1384" s="194"/>
      <c r="J1384" s="194"/>
      <c r="K1384" s="201"/>
      <c r="L1384" s="194"/>
      <c r="M1384" s="194"/>
      <c r="N1384" s="194"/>
      <c r="O1384" s="195"/>
      <c r="P1384" s="195"/>
    </row>
    <row r="1385">
      <c r="A1385" s="199"/>
      <c r="B1385" s="200"/>
      <c r="C1385" s="194"/>
      <c r="D1385" s="194"/>
      <c r="E1385" s="194"/>
      <c r="F1385" s="194"/>
      <c r="G1385" s="194"/>
      <c r="H1385" s="194"/>
      <c r="I1385" s="194"/>
      <c r="J1385" s="194"/>
      <c r="K1385" s="201"/>
      <c r="L1385" s="194"/>
      <c r="M1385" s="194"/>
      <c r="N1385" s="194"/>
      <c r="O1385" s="195"/>
      <c r="P1385" s="195"/>
    </row>
    <row r="1386">
      <c r="A1386" s="199"/>
      <c r="B1386" s="200"/>
      <c r="C1386" s="194"/>
      <c r="D1386" s="194"/>
      <c r="E1386" s="194"/>
      <c r="F1386" s="194"/>
      <c r="G1386" s="194"/>
      <c r="H1386" s="194"/>
      <c r="I1386" s="194"/>
      <c r="J1386" s="194"/>
      <c r="K1386" s="201"/>
      <c r="L1386" s="194"/>
      <c r="M1386" s="194"/>
      <c r="N1386" s="194"/>
      <c r="O1386" s="195"/>
      <c r="P1386" s="195"/>
    </row>
    <row r="1387">
      <c r="A1387" s="199"/>
      <c r="B1387" s="200"/>
      <c r="C1387" s="194"/>
      <c r="D1387" s="194"/>
      <c r="E1387" s="194"/>
      <c r="F1387" s="194"/>
      <c r="G1387" s="194"/>
      <c r="H1387" s="194"/>
      <c r="I1387" s="194"/>
      <c r="J1387" s="194"/>
      <c r="K1387" s="201"/>
      <c r="L1387" s="194"/>
      <c r="M1387" s="194"/>
      <c r="N1387" s="194"/>
      <c r="O1387" s="195"/>
      <c r="P1387" s="195"/>
    </row>
    <row r="1388">
      <c r="A1388" s="199"/>
      <c r="B1388" s="200"/>
      <c r="C1388" s="194"/>
      <c r="D1388" s="194"/>
      <c r="E1388" s="194"/>
      <c r="F1388" s="194"/>
      <c r="G1388" s="194"/>
      <c r="H1388" s="194"/>
      <c r="I1388" s="194"/>
      <c r="J1388" s="194"/>
      <c r="K1388" s="201"/>
      <c r="L1388" s="194"/>
      <c r="M1388" s="194"/>
      <c r="N1388" s="194"/>
      <c r="O1388" s="195"/>
      <c r="P1388" s="195"/>
    </row>
    <row r="1389">
      <c r="A1389" s="199"/>
      <c r="B1389" s="200"/>
      <c r="C1389" s="194"/>
      <c r="D1389" s="194"/>
      <c r="E1389" s="194"/>
      <c r="F1389" s="194"/>
      <c r="G1389" s="194"/>
      <c r="H1389" s="194"/>
      <c r="I1389" s="194"/>
      <c r="J1389" s="194"/>
      <c r="K1389" s="201"/>
      <c r="L1389" s="194"/>
      <c r="M1389" s="194"/>
      <c r="N1389" s="194"/>
      <c r="O1389" s="195"/>
      <c r="P1389" s="195"/>
    </row>
  </sheetData>
  <conditionalFormatting sqref="K1:K1389">
    <cfRule type="cellIs" dxfId="1" priority="1" operator="greaterThanOrEqual">
      <formula>0</formula>
    </cfRule>
  </conditionalFormatting>
  <conditionalFormatting sqref="K1:K1389">
    <cfRule type="cellIs" dxfId="0" priority="2" operator="lessThan">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4" max="4" width="5.0"/>
    <col customWidth="1" min="5" max="5" width="16.0"/>
    <col customWidth="1" min="6" max="6" width="11.25"/>
    <col customWidth="1" min="7" max="7" width="7.38"/>
    <col customWidth="1" min="10" max="10" width="8.75"/>
  </cols>
  <sheetData>
    <row r="1">
      <c r="A1" s="202"/>
      <c r="B1" s="202"/>
      <c r="C1" s="202"/>
      <c r="D1" s="202"/>
      <c r="E1" s="202"/>
      <c r="F1" s="202"/>
      <c r="G1" s="202"/>
      <c r="H1" s="202"/>
      <c r="I1" s="202"/>
      <c r="J1" s="202"/>
    </row>
    <row r="2">
      <c r="A2" s="202"/>
      <c r="B2" s="202"/>
      <c r="C2" s="202"/>
      <c r="D2" s="202"/>
      <c r="E2" s="202"/>
      <c r="F2" s="202"/>
      <c r="G2" s="202"/>
      <c r="H2" s="202"/>
      <c r="I2" s="202"/>
      <c r="J2" s="202"/>
    </row>
    <row r="3">
      <c r="B3" s="203" t="s">
        <v>59</v>
      </c>
      <c r="C3" s="204"/>
      <c r="E3" s="203" t="s">
        <v>60</v>
      </c>
      <c r="F3" s="205"/>
      <c r="G3" s="204"/>
    </row>
    <row r="4">
      <c r="A4" s="206"/>
      <c r="B4" s="207" t="s">
        <v>61</v>
      </c>
      <c r="C4" s="208">
        <v>45274.0</v>
      </c>
      <c r="D4" s="209"/>
      <c r="E4" s="207" t="s">
        <v>62</v>
      </c>
      <c r="F4" s="210">
        <f>DATOS!C2</f>
        <v>26552325.06</v>
      </c>
      <c r="G4" s="211">
        <f t="shared" ref="G4:G5" si="1">F4/$F$6</f>
        <v>0.7808973361</v>
      </c>
    </row>
    <row r="5">
      <c r="A5" s="212"/>
      <c r="B5" s="213" t="s">
        <v>63</v>
      </c>
      <c r="C5" s="214">
        <f>TODAY()</f>
        <v>46090</v>
      </c>
      <c r="D5" s="215"/>
      <c r="E5" s="213" t="s">
        <v>41</v>
      </c>
      <c r="F5" s="216">
        <f>-FVA!K25</f>
        <v>7450000</v>
      </c>
      <c r="G5" s="211">
        <f t="shared" si="1"/>
        <v>0.2191026639</v>
      </c>
    </row>
    <row r="6">
      <c r="B6" s="217" t="s">
        <v>64</v>
      </c>
      <c r="C6" s="218">
        <f>C5-C4</f>
        <v>816</v>
      </c>
      <c r="E6" s="217" t="s">
        <v>65</v>
      </c>
      <c r="F6" s="219">
        <f>SUM(F4:F5)</f>
        <v>34002325.06</v>
      </c>
      <c r="G6" s="220"/>
    </row>
    <row r="7">
      <c r="B7" s="221"/>
      <c r="E7" s="99">
        <f>F7-F5</f>
        <v>515697.5187</v>
      </c>
      <c r="F7" s="99">
        <f>F4*30%</f>
        <v>7965697.519</v>
      </c>
      <c r="G7" s="97">
        <f>F7/SUM(F4+F7)</f>
        <v>0.2307692308</v>
      </c>
    </row>
    <row r="8">
      <c r="B8" s="203" t="s">
        <v>66</v>
      </c>
      <c r="C8" s="204"/>
      <c r="E8" s="203" t="s">
        <v>67</v>
      </c>
      <c r="F8" s="205"/>
      <c r="G8" s="204"/>
    </row>
    <row r="9">
      <c r="A9" s="173"/>
      <c r="B9" s="222" t="s">
        <v>68</v>
      </c>
      <c r="C9" s="210">
        <v>10000.0</v>
      </c>
      <c r="E9" s="207" t="s">
        <v>69</v>
      </c>
      <c r="F9" s="223">
        <f>FVA!P11</f>
        <v>37025616.3</v>
      </c>
      <c r="G9" s="224"/>
    </row>
    <row r="10">
      <c r="B10" s="225" t="s">
        <v>70</v>
      </c>
      <c r="C10" s="226">
        <f>F12/C18</f>
        <v>20664.60449</v>
      </c>
      <c r="E10" s="213" t="s">
        <v>71</v>
      </c>
      <c r="F10" s="227">
        <f>CUENTAS!AC2</f>
        <v>8273161.195</v>
      </c>
      <c r="G10" s="228">
        <f t="shared" ref="G10:G12" si="2">F10/$F$9</f>
        <v>0.2234442535</v>
      </c>
    </row>
    <row r="11">
      <c r="B11" s="229" t="s">
        <v>72</v>
      </c>
      <c r="C11" s="230"/>
      <c r="E11" s="213" t="s">
        <v>42</v>
      </c>
      <c r="F11" s="227">
        <f>CUENTAS!AD2</f>
        <v>5288.082229</v>
      </c>
      <c r="G11" s="228">
        <f t="shared" si="2"/>
        <v>0.0001428222608</v>
      </c>
    </row>
    <row r="12">
      <c r="B12" s="231" t="s">
        <v>73</v>
      </c>
      <c r="C12" s="232">
        <f>MAX(GRAFICO!$B:$B)</f>
        <v>22081.30317</v>
      </c>
      <c r="E12" s="217" t="s">
        <v>74</v>
      </c>
      <c r="F12" s="219">
        <f>F9-F10-abs(F11)</f>
        <v>28747167.02</v>
      </c>
      <c r="G12" s="233">
        <f t="shared" si="2"/>
        <v>0.7764129242</v>
      </c>
    </row>
    <row r="13">
      <c r="B13" s="229" t="s">
        <v>75</v>
      </c>
      <c r="C13" s="230">
        <f>SUMIF(GRAFICO!$A:$A,TODAY(),GRAFICO!$B:$B)</f>
        <v>0</v>
      </c>
    </row>
    <row r="14">
      <c r="B14" s="234" t="s">
        <v>76</v>
      </c>
      <c r="C14" s="235">
        <f>C13/C12</f>
        <v>0</v>
      </c>
      <c r="E14" s="203" t="s">
        <v>77</v>
      </c>
      <c r="F14" s="205"/>
      <c r="G14" s="204"/>
    </row>
    <row r="15">
      <c r="E15" s="236" t="s">
        <v>78</v>
      </c>
      <c r="F15" s="216">
        <f>SUM(CUENTAS!S2:Z2)</f>
        <v>16120098.5</v>
      </c>
      <c r="G15" s="228">
        <f t="shared" ref="G15:G17" si="3">F15/(SUM($F$15:$F$17))</f>
        <v>0.4353769123</v>
      </c>
    </row>
    <row r="16">
      <c r="B16" s="203" t="s">
        <v>43</v>
      </c>
      <c r="C16" s="204"/>
      <c r="E16" s="222" t="s">
        <v>79</v>
      </c>
      <c r="F16" s="216">
        <f>SUM(CUENTAS!G2:R2)</f>
        <v>17029018</v>
      </c>
      <c r="G16" s="228">
        <f t="shared" si="3"/>
        <v>0.4599253085</v>
      </c>
    </row>
    <row r="17">
      <c r="B17" s="207" t="s">
        <v>80</v>
      </c>
      <c r="C17" s="237">
        <v>10000.0</v>
      </c>
      <c r="E17" s="225" t="s">
        <v>81</v>
      </c>
      <c r="F17" s="219">
        <f>CUENTAS!AA2</f>
        <v>3876499.8</v>
      </c>
      <c r="G17" s="238">
        <f t="shared" si="3"/>
        <v>0.1046977792</v>
      </c>
    </row>
    <row r="18">
      <c r="B18" s="213" t="s">
        <v>82</v>
      </c>
      <c r="C18" s="239">
        <f>DATOS!D2</f>
        <v>1391.130764</v>
      </c>
      <c r="E18" s="240" t="s">
        <v>83</v>
      </c>
      <c r="F18" s="241">
        <f>SUM(F15:F17)</f>
        <v>37025616.3</v>
      </c>
      <c r="G18" s="242" t="b">
        <f>ROUND(F9,3)=ROUND(F18,3)</f>
        <v>1</v>
      </c>
    </row>
    <row r="19">
      <c r="B19" s="217" t="s">
        <v>84</v>
      </c>
      <c r="C19" s="243">
        <f>C17-C18</f>
        <v>8608.869236</v>
      </c>
    </row>
    <row r="20">
      <c r="E20" s="203" t="s">
        <v>85</v>
      </c>
      <c r="F20" s="205"/>
      <c r="G20" s="204"/>
    </row>
    <row r="21">
      <c r="E21" s="207" t="s">
        <v>86</v>
      </c>
      <c r="F21" s="210">
        <f>F16+F17+SUMIF(FVA!J:J,"Bitcoin",FVA!L:L)</f>
        <v>20905517.8</v>
      </c>
      <c r="G21" s="211">
        <f t="shared" ref="G21:G22" si="4">F21/SUM($F$21:$F$22)</f>
        <v>0.5646230877</v>
      </c>
    </row>
    <row r="22">
      <c r="E22" s="213" t="s">
        <v>87</v>
      </c>
      <c r="F22" s="216">
        <f>F18-F21</f>
        <v>16120098.5</v>
      </c>
      <c r="G22" s="211">
        <f t="shared" si="4"/>
        <v>0.4353769123</v>
      </c>
    </row>
    <row r="23">
      <c r="E23" s="244"/>
      <c r="F23" s="245"/>
      <c r="G23" s="246"/>
    </row>
  </sheetData>
  <mergeCells count="7">
    <mergeCell ref="B3:C3"/>
    <mergeCell ref="E3:G3"/>
    <mergeCell ref="B8:C8"/>
    <mergeCell ref="E8:G8"/>
    <mergeCell ref="E14:G14"/>
    <mergeCell ref="B16:C16"/>
    <mergeCell ref="E20:G20"/>
  </mergeCells>
  <conditionalFormatting sqref="G18">
    <cfRule type="cellIs" dxfId="2" priority="1" operator="equal">
      <formula>"true"</formula>
    </cfRule>
  </conditionalFormatting>
  <conditionalFormatting sqref="G18">
    <cfRule type="cellIs" dxfId="3" priority="2" operator="equal">
      <formula>"false"</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5.75"/>
    <col customWidth="1" hidden="1" min="2" max="2" width="7.5"/>
    <col customWidth="1" hidden="1" min="3" max="3" width="4.75"/>
    <col customWidth="1" hidden="1" min="4" max="4" width="6.75"/>
    <col customWidth="1" hidden="1" min="5" max="5" width="8.0"/>
    <col customWidth="1" hidden="1" min="6" max="6" width="7.0"/>
    <col customWidth="1" min="7" max="7" width="8.5"/>
    <col customWidth="1" min="8" max="8" width="7.63"/>
    <col customWidth="1" min="9" max="9" width="8.5"/>
    <col customWidth="1" min="10" max="10" width="8.0"/>
    <col customWidth="1" min="11" max="11" width="9.63"/>
    <col customWidth="1" min="12" max="13" width="8.38"/>
    <col customWidth="1" min="14" max="14" width="8.5"/>
    <col customWidth="1" min="15" max="15" width="7.5"/>
    <col customWidth="1" min="16" max="17" width="8.75"/>
    <col customWidth="1" min="18" max="18" width="8.0"/>
    <col customWidth="1" min="19" max="19" width="8.25"/>
    <col customWidth="1" min="20" max="20" width="8.5"/>
    <col customWidth="1" min="21" max="21" width="7.38"/>
    <col customWidth="1" min="22" max="22" width="9.0"/>
    <col customWidth="1" min="23" max="23" width="8.38"/>
    <col customWidth="1" min="24" max="25" width="9.13"/>
    <col customWidth="1" min="26" max="27" width="10.0"/>
    <col customWidth="1" min="28" max="28" width="11.25"/>
    <col customWidth="1" min="29" max="29" width="9.75"/>
    <col customWidth="1" min="30" max="30" width="7.63"/>
    <col customWidth="1" min="31" max="31" width="8.88"/>
    <col customWidth="1" min="32" max="32" width="5.13"/>
    <col customWidth="1" min="33" max="33" width="9.88"/>
  </cols>
  <sheetData>
    <row r="1">
      <c r="A1" s="247" t="s">
        <v>1</v>
      </c>
      <c r="B1" s="248" t="s">
        <v>88</v>
      </c>
      <c r="C1" s="249" t="s">
        <v>89</v>
      </c>
      <c r="D1" s="250" t="s">
        <v>90</v>
      </c>
      <c r="E1" s="251" t="s">
        <v>91</v>
      </c>
      <c r="F1" s="252" t="s">
        <v>92</v>
      </c>
      <c r="G1" s="253" t="s">
        <v>12</v>
      </c>
      <c r="H1" s="253" t="s">
        <v>16</v>
      </c>
      <c r="I1" s="253" t="s">
        <v>18</v>
      </c>
      <c r="J1" s="253" t="s">
        <v>19</v>
      </c>
      <c r="K1" s="253" t="s">
        <v>93</v>
      </c>
      <c r="L1" s="253" t="s">
        <v>23</v>
      </c>
      <c r="M1" s="253" t="s">
        <v>27</v>
      </c>
      <c r="N1" s="253" t="s">
        <v>28</v>
      </c>
      <c r="O1" s="253" t="s">
        <v>29</v>
      </c>
      <c r="P1" s="253" t="s">
        <v>30</v>
      </c>
      <c r="Q1" s="253" t="s">
        <v>31</v>
      </c>
      <c r="R1" s="253" t="s">
        <v>32</v>
      </c>
      <c r="S1" s="253" t="s">
        <v>33</v>
      </c>
      <c r="T1" s="253" t="s">
        <v>34</v>
      </c>
      <c r="U1" s="253" t="s">
        <v>35</v>
      </c>
      <c r="V1" s="253" t="s">
        <v>36</v>
      </c>
      <c r="W1" s="253" t="s">
        <v>37</v>
      </c>
      <c r="X1" s="253" t="s">
        <v>38</v>
      </c>
      <c r="Y1" s="253" t="s">
        <v>39</v>
      </c>
      <c r="Z1" s="253" t="s">
        <v>22</v>
      </c>
      <c r="AA1" s="252" t="s">
        <v>40</v>
      </c>
      <c r="AB1" s="251" t="s">
        <v>25</v>
      </c>
      <c r="AC1" s="251" t="s">
        <v>94</v>
      </c>
      <c r="AD1" s="251" t="s">
        <v>95</v>
      </c>
      <c r="AE1" s="254" t="s">
        <v>96</v>
      </c>
      <c r="AF1" s="255" t="s">
        <v>97</v>
      </c>
      <c r="AG1" s="256"/>
    </row>
    <row r="2">
      <c r="A2" s="257">
        <f>IFERROR(__xludf.DUMMYFUNCTION("MIN(FILTER(ROW($AG$4:$AG1388),MMULT(N(LEN($G$4:$AG1388)&gt;0), TRANSPOSE(COLUMN($G$4:$AG$4)^0)) = COLUMNS($G$4:$AG1388)))"),13.0)</f>
        <v>13</v>
      </c>
      <c r="B2" s="258" t="str">
        <f t="shared" ref="B2:AG2" si="1">INDIRECT(ADDRESS($A$2, COLUMN()))</f>
        <v/>
      </c>
      <c r="C2" s="259" t="str">
        <f t="shared" si="1"/>
        <v/>
      </c>
      <c r="D2" s="259" t="str">
        <f t="shared" si="1"/>
        <v/>
      </c>
      <c r="E2" s="259" t="str">
        <f t="shared" si="1"/>
        <v/>
      </c>
      <c r="F2" s="259" t="str">
        <f t="shared" si="1"/>
        <v/>
      </c>
      <c r="G2" s="259">
        <f t="shared" si="1"/>
        <v>2604140</v>
      </c>
      <c r="H2" s="259">
        <f t="shared" si="1"/>
        <v>2470500</v>
      </c>
      <c r="I2" s="259">
        <f t="shared" si="1"/>
        <v>373680</v>
      </c>
      <c r="J2" s="259">
        <f t="shared" si="1"/>
        <v>3328000</v>
      </c>
      <c r="K2" s="259">
        <f t="shared" si="1"/>
        <v>0</v>
      </c>
      <c r="L2" s="259">
        <f t="shared" si="1"/>
        <v>135000</v>
      </c>
      <c r="M2" s="259">
        <f t="shared" si="1"/>
        <v>962880</v>
      </c>
      <c r="N2" s="259">
        <f t="shared" si="1"/>
        <v>2351040</v>
      </c>
      <c r="O2" s="258">
        <f t="shared" si="1"/>
        <v>814000</v>
      </c>
      <c r="P2" s="258">
        <f t="shared" si="1"/>
        <v>1090000</v>
      </c>
      <c r="Q2" s="258">
        <f t="shared" si="1"/>
        <v>1195525</v>
      </c>
      <c r="R2" s="259">
        <f t="shared" si="1"/>
        <v>1704253</v>
      </c>
      <c r="S2" s="259">
        <f t="shared" si="1"/>
        <v>578622.2049</v>
      </c>
      <c r="T2" s="259">
        <f t="shared" si="1"/>
        <v>5071335</v>
      </c>
      <c r="U2" s="259">
        <f t="shared" si="1"/>
        <v>1344990.073</v>
      </c>
      <c r="V2" s="259">
        <f t="shared" si="1"/>
        <v>3649929.62</v>
      </c>
      <c r="W2" s="259">
        <f t="shared" si="1"/>
        <v>1019085</v>
      </c>
      <c r="X2" s="259">
        <f t="shared" si="1"/>
        <v>1139540.231</v>
      </c>
      <c r="Y2" s="259">
        <f t="shared" si="1"/>
        <v>3032988.37</v>
      </c>
      <c r="Z2" s="259">
        <f t="shared" si="1"/>
        <v>283608</v>
      </c>
      <c r="AA2" s="259">
        <f t="shared" si="1"/>
        <v>3876499.8</v>
      </c>
      <c r="AB2" s="259">
        <f t="shared" si="1"/>
        <v>28747167.02</v>
      </c>
      <c r="AC2" s="259">
        <f t="shared" si="1"/>
        <v>8273161.195</v>
      </c>
      <c r="AD2" s="259">
        <f t="shared" si="1"/>
        <v>5288.082229</v>
      </c>
      <c r="AE2" s="259">
        <f t="shared" si="1"/>
        <v>37025616.3</v>
      </c>
      <c r="AF2" s="260">
        <f t="shared" si="1"/>
        <v>0.1348480634</v>
      </c>
      <c r="AG2" s="261">
        <f t="shared" si="1"/>
        <v>8278449.277</v>
      </c>
    </row>
    <row r="3">
      <c r="A3" s="257">
        <f>A2+1</f>
        <v>14</v>
      </c>
      <c r="B3" s="262" t="str">
        <f t="array" ref="B3">(INDIRECT(ADDRESS($A$2, COLUMN()))-INDIRECT(ADDRESS($A$3, COLUMN())))/INDIRECT(ADDRESS($A$3, COLUMN()))</f>
        <v>#DIV/0!</v>
      </c>
      <c r="C3" s="259"/>
      <c r="D3" s="259"/>
      <c r="E3" s="259"/>
      <c r="F3" s="259"/>
      <c r="G3" s="263">
        <f t="shared" ref="G3:AG3" si="2">(INDIRECT(ADDRESS($A$2, COLUMN()))-INDIRECT(ADDRESS($A$3, COLUMN())))/INDIRECT(ADDRESS($A$3, COLUMN()))</f>
        <v>0</v>
      </c>
      <c r="H3" s="263">
        <f t="shared" si="2"/>
        <v>0</v>
      </c>
      <c r="I3" s="263">
        <f t="shared" si="2"/>
        <v>0</v>
      </c>
      <c r="J3" s="263">
        <f t="shared" si="2"/>
        <v>0</v>
      </c>
      <c r="K3" s="263" t="str">
        <f t="shared" si="2"/>
        <v>#DIV/0!</v>
      </c>
      <c r="L3" s="263">
        <f t="shared" si="2"/>
        <v>0</v>
      </c>
      <c r="M3" s="263">
        <f t="shared" si="2"/>
        <v>0</v>
      </c>
      <c r="N3" s="263">
        <f t="shared" si="2"/>
        <v>0</v>
      </c>
      <c r="O3" s="262">
        <f t="shared" si="2"/>
        <v>0</v>
      </c>
      <c r="P3" s="262">
        <f t="shared" si="2"/>
        <v>0</v>
      </c>
      <c r="Q3" s="262">
        <f t="shared" si="2"/>
        <v>0</v>
      </c>
      <c r="R3" s="263">
        <f t="shared" si="2"/>
        <v>0</v>
      </c>
      <c r="S3" s="263">
        <f t="shared" si="2"/>
        <v>0.001519438984</v>
      </c>
      <c r="T3" s="263">
        <f t="shared" si="2"/>
        <v>0.7217375805</v>
      </c>
      <c r="U3" s="263">
        <f t="shared" si="2"/>
        <v>0</v>
      </c>
      <c r="V3" s="263">
        <f t="shared" si="2"/>
        <v>-0.01064248322</v>
      </c>
      <c r="W3" s="263">
        <f t="shared" si="2"/>
        <v>0.0004093581029</v>
      </c>
      <c r="X3" s="263">
        <f t="shared" si="2"/>
        <v>0.001521646216</v>
      </c>
      <c r="Y3" s="263">
        <f t="shared" si="2"/>
        <v>0.0007112797982</v>
      </c>
      <c r="Z3" s="263">
        <f t="shared" si="2"/>
        <v>0.002148409894</v>
      </c>
      <c r="AA3" s="263">
        <f t="shared" si="2"/>
        <v>0</v>
      </c>
      <c r="AB3" s="263">
        <f t="shared" si="2"/>
        <v>0.07984938806</v>
      </c>
      <c r="AC3" s="263">
        <f t="shared" si="2"/>
        <v>0.0003845870875</v>
      </c>
      <c r="AD3" s="263">
        <f t="shared" si="2"/>
        <v>-0.8734547759</v>
      </c>
      <c r="AE3" s="263">
        <f t="shared" si="2"/>
        <v>0.05989677702</v>
      </c>
      <c r="AF3" s="260">
        <f t="shared" si="2"/>
        <v>-0.0739449306</v>
      </c>
      <c r="AG3" s="260">
        <f t="shared" si="2"/>
        <v>-0.004008710207</v>
      </c>
    </row>
    <row r="4">
      <c r="A4" s="264">
        <f t="shared" ref="A4:A398" si="3">A5+1</f>
        <v>46098</v>
      </c>
      <c r="B4" s="265"/>
      <c r="C4" s="266"/>
      <c r="D4" s="266"/>
      <c r="E4" s="266"/>
      <c r="F4" s="259"/>
      <c r="G4" s="259"/>
      <c r="H4" s="259"/>
      <c r="I4" s="267"/>
      <c r="J4" s="259"/>
      <c r="K4" s="268"/>
      <c r="L4" s="268"/>
      <c r="M4" s="268"/>
      <c r="N4" s="268"/>
      <c r="O4" s="269"/>
      <c r="P4" s="269"/>
      <c r="Q4" s="269"/>
      <c r="R4" s="266"/>
      <c r="S4" s="268"/>
      <c r="T4" s="268"/>
      <c r="U4" s="266"/>
      <c r="V4" s="266"/>
      <c r="W4" s="266"/>
      <c r="X4" s="266"/>
      <c r="Y4" s="270"/>
      <c r="Z4" s="266"/>
      <c r="AA4" s="266"/>
      <c r="AB4" s="271"/>
      <c r="AC4" s="266"/>
      <c r="AD4" s="266"/>
      <c r="AE4" s="272"/>
      <c r="AF4" s="273"/>
      <c r="AG4" s="274"/>
    </row>
    <row r="5">
      <c r="A5" s="264">
        <f t="shared" si="3"/>
        <v>46097</v>
      </c>
      <c r="B5" s="265"/>
      <c r="C5" s="266"/>
      <c r="D5" s="266"/>
      <c r="E5" s="266"/>
      <c r="F5" s="259"/>
      <c r="G5" s="259"/>
      <c r="H5" s="259"/>
      <c r="I5" s="267"/>
      <c r="J5" s="259"/>
      <c r="K5" s="268"/>
      <c r="L5" s="268"/>
      <c r="M5" s="268"/>
      <c r="N5" s="268"/>
      <c r="O5" s="269"/>
      <c r="P5" s="269"/>
      <c r="Q5" s="269"/>
      <c r="R5" s="266"/>
      <c r="S5" s="268"/>
      <c r="T5" s="268"/>
      <c r="U5" s="266"/>
      <c r="V5" s="266"/>
      <c r="W5" s="266"/>
      <c r="X5" s="266"/>
      <c r="Y5" s="270"/>
      <c r="Z5" s="266"/>
      <c r="AA5" s="266"/>
      <c r="AB5" s="271"/>
      <c r="AC5" s="266"/>
      <c r="AD5" s="266"/>
      <c r="AE5" s="272"/>
      <c r="AF5" s="273"/>
      <c r="AG5" s="274"/>
    </row>
    <row r="6">
      <c r="A6" s="275">
        <f t="shared" si="3"/>
        <v>46096</v>
      </c>
      <c r="B6" s="265"/>
      <c r="C6" s="266"/>
      <c r="D6" s="266"/>
      <c r="E6" s="266"/>
      <c r="F6" s="259"/>
      <c r="G6" s="259"/>
      <c r="H6" s="259"/>
      <c r="I6" s="267"/>
      <c r="J6" s="259"/>
      <c r="K6" s="268"/>
      <c r="L6" s="268"/>
      <c r="M6" s="268"/>
      <c r="N6" s="268"/>
      <c r="O6" s="269"/>
      <c r="P6" s="269"/>
      <c r="Q6" s="269"/>
      <c r="R6" s="266"/>
      <c r="S6" s="268"/>
      <c r="T6" s="268"/>
      <c r="U6" s="266"/>
      <c r="V6" s="266"/>
      <c r="W6" s="266"/>
      <c r="X6" s="266"/>
      <c r="Y6" s="270"/>
      <c r="Z6" s="266"/>
      <c r="AA6" s="266"/>
      <c r="AB6" s="271"/>
      <c r="AC6" s="266"/>
      <c r="AD6" s="266"/>
      <c r="AE6" s="272"/>
      <c r="AF6" s="273"/>
      <c r="AG6" s="274"/>
    </row>
    <row r="7">
      <c r="A7" s="275">
        <f t="shared" si="3"/>
        <v>46095</v>
      </c>
      <c r="B7" s="265"/>
      <c r="C7" s="266"/>
      <c r="D7" s="266"/>
      <c r="E7" s="266"/>
      <c r="F7" s="259"/>
      <c r="G7" s="259"/>
      <c r="H7" s="259"/>
      <c r="I7" s="267"/>
      <c r="J7" s="259"/>
      <c r="K7" s="268"/>
      <c r="L7" s="268"/>
      <c r="M7" s="268"/>
      <c r="N7" s="268"/>
      <c r="O7" s="269"/>
      <c r="P7" s="269"/>
      <c r="Q7" s="269"/>
      <c r="R7" s="266"/>
      <c r="S7" s="268"/>
      <c r="T7" s="268"/>
      <c r="U7" s="266"/>
      <c r="V7" s="266"/>
      <c r="W7" s="266"/>
      <c r="X7" s="266"/>
      <c r="Y7" s="270"/>
      <c r="Z7" s="266"/>
      <c r="AA7" s="266"/>
      <c r="AB7" s="271"/>
      <c r="AC7" s="266"/>
      <c r="AD7" s="266"/>
      <c r="AE7" s="272"/>
      <c r="AF7" s="273"/>
      <c r="AG7" s="274"/>
    </row>
    <row r="8">
      <c r="A8" s="276">
        <f t="shared" si="3"/>
        <v>46094</v>
      </c>
      <c r="B8" s="265"/>
      <c r="C8" s="266"/>
      <c r="D8" s="266"/>
      <c r="E8" s="266"/>
      <c r="F8" s="259"/>
      <c r="G8" s="259"/>
      <c r="H8" s="259"/>
      <c r="I8" s="267"/>
      <c r="J8" s="259"/>
      <c r="K8" s="268"/>
      <c r="L8" s="268"/>
      <c r="M8" s="268"/>
      <c r="N8" s="268"/>
      <c r="O8" s="269"/>
      <c r="P8" s="269"/>
      <c r="Q8" s="269"/>
      <c r="R8" s="266"/>
      <c r="S8" s="268"/>
      <c r="T8" s="268"/>
      <c r="U8" s="266"/>
      <c r="V8" s="266"/>
      <c r="W8" s="266"/>
      <c r="X8" s="266"/>
      <c r="Y8" s="270"/>
      <c r="Z8" s="266"/>
      <c r="AA8" s="266"/>
      <c r="AB8" s="271"/>
      <c r="AC8" s="266"/>
      <c r="AD8" s="266"/>
      <c r="AE8" s="272"/>
      <c r="AF8" s="273"/>
      <c r="AG8" s="274"/>
    </row>
    <row r="9">
      <c r="A9" s="276">
        <f t="shared" si="3"/>
        <v>46093</v>
      </c>
      <c r="B9" s="265"/>
      <c r="C9" s="266"/>
      <c r="D9" s="266"/>
      <c r="E9" s="266"/>
      <c r="F9" s="259"/>
      <c r="G9" s="259"/>
      <c r="H9" s="259"/>
      <c r="I9" s="267"/>
      <c r="J9" s="259"/>
      <c r="K9" s="268"/>
      <c r="L9" s="268"/>
      <c r="M9" s="268"/>
      <c r="N9" s="268"/>
      <c r="O9" s="269"/>
      <c r="P9" s="269"/>
      <c r="Q9" s="269"/>
      <c r="R9" s="266"/>
      <c r="S9" s="268"/>
      <c r="T9" s="268"/>
      <c r="U9" s="266"/>
      <c r="V9" s="266"/>
      <c r="W9" s="266"/>
      <c r="X9" s="266"/>
      <c r="Y9" s="270"/>
      <c r="Z9" s="266"/>
      <c r="AA9" s="266"/>
      <c r="AB9" s="271"/>
      <c r="AC9" s="266"/>
      <c r="AD9" s="266"/>
      <c r="AE9" s="272"/>
      <c r="AF9" s="273"/>
      <c r="AG9" s="274"/>
    </row>
    <row r="10">
      <c r="A10" s="264">
        <f t="shared" si="3"/>
        <v>46092</v>
      </c>
      <c r="B10" s="265"/>
      <c r="C10" s="266"/>
      <c r="D10" s="266"/>
      <c r="E10" s="266"/>
      <c r="F10" s="259"/>
      <c r="G10" s="259"/>
      <c r="H10" s="259"/>
      <c r="I10" s="267"/>
      <c r="J10" s="259"/>
      <c r="K10" s="268"/>
      <c r="L10" s="268"/>
      <c r="M10" s="268"/>
      <c r="N10" s="268"/>
      <c r="O10" s="269"/>
      <c r="P10" s="269"/>
      <c r="Q10" s="269"/>
      <c r="R10" s="266"/>
      <c r="S10" s="268"/>
      <c r="T10" s="268"/>
      <c r="U10" s="266"/>
      <c r="V10" s="266"/>
      <c r="W10" s="266"/>
      <c r="X10" s="266"/>
      <c r="Y10" s="270"/>
      <c r="Z10" s="266"/>
      <c r="AA10" s="277"/>
      <c r="AB10" s="271"/>
      <c r="AC10" s="266"/>
      <c r="AD10" s="266"/>
      <c r="AE10" s="272"/>
      <c r="AF10" s="273"/>
      <c r="AG10" s="274"/>
    </row>
    <row r="11">
      <c r="A11" s="264">
        <f t="shared" si="3"/>
        <v>46091</v>
      </c>
      <c r="B11" s="265"/>
      <c r="C11" s="266"/>
      <c r="D11" s="266"/>
      <c r="E11" s="266"/>
      <c r="F11" s="259"/>
      <c r="G11" s="259"/>
      <c r="H11" s="259"/>
      <c r="I11" s="267"/>
      <c r="J11" s="259"/>
      <c r="K11" s="268"/>
      <c r="L11" s="268"/>
      <c r="M11" s="268"/>
      <c r="N11" s="268"/>
      <c r="O11" s="269"/>
      <c r="P11" s="269"/>
      <c r="Q11" s="269"/>
      <c r="R11" s="266"/>
      <c r="S11" s="268"/>
      <c r="T11" s="278"/>
      <c r="U11" s="266"/>
      <c r="V11" s="279"/>
      <c r="W11" s="266"/>
      <c r="X11" s="266"/>
      <c r="Y11" s="270"/>
      <c r="Z11" s="270"/>
      <c r="AA11" s="277"/>
      <c r="AB11" s="280" t="str">
        <f t="shared" ref="AB11:AB74" si="4">IF((SUM(C11:AA11)-AC11-abs(AD11))&lt;18000000,,SUM(C11:AA11)-AC11-abs(AD11))</f>
        <v/>
      </c>
      <c r="AC11" s="279"/>
      <c r="AD11" s="279"/>
      <c r="AE11" s="272"/>
      <c r="AF11" s="273"/>
      <c r="AG11" s="274"/>
    </row>
    <row r="12">
      <c r="A12" s="264">
        <f t="shared" si="3"/>
        <v>46090</v>
      </c>
      <c r="B12" s="265"/>
      <c r="C12" s="266"/>
      <c r="D12" s="266"/>
      <c r="E12" s="266"/>
      <c r="F12" s="259"/>
      <c r="G12" s="259"/>
      <c r="H12" s="259"/>
      <c r="I12" s="267"/>
      <c r="J12" s="259"/>
      <c r="K12" s="268"/>
      <c r="L12" s="268"/>
      <c r="M12" s="268"/>
      <c r="N12" s="268"/>
      <c r="O12" s="269"/>
      <c r="P12" s="269"/>
      <c r="Q12" s="269"/>
      <c r="R12" s="266"/>
      <c r="S12" s="268"/>
      <c r="T12" s="278"/>
      <c r="U12" s="266"/>
      <c r="V12" s="279"/>
      <c r="W12" s="266"/>
      <c r="X12" s="266"/>
      <c r="Y12" s="270"/>
      <c r="Z12" s="270"/>
      <c r="AA12" s="277"/>
      <c r="AB12" s="280" t="str">
        <f t="shared" si="4"/>
        <v/>
      </c>
      <c r="AC12" s="279"/>
      <c r="AD12" s="279"/>
      <c r="AE12" s="272"/>
      <c r="AF12" s="273"/>
      <c r="AG12" s="274"/>
    </row>
    <row r="13">
      <c r="A13" s="275">
        <f t="shared" si="3"/>
        <v>46089</v>
      </c>
      <c r="B13" s="265"/>
      <c r="C13" s="266"/>
      <c r="D13" s="266"/>
      <c r="E13" s="266"/>
      <c r="F13" s="259"/>
      <c r="G13" s="259">
        <f t="shared" ref="G13:G15" si="5">209*12460</f>
        <v>2604140</v>
      </c>
      <c r="H13" s="281">
        <f t="shared" ref="H13:H15" si="6">45*54900</f>
        <v>2470500</v>
      </c>
      <c r="I13" s="267">
        <f t="shared" ref="I13:I15" si="7">6*62280</f>
        <v>373680</v>
      </c>
      <c r="J13" s="259">
        <f t="shared" ref="J13:J15" si="8">80*41600</f>
        <v>3328000</v>
      </c>
      <c r="K13" s="282">
        <v>0.0</v>
      </c>
      <c r="L13" s="268">
        <f t="shared" ref="L13:L15" si="9">2*67500</f>
        <v>135000</v>
      </c>
      <c r="M13" s="268">
        <f t="shared" ref="M13:M15" si="10">59*16320</f>
        <v>962880</v>
      </c>
      <c r="N13" s="268">
        <f t="shared" ref="N13:N15" si="11">124*18960</f>
        <v>2351040</v>
      </c>
      <c r="O13" s="269">
        <f t="shared" ref="O13:O15" si="12">1*814000</f>
        <v>814000</v>
      </c>
      <c r="P13" s="269">
        <f t="shared" ref="P13:P16" si="13">5*218000</f>
        <v>1090000</v>
      </c>
      <c r="Q13" s="269">
        <f t="shared" ref="Q13:Q15" si="14">493*2425</f>
        <v>1195525</v>
      </c>
      <c r="R13" s="266">
        <f t="shared" ref="R13:R17" si="15">R14</f>
        <v>1704253</v>
      </c>
      <c r="S13" s="268">
        <f t="shared" ref="S13:S26" si="16">S14+877.8473</f>
        <v>578622.2049</v>
      </c>
      <c r="T13" s="278">
        <f>T14+3860+2122000</f>
        <v>5071335</v>
      </c>
      <c r="U13" s="266">
        <f t="shared" ref="U13:U59" si="17">U14+0</f>
        <v>1344990.073</v>
      </c>
      <c r="V13" s="279">
        <f>V14*1.0002-40000</f>
        <v>3649929.62</v>
      </c>
      <c r="W13" s="266">
        <f t="shared" ref="W13:W25" si="18">W14+417</f>
        <v>1019085</v>
      </c>
      <c r="X13" s="266">
        <f t="shared" ref="X13:X46" si="19">X14+1731.342590164</f>
        <v>1139540.231</v>
      </c>
      <c r="Y13" s="270">
        <f t="shared" ref="Y13:Y25" si="20">Y14+2155.77</f>
        <v>3032988.37</v>
      </c>
      <c r="Z13" s="270">
        <f>Z14+608</f>
        <v>283608</v>
      </c>
      <c r="AA13" s="277">
        <f>AA14</f>
        <v>3876499.8</v>
      </c>
      <c r="AB13" s="280">
        <f t="shared" si="4"/>
        <v>28747167.02</v>
      </c>
      <c r="AC13" s="279">
        <f>AC14+1218.527778+1962</f>
        <v>8273161.195</v>
      </c>
      <c r="AD13" s="279">
        <f>AD14+3500-40000</f>
        <v>5288.082229</v>
      </c>
      <c r="AE13" s="283">
        <f t="shared" ref="AE13:AE79" si="21">IF(AB13="",,(AB13+AC13+abs(AD13)))</f>
        <v>37025616.3</v>
      </c>
      <c r="AF13" s="273">
        <f t="shared" ref="AF13:AF399" si="22">AA13/AB13</f>
        <v>0.1348480634</v>
      </c>
      <c r="AG13" s="274">
        <f t="shared" ref="AG13:AG399" si="23">AE13-AB13</f>
        <v>8278449.277</v>
      </c>
    </row>
    <row r="14">
      <c r="A14" s="275">
        <f t="shared" si="3"/>
        <v>46088</v>
      </c>
      <c r="B14" s="265"/>
      <c r="C14" s="266"/>
      <c r="D14" s="266"/>
      <c r="E14" s="266"/>
      <c r="F14" s="259"/>
      <c r="G14" s="259">
        <f t="shared" si="5"/>
        <v>2604140</v>
      </c>
      <c r="H14" s="281">
        <f t="shared" si="6"/>
        <v>2470500</v>
      </c>
      <c r="I14" s="267">
        <f t="shared" si="7"/>
        <v>373680</v>
      </c>
      <c r="J14" s="259">
        <f t="shared" si="8"/>
        <v>3328000</v>
      </c>
      <c r="K14" s="282">
        <v>0.0</v>
      </c>
      <c r="L14" s="268">
        <f t="shared" si="9"/>
        <v>135000</v>
      </c>
      <c r="M14" s="268">
        <f t="shared" si="10"/>
        <v>962880</v>
      </c>
      <c r="N14" s="268">
        <f t="shared" si="11"/>
        <v>2351040</v>
      </c>
      <c r="O14" s="269">
        <f t="shared" si="12"/>
        <v>814000</v>
      </c>
      <c r="P14" s="269">
        <f t="shared" si="13"/>
        <v>1090000</v>
      </c>
      <c r="Q14" s="269">
        <f t="shared" si="14"/>
        <v>1195525</v>
      </c>
      <c r="R14" s="266">
        <f t="shared" si="15"/>
        <v>1704253</v>
      </c>
      <c r="S14" s="268">
        <f t="shared" si="16"/>
        <v>577744.3576</v>
      </c>
      <c r="T14" s="278">
        <f t="shared" ref="T14:T31" si="24">T15+3860</f>
        <v>2945475</v>
      </c>
      <c r="U14" s="266">
        <f t="shared" si="17"/>
        <v>1344990.073</v>
      </c>
      <c r="V14" s="279">
        <f t="shared" ref="V14:V25" si="25">V15*1.0002</f>
        <v>3689191.782</v>
      </c>
      <c r="W14" s="266">
        <f t="shared" si="18"/>
        <v>1018668</v>
      </c>
      <c r="X14" s="266">
        <f t="shared" si="19"/>
        <v>1137808.889</v>
      </c>
      <c r="Y14" s="270">
        <f t="shared" si="20"/>
        <v>3030832.6</v>
      </c>
      <c r="Z14" s="270">
        <f>283000</f>
        <v>283000</v>
      </c>
      <c r="AA14" s="277">
        <f>AA15+4000000-283000</f>
        <v>3876499.8</v>
      </c>
      <c r="AB14" s="280">
        <f t="shared" si="4"/>
        <v>26621459.75</v>
      </c>
      <c r="AC14" s="279">
        <f>AC15+1218.527778+4000000</f>
        <v>8269980.667</v>
      </c>
      <c r="AD14" s="279">
        <f t="shared" ref="AD14:AD25" si="26">AD15+3500</f>
        <v>41788.08223</v>
      </c>
      <c r="AE14" s="283">
        <f t="shared" si="21"/>
        <v>34933228.5</v>
      </c>
      <c r="AF14" s="273">
        <f t="shared" si="22"/>
        <v>0.1456155987</v>
      </c>
      <c r="AG14" s="274">
        <f t="shared" si="23"/>
        <v>8311768.749</v>
      </c>
    </row>
    <row r="15">
      <c r="A15" s="276">
        <f t="shared" si="3"/>
        <v>46087</v>
      </c>
      <c r="B15" s="265"/>
      <c r="C15" s="266"/>
      <c r="D15" s="266"/>
      <c r="E15" s="266"/>
      <c r="F15" s="259"/>
      <c r="G15" s="259">
        <f t="shared" si="5"/>
        <v>2604140</v>
      </c>
      <c r="H15" s="281">
        <f t="shared" si="6"/>
        <v>2470500</v>
      </c>
      <c r="I15" s="267">
        <f t="shared" si="7"/>
        <v>373680</v>
      </c>
      <c r="J15" s="259">
        <f t="shared" si="8"/>
        <v>3328000</v>
      </c>
      <c r="K15" s="282">
        <v>0.0</v>
      </c>
      <c r="L15" s="268">
        <f t="shared" si="9"/>
        <v>135000</v>
      </c>
      <c r="M15" s="268">
        <f t="shared" si="10"/>
        <v>962880</v>
      </c>
      <c r="N15" s="268">
        <f t="shared" si="11"/>
        <v>2351040</v>
      </c>
      <c r="O15" s="269">
        <f t="shared" si="12"/>
        <v>814000</v>
      </c>
      <c r="P15" s="269">
        <f t="shared" si="13"/>
        <v>1090000</v>
      </c>
      <c r="Q15" s="269">
        <f t="shared" si="14"/>
        <v>1195525</v>
      </c>
      <c r="R15" s="266">
        <f t="shared" si="15"/>
        <v>1704253</v>
      </c>
      <c r="S15" s="268">
        <f t="shared" si="16"/>
        <v>576866.5103</v>
      </c>
      <c r="T15" s="278">
        <f t="shared" si="24"/>
        <v>2941615</v>
      </c>
      <c r="U15" s="266">
        <f t="shared" si="17"/>
        <v>1344990.073</v>
      </c>
      <c r="V15" s="279">
        <f t="shared" si="25"/>
        <v>3688454.091</v>
      </c>
      <c r="W15" s="266">
        <f t="shared" si="18"/>
        <v>1018251</v>
      </c>
      <c r="X15" s="266">
        <f t="shared" si="19"/>
        <v>1136077.546</v>
      </c>
      <c r="Y15" s="270">
        <f t="shared" si="20"/>
        <v>3028676.83</v>
      </c>
      <c r="Z15" s="270">
        <v>0.0</v>
      </c>
      <c r="AA15" s="277">
        <f t="shared" ref="AA15:AA17" si="27">AA16</f>
        <v>159499.8</v>
      </c>
      <c r="AB15" s="280">
        <f t="shared" si="4"/>
        <v>26616398.63</v>
      </c>
      <c r="AC15" s="279">
        <f t="shared" ref="AC15:AC33" si="28">AC16+1218.527778</f>
        <v>4268762.139</v>
      </c>
      <c r="AD15" s="279">
        <f t="shared" si="26"/>
        <v>38288.08223</v>
      </c>
      <c r="AE15" s="283">
        <f t="shared" si="21"/>
        <v>30923448.85</v>
      </c>
      <c r="AF15" s="273">
        <f t="shared" si="22"/>
        <v>0.005992538744</v>
      </c>
      <c r="AG15" s="274">
        <f t="shared" si="23"/>
        <v>4307050.221</v>
      </c>
    </row>
    <row r="16">
      <c r="A16" s="276">
        <f t="shared" si="3"/>
        <v>46086</v>
      </c>
      <c r="B16" s="265"/>
      <c r="C16" s="266"/>
      <c r="D16" s="266"/>
      <c r="E16" s="266"/>
      <c r="F16" s="259"/>
      <c r="G16" s="259">
        <f>209*12500</f>
        <v>2612500</v>
      </c>
      <c r="H16" s="281">
        <f>45*56000</f>
        <v>2520000</v>
      </c>
      <c r="I16" s="267">
        <f>6*61500</f>
        <v>369000</v>
      </c>
      <c r="J16" s="259">
        <f>80*41500</f>
        <v>3320000</v>
      </c>
      <c r="K16" s="282">
        <v>0.0</v>
      </c>
      <c r="L16" s="268">
        <f>2*67700</f>
        <v>135400</v>
      </c>
      <c r="M16" s="268">
        <f>59*16920</f>
        <v>998280</v>
      </c>
      <c r="N16" s="268">
        <f>124*18980</f>
        <v>2353520</v>
      </c>
      <c r="O16" s="269">
        <f>1*825000</f>
        <v>825000</v>
      </c>
      <c r="P16" s="269">
        <f t="shared" si="13"/>
        <v>1090000</v>
      </c>
      <c r="Q16" s="269">
        <f>493*2370</f>
        <v>1168410</v>
      </c>
      <c r="R16" s="266">
        <f t="shared" si="15"/>
        <v>1704253</v>
      </c>
      <c r="S16" s="268">
        <f t="shared" si="16"/>
        <v>575988.663</v>
      </c>
      <c r="T16" s="278">
        <f t="shared" si="24"/>
        <v>2937755</v>
      </c>
      <c r="U16" s="266">
        <f t="shared" si="17"/>
        <v>1344990.073</v>
      </c>
      <c r="V16" s="279">
        <f t="shared" si="25"/>
        <v>3687716.548</v>
      </c>
      <c r="W16" s="266">
        <f t="shared" si="18"/>
        <v>1017834</v>
      </c>
      <c r="X16" s="266">
        <f t="shared" si="19"/>
        <v>1134346.203</v>
      </c>
      <c r="Y16" s="270">
        <f t="shared" si="20"/>
        <v>3026521.06</v>
      </c>
      <c r="Z16" s="270">
        <v>0.0</v>
      </c>
      <c r="AA16" s="277">
        <f t="shared" si="27"/>
        <v>159499.8</v>
      </c>
      <c r="AB16" s="280">
        <f t="shared" si="4"/>
        <v>26678682.65</v>
      </c>
      <c r="AC16" s="279">
        <f t="shared" si="28"/>
        <v>4267543.611</v>
      </c>
      <c r="AD16" s="279">
        <f t="shared" si="26"/>
        <v>34788.08223</v>
      </c>
      <c r="AE16" s="283">
        <f t="shared" si="21"/>
        <v>30981014.35</v>
      </c>
      <c r="AF16" s="273">
        <f t="shared" si="22"/>
        <v>0.005978548569</v>
      </c>
      <c r="AG16" s="274">
        <f t="shared" si="23"/>
        <v>4302331.693</v>
      </c>
    </row>
    <row r="17">
      <c r="A17" s="264">
        <f t="shared" si="3"/>
        <v>46085</v>
      </c>
      <c r="B17" s="265"/>
      <c r="C17" s="266"/>
      <c r="D17" s="266"/>
      <c r="E17" s="266"/>
      <c r="F17" s="259"/>
      <c r="G17" s="259">
        <f>209*12480</f>
        <v>2608320</v>
      </c>
      <c r="H17" s="281">
        <f>45*56660</f>
        <v>2549700</v>
      </c>
      <c r="I17" s="267">
        <f>6*63000</f>
        <v>378000</v>
      </c>
      <c r="J17" s="259">
        <f>80*41520</f>
        <v>3321600</v>
      </c>
      <c r="K17" s="282">
        <v>0.0</v>
      </c>
      <c r="L17" s="268">
        <f>2*65260</f>
        <v>130520</v>
      </c>
      <c r="M17" s="268">
        <f>59*17200</f>
        <v>1014800</v>
      </c>
      <c r="N17" s="268">
        <f>124*19420</f>
        <v>2408080</v>
      </c>
      <c r="O17" s="269">
        <f>1*812500</f>
        <v>812500</v>
      </c>
      <c r="P17" s="269">
        <f>5*221000</f>
        <v>1105000</v>
      </c>
      <c r="Q17" s="269">
        <f>493*2180</f>
        <v>1074740</v>
      </c>
      <c r="R17" s="266">
        <f t="shared" si="15"/>
        <v>1704253</v>
      </c>
      <c r="S17" s="268">
        <f t="shared" si="16"/>
        <v>575110.8157</v>
      </c>
      <c r="T17" s="278">
        <f t="shared" si="24"/>
        <v>2933895</v>
      </c>
      <c r="U17" s="266">
        <f t="shared" si="17"/>
        <v>1344990.073</v>
      </c>
      <c r="V17" s="279">
        <f t="shared" si="25"/>
        <v>3686979.152</v>
      </c>
      <c r="W17" s="266">
        <f t="shared" si="18"/>
        <v>1017417</v>
      </c>
      <c r="X17" s="266">
        <f t="shared" si="19"/>
        <v>1132614.861</v>
      </c>
      <c r="Y17" s="270">
        <f t="shared" si="20"/>
        <v>3024365.29</v>
      </c>
      <c r="Z17" s="270">
        <v>0.0</v>
      </c>
      <c r="AA17" s="277">
        <f t="shared" si="27"/>
        <v>159499.8</v>
      </c>
      <c r="AB17" s="280">
        <f t="shared" si="4"/>
        <v>26684771.83</v>
      </c>
      <c r="AC17" s="279">
        <f t="shared" si="28"/>
        <v>4266325.083</v>
      </c>
      <c r="AD17" s="279">
        <f t="shared" si="26"/>
        <v>31288.08223</v>
      </c>
      <c r="AE17" s="283">
        <f t="shared" si="21"/>
        <v>30982384.99</v>
      </c>
      <c r="AF17" s="273">
        <f t="shared" si="22"/>
        <v>0.00597718433</v>
      </c>
      <c r="AG17" s="274">
        <f t="shared" si="23"/>
        <v>4297613.166</v>
      </c>
    </row>
    <row r="18">
      <c r="A18" s="264">
        <f t="shared" si="3"/>
        <v>46084</v>
      </c>
      <c r="B18" s="265"/>
      <c r="C18" s="266"/>
      <c r="D18" s="266"/>
      <c r="E18" s="266"/>
      <c r="F18" s="259"/>
      <c r="G18" s="259">
        <f>209*12500</f>
        <v>2612500</v>
      </c>
      <c r="H18" s="281">
        <f>45*56200</f>
        <v>2529000</v>
      </c>
      <c r="I18" s="267">
        <f>6*62800</f>
        <v>376800</v>
      </c>
      <c r="J18" s="259">
        <f>80*41500</f>
        <v>3320000</v>
      </c>
      <c r="K18" s="282">
        <v>0.0</v>
      </c>
      <c r="L18" s="268">
        <f>2*64900</f>
        <v>129800</v>
      </c>
      <c r="M18" s="268">
        <f>59*17940</f>
        <v>1058460</v>
      </c>
      <c r="N18" s="268">
        <f>124*19200</f>
        <v>2380800</v>
      </c>
      <c r="O18" s="269">
        <f>1*794000</f>
        <v>794000</v>
      </c>
      <c r="P18" s="269">
        <f>5*223780</f>
        <v>1118900</v>
      </c>
      <c r="Q18" s="269">
        <f>493*2215</f>
        <v>1091995</v>
      </c>
      <c r="R18" s="266">
        <f t="shared" ref="R18:R30" si="29">R19-15402</f>
        <v>1704253</v>
      </c>
      <c r="S18" s="268">
        <f t="shared" si="16"/>
        <v>574232.9684</v>
      </c>
      <c r="T18" s="278">
        <f t="shared" si="24"/>
        <v>2930035</v>
      </c>
      <c r="U18" s="266">
        <f t="shared" si="17"/>
        <v>1344990.073</v>
      </c>
      <c r="V18" s="279">
        <f t="shared" si="25"/>
        <v>3686241.903</v>
      </c>
      <c r="W18" s="266">
        <f t="shared" si="18"/>
        <v>1017000</v>
      </c>
      <c r="X18" s="266">
        <f t="shared" si="19"/>
        <v>1130883.518</v>
      </c>
      <c r="Y18" s="270">
        <f t="shared" si="20"/>
        <v>3022209.52</v>
      </c>
      <c r="Z18" s="270">
        <v>0.0</v>
      </c>
      <c r="AA18" s="277">
        <f>AA19+50000+60000</f>
        <v>159499.8</v>
      </c>
      <c r="AB18" s="280">
        <f t="shared" si="4"/>
        <v>26688706.15</v>
      </c>
      <c r="AC18" s="279">
        <f t="shared" si="28"/>
        <v>4265106.556</v>
      </c>
      <c r="AD18" s="279">
        <f t="shared" si="26"/>
        <v>27788.08223</v>
      </c>
      <c r="AE18" s="283">
        <f t="shared" si="21"/>
        <v>30981600.78</v>
      </c>
      <c r="AF18" s="273">
        <f t="shared" si="22"/>
        <v>0.005976303202</v>
      </c>
      <c r="AG18" s="274">
        <f t="shared" si="23"/>
        <v>4292894.638</v>
      </c>
    </row>
    <row r="19">
      <c r="A19" s="264">
        <f t="shared" si="3"/>
        <v>46083</v>
      </c>
      <c r="B19" s="265"/>
      <c r="C19" s="266"/>
      <c r="D19" s="266"/>
      <c r="E19" s="266"/>
      <c r="F19" s="259"/>
      <c r="G19" s="259">
        <f>209*12380</f>
        <v>2587420</v>
      </c>
      <c r="H19" s="281">
        <f>45*56880</f>
        <v>2559600</v>
      </c>
      <c r="I19" s="267">
        <f>6*66260</f>
        <v>397560</v>
      </c>
      <c r="J19" s="259">
        <f>80*42020</f>
        <v>3361600</v>
      </c>
      <c r="K19" s="282">
        <v>0.0</v>
      </c>
      <c r="L19" s="268">
        <f>2*67500</f>
        <v>135000</v>
      </c>
      <c r="M19" s="268">
        <f>59*17000</f>
        <v>1003000</v>
      </c>
      <c r="N19" s="268">
        <f>124*19040</f>
        <v>2360960</v>
      </c>
      <c r="O19" s="269">
        <f>1*765200</f>
        <v>765200</v>
      </c>
      <c r="P19" s="269">
        <f>5*228680</f>
        <v>1143400</v>
      </c>
      <c r="Q19" s="269">
        <f>493*2280</f>
        <v>1124040</v>
      </c>
      <c r="R19" s="266">
        <f t="shared" si="29"/>
        <v>1719655</v>
      </c>
      <c r="S19" s="268">
        <f t="shared" si="16"/>
        <v>573355.1211</v>
      </c>
      <c r="T19" s="278">
        <f t="shared" si="24"/>
        <v>2926175</v>
      </c>
      <c r="U19" s="266">
        <f t="shared" si="17"/>
        <v>1344990.073</v>
      </c>
      <c r="V19" s="279">
        <f t="shared" si="25"/>
        <v>3685504.802</v>
      </c>
      <c r="W19" s="266">
        <f t="shared" si="18"/>
        <v>1016583</v>
      </c>
      <c r="X19" s="266">
        <f t="shared" si="19"/>
        <v>1129152.176</v>
      </c>
      <c r="Y19" s="270">
        <f t="shared" si="20"/>
        <v>3020053.75</v>
      </c>
      <c r="Z19" s="266"/>
      <c r="AA19" s="277">
        <f>AA20-33*54900</f>
        <v>49499.8</v>
      </c>
      <c r="AB19" s="280">
        <f t="shared" si="4"/>
        <v>26614572.61</v>
      </c>
      <c r="AC19" s="279">
        <f t="shared" si="28"/>
        <v>4263888.028</v>
      </c>
      <c r="AD19" s="279">
        <f t="shared" si="26"/>
        <v>24288.08223</v>
      </c>
      <c r="AE19" s="283">
        <f t="shared" si="21"/>
        <v>30902748.72</v>
      </c>
      <c r="AF19" s="273">
        <f t="shared" si="22"/>
        <v>0.001859875818</v>
      </c>
      <c r="AG19" s="274">
        <f t="shared" si="23"/>
        <v>4288176.11</v>
      </c>
    </row>
    <row r="20">
      <c r="A20" s="275">
        <f t="shared" si="3"/>
        <v>46082</v>
      </c>
      <c r="B20" s="265"/>
      <c r="C20" s="266"/>
      <c r="D20" s="266"/>
      <c r="E20" s="266"/>
      <c r="F20" s="259"/>
      <c r="G20" s="259">
        <f t="shared" ref="G20:G22" si="30">209*13300</f>
        <v>2779700</v>
      </c>
      <c r="H20" s="281">
        <f t="shared" ref="H20:H22" si="31">12*56780</f>
        <v>681360</v>
      </c>
      <c r="I20" s="267">
        <f t="shared" ref="I20:I22" si="32">6*63620</f>
        <v>381720</v>
      </c>
      <c r="J20" s="259">
        <f t="shared" ref="J20:J22" si="33">80*46000</f>
        <v>3680000</v>
      </c>
      <c r="K20" s="282">
        <v>0.0</v>
      </c>
      <c r="L20" s="268">
        <f t="shared" ref="L20:L22" si="34">2*67940</f>
        <v>135880</v>
      </c>
      <c r="M20" s="268">
        <f t="shared" ref="M20:M22" si="35">59*17200</f>
        <v>1014800</v>
      </c>
      <c r="N20" s="268">
        <f t="shared" ref="N20:N23" si="36">124*19860</f>
        <v>2462640</v>
      </c>
      <c r="O20" s="269">
        <f t="shared" ref="O20:O23" si="37">1*783000</f>
        <v>783000</v>
      </c>
      <c r="P20" s="269">
        <f t="shared" ref="P20:P22" si="38">5*232000</f>
        <v>1160000</v>
      </c>
      <c r="Q20" s="269">
        <f t="shared" ref="Q20:Q22" si="39">493*2240</f>
        <v>1104320</v>
      </c>
      <c r="R20" s="266">
        <f t="shared" si="29"/>
        <v>1735057</v>
      </c>
      <c r="S20" s="268">
        <f t="shared" si="16"/>
        <v>572477.2738</v>
      </c>
      <c r="T20" s="278">
        <f t="shared" si="24"/>
        <v>2922315</v>
      </c>
      <c r="U20" s="266">
        <f t="shared" si="17"/>
        <v>1344990.073</v>
      </c>
      <c r="V20" s="279">
        <f t="shared" si="25"/>
        <v>3684767.849</v>
      </c>
      <c r="W20" s="266">
        <f t="shared" si="18"/>
        <v>1016166</v>
      </c>
      <c r="X20" s="266">
        <f t="shared" si="19"/>
        <v>1127420.833</v>
      </c>
      <c r="Y20" s="270">
        <f t="shared" si="20"/>
        <v>3017897.98</v>
      </c>
      <c r="Z20" s="266"/>
      <c r="AA20" s="277">
        <f t="shared" ref="AA20:AA21" si="40">AA21</f>
        <v>1861199.8</v>
      </c>
      <c r="AB20" s="280">
        <f t="shared" si="4"/>
        <v>27182254.23</v>
      </c>
      <c r="AC20" s="279">
        <f t="shared" si="28"/>
        <v>4262669.5</v>
      </c>
      <c r="AD20" s="279">
        <f t="shared" si="26"/>
        <v>20788.08223</v>
      </c>
      <c r="AE20" s="283">
        <f t="shared" si="21"/>
        <v>31465711.81</v>
      </c>
      <c r="AF20" s="273">
        <f t="shared" si="22"/>
        <v>0.06847113505</v>
      </c>
      <c r="AG20" s="274">
        <f t="shared" si="23"/>
        <v>4283457.582</v>
      </c>
    </row>
    <row r="21">
      <c r="A21" s="275">
        <f t="shared" si="3"/>
        <v>46081</v>
      </c>
      <c r="B21" s="265"/>
      <c r="C21" s="266"/>
      <c r="D21" s="266"/>
      <c r="E21" s="266"/>
      <c r="F21" s="259"/>
      <c r="G21" s="259">
        <f t="shared" si="30"/>
        <v>2779700</v>
      </c>
      <c r="H21" s="281">
        <f t="shared" si="31"/>
        <v>681360</v>
      </c>
      <c r="I21" s="267">
        <f t="shared" si="32"/>
        <v>381720</v>
      </c>
      <c r="J21" s="259">
        <f t="shared" si="33"/>
        <v>3680000</v>
      </c>
      <c r="K21" s="282">
        <v>0.0</v>
      </c>
      <c r="L21" s="268">
        <f t="shared" si="34"/>
        <v>135880</v>
      </c>
      <c r="M21" s="268">
        <f t="shared" si="35"/>
        <v>1014800</v>
      </c>
      <c r="N21" s="268">
        <f t="shared" si="36"/>
        <v>2462640</v>
      </c>
      <c r="O21" s="269">
        <f t="shared" si="37"/>
        <v>783000</v>
      </c>
      <c r="P21" s="269">
        <f t="shared" si="38"/>
        <v>1160000</v>
      </c>
      <c r="Q21" s="269">
        <f t="shared" si="39"/>
        <v>1104320</v>
      </c>
      <c r="R21" s="266">
        <f t="shared" si="29"/>
        <v>1750459</v>
      </c>
      <c r="S21" s="268">
        <f t="shared" si="16"/>
        <v>571599.4265</v>
      </c>
      <c r="T21" s="278">
        <f t="shared" si="24"/>
        <v>2918455</v>
      </c>
      <c r="U21" s="266">
        <f t="shared" si="17"/>
        <v>1344990.073</v>
      </c>
      <c r="V21" s="279">
        <f t="shared" si="25"/>
        <v>3684031.043</v>
      </c>
      <c r="W21" s="266">
        <f t="shared" si="18"/>
        <v>1015749</v>
      </c>
      <c r="X21" s="266">
        <f t="shared" si="19"/>
        <v>1125689.491</v>
      </c>
      <c r="Y21" s="270">
        <f t="shared" si="20"/>
        <v>3015742.21</v>
      </c>
      <c r="Z21" s="266"/>
      <c r="AA21" s="277">
        <f t="shared" si="40"/>
        <v>1861199.8</v>
      </c>
      <c r="AB21" s="280">
        <f t="shared" si="4"/>
        <v>27192595.99</v>
      </c>
      <c r="AC21" s="279">
        <f t="shared" si="28"/>
        <v>4261450.972</v>
      </c>
      <c r="AD21" s="279">
        <f t="shared" si="26"/>
        <v>17288.08223</v>
      </c>
      <c r="AE21" s="283">
        <f t="shared" si="21"/>
        <v>31471335.04</v>
      </c>
      <c r="AF21" s="273">
        <f t="shared" si="22"/>
        <v>0.06844509442</v>
      </c>
      <c r="AG21" s="274">
        <f t="shared" si="23"/>
        <v>4278739.055</v>
      </c>
    </row>
    <row r="22">
      <c r="A22" s="276">
        <f t="shared" si="3"/>
        <v>46080</v>
      </c>
      <c r="B22" s="265"/>
      <c r="C22" s="266"/>
      <c r="D22" s="266"/>
      <c r="E22" s="266"/>
      <c r="F22" s="259"/>
      <c r="G22" s="259">
        <f t="shared" si="30"/>
        <v>2779700</v>
      </c>
      <c r="H22" s="281">
        <f t="shared" si="31"/>
        <v>681360</v>
      </c>
      <c r="I22" s="267">
        <f t="shared" si="32"/>
        <v>381720</v>
      </c>
      <c r="J22" s="259">
        <f t="shared" si="33"/>
        <v>3680000</v>
      </c>
      <c r="K22" s="268">
        <f>66*28200*0</f>
        <v>0</v>
      </c>
      <c r="L22" s="268">
        <f t="shared" si="34"/>
        <v>135880</v>
      </c>
      <c r="M22" s="268">
        <f t="shared" si="35"/>
        <v>1014800</v>
      </c>
      <c r="N22" s="268">
        <f t="shared" si="36"/>
        <v>2462640</v>
      </c>
      <c r="O22" s="269">
        <f t="shared" si="37"/>
        <v>783000</v>
      </c>
      <c r="P22" s="269">
        <f t="shared" si="38"/>
        <v>1160000</v>
      </c>
      <c r="Q22" s="269">
        <f t="shared" si="39"/>
        <v>1104320</v>
      </c>
      <c r="R22" s="266">
        <f t="shared" si="29"/>
        <v>1765861</v>
      </c>
      <c r="S22" s="268">
        <f t="shared" si="16"/>
        <v>570721.5792</v>
      </c>
      <c r="T22" s="278">
        <f t="shared" si="24"/>
        <v>2914595</v>
      </c>
      <c r="U22" s="266">
        <f t="shared" si="17"/>
        <v>1344990.073</v>
      </c>
      <c r="V22" s="279">
        <f t="shared" si="25"/>
        <v>3683294.384</v>
      </c>
      <c r="W22" s="266">
        <f t="shared" si="18"/>
        <v>1015332</v>
      </c>
      <c r="X22" s="266">
        <f t="shared" si="19"/>
        <v>1123958.148</v>
      </c>
      <c r="Y22" s="270">
        <f t="shared" si="20"/>
        <v>3013586.44</v>
      </c>
      <c r="Z22" s="266"/>
      <c r="AA22" s="277">
        <f>AA23+1861200</f>
        <v>1861199.8</v>
      </c>
      <c r="AB22" s="280">
        <f t="shared" si="4"/>
        <v>27202937.9</v>
      </c>
      <c r="AC22" s="279">
        <f t="shared" si="28"/>
        <v>4260232.445</v>
      </c>
      <c r="AD22" s="279">
        <f t="shared" si="26"/>
        <v>13788.08223</v>
      </c>
      <c r="AE22" s="283">
        <f t="shared" si="21"/>
        <v>31476958.42</v>
      </c>
      <c r="AF22" s="273">
        <f t="shared" si="22"/>
        <v>0.06841907323</v>
      </c>
      <c r="AG22" s="274">
        <f t="shared" si="23"/>
        <v>4274020.527</v>
      </c>
    </row>
    <row r="23">
      <c r="A23" s="276">
        <f t="shared" si="3"/>
        <v>46079</v>
      </c>
      <c r="B23" s="265"/>
      <c r="C23" s="266"/>
      <c r="D23" s="266"/>
      <c r="E23" s="266"/>
      <c r="F23" s="259"/>
      <c r="G23" s="259">
        <f>209*13160</f>
        <v>2750440</v>
      </c>
      <c r="H23" s="281">
        <f>12*57000</f>
        <v>684000</v>
      </c>
      <c r="I23" s="267">
        <f>6*65200</f>
        <v>391200</v>
      </c>
      <c r="J23" s="259">
        <f>80*49720</f>
        <v>3977600</v>
      </c>
      <c r="K23" s="268">
        <f>66*29000</f>
        <v>1914000</v>
      </c>
      <c r="L23" s="268">
        <f>2*72500</f>
        <v>145000</v>
      </c>
      <c r="M23" s="268">
        <f>59*17460</f>
        <v>1030140</v>
      </c>
      <c r="N23" s="268">
        <f t="shared" si="36"/>
        <v>2462640</v>
      </c>
      <c r="O23" s="269">
        <f t="shared" si="37"/>
        <v>783000</v>
      </c>
      <c r="P23" s="269">
        <f>5*234160</f>
        <v>1170800</v>
      </c>
      <c r="Q23" s="269">
        <f>493*2250</f>
        <v>1109250</v>
      </c>
      <c r="R23" s="266">
        <f t="shared" si="29"/>
        <v>1781263</v>
      </c>
      <c r="S23" s="268">
        <f t="shared" si="16"/>
        <v>569843.7319</v>
      </c>
      <c r="T23" s="278">
        <f t="shared" si="24"/>
        <v>2910735</v>
      </c>
      <c r="U23" s="266">
        <f t="shared" si="17"/>
        <v>1344990.073</v>
      </c>
      <c r="V23" s="279">
        <f t="shared" si="25"/>
        <v>3682557.872</v>
      </c>
      <c r="W23" s="266">
        <f t="shared" si="18"/>
        <v>1014915</v>
      </c>
      <c r="X23" s="266">
        <f t="shared" si="19"/>
        <v>1122226.805</v>
      </c>
      <c r="Y23" s="270">
        <f t="shared" si="20"/>
        <v>3011430.67</v>
      </c>
      <c r="Z23" s="266"/>
      <c r="AA23" s="277">
        <f t="shared" ref="AA23:AA25" si="41">AA24</f>
        <v>-0.2000000002</v>
      </c>
      <c r="AB23" s="280">
        <f t="shared" si="4"/>
        <v>27586729.95</v>
      </c>
      <c r="AC23" s="279">
        <f t="shared" si="28"/>
        <v>4259013.917</v>
      </c>
      <c r="AD23" s="279">
        <f t="shared" si="26"/>
        <v>10288.08223</v>
      </c>
      <c r="AE23" s="283">
        <f t="shared" si="21"/>
        <v>31856031.95</v>
      </c>
      <c r="AF23" s="273">
        <f t="shared" si="22"/>
        <v>-0.000000007249862544</v>
      </c>
      <c r="AG23" s="274">
        <f t="shared" si="23"/>
        <v>4269301.999</v>
      </c>
    </row>
    <row r="24">
      <c r="A24" s="264">
        <f t="shared" si="3"/>
        <v>46078</v>
      </c>
      <c r="B24" s="265"/>
      <c r="C24" s="266"/>
      <c r="D24" s="266"/>
      <c r="E24" s="266"/>
      <c r="F24" s="259"/>
      <c r="G24" s="259">
        <f>209*13500</f>
        <v>2821500</v>
      </c>
      <c r="H24" s="281">
        <f>12*61160</f>
        <v>733920</v>
      </c>
      <c r="I24" s="267">
        <f>6*68700</f>
        <v>412200</v>
      </c>
      <c r="J24" s="259">
        <f>80*52420</f>
        <v>4193600</v>
      </c>
      <c r="K24" s="268">
        <f>66*28880</f>
        <v>1906080</v>
      </c>
      <c r="L24" s="268">
        <f>2*72720</f>
        <v>145440</v>
      </c>
      <c r="M24" s="268">
        <f>59*18600</f>
        <v>1097400</v>
      </c>
      <c r="N24" s="268">
        <f>124*19980</f>
        <v>2477520</v>
      </c>
      <c r="O24" s="269">
        <f>1*780000</f>
        <v>780000</v>
      </c>
      <c r="P24" s="269">
        <f>5*231100</f>
        <v>1155500</v>
      </c>
      <c r="Q24" s="269">
        <f>493*2330</f>
        <v>1148690</v>
      </c>
      <c r="R24" s="266">
        <f t="shared" si="29"/>
        <v>1796665</v>
      </c>
      <c r="S24" s="268">
        <f t="shared" si="16"/>
        <v>568965.8846</v>
      </c>
      <c r="T24" s="278">
        <f t="shared" si="24"/>
        <v>2906875</v>
      </c>
      <c r="U24" s="266">
        <f t="shared" si="17"/>
        <v>1344990.073</v>
      </c>
      <c r="V24" s="279">
        <f t="shared" si="25"/>
        <v>3681821.508</v>
      </c>
      <c r="W24" s="266">
        <f t="shared" si="18"/>
        <v>1014498</v>
      </c>
      <c r="X24" s="266">
        <f t="shared" si="19"/>
        <v>1120495.463</v>
      </c>
      <c r="Y24" s="270">
        <f t="shared" si="20"/>
        <v>3009274.9</v>
      </c>
      <c r="Z24" s="266"/>
      <c r="AA24" s="277">
        <f t="shared" si="41"/>
        <v>-0.2000000002</v>
      </c>
      <c r="AB24" s="280">
        <f t="shared" si="4"/>
        <v>28050852.16</v>
      </c>
      <c r="AC24" s="279">
        <f t="shared" si="28"/>
        <v>4257795.389</v>
      </c>
      <c r="AD24" s="279">
        <f t="shared" si="26"/>
        <v>6788.082229</v>
      </c>
      <c r="AE24" s="283">
        <f t="shared" si="21"/>
        <v>32315435.63</v>
      </c>
      <c r="AF24" s="273">
        <f t="shared" si="22"/>
        <v>-0.000000007129908178</v>
      </c>
      <c r="AG24" s="274">
        <f t="shared" si="23"/>
        <v>4264583.471</v>
      </c>
    </row>
    <row r="25">
      <c r="A25" s="264">
        <f t="shared" si="3"/>
        <v>46077</v>
      </c>
      <c r="B25" s="265"/>
      <c r="C25" s="266"/>
      <c r="D25" s="266"/>
      <c r="E25" s="266"/>
      <c r="F25" s="259"/>
      <c r="G25" s="259">
        <f>209*13580</f>
        <v>2838220</v>
      </c>
      <c r="H25" s="281">
        <f>12*61300</f>
        <v>735600</v>
      </c>
      <c r="I25" s="267">
        <f>6*70760</f>
        <v>424560</v>
      </c>
      <c r="J25" s="259">
        <f>80*52300</f>
        <v>4184000</v>
      </c>
      <c r="K25" s="268">
        <f>66*28780</f>
        <v>1899480</v>
      </c>
      <c r="L25" s="268">
        <f>2*72940</f>
        <v>145880</v>
      </c>
      <c r="M25" s="268">
        <f>59*18900</f>
        <v>1115100</v>
      </c>
      <c r="N25" s="268">
        <f>124*19700</f>
        <v>2442800</v>
      </c>
      <c r="O25" s="269">
        <f>1*775000</f>
        <v>775000</v>
      </c>
      <c r="P25" s="269">
        <f>5*233120</f>
        <v>1165600</v>
      </c>
      <c r="Q25" s="269">
        <f>493*2300</f>
        <v>1133900</v>
      </c>
      <c r="R25" s="266">
        <f t="shared" si="29"/>
        <v>1812067</v>
      </c>
      <c r="S25" s="268">
        <f t="shared" si="16"/>
        <v>568088.0373</v>
      </c>
      <c r="T25" s="278">
        <f t="shared" si="24"/>
        <v>2903015</v>
      </c>
      <c r="U25" s="266">
        <f t="shared" si="17"/>
        <v>1344990.073</v>
      </c>
      <c r="V25" s="279">
        <f t="shared" si="25"/>
        <v>3681085.291</v>
      </c>
      <c r="W25" s="266">
        <f t="shared" si="18"/>
        <v>1014081</v>
      </c>
      <c r="X25" s="266">
        <f t="shared" si="19"/>
        <v>1118764.12</v>
      </c>
      <c r="Y25" s="270">
        <f t="shared" si="20"/>
        <v>3007119.13</v>
      </c>
      <c r="Z25" s="266"/>
      <c r="AA25" s="277">
        <f t="shared" si="41"/>
        <v>-0.2000000002</v>
      </c>
      <c r="AB25" s="280">
        <f t="shared" si="4"/>
        <v>28049484.51</v>
      </c>
      <c r="AC25" s="279">
        <f t="shared" si="28"/>
        <v>4256576.861</v>
      </c>
      <c r="AD25" s="279">
        <f t="shared" si="26"/>
        <v>3288.082229</v>
      </c>
      <c r="AE25" s="283">
        <f t="shared" si="21"/>
        <v>32309349.45</v>
      </c>
      <c r="AF25" s="273">
        <f t="shared" si="22"/>
        <v>-0.000000007130255821</v>
      </c>
      <c r="AG25" s="274">
        <f t="shared" si="23"/>
        <v>4259864.943</v>
      </c>
    </row>
    <row r="26">
      <c r="A26" s="264">
        <f t="shared" si="3"/>
        <v>46076</v>
      </c>
      <c r="B26" s="265"/>
      <c r="C26" s="266"/>
      <c r="D26" s="266"/>
      <c r="E26" s="266"/>
      <c r="F26" s="259"/>
      <c r="G26" s="259">
        <f>209*13880</f>
        <v>2900920</v>
      </c>
      <c r="H26" s="281">
        <f>12*59900</f>
        <v>718800</v>
      </c>
      <c r="I26" s="267">
        <f>6*75000</f>
        <v>450000</v>
      </c>
      <c r="J26" s="259">
        <f>80*50800</f>
        <v>4064000</v>
      </c>
      <c r="K26" s="268">
        <f>66*28800</f>
        <v>1900800</v>
      </c>
      <c r="L26" s="268">
        <f>2*73200</f>
        <v>146400</v>
      </c>
      <c r="M26" s="268">
        <f>59*18800</f>
        <v>1109200</v>
      </c>
      <c r="N26" s="268">
        <f>124*19780</f>
        <v>2452720</v>
      </c>
      <c r="O26" s="269">
        <f>1*752100</f>
        <v>752100</v>
      </c>
      <c r="P26" s="269">
        <f>5*230040</f>
        <v>1150200</v>
      </c>
      <c r="Q26" s="269">
        <f>493*2330</f>
        <v>1148690</v>
      </c>
      <c r="R26" s="266">
        <f t="shared" si="29"/>
        <v>1827469</v>
      </c>
      <c r="S26" s="268">
        <f t="shared" si="16"/>
        <v>567210.19</v>
      </c>
      <c r="T26" s="278">
        <f t="shared" si="24"/>
        <v>2899155</v>
      </c>
      <c r="U26" s="266">
        <f t="shared" si="17"/>
        <v>1344990.073</v>
      </c>
      <c r="V26" s="279">
        <f>V27*1.0002-83276</f>
        <v>3680349.221</v>
      </c>
      <c r="W26" s="266">
        <f t="shared" ref="W26:W57" si="42">W27+427</f>
        <v>1013664</v>
      </c>
      <c r="X26" s="266">
        <f t="shared" si="19"/>
        <v>1117032.778</v>
      </c>
      <c r="Y26" s="270">
        <f>Y27+735+597.83-197090+662000</f>
        <v>3004963.36</v>
      </c>
      <c r="Z26" s="266"/>
      <c r="AA26" s="277">
        <f>AA27+200000-662000+83276</f>
        <v>-0.2000000002</v>
      </c>
      <c r="AB26" s="280">
        <f t="shared" si="4"/>
        <v>27993093.17</v>
      </c>
      <c r="AC26" s="279">
        <f t="shared" si="28"/>
        <v>4255358.333</v>
      </c>
      <c r="AD26" s="279">
        <f>AD27+2400+5000</f>
        <v>-211.917771</v>
      </c>
      <c r="AE26" s="283">
        <f t="shared" si="21"/>
        <v>32248663.42</v>
      </c>
      <c r="AF26" s="273">
        <f t="shared" si="22"/>
        <v>-0.000000007144619531</v>
      </c>
      <c r="AG26" s="274">
        <f t="shared" si="23"/>
        <v>4255570.251</v>
      </c>
    </row>
    <row r="27">
      <c r="A27" s="275">
        <f t="shared" si="3"/>
        <v>46075</v>
      </c>
      <c r="B27" s="265">
        <v>0.0</v>
      </c>
      <c r="C27" s="266"/>
      <c r="D27" s="266"/>
      <c r="E27" s="266"/>
      <c r="F27" s="259"/>
      <c r="G27" s="259">
        <f t="shared" ref="G27:G31" si="43">209*13900</f>
        <v>2905100</v>
      </c>
      <c r="H27" s="281">
        <f t="shared" ref="H27:H29" si="44">12*64800</f>
        <v>777600</v>
      </c>
      <c r="I27" s="267">
        <f t="shared" ref="I27:I29" si="45">6*74300</f>
        <v>445800</v>
      </c>
      <c r="J27" s="259">
        <f t="shared" ref="J27:J29" si="46">80*52740</f>
        <v>4219200</v>
      </c>
      <c r="K27" s="268">
        <f t="shared" ref="K27:K29" si="47">66*27400</f>
        <v>1808400</v>
      </c>
      <c r="L27" s="268">
        <f t="shared" ref="L27:L29" si="48">2*72500</f>
        <v>145000</v>
      </c>
      <c r="M27" s="268">
        <f t="shared" ref="M27:M29" si="49">59*19200</f>
        <v>1132800</v>
      </c>
      <c r="N27" s="268">
        <f t="shared" ref="N27:N29" si="50">124*19580</f>
        <v>2427920</v>
      </c>
      <c r="O27" s="269">
        <f t="shared" ref="O27:O29" si="51">1*772060</f>
        <v>772060</v>
      </c>
      <c r="P27" s="269">
        <f t="shared" ref="P27:P29" si="52">5*242500</f>
        <v>1212500</v>
      </c>
      <c r="Q27" s="269">
        <f t="shared" ref="Q27:Q29" si="53">493*2305</f>
        <v>1136365</v>
      </c>
      <c r="R27" s="266">
        <f t="shared" si="29"/>
        <v>1842871</v>
      </c>
      <c r="S27" s="268">
        <f>S28+1177.8473-200000</f>
        <v>566332.3427</v>
      </c>
      <c r="T27" s="278">
        <f t="shared" si="24"/>
        <v>2895295</v>
      </c>
      <c r="U27" s="266">
        <f t="shared" si="17"/>
        <v>1344990.073</v>
      </c>
      <c r="V27" s="279">
        <f t="shared" ref="V27:V61" si="54">V28*1.0002</f>
        <v>3762872.646</v>
      </c>
      <c r="W27" s="266">
        <f t="shared" si="42"/>
        <v>1013237</v>
      </c>
      <c r="X27" s="266">
        <f t="shared" si="19"/>
        <v>1115301.435</v>
      </c>
      <c r="Y27" s="270">
        <f t="shared" ref="Y27:Y49" si="55">Y28+735+597.83</f>
        <v>2538720.53</v>
      </c>
      <c r="Z27" s="266"/>
      <c r="AA27" s="277">
        <f>AA28+200000</f>
        <v>378723.8</v>
      </c>
      <c r="AB27" s="280">
        <f t="shared" si="4"/>
        <v>28179337.1</v>
      </c>
      <c r="AC27" s="279">
        <f t="shared" si="28"/>
        <v>4254139.806</v>
      </c>
      <c r="AD27" s="279">
        <f t="shared" ref="AD27:AD47" si="56">AD28+2400</f>
        <v>-7611.917771</v>
      </c>
      <c r="AE27" s="283">
        <f t="shared" si="21"/>
        <v>32441088.83</v>
      </c>
      <c r="AF27" s="273">
        <f t="shared" si="22"/>
        <v>0.01343976967</v>
      </c>
      <c r="AG27" s="274">
        <f t="shared" si="23"/>
        <v>4261751.723</v>
      </c>
    </row>
    <row r="28">
      <c r="A28" s="275">
        <f t="shared" si="3"/>
        <v>46074</v>
      </c>
      <c r="B28" s="265">
        <v>0.0</v>
      </c>
      <c r="C28" s="266"/>
      <c r="D28" s="266"/>
      <c r="E28" s="266"/>
      <c r="F28" s="259"/>
      <c r="G28" s="259">
        <f t="shared" si="43"/>
        <v>2905100</v>
      </c>
      <c r="H28" s="281">
        <f t="shared" si="44"/>
        <v>777600</v>
      </c>
      <c r="I28" s="267">
        <f t="shared" si="45"/>
        <v>445800</v>
      </c>
      <c r="J28" s="259">
        <f t="shared" si="46"/>
        <v>4219200</v>
      </c>
      <c r="K28" s="268">
        <f t="shared" si="47"/>
        <v>1808400</v>
      </c>
      <c r="L28" s="268">
        <f t="shared" si="48"/>
        <v>145000</v>
      </c>
      <c r="M28" s="268">
        <f t="shared" si="49"/>
        <v>1132800</v>
      </c>
      <c r="N28" s="268">
        <f t="shared" si="50"/>
        <v>2427920</v>
      </c>
      <c r="O28" s="269">
        <f t="shared" si="51"/>
        <v>772060</v>
      </c>
      <c r="P28" s="269">
        <f t="shared" si="52"/>
        <v>1212500</v>
      </c>
      <c r="Q28" s="269">
        <f t="shared" si="53"/>
        <v>1136365</v>
      </c>
      <c r="R28" s="266">
        <f t="shared" si="29"/>
        <v>1858273</v>
      </c>
      <c r="S28" s="268">
        <f t="shared" ref="S28:S58" si="57">S29+1177.8473</f>
        <v>765154.4954</v>
      </c>
      <c r="T28" s="278">
        <f t="shared" si="24"/>
        <v>2891435</v>
      </c>
      <c r="U28" s="266">
        <f t="shared" si="17"/>
        <v>1344990.073</v>
      </c>
      <c r="V28" s="279">
        <f t="shared" si="54"/>
        <v>3762120.222</v>
      </c>
      <c r="W28" s="266">
        <f t="shared" si="42"/>
        <v>1012810</v>
      </c>
      <c r="X28" s="266">
        <f t="shared" si="19"/>
        <v>1113570.092</v>
      </c>
      <c r="Y28" s="270">
        <f t="shared" si="55"/>
        <v>2537387.7</v>
      </c>
      <c r="Z28" s="266"/>
      <c r="AA28" s="277">
        <f>AA29</f>
        <v>178723.8</v>
      </c>
      <c r="AB28" s="280">
        <f t="shared" si="4"/>
        <v>28184276.19</v>
      </c>
      <c r="AC28" s="279">
        <f t="shared" si="28"/>
        <v>4252921.278</v>
      </c>
      <c r="AD28" s="279">
        <f t="shared" si="56"/>
        <v>-10011.91777</v>
      </c>
      <c r="AE28" s="283">
        <f t="shared" si="21"/>
        <v>32447209.38</v>
      </c>
      <c r="AF28" s="273">
        <f t="shared" si="22"/>
        <v>0.006341259176</v>
      </c>
      <c r="AG28" s="274">
        <f t="shared" si="23"/>
        <v>4262933.196</v>
      </c>
    </row>
    <row r="29">
      <c r="A29" s="276">
        <f t="shared" si="3"/>
        <v>46073</v>
      </c>
      <c r="B29" s="265">
        <v>0.0</v>
      </c>
      <c r="C29" s="266"/>
      <c r="D29" s="266"/>
      <c r="E29" s="266"/>
      <c r="F29" s="259"/>
      <c r="G29" s="259">
        <f t="shared" si="43"/>
        <v>2905100</v>
      </c>
      <c r="H29" s="281">
        <f t="shared" si="44"/>
        <v>777600</v>
      </c>
      <c r="I29" s="267">
        <f t="shared" si="45"/>
        <v>445800</v>
      </c>
      <c r="J29" s="259">
        <f t="shared" si="46"/>
        <v>4219200</v>
      </c>
      <c r="K29" s="268">
        <f t="shared" si="47"/>
        <v>1808400</v>
      </c>
      <c r="L29" s="268">
        <f t="shared" si="48"/>
        <v>145000</v>
      </c>
      <c r="M29" s="268">
        <f t="shared" si="49"/>
        <v>1132800</v>
      </c>
      <c r="N29" s="268">
        <f t="shared" si="50"/>
        <v>2427920</v>
      </c>
      <c r="O29" s="269">
        <f t="shared" si="51"/>
        <v>772060</v>
      </c>
      <c r="P29" s="269">
        <f t="shared" si="52"/>
        <v>1212500</v>
      </c>
      <c r="Q29" s="269">
        <f t="shared" si="53"/>
        <v>1136365</v>
      </c>
      <c r="R29" s="266">
        <f t="shared" si="29"/>
        <v>1873675</v>
      </c>
      <c r="S29" s="268">
        <f t="shared" si="57"/>
        <v>763976.6481</v>
      </c>
      <c r="T29" s="278">
        <f t="shared" si="24"/>
        <v>2887575</v>
      </c>
      <c r="U29" s="266">
        <f t="shared" si="17"/>
        <v>1344990.073</v>
      </c>
      <c r="V29" s="279">
        <f t="shared" si="54"/>
        <v>3761367.949</v>
      </c>
      <c r="W29" s="266">
        <f t="shared" si="42"/>
        <v>1012383</v>
      </c>
      <c r="X29" s="266">
        <f t="shared" si="19"/>
        <v>1111838.75</v>
      </c>
      <c r="Y29" s="270">
        <f t="shared" si="55"/>
        <v>2536054.87</v>
      </c>
      <c r="Z29" s="266"/>
      <c r="AA29" s="277">
        <f>AA30-1136365</f>
        <v>178723.8</v>
      </c>
      <c r="AB29" s="280">
        <f t="shared" si="4"/>
        <v>28189215.42</v>
      </c>
      <c r="AC29" s="279">
        <f t="shared" si="28"/>
        <v>4251702.75</v>
      </c>
      <c r="AD29" s="279">
        <f t="shared" si="56"/>
        <v>-12411.91777</v>
      </c>
      <c r="AE29" s="283">
        <f t="shared" si="21"/>
        <v>32453330.09</v>
      </c>
      <c r="AF29" s="273">
        <f t="shared" si="22"/>
        <v>0.006340148079</v>
      </c>
      <c r="AG29" s="274">
        <f t="shared" si="23"/>
        <v>4264114.668</v>
      </c>
    </row>
    <row r="30">
      <c r="A30" s="276">
        <f t="shared" si="3"/>
        <v>46072</v>
      </c>
      <c r="B30" s="265">
        <v>0.0</v>
      </c>
      <c r="C30" s="266"/>
      <c r="D30" s="266"/>
      <c r="E30" s="266"/>
      <c r="F30" s="259"/>
      <c r="G30" s="259">
        <f t="shared" si="43"/>
        <v>2905100</v>
      </c>
      <c r="H30" s="281">
        <f t="shared" ref="H30:H36" si="58">12*61500</f>
        <v>738000</v>
      </c>
      <c r="I30" s="267">
        <f>6*73280</f>
        <v>439680</v>
      </c>
      <c r="J30" s="259">
        <f>80*52360</f>
        <v>4188800</v>
      </c>
      <c r="K30" s="268">
        <f>66*27900</f>
        <v>1841400</v>
      </c>
      <c r="L30" s="268">
        <f>2*73660</f>
        <v>147320</v>
      </c>
      <c r="M30" s="268">
        <f>59*19000</f>
        <v>1121000</v>
      </c>
      <c r="N30" s="268">
        <f>124*19180</f>
        <v>2378320</v>
      </c>
      <c r="O30" s="269">
        <f>1*759000</f>
        <v>759000</v>
      </c>
      <c r="P30" s="269">
        <f t="shared" ref="P30:P36" si="59">5*228520</f>
        <v>1142600</v>
      </c>
      <c r="Q30" s="269">
        <f t="shared" ref="Q30:Q81" si="60">0</f>
        <v>0</v>
      </c>
      <c r="R30" s="266">
        <f t="shared" si="29"/>
        <v>1889077</v>
      </c>
      <c r="S30" s="268">
        <f t="shared" si="57"/>
        <v>762798.8008</v>
      </c>
      <c r="T30" s="278">
        <f t="shared" si="24"/>
        <v>2883715</v>
      </c>
      <c r="U30" s="266">
        <f t="shared" si="17"/>
        <v>1344990.073</v>
      </c>
      <c r="V30" s="279">
        <f t="shared" si="54"/>
        <v>3760615.826</v>
      </c>
      <c r="W30" s="266">
        <f t="shared" si="42"/>
        <v>1011956</v>
      </c>
      <c r="X30" s="266">
        <f t="shared" si="19"/>
        <v>1110107.407</v>
      </c>
      <c r="Y30" s="270">
        <f t="shared" si="55"/>
        <v>2534722.04</v>
      </c>
      <c r="Z30" s="266"/>
      <c r="AA30" s="277">
        <f>AA31+21*52360</f>
        <v>1315088.8</v>
      </c>
      <c r="AB30" s="280">
        <f t="shared" si="4"/>
        <v>28008994.81</v>
      </c>
      <c r="AC30" s="279">
        <f t="shared" si="28"/>
        <v>4250484.222</v>
      </c>
      <c r="AD30" s="279">
        <f t="shared" si="56"/>
        <v>-14811.91777</v>
      </c>
      <c r="AE30" s="283">
        <f t="shared" si="21"/>
        <v>32274290.95</v>
      </c>
      <c r="AF30" s="273">
        <f t="shared" si="22"/>
        <v>0.04695237402</v>
      </c>
      <c r="AG30" s="274">
        <f t="shared" si="23"/>
        <v>4265296.14</v>
      </c>
    </row>
    <row r="31">
      <c r="A31" s="264">
        <f t="shared" si="3"/>
        <v>46071</v>
      </c>
      <c r="B31" s="265">
        <v>0.0</v>
      </c>
      <c r="C31" s="266"/>
      <c r="D31" s="266"/>
      <c r="E31" s="266"/>
      <c r="F31" s="259"/>
      <c r="G31" s="259">
        <f t="shared" si="43"/>
        <v>2905100</v>
      </c>
      <c r="H31" s="281">
        <f t="shared" si="58"/>
        <v>738000</v>
      </c>
      <c r="I31" s="267">
        <f>6*71580</f>
        <v>429480</v>
      </c>
      <c r="J31" s="259">
        <f t="shared" ref="J31:J32" si="61">101*51660</f>
        <v>5217660</v>
      </c>
      <c r="K31" s="268">
        <f>66*26940</f>
        <v>1778040</v>
      </c>
      <c r="L31" s="268">
        <f>2*73580</f>
        <v>147160</v>
      </c>
      <c r="M31" s="268">
        <f>59*18800</f>
        <v>1109200</v>
      </c>
      <c r="N31" s="268">
        <f>124*19040</f>
        <v>2360960</v>
      </c>
      <c r="O31" s="269">
        <f t="shared" ref="O31:O36" si="62">1*733000</f>
        <v>733000</v>
      </c>
      <c r="P31" s="269">
        <f t="shared" si="59"/>
        <v>1142600</v>
      </c>
      <c r="Q31" s="269">
        <f t="shared" si="60"/>
        <v>0</v>
      </c>
      <c r="R31" s="266">
        <f>R32-15402+60000</f>
        <v>1904479</v>
      </c>
      <c r="S31" s="268">
        <f t="shared" si="57"/>
        <v>761620.9535</v>
      </c>
      <c r="T31" s="278">
        <f t="shared" si="24"/>
        <v>2879855</v>
      </c>
      <c r="U31" s="266">
        <f t="shared" si="17"/>
        <v>1344990.073</v>
      </c>
      <c r="V31" s="279">
        <f t="shared" si="54"/>
        <v>3759863.853</v>
      </c>
      <c r="W31" s="266">
        <f t="shared" si="42"/>
        <v>1011529</v>
      </c>
      <c r="X31" s="266">
        <f t="shared" si="19"/>
        <v>1108376.065</v>
      </c>
      <c r="Y31" s="270">
        <f t="shared" si="55"/>
        <v>2533389.21</v>
      </c>
      <c r="Z31" s="266"/>
      <c r="AA31" s="277">
        <f>AA32</f>
        <v>215528.8</v>
      </c>
      <c r="AB31" s="280">
        <f t="shared" si="4"/>
        <v>27814354.34</v>
      </c>
      <c r="AC31" s="279">
        <f t="shared" si="28"/>
        <v>4249265.695</v>
      </c>
      <c r="AD31" s="279">
        <f t="shared" si="56"/>
        <v>-17211.91777</v>
      </c>
      <c r="AE31" s="283">
        <f t="shared" si="21"/>
        <v>32080831.95</v>
      </c>
      <c r="AF31" s="273">
        <f t="shared" si="22"/>
        <v>0.007748833475</v>
      </c>
      <c r="AG31" s="274">
        <f t="shared" si="23"/>
        <v>4266477.612</v>
      </c>
    </row>
    <row r="32">
      <c r="A32" s="264">
        <f t="shared" si="3"/>
        <v>46070</v>
      </c>
      <c r="B32" s="265">
        <v>0.0</v>
      </c>
      <c r="C32" s="266"/>
      <c r="D32" s="266"/>
      <c r="E32" s="266"/>
      <c r="F32" s="259"/>
      <c r="G32" s="259">
        <f>209*13740</f>
        <v>2871660</v>
      </c>
      <c r="H32" s="281">
        <f t="shared" si="58"/>
        <v>738000</v>
      </c>
      <c r="I32" s="267">
        <f>6*71300</f>
        <v>427800</v>
      </c>
      <c r="J32" s="259">
        <f t="shared" si="61"/>
        <v>5217660</v>
      </c>
      <c r="K32" s="268">
        <f>66*27360</f>
        <v>1805760</v>
      </c>
      <c r="L32" s="268">
        <f>2*73600</f>
        <v>147200</v>
      </c>
      <c r="M32" s="268">
        <f>59*18520</f>
        <v>1092680</v>
      </c>
      <c r="N32" s="268">
        <f>124*19000</f>
        <v>2356000</v>
      </c>
      <c r="O32" s="269">
        <f t="shared" si="62"/>
        <v>733000</v>
      </c>
      <c r="P32" s="269">
        <f t="shared" si="59"/>
        <v>1142600</v>
      </c>
      <c r="Q32" s="269">
        <f t="shared" si="60"/>
        <v>0</v>
      </c>
      <c r="R32" s="266">
        <f t="shared" ref="R32:R43" si="63">R33-15402</f>
        <v>1859881</v>
      </c>
      <c r="S32" s="268">
        <f t="shared" si="57"/>
        <v>760443.1062</v>
      </c>
      <c r="T32" s="278">
        <f t="shared" ref="T32:T59" si="64">T33+2860</f>
        <v>2875995</v>
      </c>
      <c r="U32" s="266">
        <f t="shared" si="17"/>
        <v>1344990.073</v>
      </c>
      <c r="V32" s="279">
        <f t="shared" si="54"/>
        <v>3759112.031</v>
      </c>
      <c r="W32" s="266">
        <f t="shared" si="42"/>
        <v>1011102</v>
      </c>
      <c r="X32" s="266">
        <f t="shared" si="19"/>
        <v>1106644.722</v>
      </c>
      <c r="Y32" s="270">
        <f t="shared" si="55"/>
        <v>2532056.38</v>
      </c>
      <c r="Z32" s="266"/>
      <c r="AA32" s="277">
        <f>AA33+90000</f>
        <v>215528.8</v>
      </c>
      <c r="AB32" s="280">
        <f t="shared" si="4"/>
        <v>27730454.03</v>
      </c>
      <c r="AC32" s="279">
        <f t="shared" si="28"/>
        <v>4248047.167</v>
      </c>
      <c r="AD32" s="279">
        <f t="shared" si="56"/>
        <v>-19611.91777</v>
      </c>
      <c r="AE32" s="283">
        <f t="shared" si="21"/>
        <v>31998113.11</v>
      </c>
      <c r="AF32" s="273">
        <f t="shared" si="22"/>
        <v>0.007772278081</v>
      </c>
      <c r="AG32" s="274">
        <f t="shared" si="23"/>
        <v>4267659.085</v>
      </c>
    </row>
    <row r="33">
      <c r="A33" s="264">
        <f t="shared" si="3"/>
        <v>46069</v>
      </c>
      <c r="B33" s="265">
        <v>0.0</v>
      </c>
      <c r="C33" s="266"/>
      <c r="D33" s="266"/>
      <c r="E33" s="266"/>
      <c r="F33" s="259"/>
      <c r="G33" s="259">
        <f>209*13960</f>
        <v>2917640</v>
      </c>
      <c r="H33" s="281">
        <f t="shared" si="58"/>
        <v>738000</v>
      </c>
      <c r="I33" s="267">
        <f>6*70460</f>
        <v>422760</v>
      </c>
      <c r="J33" s="259">
        <f>101*51520</f>
        <v>5203520</v>
      </c>
      <c r="K33" s="268">
        <f>66*27460</f>
        <v>1812360</v>
      </c>
      <c r="L33" s="268">
        <f>2*72400</f>
        <v>144800</v>
      </c>
      <c r="M33" s="268">
        <f>59*18420</f>
        <v>1086780</v>
      </c>
      <c r="N33" s="268">
        <f>124*18700</f>
        <v>2318800</v>
      </c>
      <c r="O33" s="269">
        <f t="shared" si="62"/>
        <v>733000</v>
      </c>
      <c r="P33" s="269">
        <f t="shared" si="59"/>
        <v>1142600</v>
      </c>
      <c r="Q33" s="269">
        <f t="shared" si="60"/>
        <v>0</v>
      </c>
      <c r="R33" s="266">
        <f t="shared" si="63"/>
        <v>1875283</v>
      </c>
      <c r="S33" s="268">
        <f t="shared" si="57"/>
        <v>759265.2589</v>
      </c>
      <c r="T33" s="278">
        <f t="shared" si="64"/>
        <v>2873135</v>
      </c>
      <c r="U33" s="266">
        <f t="shared" si="17"/>
        <v>1344990.073</v>
      </c>
      <c r="V33" s="279">
        <f t="shared" si="54"/>
        <v>3758360.358</v>
      </c>
      <c r="W33" s="266">
        <f t="shared" si="42"/>
        <v>1010675</v>
      </c>
      <c r="X33" s="266">
        <f t="shared" si="19"/>
        <v>1104913.379</v>
      </c>
      <c r="Y33" s="270">
        <f t="shared" si="55"/>
        <v>2530723.55</v>
      </c>
      <c r="Z33" s="266"/>
      <c r="AA33" s="277">
        <f>AA34-6*70900+250000</f>
        <v>125528.8</v>
      </c>
      <c r="AB33" s="280">
        <f t="shared" si="4"/>
        <v>27634293.86</v>
      </c>
      <c r="AC33" s="279">
        <f t="shared" si="28"/>
        <v>4246828.639</v>
      </c>
      <c r="AD33" s="279">
        <f t="shared" si="56"/>
        <v>-22011.91777</v>
      </c>
      <c r="AE33" s="283">
        <f t="shared" si="21"/>
        <v>31903134.42</v>
      </c>
      <c r="AF33" s="273">
        <f t="shared" si="22"/>
        <v>0.004542500728</v>
      </c>
      <c r="AG33" s="274">
        <f t="shared" si="23"/>
        <v>4268840.557</v>
      </c>
    </row>
    <row r="34">
      <c r="A34" s="275">
        <f t="shared" si="3"/>
        <v>46068</v>
      </c>
      <c r="B34" s="265">
        <v>0.0</v>
      </c>
      <c r="C34" s="266"/>
      <c r="D34" s="266"/>
      <c r="E34" s="266"/>
      <c r="F34" s="259"/>
      <c r="G34" s="259">
        <f t="shared" ref="G34:G36" si="65">209*13940</f>
        <v>2913460</v>
      </c>
      <c r="H34" s="281">
        <f t="shared" si="58"/>
        <v>738000</v>
      </c>
      <c r="I34" s="267">
        <v>0.0</v>
      </c>
      <c r="J34" s="259">
        <f t="shared" ref="J34:J36" si="66">101*51400</f>
        <v>5191400</v>
      </c>
      <c r="K34" s="268">
        <f t="shared" ref="K34:K50" si="67">66*28100</f>
        <v>1854600</v>
      </c>
      <c r="L34" s="268">
        <f t="shared" ref="L34:L36" si="68">2*73960</f>
        <v>147920</v>
      </c>
      <c r="M34" s="268">
        <f t="shared" ref="M34:M37" si="69">59*18500</f>
        <v>1091500</v>
      </c>
      <c r="N34" s="268">
        <f t="shared" ref="N34:N36" si="70">124*19100</f>
        <v>2368400</v>
      </c>
      <c r="O34" s="269">
        <f t="shared" si="62"/>
        <v>733000</v>
      </c>
      <c r="P34" s="269">
        <f t="shared" si="59"/>
        <v>1142600</v>
      </c>
      <c r="Q34" s="269">
        <f t="shared" si="60"/>
        <v>0</v>
      </c>
      <c r="R34" s="266">
        <f t="shared" si="63"/>
        <v>1890685</v>
      </c>
      <c r="S34" s="268">
        <f t="shared" si="57"/>
        <v>758087.4116</v>
      </c>
      <c r="T34" s="278">
        <f t="shared" si="64"/>
        <v>2870275</v>
      </c>
      <c r="U34" s="266">
        <f t="shared" si="17"/>
        <v>1344990.073</v>
      </c>
      <c r="V34" s="279">
        <f t="shared" si="54"/>
        <v>3757608.837</v>
      </c>
      <c r="W34" s="266">
        <f t="shared" si="42"/>
        <v>1010248</v>
      </c>
      <c r="X34" s="266">
        <f t="shared" si="19"/>
        <v>1103182.037</v>
      </c>
      <c r="Y34" s="270">
        <f t="shared" si="55"/>
        <v>2529390.72</v>
      </c>
      <c r="Z34" s="266"/>
      <c r="AA34" s="277">
        <f>AA35+104250-203044+11687</f>
        <v>300928.8</v>
      </c>
      <c r="AB34" s="280">
        <f t="shared" si="4"/>
        <v>27476253.85</v>
      </c>
      <c r="AC34" s="279">
        <f t="shared" ref="AC34:AC62" si="71">AC35+1618.527778</f>
        <v>4245610.111</v>
      </c>
      <c r="AD34" s="279">
        <f t="shared" si="56"/>
        <v>-24411.91777</v>
      </c>
      <c r="AE34" s="283">
        <f t="shared" si="21"/>
        <v>31746275.88</v>
      </c>
      <c r="AF34" s="273">
        <f t="shared" si="22"/>
        <v>0.01095232275</v>
      </c>
      <c r="AG34" s="274">
        <f t="shared" si="23"/>
        <v>4270022.029</v>
      </c>
    </row>
    <row r="35">
      <c r="A35" s="275">
        <f t="shared" si="3"/>
        <v>46067</v>
      </c>
      <c r="B35" s="265">
        <v>0.0</v>
      </c>
      <c r="C35" s="266"/>
      <c r="D35" s="266"/>
      <c r="E35" s="266"/>
      <c r="F35" s="259"/>
      <c r="G35" s="259">
        <f t="shared" si="65"/>
        <v>2913460</v>
      </c>
      <c r="H35" s="281">
        <f t="shared" si="58"/>
        <v>738000</v>
      </c>
      <c r="I35" s="267">
        <v>0.0</v>
      </c>
      <c r="J35" s="259">
        <f t="shared" si="66"/>
        <v>5191400</v>
      </c>
      <c r="K35" s="268">
        <f t="shared" si="67"/>
        <v>1854600</v>
      </c>
      <c r="L35" s="268">
        <f t="shared" si="68"/>
        <v>147920</v>
      </c>
      <c r="M35" s="268">
        <f t="shared" si="69"/>
        <v>1091500</v>
      </c>
      <c r="N35" s="268">
        <f t="shared" si="70"/>
        <v>2368400</v>
      </c>
      <c r="O35" s="269">
        <f t="shared" si="62"/>
        <v>733000</v>
      </c>
      <c r="P35" s="269">
        <f t="shared" si="59"/>
        <v>1142600</v>
      </c>
      <c r="Q35" s="269">
        <f t="shared" si="60"/>
        <v>0</v>
      </c>
      <c r="R35" s="266">
        <f t="shared" si="63"/>
        <v>1906087</v>
      </c>
      <c r="S35" s="268">
        <f t="shared" si="57"/>
        <v>756909.5643</v>
      </c>
      <c r="T35" s="278">
        <f t="shared" si="64"/>
        <v>2867415</v>
      </c>
      <c r="U35" s="266">
        <f t="shared" si="17"/>
        <v>1344990.073</v>
      </c>
      <c r="V35" s="279">
        <f t="shared" si="54"/>
        <v>3756857.465</v>
      </c>
      <c r="W35" s="266">
        <f t="shared" si="42"/>
        <v>1009821</v>
      </c>
      <c r="X35" s="266">
        <f t="shared" si="19"/>
        <v>1101450.694</v>
      </c>
      <c r="Y35" s="270">
        <f t="shared" si="55"/>
        <v>2528057.89</v>
      </c>
      <c r="Z35" s="266"/>
      <c r="AA35" s="277">
        <f>AA36+367393</f>
        <v>388035.8</v>
      </c>
      <c r="AB35" s="280">
        <f t="shared" si="4"/>
        <v>27569700.99</v>
      </c>
      <c r="AC35" s="279">
        <f t="shared" si="71"/>
        <v>4243991.583</v>
      </c>
      <c r="AD35" s="279">
        <f t="shared" si="56"/>
        <v>-26811.91777</v>
      </c>
      <c r="AE35" s="283">
        <f t="shared" si="21"/>
        <v>31840504.49</v>
      </c>
      <c r="AF35" s="273">
        <f t="shared" si="22"/>
        <v>0.01407471921</v>
      </c>
      <c r="AG35" s="274">
        <f t="shared" si="23"/>
        <v>4270803.501</v>
      </c>
    </row>
    <row r="36">
      <c r="A36" s="276">
        <f t="shared" si="3"/>
        <v>46066</v>
      </c>
      <c r="B36" s="269">
        <f t="shared" ref="B36:B48" si="72">101.56*3620</f>
        <v>367647.2</v>
      </c>
      <c r="C36" s="266"/>
      <c r="D36" s="266"/>
      <c r="E36" s="266"/>
      <c r="F36" s="259"/>
      <c r="G36" s="259">
        <f t="shared" si="65"/>
        <v>2913460</v>
      </c>
      <c r="H36" s="281">
        <f t="shared" si="58"/>
        <v>738000</v>
      </c>
      <c r="I36" s="267">
        <v>0.0</v>
      </c>
      <c r="J36" s="259">
        <f t="shared" si="66"/>
        <v>5191400</v>
      </c>
      <c r="K36" s="268">
        <f t="shared" si="67"/>
        <v>1854600</v>
      </c>
      <c r="L36" s="268">
        <f t="shared" si="68"/>
        <v>147920</v>
      </c>
      <c r="M36" s="268">
        <f t="shared" si="69"/>
        <v>1091500</v>
      </c>
      <c r="N36" s="268">
        <f t="shared" si="70"/>
        <v>2368400</v>
      </c>
      <c r="O36" s="269">
        <f t="shared" si="62"/>
        <v>733000</v>
      </c>
      <c r="P36" s="269">
        <f t="shared" si="59"/>
        <v>1142600</v>
      </c>
      <c r="Q36" s="269">
        <f t="shared" si="60"/>
        <v>0</v>
      </c>
      <c r="R36" s="266">
        <f t="shared" si="63"/>
        <v>1921489</v>
      </c>
      <c r="S36" s="268">
        <f t="shared" si="57"/>
        <v>755731.717</v>
      </c>
      <c r="T36" s="278">
        <f t="shared" si="64"/>
        <v>2864555</v>
      </c>
      <c r="U36" s="266">
        <f t="shared" si="17"/>
        <v>1344990.073</v>
      </c>
      <c r="V36" s="279">
        <f t="shared" si="54"/>
        <v>3756106.244</v>
      </c>
      <c r="W36" s="266">
        <f t="shared" si="42"/>
        <v>1009394</v>
      </c>
      <c r="X36" s="266">
        <f t="shared" si="19"/>
        <v>1099719.352</v>
      </c>
      <c r="Y36" s="270">
        <f t="shared" si="55"/>
        <v>2526725.06</v>
      </c>
      <c r="Z36" s="266"/>
      <c r="AA36" s="277">
        <f t="shared" ref="AA36:AA37" si="73">AA37</f>
        <v>20642.8</v>
      </c>
      <c r="AB36" s="280">
        <f t="shared" si="4"/>
        <v>27208648.27</v>
      </c>
      <c r="AC36" s="279">
        <f t="shared" si="71"/>
        <v>4242373.056</v>
      </c>
      <c r="AD36" s="279">
        <f t="shared" si="56"/>
        <v>-29211.91777</v>
      </c>
      <c r="AE36" s="283">
        <f t="shared" si="21"/>
        <v>31480233.25</v>
      </c>
      <c r="AF36" s="273">
        <f t="shared" si="22"/>
        <v>0.0007586852457</v>
      </c>
      <c r="AG36" s="274">
        <f t="shared" si="23"/>
        <v>4271584.973</v>
      </c>
    </row>
    <row r="37">
      <c r="A37" s="276">
        <f t="shared" si="3"/>
        <v>46065</v>
      </c>
      <c r="B37" s="269">
        <f t="shared" si="72"/>
        <v>367647.2</v>
      </c>
      <c r="C37" s="266"/>
      <c r="D37" s="266"/>
      <c r="E37" s="266"/>
      <c r="F37" s="259"/>
      <c r="G37" s="259">
        <f>209*13900</f>
        <v>2905100</v>
      </c>
      <c r="H37" s="281">
        <f>12*62600</f>
        <v>751200</v>
      </c>
      <c r="I37" s="267">
        <v>0.0</v>
      </c>
      <c r="J37" s="259">
        <f>101*49500</f>
        <v>4999500</v>
      </c>
      <c r="K37" s="268">
        <f t="shared" si="67"/>
        <v>1854600</v>
      </c>
      <c r="L37" s="268">
        <f>2*73400</f>
        <v>146800</v>
      </c>
      <c r="M37" s="268">
        <f t="shared" si="69"/>
        <v>1091500</v>
      </c>
      <c r="N37" s="268">
        <f>124*19420</f>
        <v>2408080</v>
      </c>
      <c r="O37" s="269">
        <f>1*730000</f>
        <v>730000</v>
      </c>
      <c r="P37" s="269">
        <f>5*229840</f>
        <v>1149200</v>
      </c>
      <c r="Q37" s="269">
        <f t="shared" si="60"/>
        <v>0</v>
      </c>
      <c r="R37" s="266">
        <f t="shared" si="63"/>
        <v>1936891</v>
      </c>
      <c r="S37" s="268">
        <f t="shared" si="57"/>
        <v>754553.8697</v>
      </c>
      <c r="T37" s="278">
        <f t="shared" si="64"/>
        <v>2861695</v>
      </c>
      <c r="U37" s="266">
        <f t="shared" si="17"/>
        <v>1344990.073</v>
      </c>
      <c r="V37" s="279">
        <f t="shared" si="54"/>
        <v>3755355.173</v>
      </c>
      <c r="W37" s="266">
        <f t="shared" si="42"/>
        <v>1008967</v>
      </c>
      <c r="X37" s="266">
        <f t="shared" si="19"/>
        <v>1097988.009</v>
      </c>
      <c r="Y37" s="270">
        <f t="shared" si="55"/>
        <v>2525392.23</v>
      </c>
      <c r="Z37" s="266"/>
      <c r="AA37" s="277">
        <f t="shared" si="73"/>
        <v>20642.8</v>
      </c>
      <c r="AB37" s="280">
        <f t="shared" si="4"/>
        <v>27070088.71</v>
      </c>
      <c r="AC37" s="279">
        <f t="shared" si="71"/>
        <v>4240754.528</v>
      </c>
      <c r="AD37" s="279">
        <f t="shared" si="56"/>
        <v>-31611.91777</v>
      </c>
      <c r="AE37" s="283">
        <f t="shared" si="21"/>
        <v>31342455.15</v>
      </c>
      <c r="AF37" s="273">
        <f t="shared" si="22"/>
        <v>0.000762568613</v>
      </c>
      <c r="AG37" s="274">
        <f t="shared" si="23"/>
        <v>4272366.446</v>
      </c>
    </row>
    <row r="38">
      <c r="A38" s="264">
        <f t="shared" si="3"/>
        <v>46064</v>
      </c>
      <c r="B38" s="269">
        <f t="shared" si="72"/>
        <v>367647.2</v>
      </c>
      <c r="C38" s="266"/>
      <c r="D38" s="266"/>
      <c r="E38" s="266"/>
      <c r="F38" s="259"/>
      <c r="G38" s="259">
        <f>209*13980</f>
        <v>2921820</v>
      </c>
      <c r="H38" s="281">
        <f>12*64040</f>
        <v>768480</v>
      </c>
      <c r="I38" s="267">
        <v>0.0</v>
      </c>
      <c r="J38" s="259">
        <f>101*49480</f>
        <v>4997480</v>
      </c>
      <c r="K38" s="268">
        <f t="shared" si="67"/>
        <v>1854600</v>
      </c>
      <c r="L38" s="268">
        <f>2*73000</f>
        <v>146000</v>
      </c>
      <c r="M38" s="268">
        <f>59*19320</f>
        <v>1139880</v>
      </c>
      <c r="N38" s="268">
        <f>124*19940</f>
        <v>2472560</v>
      </c>
      <c r="O38" s="269">
        <f>1*748800</f>
        <v>748800</v>
      </c>
      <c r="P38" s="269">
        <f>5*233940</f>
        <v>1169700</v>
      </c>
      <c r="Q38" s="269">
        <f t="shared" si="60"/>
        <v>0</v>
      </c>
      <c r="R38" s="266">
        <f t="shared" si="63"/>
        <v>1952293</v>
      </c>
      <c r="S38" s="268">
        <f t="shared" si="57"/>
        <v>753376.0224</v>
      </c>
      <c r="T38" s="278">
        <f t="shared" si="64"/>
        <v>2858835</v>
      </c>
      <c r="U38" s="266">
        <f t="shared" si="17"/>
        <v>1344990.073</v>
      </c>
      <c r="V38" s="279">
        <f t="shared" si="54"/>
        <v>3754604.252</v>
      </c>
      <c r="W38" s="266">
        <f t="shared" si="42"/>
        <v>1008540</v>
      </c>
      <c r="X38" s="266">
        <f t="shared" si="19"/>
        <v>1096256.666</v>
      </c>
      <c r="Y38" s="270">
        <f t="shared" si="55"/>
        <v>2524059.4</v>
      </c>
      <c r="Z38" s="266"/>
      <c r="AA38" s="277">
        <f>AA39-48200*21+440760</f>
        <v>20642.8</v>
      </c>
      <c r="AB38" s="280">
        <f t="shared" si="4"/>
        <v>27259769.3</v>
      </c>
      <c r="AC38" s="279">
        <f t="shared" si="71"/>
        <v>4239136</v>
      </c>
      <c r="AD38" s="279">
        <f t="shared" si="56"/>
        <v>-34011.91777</v>
      </c>
      <c r="AE38" s="283">
        <f t="shared" si="21"/>
        <v>31532917.21</v>
      </c>
      <c r="AF38" s="273">
        <f t="shared" si="22"/>
        <v>0.0007572624616</v>
      </c>
      <c r="AG38" s="274">
        <f t="shared" si="23"/>
        <v>4273147.918</v>
      </c>
    </row>
    <row r="39">
      <c r="A39" s="264">
        <f t="shared" si="3"/>
        <v>46063</v>
      </c>
      <c r="B39" s="269">
        <f t="shared" si="72"/>
        <v>367647.2</v>
      </c>
      <c r="C39" s="266"/>
      <c r="D39" s="266"/>
      <c r="E39" s="266"/>
      <c r="F39" s="259"/>
      <c r="G39" s="259">
        <f>209*14380</f>
        <v>3005420</v>
      </c>
      <c r="H39" s="281">
        <f>12*64240</f>
        <v>770880</v>
      </c>
      <c r="I39" s="259">
        <f>6*73460</f>
        <v>440760</v>
      </c>
      <c r="J39" s="259">
        <f>80*51520</f>
        <v>4121600</v>
      </c>
      <c r="K39" s="268">
        <f t="shared" si="67"/>
        <v>1854600</v>
      </c>
      <c r="L39" s="268">
        <f>2*73700</f>
        <v>147400</v>
      </c>
      <c r="M39" s="268">
        <f>59*19780</f>
        <v>1167020</v>
      </c>
      <c r="N39" s="268">
        <f>124*19960</f>
        <v>2475040</v>
      </c>
      <c r="O39" s="269">
        <f>1*763040</f>
        <v>763040</v>
      </c>
      <c r="P39" s="269">
        <f>5*230260</f>
        <v>1151300</v>
      </c>
      <c r="Q39" s="269">
        <f t="shared" si="60"/>
        <v>0</v>
      </c>
      <c r="R39" s="266">
        <f t="shared" si="63"/>
        <v>1967695</v>
      </c>
      <c r="S39" s="268">
        <f t="shared" si="57"/>
        <v>752198.1751</v>
      </c>
      <c r="T39" s="278">
        <f t="shared" si="64"/>
        <v>2855975</v>
      </c>
      <c r="U39" s="266">
        <f t="shared" si="17"/>
        <v>1344990.073</v>
      </c>
      <c r="V39" s="279">
        <f t="shared" si="54"/>
        <v>3753853.481</v>
      </c>
      <c r="W39" s="266">
        <f t="shared" si="42"/>
        <v>1008113</v>
      </c>
      <c r="X39" s="266">
        <f t="shared" si="19"/>
        <v>1094525.324</v>
      </c>
      <c r="Y39" s="270">
        <f t="shared" si="55"/>
        <v>2522726.57</v>
      </c>
      <c r="Z39" s="266"/>
      <c r="AA39" s="277">
        <f t="shared" ref="AA39:AA43" si="74">AA40</f>
        <v>592082.8</v>
      </c>
      <c r="AB39" s="280">
        <f t="shared" si="4"/>
        <v>27515290.03</v>
      </c>
      <c r="AC39" s="279">
        <f t="shared" si="71"/>
        <v>4237517.472</v>
      </c>
      <c r="AD39" s="279">
        <f t="shared" si="56"/>
        <v>-36411.91777</v>
      </c>
      <c r="AE39" s="283">
        <f t="shared" si="21"/>
        <v>31789219.42</v>
      </c>
      <c r="AF39" s="273">
        <f t="shared" si="22"/>
        <v>0.02151831942</v>
      </c>
      <c r="AG39" s="274">
        <f t="shared" si="23"/>
        <v>4273929.39</v>
      </c>
    </row>
    <row r="40">
      <c r="A40" s="264">
        <f t="shared" si="3"/>
        <v>46062</v>
      </c>
      <c r="B40" s="269">
        <f t="shared" si="72"/>
        <v>367647.2</v>
      </c>
      <c r="C40" s="266"/>
      <c r="D40" s="266"/>
      <c r="E40" s="266"/>
      <c r="F40" s="259"/>
      <c r="G40" s="259">
        <f>209*14360</f>
        <v>3001240</v>
      </c>
      <c r="H40" s="281">
        <f>12*64900</f>
        <v>778800</v>
      </c>
      <c r="I40" s="259">
        <f>6*73300</f>
        <v>439800</v>
      </c>
      <c r="J40" s="259">
        <f>80*51700</f>
        <v>4136000</v>
      </c>
      <c r="K40" s="268">
        <f t="shared" si="67"/>
        <v>1854600</v>
      </c>
      <c r="L40" s="268">
        <f>2*73120</f>
        <v>146240</v>
      </c>
      <c r="M40" s="268">
        <f>59*19740</f>
        <v>1164660</v>
      </c>
      <c r="N40" s="268">
        <f>124*19680</f>
        <v>2440320</v>
      </c>
      <c r="O40" s="269">
        <f>1*770980</f>
        <v>770980</v>
      </c>
      <c r="P40" s="269">
        <f>5*229500</f>
        <v>1147500</v>
      </c>
      <c r="Q40" s="269">
        <f t="shared" si="60"/>
        <v>0</v>
      </c>
      <c r="R40" s="266">
        <f t="shared" si="63"/>
        <v>1983097</v>
      </c>
      <c r="S40" s="268">
        <f t="shared" si="57"/>
        <v>751020.3278</v>
      </c>
      <c r="T40" s="278">
        <f t="shared" si="64"/>
        <v>2853115</v>
      </c>
      <c r="U40" s="266">
        <f t="shared" si="17"/>
        <v>1344990.073</v>
      </c>
      <c r="V40" s="279">
        <f t="shared" si="54"/>
        <v>3753102.861</v>
      </c>
      <c r="W40" s="266">
        <f t="shared" si="42"/>
        <v>1007686</v>
      </c>
      <c r="X40" s="266">
        <f t="shared" si="19"/>
        <v>1092793.981</v>
      </c>
      <c r="Y40" s="270">
        <f t="shared" si="55"/>
        <v>2521393.74</v>
      </c>
      <c r="Z40" s="266"/>
      <c r="AA40" s="277">
        <f t="shared" si="74"/>
        <v>592082.8</v>
      </c>
      <c r="AB40" s="280">
        <f t="shared" si="4"/>
        <v>27504710.92</v>
      </c>
      <c r="AC40" s="279">
        <f t="shared" si="71"/>
        <v>4235898.945</v>
      </c>
      <c r="AD40" s="279">
        <f t="shared" si="56"/>
        <v>-38811.91777</v>
      </c>
      <c r="AE40" s="283">
        <f t="shared" si="21"/>
        <v>31779421.78</v>
      </c>
      <c r="AF40" s="273">
        <f t="shared" si="22"/>
        <v>0.021526596</v>
      </c>
      <c r="AG40" s="274">
        <f t="shared" si="23"/>
        <v>4274710.862</v>
      </c>
    </row>
    <row r="41">
      <c r="A41" s="275">
        <f t="shared" si="3"/>
        <v>46061</v>
      </c>
      <c r="B41" s="269">
        <f t="shared" si="72"/>
        <v>367647.2</v>
      </c>
      <c r="C41" s="266"/>
      <c r="D41" s="266"/>
      <c r="E41" s="266"/>
      <c r="F41" s="259"/>
      <c r="G41" s="259">
        <f t="shared" ref="G41:G43" si="75">209*14200</f>
        <v>2967800</v>
      </c>
      <c r="H41" s="281">
        <f t="shared" ref="H41:H43" si="76">12*63500</f>
        <v>762000</v>
      </c>
      <c r="I41" s="259">
        <f t="shared" ref="I41:I43" si="77">6*72400</f>
        <v>434400</v>
      </c>
      <c r="J41" s="259">
        <f t="shared" ref="J41:J43" si="78">80*51200</f>
        <v>4096000</v>
      </c>
      <c r="K41" s="268">
        <f t="shared" si="67"/>
        <v>1854600</v>
      </c>
      <c r="L41" s="268">
        <f t="shared" ref="L41:L43" si="79">2*72640</f>
        <v>145280</v>
      </c>
      <c r="M41" s="268">
        <f t="shared" ref="M41:M43" si="80">59*19800</f>
        <v>1168200</v>
      </c>
      <c r="N41" s="268">
        <f t="shared" ref="N41:N43" si="81">124*19200</f>
        <v>2380800</v>
      </c>
      <c r="O41" s="269">
        <f t="shared" ref="O41:O43" si="82">1*769100</f>
        <v>769100</v>
      </c>
      <c r="P41" s="269">
        <f t="shared" ref="P41:P43" si="83">5*231020</f>
        <v>1155100</v>
      </c>
      <c r="Q41" s="269">
        <f t="shared" si="60"/>
        <v>0</v>
      </c>
      <c r="R41" s="266">
        <f t="shared" si="63"/>
        <v>1998499</v>
      </c>
      <c r="S41" s="268">
        <f t="shared" si="57"/>
        <v>749842.4805</v>
      </c>
      <c r="T41" s="278">
        <f t="shared" si="64"/>
        <v>2850255</v>
      </c>
      <c r="U41" s="266">
        <f t="shared" si="17"/>
        <v>1344990.073</v>
      </c>
      <c r="V41" s="279">
        <f t="shared" si="54"/>
        <v>3752352.39</v>
      </c>
      <c r="W41" s="266">
        <f t="shared" si="42"/>
        <v>1007259</v>
      </c>
      <c r="X41" s="266">
        <f t="shared" si="19"/>
        <v>1091062.639</v>
      </c>
      <c r="Y41" s="270">
        <f t="shared" si="55"/>
        <v>2520060.91</v>
      </c>
      <c r="Z41" s="266"/>
      <c r="AA41" s="277">
        <f t="shared" si="74"/>
        <v>592082.8</v>
      </c>
      <c r="AB41" s="280">
        <f t="shared" si="4"/>
        <v>27364191.96</v>
      </c>
      <c r="AC41" s="279">
        <f t="shared" si="71"/>
        <v>4234280.417</v>
      </c>
      <c r="AD41" s="279">
        <f t="shared" si="56"/>
        <v>-41211.91777</v>
      </c>
      <c r="AE41" s="283">
        <f t="shared" si="21"/>
        <v>31639684.29</v>
      </c>
      <c r="AF41" s="273">
        <f t="shared" si="22"/>
        <v>0.02163713809</v>
      </c>
      <c r="AG41" s="274">
        <f t="shared" si="23"/>
        <v>4275492.335</v>
      </c>
    </row>
    <row r="42">
      <c r="A42" s="275">
        <f t="shared" si="3"/>
        <v>46060</v>
      </c>
      <c r="B42" s="269">
        <f t="shared" si="72"/>
        <v>367647.2</v>
      </c>
      <c r="C42" s="266"/>
      <c r="D42" s="266"/>
      <c r="E42" s="266"/>
      <c r="F42" s="259"/>
      <c r="G42" s="259">
        <f t="shared" si="75"/>
        <v>2967800</v>
      </c>
      <c r="H42" s="281">
        <f t="shared" si="76"/>
        <v>762000</v>
      </c>
      <c r="I42" s="259">
        <f t="shared" si="77"/>
        <v>434400</v>
      </c>
      <c r="J42" s="259">
        <f t="shared" si="78"/>
        <v>4096000</v>
      </c>
      <c r="K42" s="268">
        <f t="shared" si="67"/>
        <v>1854600</v>
      </c>
      <c r="L42" s="268">
        <f t="shared" si="79"/>
        <v>145280</v>
      </c>
      <c r="M42" s="268">
        <f t="shared" si="80"/>
        <v>1168200</v>
      </c>
      <c r="N42" s="268">
        <f t="shared" si="81"/>
        <v>2380800</v>
      </c>
      <c r="O42" s="269">
        <f t="shared" si="82"/>
        <v>769100</v>
      </c>
      <c r="P42" s="269">
        <f t="shared" si="83"/>
        <v>1155100</v>
      </c>
      <c r="Q42" s="269">
        <f t="shared" si="60"/>
        <v>0</v>
      </c>
      <c r="R42" s="266">
        <f t="shared" si="63"/>
        <v>2013901</v>
      </c>
      <c r="S42" s="268">
        <f t="shared" si="57"/>
        <v>748664.6332</v>
      </c>
      <c r="T42" s="278">
        <f t="shared" si="64"/>
        <v>2847395</v>
      </c>
      <c r="U42" s="266">
        <f t="shared" si="17"/>
        <v>1344990.073</v>
      </c>
      <c r="V42" s="279">
        <f t="shared" si="54"/>
        <v>3751602.07</v>
      </c>
      <c r="W42" s="266">
        <f t="shared" si="42"/>
        <v>1006832</v>
      </c>
      <c r="X42" s="266">
        <f t="shared" si="19"/>
        <v>1089331.296</v>
      </c>
      <c r="Y42" s="270">
        <f t="shared" si="55"/>
        <v>2518728.08</v>
      </c>
      <c r="Z42" s="266"/>
      <c r="AA42" s="277">
        <f t="shared" si="74"/>
        <v>592082.8</v>
      </c>
      <c r="AB42" s="280">
        <f t="shared" si="4"/>
        <v>27370533.15</v>
      </c>
      <c r="AC42" s="279">
        <f t="shared" si="71"/>
        <v>4232661.889</v>
      </c>
      <c r="AD42" s="279">
        <f t="shared" si="56"/>
        <v>-43611.91777</v>
      </c>
      <c r="AE42" s="283">
        <f t="shared" si="21"/>
        <v>31646806.95</v>
      </c>
      <c r="AF42" s="273">
        <f t="shared" si="22"/>
        <v>0.02163212521</v>
      </c>
      <c r="AG42" s="274">
        <f t="shared" si="23"/>
        <v>4276273.807</v>
      </c>
    </row>
    <row r="43">
      <c r="A43" s="276">
        <f t="shared" si="3"/>
        <v>46059</v>
      </c>
      <c r="B43" s="269">
        <f t="shared" si="72"/>
        <v>367647.2</v>
      </c>
      <c r="C43" s="266"/>
      <c r="D43" s="266"/>
      <c r="E43" s="266"/>
      <c r="F43" s="259"/>
      <c r="G43" s="259">
        <f t="shared" si="75"/>
        <v>2967800</v>
      </c>
      <c r="H43" s="281">
        <f t="shared" si="76"/>
        <v>762000</v>
      </c>
      <c r="I43" s="259">
        <f t="shared" si="77"/>
        <v>434400</v>
      </c>
      <c r="J43" s="259">
        <f t="shared" si="78"/>
        <v>4096000</v>
      </c>
      <c r="K43" s="268">
        <f t="shared" si="67"/>
        <v>1854600</v>
      </c>
      <c r="L43" s="268">
        <f t="shared" si="79"/>
        <v>145280</v>
      </c>
      <c r="M43" s="268">
        <f t="shared" si="80"/>
        <v>1168200</v>
      </c>
      <c r="N43" s="268">
        <f t="shared" si="81"/>
        <v>2380800</v>
      </c>
      <c r="O43" s="269">
        <f t="shared" si="82"/>
        <v>769100</v>
      </c>
      <c r="P43" s="269">
        <f t="shared" si="83"/>
        <v>1155100</v>
      </c>
      <c r="Q43" s="269">
        <f t="shared" si="60"/>
        <v>0</v>
      </c>
      <c r="R43" s="266">
        <f t="shared" si="63"/>
        <v>2029303</v>
      </c>
      <c r="S43" s="268">
        <f t="shared" si="57"/>
        <v>747486.7859</v>
      </c>
      <c r="T43" s="278">
        <f t="shared" si="64"/>
        <v>2844535</v>
      </c>
      <c r="U43" s="266">
        <f t="shared" si="17"/>
        <v>1344990.073</v>
      </c>
      <c r="V43" s="279">
        <f t="shared" si="54"/>
        <v>3750851.9</v>
      </c>
      <c r="W43" s="266">
        <f t="shared" si="42"/>
        <v>1006405</v>
      </c>
      <c r="X43" s="266">
        <f t="shared" si="19"/>
        <v>1087599.954</v>
      </c>
      <c r="Y43" s="270">
        <f t="shared" si="55"/>
        <v>2517395.25</v>
      </c>
      <c r="Z43" s="266"/>
      <c r="AA43" s="277">
        <f t="shared" si="74"/>
        <v>592082.8</v>
      </c>
      <c r="AB43" s="280">
        <f t="shared" si="4"/>
        <v>27376874.48</v>
      </c>
      <c r="AC43" s="279">
        <f t="shared" si="71"/>
        <v>4231043.361</v>
      </c>
      <c r="AD43" s="279">
        <f t="shared" si="56"/>
        <v>-46011.91777</v>
      </c>
      <c r="AE43" s="283">
        <f t="shared" si="21"/>
        <v>31653929.76</v>
      </c>
      <c r="AF43" s="273">
        <f t="shared" si="22"/>
        <v>0.02162711453</v>
      </c>
      <c r="AG43" s="274">
        <f t="shared" si="23"/>
        <v>4277055.279</v>
      </c>
    </row>
    <row r="44">
      <c r="A44" s="276">
        <f t="shared" si="3"/>
        <v>46058</v>
      </c>
      <c r="B44" s="269">
        <f t="shared" si="72"/>
        <v>367647.2</v>
      </c>
      <c r="C44" s="266"/>
      <c r="D44" s="266"/>
      <c r="E44" s="266"/>
      <c r="F44" s="259"/>
      <c r="G44" s="259">
        <f>209*14000</f>
        <v>2926000</v>
      </c>
      <c r="H44" s="281">
        <f>12*61900</f>
        <v>742800</v>
      </c>
      <c r="I44" s="259">
        <f>6*70300</f>
        <v>421800</v>
      </c>
      <c r="J44" s="259">
        <f>80*50000</f>
        <v>4000000</v>
      </c>
      <c r="K44" s="268">
        <f t="shared" si="67"/>
        <v>1854600</v>
      </c>
      <c r="L44" s="268">
        <f>2*71300</f>
        <v>142600</v>
      </c>
      <c r="M44" s="268">
        <f>59*19640</f>
        <v>1158760</v>
      </c>
      <c r="N44" s="268">
        <f>124*18320</f>
        <v>2271680</v>
      </c>
      <c r="O44" s="269">
        <f>1*854840</f>
        <v>854840</v>
      </c>
      <c r="P44" s="269">
        <f>5*231000</f>
        <v>1155000</v>
      </c>
      <c r="Q44" s="269">
        <f t="shared" si="60"/>
        <v>0</v>
      </c>
      <c r="R44" s="266">
        <f>R45-8402+120000</f>
        <v>2044705</v>
      </c>
      <c r="S44" s="268">
        <f t="shared" si="57"/>
        <v>746308.9386</v>
      </c>
      <c r="T44" s="278">
        <f t="shared" si="64"/>
        <v>2841675</v>
      </c>
      <c r="U44" s="266">
        <f t="shared" si="17"/>
        <v>1344990.073</v>
      </c>
      <c r="V44" s="279">
        <f t="shared" si="54"/>
        <v>3750101.879</v>
      </c>
      <c r="W44" s="266">
        <f t="shared" si="42"/>
        <v>1005978</v>
      </c>
      <c r="X44" s="266">
        <f t="shared" si="19"/>
        <v>1085868.611</v>
      </c>
      <c r="Y44" s="270">
        <f t="shared" si="55"/>
        <v>2516062.42</v>
      </c>
      <c r="Z44" s="266"/>
      <c r="AA44" s="277">
        <f>AA45-120000</f>
        <v>592082.8</v>
      </c>
      <c r="AB44" s="280">
        <f t="shared" si="4"/>
        <v>27178015.97</v>
      </c>
      <c r="AC44" s="279">
        <f t="shared" si="71"/>
        <v>4229424.833</v>
      </c>
      <c r="AD44" s="279">
        <f t="shared" si="56"/>
        <v>-48411.91777</v>
      </c>
      <c r="AE44" s="283">
        <f t="shared" si="21"/>
        <v>31455852.72</v>
      </c>
      <c r="AF44" s="273">
        <f t="shared" si="22"/>
        <v>0.02178535772</v>
      </c>
      <c r="AG44" s="274">
        <f t="shared" si="23"/>
        <v>4277836.751</v>
      </c>
    </row>
    <row r="45">
      <c r="A45" s="264">
        <f t="shared" si="3"/>
        <v>46057</v>
      </c>
      <c r="B45" s="269">
        <f t="shared" si="72"/>
        <v>367647.2</v>
      </c>
      <c r="C45" s="266"/>
      <c r="D45" s="266"/>
      <c r="E45" s="266"/>
      <c r="F45" s="259"/>
      <c r="G45" s="259">
        <f>209*14360</f>
        <v>3001240</v>
      </c>
      <c r="H45" s="281">
        <f>12*62500</f>
        <v>750000</v>
      </c>
      <c r="I45" s="259">
        <f>6*71480</f>
        <v>428880</v>
      </c>
      <c r="J45" s="259">
        <f>80*51960</f>
        <v>4156800</v>
      </c>
      <c r="K45" s="268">
        <f t="shared" si="67"/>
        <v>1854600</v>
      </c>
      <c r="L45" s="268">
        <f>2*73000</f>
        <v>146000</v>
      </c>
      <c r="M45" s="268">
        <f>59*19700</f>
        <v>1162300</v>
      </c>
      <c r="N45" s="268">
        <f>124*19000</f>
        <v>2356000</v>
      </c>
      <c r="O45" s="269">
        <f>1*885000</f>
        <v>885000</v>
      </c>
      <c r="P45" s="269">
        <f>5*234500</f>
        <v>1172500</v>
      </c>
      <c r="Q45" s="269">
        <f t="shared" si="60"/>
        <v>0</v>
      </c>
      <c r="R45" s="266">
        <f>R46-8402+100000</f>
        <v>1933107</v>
      </c>
      <c r="S45" s="268">
        <f t="shared" si="57"/>
        <v>745131.0913</v>
      </c>
      <c r="T45" s="278">
        <f t="shared" si="64"/>
        <v>2838815</v>
      </c>
      <c r="U45" s="266">
        <f t="shared" si="17"/>
        <v>1344990.073</v>
      </c>
      <c r="V45" s="279">
        <f t="shared" si="54"/>
        <v>3749352.009</v>
      </c>
      <c r="W45" s="266">
        <f t="shared" si="42"/>
        <v>1005551</v>
      </c>
      <c r="X45" s="266">
        <f t="shared" si="19"/>
        <v>1084137.268</v>
      </c>
      <c r="Y45" s="270">
        <f t="shared" si="55"/>
        <v>2514729.59</v>
      </c>
      <c r="Z45" s="266"/>
      <c r="AA45" s="277">
        <f>AA46-100000</f>
        <v>712082.8</v>
      </c>
      <c r="AB45" s="280">
        <f t="shared" si="4"/>
        <v>27562597.61</v>
      </c>
      <c r="AC45" s="279">
        <f t="shared" si="71"/>
        <v>4227806.306</v>
      </c>
      <c r="AD45" s="279">
        <f t="shared" si="56"/>
        <v>-50811.91777</v>
      </c>
      <c r="AE45" s="283">
        <f t="shared" si="21"/>
        <v>31841215.83</v>
      </c>
      <c r="AF45" s="273">
        <f t="shared" si="22"/>
        <v>0.02583511214</v>
      </c>
      <c r="AG45" s="274">
        <f t="shared" si="23"/>
        <v>4278618.223</v>
      </c>
    </row>
    <row r="46">
      <c r="A46" s="264">
        <f t="shared" si="3"/>
        <v>46056</v>
      </c>
      <c r="B46" s="269">
        <f t="shared" si="72"/>
        <v>367647.2</v>
      </c>
      <c r="C46" s="266"/>
      <c r="D46" s="266"/>
      <c r="E46" s="266"/>
      <c r="F46" s="259"/>
      <c r="G46" s="259">
        <f>209*14500</f>
        <v>3030500</v>
      </c>
      <c r="H46" s="281">
        <f>12*66000</f>
        <v>792000</v>
      </c>
      <c r="I46" s="259">
        <f>6*75020</f>
        <v>450120</v>
      </c>
      <c r="J46" s="259">
        <f>80*52500</f>
        <v>4200000</v>
      </c>
      <c r="K46" s="268">
        <f t="shared" si="67"/>
        <v>1854600</v>
      </c>
      <c r="L46" s="268">
        <f>2*74920</f>
        <v>149840</v>
      </c>
      <c r="M46" s="268">
        <f>59*20000</f>
        <v>1180000</v>
      </c>
      <c r="N46" s="268">
        <f>124*19200</f>
        <v>2380800</v>
      </c>
      <c r="O46" s="269">
        <f>1*873000</f>
        <v>873000</v>
      </c>
      <c r="P46" s="269">
        <f>5*215000</f>
        <v>1075000</v>
      </c>
      <c r="Q46" s="269">
        <f t="shared" si="60"/>
        <v>0</v>
      </c>
      <c r="R46" s="266">
        <f>R47-8402</f>
        <v>1841509</v>
      </c>
      <c r="S46" s="268">
        <f t="shared" si="57"/>
        <v>743953.244</v>
      </c>
      <c r="T46" s="278">
        <f t="shared" si="64"/>
        <v>2835955</v>
      </c>
      <c r="U46" s="266">
        <f t="shared" si="17"/>
        <v>1344990.073</v>
      </c>
      <c r="V46" s="279">
        <f t="shared" si="54"/>
        <v>3748602.288</v>
      </c>
      <c r="W46" s="266">
        <f t="shared" si="42"/>
        <v>1005124</v>
      </c>
      <c r="X46" s="266">
        <f t="shared" si="19"/>
        <v>1082405.926</v>
      </c>
      <c r="Y46" s="270">
        <f t="shared" si="55"/>
        <v>2513396.76</v>
      </c>
      <c r="Z46" s="266"/>
      <c r="AA46" s="277">
        <f>AA47-10000</f>
        <v>812082.8</v>
      </c>
      <c r="AB46" s="280">
        <f t="shared" si="4"/>
        <v>27634479.4</v>
      </c>
      <c r="AC46" s="279">
        <f t="shared" si="71"/>
        <v>4226187.778</v>
      </c>
      <c r="AD46" s="279">
        <f t="shared" si="56"/>
        <v>-53211.91777</v>
      </c>
      <c r="AE46" s="283">
        <f t="shared" si="21"/>
        <v>31913879.09</v>
      </c>
      <c r="AF46" s="273">
        <f t="shared" si="22"/>
        <v>0.02938657857</v>
      </c>
      <c r="AG46" s="274">
        <f t="shared" si="23"/>
        <v>4279399.696</v>
      </c>
    </row>
    <row r="47">
      <c r="A47" s="264">
        <f t="shared" si="3"/>
        <v>46055</v>
      </c>
      <c r="B47" s="269">
        <f t="shared" si="72"/>
        <v>367647.2</v>
      </c>
      <c r="C47" s="266"/>
      <c r="D47" s="266"/>
      <c r="E47" s="266"/>
      <c r="F47" s="259"/>
      <c r="G47" s="259">
        <f t="shared" ref="G47:G51" si="84">209*14580</f>
        <v>3047220</v>
      </c>
      <c r="H47" s="281">
        <f>12*65680</f>
        <v>788160</v>
      </c>
      <c r="I47" s="259">
        <f>6*74660</f>
        <v>447960</v>
      </c>
      <c r="J47" s="259">
        <f>80*51880</f>
        <v>4150400</v>
      </c>
      <c r="K47" s="268">
        <f t="shared" si="67"/>
        <v>1854600</v>
      </c>
      <c r="L47" s="268">
        <f>2*75500</f>
        <v>151000</v>
      </c>
      <c r="M47" s="268">
        <f>59*19760</f>
        <v>1165840</v>
      </c>
      <c r="N47" s="268">
        <f>124*19100</f>
        <v>2368400</v>
      </c>
      <c r="O47" s="269">
        <f>1*879000</f>
        <v>879000</v>
      </c>
      <c r="P47" s="269">
        <f>5*225200</f>
        <v>1126000</v>
      </c>
      <c r="Q47" s="269">
        <f t="shared" si="60"/>
        <v>0</v>
      </c>
      <c r="R47" s="266">
        <f>R48-8402+50000</f>
        <v>1849911</v>
      </c>
      <c r="S47" s="268">
        <f t="shared" si="57"/>
        <v>742775.3967</v>
      </c>
      <c r="T47" s="278">
        <f t="shared" si="64"/>
        <v>2833095</v>
      </c>
      <c r="U47" s="266">
        <f t="shared" si="17"/>
        <v>1344990.073</v>
      </c>
      <c r="V47" s="279">
        <f t="shared" si="54"/>
        <v>3747852.718</v>
      </c>
      <c r="W47" s="266">
        <f t="shared" si="42"/>
        <v>1004697</v>
      </c>
      <c r="X47" s="266">
        <f>X48+1731.342590164-174000</f>
        <v>1080674.583</v>
      </c>
      <c r="Y47" s="270">
        <f t="shared" si="55"/>
        <v>2512063.93</v>
      </c>
      <c r="Z47" s="266"/>
      <c r="AA47" s="277">
        <f>AA48+174000-10000-50000</f>
        <v>822082.8</v>
      </c>
      <c r="AB47" s="280">
        <f t="shared" si="4"/>
        <v>27636541.33</v>
      </c>
      <c r="AC47" s="279">
        <f t="shared" si="71"/>
        <v>4224569.25</v>
      </c>
      <c r="AD47" s="279">
        <f t="shared" si="56"/>
        <v>-55611.91777</v>
      </c>
      <c r="AE47" s="283">
        <f t="shared" si="21"/>
        <v>31916722.5</v>
      </c>
      <c r="AF47" s="273">
        <f t="shared" si="22"/>
        <v>0.02974622584</v>
      </c>
      <c r="AG47" s="274">
        <f t="shared" si="23"/>
        <v>4280181.168</v>
      </c>
    </row>
    <row r="48">
      <c r="A48" s="275">
        <f t="shared" si="3"/>
        <v>46054</v>
      </c>
      <c r="B48" s="269">
        <f t="shared" si="72"/>
        <v>367647.2</v>
      </c>
      <c r="C48" s="266"/>
      <c r="D48" s="266"/>
      <c r="E48" s="266"/>
      <c r="F48" s="259"/>
      <c r="G48" s="259">
        <f t="shared" si="84"/>
        <v>3047220</v>
      </c>
      <c r="H48" s="281">
        <f t="shared" ref="H48:H50" si="85">12*65500</f>
        <v>786000</v>
      </c>
      <c r="I48" s="259">
        <f t="shared" ref="I48:I50" si="86">6*75500</f>
        <v>453000</v>
      </c>
      <c r="J48" s="259">
        <f t="shared" ref="J48:J50" si="87">80*52100</f>
        <v>4168000</v>
      </c>
      <c r="K48" s="268">
        <f t="shared" si="67"/>
        <v>1854600</v>
      </c>
      <c r="L48" s="268">
        <f t="shared" ref="L48:L50" si="88">2*76460</f>
        <v>152920</v>
      </c>
      <c r="M48" s="268">
        <f t="shared" ref="M48:M50" si="89">59*20200</f>
        <v>1191800</v>
      </c>
      <c r="N48" s="268">
        <f t="shared" ref="N48:N50" si="90">124*19840</f>
        <v>2460160</v>
      </c>
      <c r="O48" s="269">
        <f t="shared" ref="O48:O50" si="91">1*890160</f>
        <v>890160</v>
      </c>
      <c r="P48" s="269">
        <f t="shared" ref="P48:P49" si="92">5*236540</f>
        <v>1182700</v>
      </c>
      <c r="Q48" s="269">
        <f t="shared" si="60"/>
        <v>0</v>
      </c>
      <c r="R48" s="266">
        <f t="shared" ref="R48:R49" si="93">R49-8402</f>
        <v>1808313</v>
      </c>
      <c r="S48" s="268">
        <f t="shared" si="57"/>
        <v>741597.5494</v>
      </c>
      <c r="T48" s="278">
        <f t="shared" si="64"/>
        <v>2830235</v>
      </c>
      <c r="U48" s="266">
        <f t="shared" si="17"/>
        <v>1344990.073</v>
      </c>
      <c r="V48" s="279">
        <f t="shared" si="54"/>
        <v>3747103.297</v>
      </c>
      <c r="W48" s="266">
        <f t="shared" si="42"/>
        <v>1004270</v>
      </c>
      <c r="X48" s="266">
        <f t="shared" ref="X48:X69" si="94">X49+2031.342590164</f>
        <v>1252943.241</v>
      </c>
      <c r="Y48" s="270">
        <f t="shared" si="55"/>
        <v>2510731.1</v>
      </c>
      <c r="Z48" s="266"/>
      <c r="AA48" s="277">
        <f t="shared" ref="AA48:AA49" si="95">AA49</f>
        <v>708082.8</v>
      </c>
      <c r="AB48" s="280">
        <f t="shared" si="4"/>
        <v>27853863.42</v>
      </c>
      <c r="AC48" s="279">
        <f t="shared" si="71"/>
        <v>4222950.722</v>
      </c>
      <c r="AD48" s="279">
        <f t="shared" ref="AD48:AD54" si="96">AD49+1400</f>
        <v>-58011.91777</v>
      </c>
      <c r="AE48" s="283">
        <f t="shared" si="21"/>
        <v>32134826.06</v>
      </c>
      <c r="AF48" s="273">
        <f t="shared" si="22"/>
        <v>0.02542134961</v>
      </c>
      <c r="AG48" s="274">
        <f t="shared" si="23"/>
        <v>4280962.64</v>
      </c>
    </row>
    <row r="49">
      <c r="A49" s="275">
        <f t="shared" si="3"/>
        <v>46053</v>
      </c>
      <c r="B49" s="269">
        <f t="shared" ref="B49:B54" si="97">101.56*3700</f>
        <v>375772</v>
      </c>
      <c r="C49" s="266"/>
      <c r="D49" s="266"/>
      <c r="E49" s="266"/>
      <c r="F49" s="259"/>
      <c r="G49" s="259">
        <f t="shared" si="84"/>
        <v>3047220</v>
      </c>
      <c r="H49" s="281">
        <f t="shared" si="85"/>
        <v>786000</v>
      </c>
      <c r="I49" s="259">
        <f t="shared" si="86"/>
        <v>453000</v>
      </c>
      <c r="J49" s="259">
        <f t="shared" si="87"/>
        <v>4168000</v>
      </c>
      <c r="K49" s="268">
        <f t="shared" si="67"/>
        <v>1854600</v>
      </c>
      <c r="L49" s="268">
        <f t="shared" si="88"/>
        <v>152920</v>
      </c>
      <c r="M49" s="268">
        <f t="shared" si="89"/>
        <v>1191800</v>
      </c>
      <c r="N49" s="268">
        <f t="shared" si="90"/>
        <v>2460160</v>
      </c>
      <c r="O49" s="269">
        <f t="shared" si="91"/>
        <v>890160</v>
      </c>
      <c r="P49" s="269">
        <f t="shared" si="92"/>
        <v>1182700</v>
      </c>
      <c r="Q49" s="269">
        <f t="shared" si="60"/>
        <v>0</v>
      </c>
      <c r="R49" s="266">
        <f t="shared" si="93"/>
        <v>1816715</v>
      </c>
      <c r="S49" s="268">
        <f t="shared" si="57"/>
        <v>740419.7021</v>
      </c>
      <c r="T49" s="278">
        <f t="shared" si="64"/>
        <v>2827375</v>
      </c>
      <c r="U49" s="266">
        <f t="shared" si="17"/>
        <v>1344990.073</v>
      </c>
      <c r="V49" s="279">
        <f t="shared" si="54"/>
        <v>3746354.026</v>
      </c>
      <c r="W49" s="266">
        <f t="shared" si="42"/>
        <v>1003843</v>
      </c>
      <c r="X49" s="266">
        <f t="shared" si="94"/>
        <v>1250911.898</v>
      </c>
      <c r="Y49" s="270">
        <f t="shared" si="55"/>
        <v>2509398.27</v>
      </c>
      <c r="Z49" s="266"/>
      <c r="AA49" s="277">
        <f t="shared" si="95"/>
        <v>708082.8</v>
      </c>
      <c r="AB49" s="280">
        <f t="shared" si="4"/>
        <v>27853905.66</v>
      </c>
      <c r="AC49" s="279">
        <f t="shared" si="71"/>
        <v>4221332.195</v>
      </c>
      <c r="AD49" s="279">
        <f t="shared" si="96"/>
        <v>-59411.91777</v>
      </c>
      <c r="AE49" s="283">
        <f t="shared" si="21"/>
        <v>32134649.77</v>
      </c>
      <c r="AF49" s="273">
        <f t="shared" si="22"/>
        <v>0.02542131106</v>
      </c>
      <c r="AG49" s="274">
        <f t="shared" si="23"/>
        <v>4280744.112</v>
      </c>
    </row>
    <row r="50">
      <c r="A50" s="276">
        <f t="shared" si="3"/>
        <v>46052</v>
      </c>
      <c r="B50" s="269">
        <f t="shared" si="97"/>
        <v>375772</v>
      </c>
      <c r="C50" s="266"/>
      <c r="D50" s="266"/>
      <c r="E50" s="266"/>
      <c r="F50" s="259"/>
      <c r="G50" s="259">
        <f t="shared" si="84"/>
        <v>3047220</v>
      </c>
      <c r="H50" s="281">
        <f t="shared" si="85"/>
        <v>786000</v>
      </c>
      <c r="I50" s="259">
        <f t="shared" si="86"/>
        <v>453000</v>
      </c>
      <c r="J50" s="259">
        <f t="shared" si="87"/>
        <v>4168000</v>
      </c>
      <c r="K50" s="268">
        <f t="shared" si="67"/>
        <v>1854600</v>
      </c>
      <c r="L50" s="268">
        <f t="shared" si="88"/>
        <v>152920</v>
      </c>
      <c r="M50" s="268">
        <f t="shared" si="89"/>
        <v>1191800</v>
      </c>
      <c r="N50" s="268">
        <f t="shared" si="90"/>
        <v>2460160</v>
      </c>
      <c r="O50" s="269">
        <f t="shared" si="91"/>
        <v>890160</v>
      </c>
      <c r="P50" s="269">
        <f>5*241880</f>
        <v>1209400</v>
      </c>
      <c r="Q50" s="269">
        <f t="shared" si="60"/>
        <v>0</v>
      </c>
      <c r="R50" s="266">
        <f>R51-8402+100000</f>
        <v>1825117</v>
      </c>
      <c r="S50" s="268">
        <f t="shared" si="57"/>
        <v>739241.8548</v>
      </c>
      <c r="T50" s="278">
        <f t="shared" si="64"/>
        <v>2824515</v>
      </c>
      <c r="U50" s="266">
        <f t="shared" si="17"/>
        <v>1344990.073</v>
      </c>
      <c r="V50" s="279">
        <f t="shared" si="54"/>
        <v>3745604.905</v>
      </c>
      <c r="W50" s="266">
        <f t="shared" si="42"/>
        <v>1003416</v>
      </c>
      <c r="X50" s="266">
        <f t="shared" si="94"/>
        <v>1248880.555</v>
      </c>
      <c r="Y50" s="270">
        <f>Y51+735+597.83+1549463</f>
        <v>2508065.44</v>
      </c>
      <c r="Z50" s="266"/>
      <c r="AA50" s="277">
        <f>AA51-1549463-100000</f>
        <v>708082.8</v>
      </c>
      <c r="AB50" s="280">
        <f t="shared" si="4"/>
        <v>27880648.04</v>
      </c>
      <c r="AC50" s="279">
        <f t="shared" si="71"/>
        <v>4219713.667</v>
      </c>
      <c r="AD50" s="279">
        <f t="shared" si="96"/>
        <v>-60811.91777</v>
      </c>
      <c r="AE50" s="283">
        <f t="shared" si="21"/>
        <v>32161173.63</v>
      </c>
      <c r="AF50" s="273">
        <f t="shared" si="22"/>
        <v>0.02539692761</v>
      </c>
      <c r="AG50" s="274">
        <f t="shared" si="23"/>
        <v>4280525.584</v>
      </c>
    </row>
    <row r="51">
      <c r="A51" s="276">
        <f t="shared" si="3"/>
        <v>46051</v>
      </c>
      <c r="B51" s="269">
        <f t="shared" si="97"/>
        <v>375772</v>
      </c>
      <c r="C51" s="266"/>
      <c r="D51" s="266"/>
      <c r="E51" s="266"/>
      <c r="F51" s="259"/>
      <c r="G51" s="259">
        <f t="shared" si="84"/>
        <v>3047220</v>
      </c>
      <c r="H51" s="281">
        <f>12*68040</f>
        <v>816480</v>
      </c>
      <c r="I51" s="259">
        <f>6*76300</f>
        <v>457800</v>
      </c>
      <c r="J51" s="259">
        <f>80*50900</f>
        <v>4072000</v>
      </c>
      <c r="K51" s="268">
        <f>66*28700</f>
        <v>1894200</v>
      </c>
      <c r="L51" s="268">
        <f>2*76860</f>
        <v>153720</v>
      </c>
      <c r="M51" s="268">
        <f>59*20580</f>
        <v>1214220</v>
      </c>
      <c r="N51" s="268">
        <f>124*20160</f>
        <v>2499840</v>
      </c>
      <c r="O51" s="269">
        <f>1*874200</f>
        <v>874200</v>
      </c>
      <c r="P51" s="269">
        <f>5*230000</f>
        <v>1150000</v>
      </c>
      <c r="Q51" s="269">
        <f t="shared" si="60"/>
        <v>0</v>
      </c>
      <c r="R51" s="266">
        <f t="shared" ref="R51:R54" si="98">R52-8402</f>
        <v>1733519</v>
      </c>
      <c r="S51" s="268">
        <f t="shared" si="57"/>
        <v>738064.0075</v>
      </c>
      <c r="T51" s="278">
        <f t="shared" si="64"/>
        <v>2821655</v>
      </c>
      <c r="U51" s="266">
        <f t="shared" si="17"/>
        <v>1344990.073</v>
      </c>
      <c r="V51" s="279">
        <f t="shared" si="54"/>
        <v>3744855.934</v>
      </c>
      <c r="W51" s="266">
        <f t="shared" si="42"/>
        <v>1002989</v>
      </c>
      <c r="X51" s="266">
        <f t="shared" si="94"/>
        <v>1246849.213</v>
      </c>
      <c r="Y51" s="270">
        <f>Y52+735+597.83+793500</f>
        <v>957269.61</v>
      </c>
      <c r="Z51" s="266"/>
      <c r="AA51" s="277">
        <f>AA52-793500-87000+1000000</f>
        <v>2357545.8</v>
      </c>
      <c r="AB51" s="280">
        <f t="shared" si="4"/>
        <v>27847110.58</v>
      </c>
      <c r="AC51" s="279">
        <f t="shared" si="71"/>
        <v>4218095.139</v>
      </c>
      <c r="AD51" s="279">
        <f t="shared" si="96"/>
        <v>-62211.91777</v>
      </c>
      <c r="AE51" s="283">
        <f t="shared" si="21"/>
        <v>32127417.64</v>
      </c>
      <c r="AF51" s="273">
        <f t="shared" si="22"/>
        <v>0.08466033821</v>
      </c>
      <c r="AG51" s="274">
        <f t="shared" si="23"/>
        <v>4280307.057</v>
      </c>
    </row>
    <row r="52">
      <c r="A52" s="264">
        <f t="shared" si="3"/>
        <v>46050</v>
      </c>
      <c r="B52" s="269">
        <f t="shared" si="97"/>
        <v>375772</v>
      </c>
      <c r="C52" s="266"/>
      <c r="D52" s="266"/>
      <c r="E52" s="266"/>
      <c r="F52" s="259"/>
      <c r="G52" s="259">
        <f>209*14680</f>
        <v>3068120</v>
      </c>
      <c r="H52" s="281">
        <f>12*68380</f>
        <v>820560</v>
      </c>
      <c r="I52" s="259">
        <f>6*76800</f>
        <v>460800</v>
      </c>
      <c r="J52" s="259">
        <f>80*51620</f>
        <v>4129600</v>
      </c>
      <c r="K52" s="268">
        <f>66*29000</f>
        <v>1914000</v>
      </c>
      <c r="L52" s="268">
        <f>2*76960</f>
        <v>153920</v>
      </c>
      <c r="M52" s="268">
        <f>59*20760</f>
        <v>1224840</v>
      </c>
      <c r="N52" s="268">
        <f>124*20300</f>
        <v>2517200</v>
      </c>
      <c r="O52" s="269">
        <f>1*889260</f>
        <v>889260</v>
      </c>
      <c r="P52" s="269">
        <f>5*229400</f>
        <v>1147000</v>
      </c>
      <c r="Q52" s="269">
        <f t="shared" si="60"/>
        <v>0</v>
      </c>
      <c r="R52" s="266">
        <f t="shared" si="98"/>
        <v>1741921</v>
      </c>
      <c r="S52" s="268">
        <f t="shared" si="57"/>
        <v>736886.1602</v>
      </c>
      <c r="T52" s="278">
        <f t="shared" si="64"/>
        <v>2818795</v>
      </c>
      <c r="U52" s="266">
        <f t="shared" si="17"/>
        <v>1344990.073</v>
      </c>
      <c r="V52" s="279">
        <f t="shared" si="54"/>
        <v>3744107.113</v>
      </c>
      <c r="W52" s="266">
        <f t="shared" si="42"/>
        <v>1002562</v>
      </c>
      <c r="X52" s="266">
        <f t="shared" si="94"/>
        <v>1244817.87</v>
      </c>
      <c r="Y52" s="270">
        <f t="shared" ref="Y52:Y54" si="99">Y53+735+597.83</f>
        <v>162436.78</v>
      </c>
      <c r="Z52" s="266"/>
      <c r="AA52" s="277">
        <f t="shared" ref="AA52:AA54" si="100">AA53</f>
        <v>2238045.8</v>
      </c>
      <c r="AB52" s="280">
        <f t="shared" si="4"/>
        <v>27079773.27</v>
      </c>
      <c r="AC52" s="279">
        <f t="shared" si="71"/>
        <v>4216476.611</v>
      </c>
      <c r="AD52" s="279">
        <f t="shared" si="96"/>
        <v>-63611.91777</v>
      </c>
      <c r="AE52" s="283">
        <f t="shared" si="21"/>
        <v>31359861.8</v>
      </c>
      <c r="AF52" s="273">
        <f t="shared" si="22"/>
        <v>0.08264640098</v>
      </c>
      <c r="AG52" s="274">
        <f t="shared" si="23"/>
        <v>4280088.529</v>
      </c>
    </row>
    <row r="53">
      <c r="A53" s="264">
        <f t="shared" si="3"/>
        <v>46049</v>
      </c>
      <c r="B53" s="269">
        <f t="shared" si="97"/>
        <v>375772</v>
      </c>
      <c r="C53" s="266"/>
      <c r="D53" s="266"/>
      <c r="E53" s="266"/>
      <c r="F53" s="259"/>
      <c r="G53" s="259">
        <f>209*14580</f>
        <v>3047220</v>
      </c>
      <c r="H53" s="281">
        <f>12*66900</f>
        <v>802800</v>
      </c>
      <c r="I53" s="259">
        <f>6*77020</f>
        <v>462120</v>
      </c>
      <c r="J53" s="259">
        <f>80*51980</f>
        <v>4158400</v>
      </c>
      <c r="K53" s="268">
        <f>66*28300</f>
        <v>1867800</v>
      </c>
      <c r="L53" s="268">
        <f>2*75900</f>
        <v>151800</v>
      </c>
      <c r="M53" s="268">
        <f>59*20360</f>
        <v>1201240</v>
      </c>
      <c r="N53" s="268">
        <f>124*20000</f>
        <v>2480000</v>
      </c>
      <c r="O53" s="269">
        <f>1*892120</f>
        <v>892120</v>
      </c>
      <c r="P53" s="269">
        <f>5*228500</f>
        <v>1142500</v>
      </c>
      <c r="Q53" s="269">
        <f t="shared" si="60"/>
        <v>0</v>
      </c>
      <c r="R53" s="266">
        <f t="shared" si="98"/>
        <v>1750323</v>
      </c>
      <c r="S53" s="268">
        <f t="shared" si="57"/>
        <v>735708.3129</v>
      </c>
      <c r="T53" s="278">
        <f t="shared" si="64"/>
        <v>2815935</v>
      </c>
      <c r="U53" s="266">
        <f t="shared" si="17"/>
        <v>1344990.073</v>
      </c>
      <c r="V53" s="279">
        <f t="shared" si="54"/>
        <v>3743358.441</v>
      </c>
      <c r="W53" s="266">
        <f t="shared" si="42"/>
        <v>1002135</v>
      </c>
      <c r="X53" s="266">
        <f t="shared" si="94"/>
        <v>1242786.528</v>
      </c>
      <c r="Y53" s="270">
        <f t="shared" si="99"/>
        <v>161103.95</v>
      </c>
      <c r="Z53" s="266"/>
      <c r="AA53" s="277">
        <f t="shared" si="100"/>
        <v>2238045.8</v>
      </c>
      <c r="AB53" s="280">
        <f t="shared" si="4"/>
        <v>26960516.1</v>
      </c>
      <c r="AC53" s="279">
        <f t="shared" si="71"/>
        <v>4214858.083</v>
      </c>
      <c r="AD53" s="279">
        <f t="shared" si="96"/>
        <v>-65011.91777</v>
      </c>
      <c r="AE53" s="283">
        <f t="shared" si="21"/>
        <v>31240386.1</v>
      </c>
      <c r="AF53" s="273">
        <f t="shared" si="22"/>
        <v>0.08301197913</v>
      </c>
      <c r="AG53" s="274">
        <f t="shared" si="23"/>
        <v>4279870.001</v>
      </c>
    </row>
    <row r="54">
      <c r="A54" s="264">
        <f t="shared" si="3"/>
        <v>46048</v>
      </c>
      <c r="B54" s="269">
        <f t="shared" si="97"/>
        <v>375772</v>
      </c>
      <c r="C54" s="266"/>
      <c r="D54" s="266"/>
      <c r="E54" s="266"/>
      <c r="F54" s="259"/>
      <c r="G54" s="259">
        <f>209*14700</f>
        <v>3072300</v>
      </c>
      <c r="H54" s="281">
        <f>12*66960</f>
        <v>803520</v>
      </c>
      <c r="I54" s="259">
        <f>6*77800</f>
        <v>466800</v>
      </c>
      <c r="J54" s="259">
        <f>80*52720</f>
        <v>4217600</v>
      </c>
      <c r="K54" s="268">
        <f>66*27040</f>
        <v>1784640</v>
      </c>
      <c r="L54" s="268">
        <f>2*76180</f>
        <v>152360</v>
      </c>
      <c r="M54" s="268">
        <f>59*20180</f>
        <v>1190620</v>
      </c>
      <c r="N54" s="268">
        <f>124*20300</f>
        <v>2517200</v>
      </c>
      <c r="O54" s="269">
        <f>1*885940</f>
        <v>885940</v>
      </c>
      <c r="P54" s="269">
        <f>5*227260</f>
        <v>1136300</v>
      </c>
      <c r="Q54" s="269">
        <f t="shared" si="60"/>
        <v>0</v>
      </c>
      <c r="R54" s="266">
        <f t="shared" si="98"/>
        <v>1758725</v>
      </c>
      <c r="S54" s="268">
        <f t="shared" si="57"/>
        <v>734530.4656</v>
      </c>
      <c r="T54" s="278">
        <f t="shared" si="64"/>
        <v>2813075</v>
      </c>
      <c r="U54" s="266">
        <f t="shared" si="17"/>
        <v>1344990.073</v>
      </c>
      <c r="V54" s="279">
        <f t="shared" si="54"/>
        <v>3742609.919</v>
      </c>
      <c r="W54" s="266">
        <f t="shared" si="42"/>
        <v>1001708</v>
      </c>
      <c r="X54" s="266">
        <f t="shared" si="94"/>
        <v>1240755.185</v>
      </c>
      <c r="Y54" s="270">
        <f t="shared" si="99"/>
        <v>159771.12</v>
      </c>
      <c r="Z54" s="266"/>
      <c r="AA54" s="277">
        <f t="shared" si="100"/>
        <v>2238045.8</v>
      </c>
      <c r="AB54" s="280">
        <f t="shared" si="4"/>
        <v>26981839.09</v>
      </c>
      <c r="AC54" s="279">
        <f t="shared" si="71"/>
        <v>4213239.556</v>
      </c>
      <c r="AD54" s="279">
        <f t="shared" si="96"/>
        <v>-66411.91777</v>
      </c>
      <c r="AE54" s="283">
        <f t="shared" si="21"/>
        <v>31261490.56</v>
      </c>
      <c r="AF54" s="273">
        <f t="shared" si="22"/>
        <v>0.0829463771</v>
      </c>
      <c r="AG54" s="274">
        <f t="shared" si="23"/>
        <v>4279651.473</v>
      </c>
    </row>
    <row r="55">
      <c r="A55" s="275">
        <f t="shared" si="3"/>
        <v>46047</v>
      </c>
      <c r="B55" s="269">
        <f t="shared" ref="B55:B71" si="101">101.56*3735</f>
        <v>379326.6</v>
      </c>
      <c r="C55" s="266"/>
      <c r="D55" s="266"/>
      <c r="E55" s="266"/>
      <c r="F55" s="259"/>
      <c r="G55" s="259">
        <f t="shared" ref="G55:G57" si="102">209*14640</f>
        <v>3059760</v>
      </c>
      <c r="H55" s="281">
        <f t="shared" ref="H55:H57" si="103">12*65480</f>
        <v>785760</v>
      </c>
      <c r="I55" s="259">
        <f t="shared" ref="I55:I57" si="104">6*75300</f>
        <v>451800</v>
      </c>
      <c r="J55" s="259">
        <f t="shared" ref="J55:J57" si="105">80*51800</f>
        <v>4144000</v>
      </c>
      <c r="K55" s="268">
        <f t="shared" ref="K55:K57" si="106">66*27280</f>
        <v>1800480</v>
      </c>
      <c r="L55" s="268">
        <f t="shared" ref="L55:L57" si="107">2*76560</f>
        <v>153120</v>
      </c>
      <c r="M55" s="268">
        <f t="shared" ref="M55:M57" si="108">59*19600</f>
        <v>1156400</v>
      </c>
      <c r="N55" s="268">
        <f t="shared" ref="N55:N57" si="109">124*20000</f>
        <v>2480000</v>
      </c>
      <c r="O55" s="269">
        <f t="shared" ref="O55:O57" si="110">1*869260</f>
        <v>869260</v>
      </c>
      <c r="P55" s="269">
        <f t="shared" ref="P55:P57" si="111">5*236540</f>
        <v>1182700</v>
      </c>
      <c r="Q55" s="269">
        <f t="shared" si="60"/>
        <v>0</v>
      </c>
      <c r="R55" s="266">
        <f>R56-3402+220000</f>
        <v>1767127</v>
      </c>
      <c r="S55" s="268">
        <f t="shared" si="57"/>
        <v>733352.6183</v>
      </c>
      <c r="T55" s="278">
        <f t="shared" si="64"/>
        <v>2810215</v>
      </c>
      <c r="U55" s="266">
        <f t="shared" si="17"/>
        <v>1344990.073</v>
      </c>
      <c r="V55" s="279">
        <f t="shared" si="54"/>
        <v>3741861.547</v>
      </c>
      <c r="W55" s="266">
        <f t="shared" si="42"/>
        <v>1001281</v>
      </c>
      <c r="X55" s="266">
        <f t="shared" si="94"/>
        <v>1238723.842</v>
      </c>
      <c r="Y55" s="270">
        <f>Y56+735+597.83-200000</f>
        <v>158438.29</v>
      </c>
      <c r="Z55" s="266"/>
      <c r="AA55" s="277">
        <f>AA56+30000+200000-100000-220000+200000</f>
        <v>2238045.8</v>
      </c>
      <c r="AB55" s="280">
        <f t="shared" si="4"/>
        <v>26837882.22</v>
      </c>
      <c r="AC55" s="279">
        <f t="shared" si="71"/>
        <v>4211621.028</v>
      </c>
      <c r="AD55" s="279">
        <f>AD56+1400+100000</f>
        <v>-67811.91777</v>
      </c>
      <c r="AE55" s="283">
        <f t="shared" si="21"/>
        <v>31117315.17</v>
      </c>
      <c r="AF55" s="273">
        <f t="shared" si="22"/>
        <v>0.08339129672</v>
      </c>
      <c r="AG55" s="274">
        <f t="shared" si="23"/>
        <v>4279432.946</v>
      </c>
    </row>
    <row r="56">
      <c r="A56" s="275">
        <f t="shared" si="3"/>
        <v>46046</v>
      </c>
      <c r="B56" s="269">
        <f t="shared" si="101"/>
        <v>379326.6</v>
      </c>
      <c r="C56" s="266"/>
      <c r="D56" s="266"/>
      <c r="E56" s="266"/>
      <c r="F56" s="259"/>
      <c r="G56" s="259">
        <f t="shared" si="102"/>
        <v>3059760</v>
      </c>
      <c r="H56" s="281">
        <f t="shared" si="103"/>
        <v>785760</v>
      </c>
      <c r="I56" s="259">
        <f t="shared" si="104"/>
        <v>451800</v>
      </c>
      <c r="J56" s="259">
        <f t="shared" si="105"/>
        <v>4144000</v>
      </c>
      <c r="K56" s="268">
        <f t="shared" si="106"/>
        <v>1800480</v>
      </c>
      <c r="L56" s="268">
        <f t="shared" si="107"/>
        <v>153120</v>
      </c>
      <c r="M56" s="268">
        <f t="shared" si="108"/>
        <v>1156400</v>
      </c>
      <c r="N56" s="268">
        <f t="shared" si="109"/>
        <v>2480000</v>
      </c>
      <c r="O56" s="269">
        <f t="shared" si="110"/>
        <v>869260</v>
      </c>
      <c r="P56" s="269">
        <f t="shared" si="111"/>
        <v>1182700</v>
      </c>
      <c r="Q56" s="269">
        <f t="shared" si="60"/>
        <v>0</v>
      </c>
      <c r="R56" s="266">
        <f t="shared" ref="R56:R60" si="112">R57-3402</f>
        <v>1550529</v>
      </c>
      <c r="S56" s="268">
        <f t="shared" si="57"/>
        <v>732174.771</v>
      </c>
      <c r="T56" s="278">
        <f t="shared" si="64"/>
        <v>2807355</v>
      </c>
      <c r="U56" s="266">
        <f t="shared" si="17"/>
        <v>1344990.073</v>
      </c>
      <c r="V56" s="279">
        <f t="shared" si="54"/>
        <v>3741113.324</v>
      </c>
      <c r="W56" s="266">
        <f t="shared" si="42"/>
        <v>1000854</v>
      </c>
      <c r="X56" s="266">
        <f t="shared" si="94"/>
        <v>1236692.5</v>
      </c>
      <c r="Y56" s="270">
        <f t="shared" ref="Y56:Y84" si="113">Y57+735+597.83</f>
        <v>357105.46</v>
      </c>
      <c r="Z56" s="266"/>
      <c r="AA56" s="277">
        <f t="shared" ref="AA56:AA57" si="114">AA57</f>
        <v>2128045.8</v>
      </c>
      <c r="AB56" s="280">
        <f t="shared" si="4"/>
        <v>26602925.51</v>
      </c>
      <c r="AC56" s="279">
        <f t="shared" si="71"/>
        <v>4210002.5</v>
      </c>
      <c r="AD56" s="279">
        <f t="shared" ref="AD56:AD73" si="115">AD57+1400</f>
        <v>-169211.9178</v>
      </c>
      <c r="AE56" s="283">
        <f t="shared" si="21"/>
        <v>30982139.93</v>
      </c>
      <c r="AF56" s="273">
        <f t="shared" si="22"/>
        <v>0.07999292406</v>
      </c>
      <c r="AG56" s="274">
        <f t="shared" si="23"/>
        <v>4379214.418</v>
      </c>
    </row>
    <row r="57">
      <c r="A57" s="276">
        <f t="shared" si="3"/>
        <v>46045</v>
      </c>
      <c r="B57" s="269">
        <f t="shared" si="101"/>
        <v>379326.6</v>
      </c>
      <c r="C57" s="266"/>
      <c r="D57" s="266"/>
      <c r="E57" s="266"/>
      <c r="F57" s="259"/>
      <c r="G57" s="259">
        <f t="shared" si="102"/>
        <v>3059760</v>
      </c>
      <c r="H57" s="281">
        <f t="shared" si="103"/>
        <v>785760</v>
      </c>
      <c r="I57" s="259">
        <f t="shared" si="104"/>
        <v>451800</v>
      </c>
      <c r="J57" s="259">
        <f t="shared" si="105"/>
        <v>4144000</v>
      </c>
      <c r="K57" s="268">
        <f t="shared" si="106"/>
        <v>1800480</v>
      </c>
      <c r="L57" s="268">
        <f t="shared" si="107"/>
        <v>153120</v>
      </c>
      <c r="M57" s="268">
        <f t="shared" si="108"/>
        <v>1156400</v>
      </c>
      <c r="N57" s="268">
        <f t="shared" si="109"/>
        <v>2480000</v>
      </c>
      <c r="O57" s="269">
        <f t="shared" si="110"/>
        <v>869260</v>
      </c>
      <c r="P57" s="269">
        <f t="shared" si="111"/>
        <v>1182700</v>
      </c>
      <c r="Q57" s="269">
        <f t="shared" si="60"/>
        <v>0</v>
      </c>
      <c r="R57" s="266">
        <f t="shared" si="112"/>
        <v>1553931</v>
      </c>
      <c r="S57" s="268">
        <f t="shared" si="57"/>
        <v>730996.9237</v>
      </c>
      <c r="T57" s="278">
        <f t="shared" si="64"/>
        <v>2804495</v>
      </c>
      <c r="U57" s="266">
        <f t="shared" si="17"/>
        <v>1344990.073</v>
      </c>
      <c r="V57" s="279">
        <f t="shared" si="54"/>
        <v>3740365.251</v>
      </c>
      <c r="W57" s="266">
        <f t="shared" si="42"/>
        <v>1000427</v>
      </c>
      <c r="X57" s="266">
        <f t="shared" si="94"/>
        <v>1234661.157</v>
      </c>
      <c r="Y57" s="270">
        <f t="shared" si="113"/>
        <v>355772.63</v>
      </c>
      <c r="Z57" s="266"/>
      <c r="AA57" s="277">
        <f t="shared" si="114"/>
        <v>2128045.8</v>
      </c>
      <c r="AB57" s="280">
        <f t="shared" si="4"/>
        <v>26597968.94</v>
      </c>
      <c r="AC57" s="279">
        <f t="shared" si="71"/>
        <v>4208383.972</v>
      </c>
      <c r="AD57" s="279">
        <f t="shared" si="115"/>
        <v>-170611.9178</v>
      </c>
      <c r="AE57" s="283">
        <f t="shared" si="21"/>
        <v>30976964.83</v>
      </c>
      <c r="AF57" s="273">
        <f t="shared" si="22"/>
        <v>0.08000783084</v>
      </c>
      <c r="AG57" s="274">
        <f t="shared" si="23"/>
        <v>4378995.89</v>
      </c>
    </row>
    <row r="58">
      <c r="A58" s="276">
        <f t="shared" si="3"/>
        <v>46044</v>
      </c>
      <c r="B58" s="269">
        <f t="shared" si="101"/>
        <v>379326.6</v>
      </c>
      <c r="C58" s="266"/>
      <c r="D58" s="266"/>
      <c r="E58" s="266"/>
      <c r="F58" s="259"/>
      <c r="G58" s="259">
        <f>209*14560</f>
        <v>3043040</v>
      </c>
      <c r="H58" s="281">
        <f>12*64500</f>
        <v>774000</v>
      </c>
      <c r="I58" s="259">
        <f>6*71000</f>
        <v>426000</v>
      </c>
      <c r="J58" s="259">
        <f>80*50900</f>
        <v>4072000</v>
      </c>
      <c r="K58" s="268">
        <f>66*27020</f>
        <v>1783320</v>
      </c>
      <c r="L58" s="268">
        <f>2*77000</f>
        <v>154000</v>
      </c>
      <c r="M58" s="268">
        <f t="shared" ref="M58:M59" si="116">59*19500</f>
        <v>1150500</v>
      </c>
      <c r="N58" s="268">
        <f>124*19980</f>
        <v>2477520</v>
      </c>
      <c r="O58" s="269">
        <f>1*842000</f>
        <v>842000</v>
      </c>
      <c r="P58" s="269">
        <f>5*237000</f>
        <v>1185000</v>
      </c>
      <c r="Q58" s="269">
        <f t="shared" si="60"/>
        <v>0</v>
      </c>
      <c r="R58" s="266">
        <f t="shared" si="112"/>
        <v>1557333</v>
      </c>
      <c r="S58" s="268">
        <f t="shared" si="57"/>
        <v>729819.0764</v>
      </c>
      <c r="T58" s="278">
        <f t="shared" si="64"/>
        <v>2801635</v>
      </c>
      <c r="U58" s="266">
        <f t="shared" si="17"/>
        <v>1344990.073</v>
      </c>
      <c r="V58" s="279">
        <f t="shared" si="54"/>
        <v>3739617.328</v>
      </c>
      <c r="W58" s="266">
        <f>1000000</f>
        <v>1000000</v>
      </c>
      <c r="X58" s="266">
        <f t="shared" si="94"/>
        <v>1232629.815</v>
      </c>
      <c r="Y58" s="270">
        <f t="shared" si="113"/>
        <v>354439.8</v>
      </c>
      <c r="Z58" s="266"/>
      <c r="AA58" s="277">
        <f>AA59-1000000</f>
        <v>2128045.8</v>
      </c>
      <c r="AB58" s="280">
        <f t="shared" si="4"/>
        <v>26417112.53</v>
      </c>
      <c r="AC58" s="279">
        <f t="shared" si="71"/>
        <v>4206765.445</v>
      </c>
      <c r="AD58" s="279">
        <f t="shared" si="115"/>
        <v>-172011.9178</v>
      </c>
      <c r="AE58" s="283">
        <f t="shared" si="21"/>
        <v>30795889.89</v>
      </c>
      <c r="AF58" s="273">
        <f t="shared" si="22"/>
        <v>0.08055557918</v>
      </c>
      <c r="AG58" s="274">
        <f t="shared" si="23"/>
        <v>4378777.362</v>
      </c>
    </row>
    <row r="59">
      <c r="A59" s="264">
        <f t="shared" si="3"/>
        <v>46043</v>
      </c>
      <c r="B59" s="269">
        <f t="shared" si="101"/>
        <v>379326.6</v>
      </c>
      <c r="C59" s="266"/>
      <c r="D59" s="266"/>
      <c r="E59" s="266"/>
      <c r="F59" s="259"/>
      <c r="G59" s="259">
        <f>209*14480</f>
        <v>3026320</v>
      </c>
      <c r="H59" s="281">
        <f>12*63220</f>
        <v>758640</v>
      </c>
      <c r="I59" s="259">
        <f>6*73200</f>
        <v>439200</v>
      </c>
      <c r="J59" s="259">
        <f>80*51580</f>
        <v>4126400</v>
      </c>
      <c r="K59" s="268">
        <f>66*27000</f>
        <v>1782000</v>
      </c>
      <c r="L59" s="268">
        <f>2*76940</f>
        <v>153880</v>
      </c>
      <c r="M59" s="268">
        <f t="shared" si="116"/>
        <v>1150500</v>
      </c>
      <c r="N59" s="268">
        <f>124*20100</f>
        <v>2492400</v>
      </c>
      <c r="O59" s="269">
        <f>1*852540</f>
        <v>852540</v>
      </c>
      <c r="P59" s="269">
        <f>5*235040</f>
        <v>1175200</v>
      </c>
      <c r="Q59" s="269">
        <f t="shared" si="60"/>
        <v>0</v>
      </c>
      <c r="R59" s="266">
        <f t="shared" si="112"/>
        <v>1560735</v>
      </c>
      <c r="S59" s="268">
        <f>S60+1177.8473-7500</f>
        <v>728641.2291</v>
      </c>
      <c r="T59" s="278">
        <f t="shared" si="64"/>
        <v>2798775</v>
      </c>
      <c r="U59" s="266">
        <f t="shared" si="17"/>
        <v>1344990.073</v>
      </c>
      <c r="V59" s="279">
        <f t="shared" si="54"/>
        <v>3738869.554</v>
      </c>
      <c r="W59" s="266">
        <f>W60-442500</f>
        <v>0</v>
      </c>
      <c r="X59" s="266">
        <f t="shared" si="94"/>
        <v>1230598.472</v>
      </c>
      <c r="Y59" s="270">
        <f t="shared" si="113"/>
        <v>353106.97</v>
      </c>
      <c r="Z59" s="266"/>
      <c r="AA59" s="277">
        <f>AA60+450000</f>
        <v>3128045.8</v>
      </c>
      <c r="AB59" s="280">
        <f t="shared" si="4"/>
        <v>26462283.26</v>
      </c>
      <c r="AC59" s="279">
        <f t="shared" si="71"/>
        <v>4205146.917</v>
      </c>
      <c r="AD59" s="279">
        <f t="shared" si="115"/>
        <v>-173411.9178</v>
      </c>
      <c r="AE59" s="283">
        <f t="shared" si="21"/>
        <v>30840842.1</v>
      </c>
      <c r="AF59" s="273">
        <f t="shared" si="22"/>
        <v>0.118207706</v>
      </c>
      <c r="AG59" s="274">
        <f t="shared" si="23"/>
        <v>4378558.834</v>
      </c>
    </row>
    <row r="60">
      <c r="A60" s="264">
        <f t="shared" si="3"/>
        <v>46042</v>
      </c>
      <c r="B60" s="269">
        <f t="shared" si="101"/>
        <v>379326.6</v>
      </c>
      <c r="C60" s="266"/>
      <c r="D60" s="266"/>
      <c r="E60" s="266"/>
      <c r="F60" s="259"/>
      <c r="G60" s="259">
        <f>209*14260</f>
        <v>2980340</v>
      </c>
      <c r="H60" s="281">
        <f>12*62440</f>
        <v>749280</v>
      </c>
      <c r="I60" s="259">
        <f>6*70800</f>
        <v>424800</v>
      </c>
      <c r="J60" s="259">
        <f>80*50600</f>
        <v>4048000</v>
      </c>
      <c r="K60" s="268">
        <f>66*26980</f>
        <v>1780680</v>
      </c>
      <c r="L60" s="268">
        <f>2*77000</f>
        <v>154000</v>
      </c>
      <c r="M60" s="268">
        <f>59*19480</f>
        <v>1149320</v>
      </c>
      <c r="N60" s="268">
        <f>124*20200</f>
        <v>2504800</v>
      </c>
      <c r="O60" s="269">
        <f>1*850200</f>
        <v>850200</v>
      </c>
      <c r="P60" s="269">
        <f>5*232360</f>
        <v>1161800</v>
      </c>
      <c r="Q60" s="269">
        <f t="shared" si="60"/>
        <v>0</v>
      </c>
      <c r="R60" s="266">
        <f t="shared" si="112"/>
        <v>1564137</v>
      </c>
      <c r="S60" s="268">
        <f t="shared" ref="S60:S77" si="117">S61+1177.8473</f>
        <v>734963.3818</v>
      </c>
      <c r="T60" s="278">
        <f t="shared" ref="T60:T61" si="118">T61+2560</f>
        <v>2795915</v>
      </c>
      <c r="U60" s="266">
        <f>U61+2036</f>
        <v>1344990.073</v>
      </c>
      <c r="V60" s="279">
        <f t="shared" si="54"/>
        <v>3738121.929</v>
      </c>
      <c r="W60" s="266">
        <f t="shared" ref="W60:W87" si="119">W61</f>
        <v>442500</v>
      </c>
      <c r="X60" s="266">
        <f t="shared" si="94"/>
        <v>1228567.13</v>
      </c>
      <c r="Y60" s="270">
        <f t="shared" si="113"/>
        <v>351774.14</v>
      </c>
      <c r="Z60" s="266"/>
      <c r="AA60" s="277">
        <f>AA61</f>
        <v>2678045.8</v>
      </c>
      <c r="AB60" s="280">
        <f t="shared" si="4"/>
        <v>26303894.15</v>
      </c>
      <c r="AC60" s="279">
        <f t="shared" si="71"/>
        <v>4203528.389</v>
      </c>
      <c r="AD60" s="279">
        <f t="shared" si="115"/>
        <v>-174811.9178</v>
      </c>
      <c r="AE60" s="283">
        <f t="shared" si="21"/>
        <v>30682234.45</v>
      </c>
      <c r="AF60" s="273">
        <f t="shared" si="22"/>
        <v>0.1018117616</v>
      </c>
      <c r="AG60" s="274">
        <f t="shared" si="23"/>
        <v>4378340.307</v>
      </c>
    </row>
    <row r="61">
      <c r="A61" s="264">
        <f t="shared" si="3"/>
        <v>46041</v>
      </c>
      <c r="B61" s="269">
        <f t="shared" si="101"/>
        <v>379326.6</v>
      </c>
      <c r="C61" s="266"/>
      <c r="D61" s="266"/>
      <c r="E61" s="266"/>
      <c r="F61" s="259"/>
      <c r="G61" s="259">
        <f>209*13900</f>
        <v>2905100</v>
      </c>
      <c r="H61" s="281">
        <f t="shared" ref="H61:H64" si="120">12*61320</f>
        <v>735840</v>
      </c>
      <c r="I61" s="259">
        <f>6*71460</f>
        <v>428760</v>
      </c>
      <c r="J61" s="259">
        <f>80*49600</f>
        <v>3968000</v>
      </c>
      <c r="K61" s="268">
        <f>66*26700</f>
        <v>1762200</v>
      </c>
      <c r="L61" s="268">
        <f>2*77960</f>
        <v>155920</v>
      </c>
      <c r="M61" s="268">
        <f>59*19340</f>
        <v>1141060</v>
      </c>
      <c r="N61" s="268">
        <f>124*20000</f>
        <v>2480000</v>
      </c>
      <c r="O61" s="269">
        <f>1*884760</f>
        <v>884760</v>
      </c>
      <c r="P61" s="269">
        <f>5*238200</f>
        <v>1191000</v>
      </c>
      <c r="Q61" s="269">
        <f t="shared" si="60"/>
        <v>0</v>
      </c>
      <c r="R61" s="266">
        <f>R62-3402+120000</f>
        <v>1567539</v>
      </c>
      <c r="S61" s="268">
        <f t="shared" si="117"/>
        <v>733785.5345</v>
      </c>
      <c r="T61" s="278">
        <f t="shared" si="118"/>
        <v>2793355</v>
      </c>
      <c r="U61" s="266">
        <f>U62+2036-275000</f>
        <v>1342954.073</v>
      </c>
      <c r="V61" s="279">
        <f t="shared" si="54"/>
        <v>3737374.454</v>
      </c>
      <c r="W61" s="266">
        <f t="shared" si="119"/>
        <v>442500</v>
      </c>
      <c r="X61" s="266">
        <f t="shared" si="94"/>
        <v>1226535.787</v>
      </c>
      <c r="Y61" s="270">
        <f t="shared" si="113"/>
        <v>350441.31</v>
      </c>
      <c r="Z61" s="266"/>
      <c r="AA61" s="277">
        <f>AA62+275000-120000</f>
        <v>2678045.8</v>
      </c>
      <c r="AB61" s="280">
        <f t="shared" si="4"/>
        <v>26147049.18</v>
      </c>
      <c r="AC61" s="279">
        <f t="shared" si="71"/>
        <v>4201909.861</v>
      </c>
      <c r="AD61" s="279">
        <f t="shared" si="115"/>
        <v>-176211.9178</v>
      </c>
      <c r="AE61" s="283">
        <f t="shared" si="21"/>
        <v>30525170.96</v>
      </c>
      <c r="AF61" s="273">
        <f t="shared" si="22"/>
        <v>0.1024224868</v>
      </c>
      <c r="AG61" s="274">
        <f t="shared" si="23"/>
        <v>4378121.779</v>
      </c>
    </row>
    <row r="62">
      <c r="A62" s="275">
        <f t="shared" si="3"/>
        <v>46040</v>
      </c>
      <c r="B62" s="269">
        <f t="shared" si="101"/>
        <v>379326.6</v>
      </c>
      <c r="C62" s="266"/>
      <c r="D62" s="266"/>
      <c r="E62" s="266"/>
      <c r="F62" s="259"/>
      <c r="G62" s="259">
        <f t="shared" ref="G62:G64" si="121">209*13800</f>
        <v>2884200</v>
      </c>
      <c r="H62" s="281">
        <f t="shared" si="120"/>
        <v>735840</v>
      </c>
      <c r="I62" s="259">
        <f t="shared" ref="I62:I64" si="122">6*69980</f>
        <v>419880</v>
      </c>
      <c r="J62" s="259">
        <f t="shared" ref="J62:J64" si="123">80*48200</f>
        <v>3856000</v>
      </c>
      <c r="K62" s="268">
        <f t="shared" ref="K62:K64" si="124">66*26300</f>
        <v>1735800</v>
      </c>
      <c r="L62" s="268">
        <f t="shared" ref="L62:L65" si="125">2*77780</f>
        <v>155560</v>
      </c>
      <c r="M62" s="268">
        <f t="shared" ref="M62:M64" si="126">59*19280</f>
        <v>1137520</v>
      </c>
      <c r="N62" s="268">
        <f t="shared" ref="N62:N64" si="127">124*19880</f>
        <v>2465120</v>
      </c>
      <c r="O62" s="269">
        <f t="shared" ref="O62:O64" si="128">1*881200</f>
        <v>881200</v>
      </c>
      <c r="P62" s="269">
        <f t="shared" ref="P62:P64" si="129">5*236080</f>
        <v>1180400</v>
      </c>
      <c r="Q62" s="269">
        <f t="shared" si="60"/>
        <v>0</v>
      </c>
      <c r="R62" s="266">
        <f t="shared" ref="R62:R70" si="130">R63-3402</f>
        <v>1450941</v>
      </c>
      <c r="S62" s="268">
        <f t="shared" si="117"/>
        <v>732607.6872</v>
      </c>
      <c r="T62" s="278">
        <f>T63+1860</f>
        <v>2790795</v>
      </c>
      <c r="U62" s="266">
        <f t="shared" ref="U62:U101" si="131">U63+2036</f>
        <v>1615918.073</v>
      </c>
      <c r="V62" s="279">
        <f>V63*1.0002-50000</f>
        <v>3736627.129</v>
      </c>
      <c r="W62" s="266">
        <f t="shared" si="119"/>
        <v>442500</v>
      </c>
      <c r="X62" s="266">
        <f t="shared" si="94"/>
        <v>1224504.444</v>
      </c>
      <c r="Y62" s="270">
        <f t="shared" si="113"/>
        <v>349108.48</v>
      </c>
      <c r="Z62" s="266"/>
      <c r="AA62" s="277">
        <f>AA63+250000</f>
        <v>2523045.8</v>
      </c>
      <c r="AB62" s="280">
        <f t="shared" si="4"/>
        <v>25939664.36</v>
      </c>
      <c r="AC62" s="279">
        <f t="shared" si="71"/>
        <v>4200291.333</v>
      </c>
      <c r="AD62" s="279">
        <f t="shared" si="115"/>
        <v>-177611.9178</v>
      </c>
      <c r="AE62" s="283">
        <f t="shared" si="21"/>
        <v>30317567.61</v>
      </c>
      <c r="AF62" s="273">
        <f t="shared" si="22"/>
        <v>0.09726593856</v>
      </c>
      <c r="AG62" s="274">
        <f t="shared" si="23"/>
        <v>4377903.251</v>
      </c>
    </row>
    <row r="63">
      <c r="A63" s="284">
        <f t="shared" si="3"/>
        <v>46039</v>
      </c>
      <c r="B63" s="269">
        <f t="shared" si="101"/>
        <v>379326.6</v>
      </c>
      <c r="C63" s="266"/>
      <c r="D63" s="266"/>
      <c r="E63" s="266"/>
      <c r="F63" s="259"/>
      <c r="G63" s="259">
        <f t="shared" si="121"/>
        <v>2884200</v>
      </c>
      <c r="H63" s="281">
        <f t="shared" si="120"/>
        <v>735840</v>
      </c>
      <c r="I63" s="259">
        <f t="shared" si="122"/>
        <v>419880</v>
      </c>
      <c r="J63" s="259">
        <f t="shared" si="123"/>
        <v>3856000</v>
      </c>
      <c r="K63" s="268">
        <f t="shared" si="124"/>
        <v>1735800</v>
      </c>
      <c r="L63" s="268">
        <f t="shared" si="125"/>
        <v>155560</v>
      </c>
      <c r="M63" s="268">
        <f t="shared" si="126"/>
        <v>1137520</v>
      </c>
      <c r="N63" s="268">
        <f t="shared" si="127"/>
        <v>2465120</v>
      </c>
      <c r="O63" s="269">
        <f t="shared" si="128"/>
        <v>881200</v>
      </c>
      <c r="P63" s="269">
        <f t="shared" si="129"/>
        <v>1180400</v>
      </c>
      <c r="Q63" s="269">
        <f t="shared" si="60"/>
        <v>0</v>
      </c>
      <c r="R63" s="266">
        <f t="shared" si="130"/>
        <v>1454343</v>
      </c>
      <c r="S63" s="268">
        <f t="shared" si="117"/>
        <v>731429.8399</v>
      </c>
      <c r="T63" s="278">
        <f>T64+1830+305690</f>
        <v>2788935</v>
      </c>
      <c r="U63" s="266">
        <f t="shared" si="131"/>
        <v>1613882.073</v>
      </c>
      <c r="V63" s="279">
        <f t="shared" ref="V63:V73" si="132">V64*1.0002</f>
        <v>3785869.955</v>
      </c>
      <c r="W63" s="266">
        <f t="shared" si="119"/>
        <v>442500</v>
      </c>
      <c r="X63" s="266">
        <f t="shared" si="94"/>
        <v>1222473.102</v>
      </c>
      <c r="Y63" s="270">
        <f t="shared" si="113"/>
        <v>347775.65</v>
      </c>
      <c r="Z63" s="266"/>
      <c r="AA63" s="277">
        <f>AA64- 1245186.2-305960+800+39230</f>
        <v>2273045.8</v>
      </c>
      <c r="AB63" s="280">
        <f t="shared" si="4"/>
        <v>25734089.7</v>
      </c>
      <c r="AC63" s="279">
        <f t="shared" ref="AC63:AC203" si="133">AC64+2018.527778</f>
        <v>4198672.806</v>
      </c>
      <c r="AD63" s="279">
        <f t="shared" si="115"/>
        <v>-179011.9178</v>
      </c>
      <c r="AE63" s="283">
        <f t="shared" si="21"/>
        <v>30111774.42</v>
      </c>
      <c r="AF63" s="273">
        <f t="shared" si="22"/>
        <v>0.08832819917</v>
      </c>
      <c r="AG63" s="274">
        <f t="shared" si="23"/>
        <v>4377684.723</v>
      </c>
    </row>
    <row r="64">
      <c r="A64" s="276">
        <f t="shared" si="3"/>
        <v>46038</v>
      </c>
      <c r="B64" s="269">
        <f t="shared" si="101"/>
        <v>379326.6</v>
      </c>
      <c r="C64" s="266"/>
      <c r="D64" s="266"/>
      <c r="E64" s="266"/>
      <c r="F64" s="259"/>
      <c r="G64" s="259">
        <f t="shared" si="121"/>
        <v>2884200</v>
      </c>
      <c r="H64" s="281">
        <f t="shared" si="120"/>
        <v>735840</v>
      </c>
      <c r="I64" s="259">
        <f t="shared" si="122"/>
        <v>419880</v>
      </c>
      <c r="J64" s="259">
        <f t="shared" si="123"/>
        <v>3856000</v>
      </c>
      <c r="K64" s="268">
        <f t="shared" si="124"/>
        <v>1735800</v>
      </c>
      <c r="L64" s="268">
        <f t="shared" si="125"/>
        <v>155560</v>
      </c>
      <c r="M64" s="268">
        <f t="shared" si="126"/>
        <v>1137520</v>
      </c>
      <c r="N64" s="268">
        <f t="shared" si="127"/>
        <v>2465120</v>
      </c>
      <c r="O64" s="269">
        <f t="shared" si="128"/>
        <v>881200</v>
      </c>
      <c r="P64" s="269">
        <f t="shared" si="129"/>
        <v>1180400</v>
      </c>
      <c r="Q64" s="269">
        <f t="shared" si="60"/>
        <v>0</v>
      </c>
      <c r="R64" s="266">
        <f t="shared" si="130"/>
        <v>1457745</v>
      </c>
      <c r="S64" s="268">
        <f t="shared" si="117"/>
        <v>730251.9926</v>
      </c>
      <c r="T64" s="278">
        <f t="shared" ref="T64:T83" si="134">T65+1830</f>
        <v>2481415</v>
      </c>
      <c r="U64" s="266">
        <f t="shared" si="131"/>
        <v>1611846.073</v>
      </c>
      <c r="V64" s="279">
        <f t="shared" si="132"/>
        <v>3785112.932</v>
      </c>
      <c r="W64" s="266">
        <f t="shared" si="119"/>
        <v>442500</v>
      </c>
      <c r="X64" s="266">
        <f t="shared" si="94"/>
        <v>1220441.759</v>
      </c>
      <c r="Y64" s="270">
        <f t="shared" si="113"/>
        <v>346442.82</v>
      </c>
      <c r="Z64" s="266"/>
      <c r="AA64" s="277">
        <f t="shared" ref="AA64:AA66" si="135">AA65</f>
        <v>3784162</v>
      </c>
      <c r="AB64" s="280">
        <f t="shared" si="4"/>
        <v>26934371.38</v>
      </c>
      <c r="AC64" s="279">
        <f t="shared" si="133"/>
        <v>4196654.278</v>
      </c>
      <c r="AD64" s="279">
        <f t="shared" si="115"/>
        <v>-180411.9178</v>
      </c>
      <c r="AE64" s="283">
        <f t="shared" si="21"/>
        <v>31311437.58</v>
      </c>
      <c r="AF64" s="273">
        <f t="shared" si="22"/>
        <v>0.1404956495</v>
      </c>
      <c r="AG64" s="274">
        <f t="shared" si="23"/>
        <v>4377066.196</v>
      </c>
    </row>
    <row r="65">
      <c r="A65" s="264">
        <f t="shared" si="3"/>
        <v>46037</v>
      </c>
      <c r="B65" s="269">
        <f t="shared" si="101"/>
        <v>379326.6</v>
      </c>
      <c r="C65" s="266"/>
      <c r="D65" s="266"/>
      <c r="E65" s="266"/>
      <c r="F65" s="259"/>
      <c r="G65" s="259">
        <f>209*13380</f>
        <v>2796420</v>
      </c>
      <c r="H65" s="281">
        <f>12*61240</f>
        <v>734880</v>
      </c>
      <c r="I65" s="259">
        <f>6*68300</f>
        <v>409800</v>
      </c>
      <c r="J65" s="259">
        <f>80*46000</f>
        <v>3680000</v>
      </c>
      <c r="K65" s="268">
        <f>66*26040</f>
        <v>1718640</v>
      </c>
      <c r="L65" s="268">
        <f t="shared" si="125"/>
        <v>155560</v>
      </c>
      <c r="M65" s="268">
        <f>59*18900</f>
        <v>1115100</v>
      </c>
      <c r="N65" s="268">
        <f>124*19900</f>
        <v>2467600</v>
      </c>
      <c r="O65" s="269">
        <f>1*882000</f>
        <v>882000</v>
      </c>
      <c r="P65" s="269">
        <f>5*239180</f>
        <v>1195900</v>
      </c>
      <c r="Q65" s="269">
        <f t="shared" si="60"/>
        <v>0</v>
      </c>
      <c r="R65" s="266">
        <f t="shared" si="130"/>
        <v>1461147</v>
      </c>
      <c r="S65" s="268">
        <f t="shared" si="117"/>
        <v>729074.1453</v>
      </c>
      <c r="T65" s="278">
        <f t="shared" si="134"/>
        <v>2479585</v>
      </c>
      <c r="U65" s="266">
        <f t="shared" si="131"/>
        <v>1609810.073</v>
      </c>
      <c r="V65" s="279">
        <f t="shared" si="132"/>
        <v>3784356.061</v>
      </c>
      <c r="W65" s="266">
        <f t="shared" si="119"/>
        <v>442500</v>
      </c>
      <c r="X65" s="266">
        <f t="shared" si="94"/>
        <v>1218410.417</v>
      </c>
      <c r="Y65" s="270">
        <f t="shared" si="113"/>
        <v>345109.99</v>
      </c>
      <c r="Z65" s="266"/>
      <c r="AA65" s="277">
        <f t="shared" si="135"/>
        <v>3784162</v>
      </c>
      <c r="AB65" s="280">
        <f t="shared" si="4"/>
        <v>26633607.02</v>
      </c>
      <c r="AC65" s="279">
        <f t="shared" si="133"/>
        <v>4194635.75</v>
      </c>
      <c r="AD65" s="279">
        <f t="shared" si="115"/>
        <v>-181811.9178</v>
      </c>
      <c r="AE65" s="283">
        <f t="shared" si="21"/>
        <v>31010054.69</v>
      </c>
      <c r="AF65" s="273">
        <f t="shared" si="22"/>
        <v>0.1420822196</v>
      </c>
      <c r="AG65" s="274">
        <f t="shared" si="23"/>
        <v>4376447.668</v>
      </c>
    </row>
    <row r="66">
      <c r="A66" s="264">
        <f t="shared" si="3"/>
        <v>46036</v>
      </c>
      <c r="B66" s="269">
        <f t="shared" si="101"/>
        <v>379326.6</v>
      </c>
      <c r="C66" s="266"/>
      <c r="D66" s="266"/>
      <c r="E66" s="266"/>
      <c r="F66" s="259"/>
      <c r="G66" s="259">
        <f>209*13280</f>
        <v>2775520</v>
      </c>
      <c r="H66" s="281">
        <f>12*61420</f>
        <v>737040</v>
      </c>
      <c r="I66" s="259">
        <f>6*67620</f>
        <v>405720</v>
      </c>
      <c r="J66" s="259">
        <f>80*45280</f>
        <v>3622400</v>
      </c>
      <c r="K66" s="268">
        <f>66*26180</f>
        <v>1727880</v>
      </c>
      <c r="L66" s="268">
        <f>2*77920</f>
        <v>155840</v>
      </c>
      <c r="M66" s="268">
        <f>59*18980</f>
        <v>1119820</v>
      </c>
      <c r="N66" s="268">
        <f>124*19600</f>
        <v>2430400</v>
      </c>
      <c r="O66" s="269">
        <f>1*871000</f>
        <v>871000</v>
      </c>
      <c r="P66" s="269">
        <f>5*240880</f>
        <v>1204400</v>
      </c>
      <c r="Q66" s="269">
        <f t="shared" si="60"/>
        <v>0</v>
      </c>
      <c r="R66" s="266">
        <f t="shared" si="130"/>
        <v>1464549</v>
      </c>
      <c r="S66" s="268">
        <f t="shared" si="117"/>
        <v>727896.298</v>
      </c>
      <c r="T66" s="278">
        <f t="shared" si="134"/>
        <v>2477755</v>
      </c>
      <c r="U66" s="266">
        <f t="shared" si="131"/>
        <v>1607774.073</v>
      </c>
      <c r="V66" s="279">
        <f t="shared" si="132"/>
        <v>3783599.341</v>
      </c>
      <c r="W66" s="266">
        <f t="shared" si="119"/>
        <v>442500</v>
      </c>
      <c r="X66" s="266">
        <f t="shared" si="94"/>
        <v>1216379.074</v>
      </c>
      <c r="Y66" s="270">
        <f t="shared" si="113"/>
        <v>343777.16</v>
      </c>
      <c r="Z66" s="266"/>
      <c r="AA66" s="277">
        <f t="shared" si="135"/>
        <v>3784162</v>
      </c>
      <c r="AB66" s="280">
        <f t="shared" si="4"/>
        <v>26522582.81</v>
      </c>
      <c r="AC66" s="279">
        <f t="shared" si="133"/>
        <v>4192617.222</v>
      </c>
      <c r="AD66" s="279">
        <f t="shared" si="115"/>
        <v>-183211.9178</v>
      </c>
      <c r="AE66" s="283">
        <f t="shared" si="21"/>
        <v>30898411.95</v>
      </c>
      <c r="AF66" s="273">
        <f t="shared" si="22"/>
        <v>0.1426769794</v>
      </c>
      <c r="AG66" s="274">
        <f t="shared" si="23"/>
        <v>4375829.14</v>
      </c>
    </row>
    <row r="67">
      <c r="A67" s="264">
        <f t="shared" si="3"/>
        <v>46035</v>
      </c>
      <c r="B67" s="269">
        <f t="shared" si="101"/>
        <v>379326.6</v>
      </c>
      <c r="C67" s="266"/>
      <c r="D67" s="266"/>
      <c r="E67" s="266"/>
      <c r="F67" s="259"/>
      <c r="G67" s="259">
        <f>209*13400</f>
        <v>2800600</v>
      </c>
      <c r="H67" s="281">
        <f>12*60480</f>
        <v>725760</v>
      </c>
      <c r="I67" s="259">
        <f>6*66520</f>
        <v>399120</v>
      </c>
      <c r="J67" s="259">
        <f>80*45400</f>
        <v>3632000</v>
      </c>
      <c r="K67" s="268">
        <f>66*26280</f>
        <v>1734480</v>
      </c>
      <c r="L67" s="268">
        <f>2*78240</f>
        <v>156480</v>
      </c>
      <c r="M67" s="268">
        <f>59*19060</f>
        <v>1124540</v>
      </c>
      <c r="N67" s="268">
        <f>124*19200</f>
        <v>2380800</v>
      </c>
      <c r="O67" s="269">
        <f>1*882980</f>
        <v>882980</v>
      </c>
      <c r="P67" s="269">
        <f>5*241000</f>
        <v>1205000</v>
      </c>
      <c r="Q67" s="269">
        <f t="shared" si="60"/>
        <v>0</v>
      </c>
      <c r="R67" s="266">
        <f t="shared" si="130"/>
        <v>1467951</v>
      </c>
      <c r="S67" s="268">
        <f t="shared" si="117"/>
        <v>726718.4507</v>
      </c>
      <c r="T67" s="278">
        <f t="shared" si="134"/>
        <v>2475925</v>
      </c>
      <c r="U67" s="266">
        <f t="shared" si="131"/>
        <v>1605738.073</v>
      </c>
      <c r="V67" s="279">
        <f t="shared" si="132"/>
        <v>3782842.773</v>
      </c>
      <c r="W67" s="266">
        <f t="shared" si="119"/>
        <v>442500</v>
      </c>
      <c r="X67" s="266">
        <f t="shared" si="94"/>
        <v>1214347.731</v>
      </c>
      <c r="Y67" s="270">
        <f t="shared" si="113"/>
        <v>342444.33</v>
      </c>
      <c r="Z67" s="266"/>
      <c r="AA67" s="277">
        <f>AA68+50000</f>
        <v>3784162</v>
      </c>
      <c r="AB67" s="280">
        <f t="shared" si="4"/>
        <v>26509178.75</v>
      </c>
      <c r="AC67" s="279">
        <f t="shared" si="133"/>
        <v>4190598.695</v>
      </c>
      <c r="AD67" s="279">
        <f t="shared" si="115"/>
        <v>-184611.9178</v>
      </c>
      <c r="AE67" s="283">
        <f t="shared" si="21"/>
        <v>30884389.36</v>
      </c>
      <c r="AF67" s="273">
        <f t="shared" si="22"/>
        <v>0.1427491223</v>
      </c>
      <c r="AG67" s="274">
        <f t="shared" si="23"/>
        <v>4375210.612</v>
      </c>
    </row>
    <row r="68">
      <c r="A68" s="275">
        <f t="shared" si="3"/>
        <v>46034</v>
      </c>
      <c r="B68" s="269">
        <f t="shared" si="101"/>
        <v>379326.6</v>
      </c>
      <c r="C68" s="266"/>
      <c r="D68" s="266"/>
      <c r="E68" s="266"/>
      <c r="F68" s="259"/>
      <c r="G68" s="259">
        <f t="shared" ref="G68:G71" si="136">209*13380</f>
        <v>2796420</v>
      </c>
      <c r="H68" s="281">
        <f t="shared" ref="H68:H71" si="137">12*65160</f>
        <v>781920</v>
      </c>
      <c r="I68" s="259">
        <f t="shared" ref="I68:I71" si="138">6*65800</f>
        <v>394800</v>
      </c>
      <c r="J68" s="259">
        <f t="shared" ref="J68:J71" si="139">80*44400</f>
        <v>3552000</v>
      </c>
      <c r="K68" s="268">
        <f t="shared" ref="K68:K71" si="140">66*26120</f>
        <v>1723920</v>
      </c>
      <c r="L68" s="268">
        <f t="shared" ref="L68:L71" si="141">2*79000</f>
        <v>158000</v>
      </c>
      <c r="M68" s="268">
        <f t="shared" ref="M68:M71" si="142">59*18840</f>
        <v>1111560</v>
      </c>
      <c r="N68" s="268">
        <f t="shared" ref="N68:N71" si="143">124*19720</f>
        <v>2445280</v>
      </c>
      <c r="O68" s="269">
        <f t="shared" ref="O68:O71" si="144">1*918600</f>
        <v>918600</v>
      </c>
      <c r="P68" s="269">
        <f t="shared" ref="P68:P71" si="145">5*244000</f>
        <v>1220000</v>
      </c>
      <c r="Q68" s="269">
        <f t="shared" si="60"/>
        <v>0</v>
      </c>
      <c r="R68" s="266">
        <f t="shared" si="130"/>
        <v>1471353</v>
      </c>
      <c r="S68" s="268">
        <f t="shared" si="117"/>
        <v>725540.6034</v>
      </c>
      <c r="T68" s="278">
        <f t="shared" si="134"/>
        <v>2474095</v>
      </c>
      <c r="U68" s="266">
        <f t="shared" si="131"/>
        <v>1603702.073</v>
      </c>
      <c r="V68" s="279">
        <f t="shared" si="132"/>
        <v>3782086.355</v>
      </c>
      <c r="W68" s="266">
        <f t="shared" si="119"/>
        <v>442500</v>
      </c>
      <c r="X68" s="266">
        <f t="shared" si="94"/>
        <v>1212316.389</v>
      </c>
      <c r="Y68" s="270">
        <f t="shared" si="113"/>
        <v>341111.5</v>
      </c>
      <c r="Z68" s="266"/>
      <c r="AA68" s="277">
        <f t="shared" ref="AA68:AA69" si="146">AA69</f>
        <v>3734162</v>
      </c>
      <c r="AB68" s="280">
        <f t="shared" si="4"/>
        <v>26514774.84</v>
      </c>
      <c r="AC68" s="279">
        <f t="shared" si="133"/>
        <v>4188580.167</v>
      </c>
      <c r="AD68" s="279">
        <f t="shared" si="115"/>
        <v>-186011.9178</v>
      </c>
      <c r="AE68" s="283">
        <f t="shared" si="21"/>
        <v>30889366.92</v>
      </c>
      <c r="AF68" s="273">
        <f t="shared" si="22"/>
        <v>0.1408332533</v>
      </c>
      <c r="AG68" s="274">
        <f t="shared" si="23"/>
        <v>4374592.084</v>
      </c>
    </row>
    <row r="69">
      <c r="A69" s="275">
        <f t="shared" si="3"/>
        <v>46033</v>
      </c>
      <c r="B69" s="269">
        <f t="shared" si="101"/>
        <v>379326.6</v>
      </c>
      <c r="C69" s="266"/>
      <c r="D69" s="266"/>
      <c r="E69" s="266"/>
      <c r="F69" s="259"/>
      <c r="G69" s="259">
        <f t="shared" si="136"/>
        <v>2796420</v>
      </c>
      <c r="H69" s="281">
        <f t="shared" si="137"/>
        <v>781920</v>
      </c>
      <c r="I69" s="259">
        <f t="shared" si="138"/>
        <v>394800</v>
      </c>
      <c r="J69" s="259">
        <f t="shared" si="139"/>
        <v>3552000</v>
      </c>
      <c r="K69" s="268">
        <f t="shared" si="140"/>
        <v>1723920</v>
      </c>
      <c r="L69" s="268">
        <f t="shared" si="141"/>
        <v>158000</v>
      </c>
      <c r="M69" s="268">
        <f t="shared" si="142"/>
        <v>1111560</v>
      </c>
      <c r="N69" s="268">
        <f t="shared" si="143"/>
        <v>2445280</v>
      </c>
      <c r="O69" s="269">
        <f t="shared" si="144"/>
        <v>918600</v>
      </c>
      <c r="P69" s="269">
        <f t="shared" si="145"/>
        <v>1220000</v>
      </c>
      <c r="Q69" s="269">
        <f t="shared" si="60"/>
        <v>0</v>
      </c>
      <c r="R69" s="266">
        <f t="shared" si="130"/>
        <v>1474755</v>
      </c>
      <c r="S69" s="268">
        <f t="shared" si="117"/>
        <v>724362.7561</v>
      </c>
      <c r="T69" s="278">
        <f t="shared" si="134"/>
        <v>2472265</v>
      </c>
      <c r="U69" s="266">
        <f t="shared" si="131"/>
        <v>1601666.073</v>
      </c>
      <c r="V69" s="279">
        <f t="shared" si="132"/>
        <v>3781330.089</v>
      </c>
      <c r="W69" s="266">
        <f t="shared" si="119"/>
        <v>442500</v>
      </c>
      <c r="X69" s="266">
        <f t="shared" si="94"/>
        <v>1210285.046</v>
      </c>
      <c r="Y69" s="270">
        <f t="shared" si="113"/>
        <v>339778.67</v>
      </c>
      <c r="Z69" s="266"/>
      <c r="AA69" s="277">
        <f t="shared" si="146"/>
        <v>3734162</v>
      </c>
      <c r="AB69" s="280">
        <f t="shared" si="4"/>
        <v>26509631.08</v>
      </c>
      <c r="AC69" s="279">
        <f t="shared" si="133"/>
        <v>4186561.639</v>
      </c>
      <c r="AD69" s="279">
        <f t="shared" si="115"/>
        <v>-187411.9178</v>
      </c>
      <c r="AE69" s="283">
        <f t="shared" si="21"/>
        <v>30883604.63</v>
      </c>
      <c r="AF69" s="273">
        <f t="shared" si="22"/>
        <v>0.1408605797</v>
      </c>
      <c r="AG69" s="274">
        <f t="shared" si="23"/>
        <v>4373973.557</v>
      </c>
    </row>
    <row r="70">
      <c r="A70" s="284">
        <f t="shared" si="3"/>
        <v>46032</v>
      </c>
      <c r="B70" s="269">
        <f t="shared" si="101"/>
        <v>379326.6</v>
      </c>
      <c r="C70" s="266"/>
      <c r="D70" s="266"/>
      <c r="E70" s="266"/>
      <c r="F70" s="259"/>
      <c r="G70" s="259">
        <f t="shared" si="136"/>
        <v>2796420</v>
      </c>
      <c r="H70" s="281">
        <f t="shared" si="137"/>
        <v>781920</v>
      </c>
      <c r="I70" s="259">
        <f t="shared" si="138"/>
        <v>394800</v>
      </c>
      <c r="J70" s="259">
        <f t="shared" si="139"/>
        <v>3552000</v>
      </c>
      <c r="K70" s="268">
        <f t="shared" si="140"/>
        <v>1723920</v>
      </c>
      <c r="L70" s="268">
        <f t="shared" si="141"/>
        <v>158000</v>
      </c>
      <c r="M70" s="268">
        <f t="shared" si="142"/>
        <v>1111560</v>
      </c>
      <c r="N70" s="268">
        <f t="shared" si="143"/>
        <v>2445280</v>
      </c>
      <c r="O70" s="269">
        <f t="shared" si="144"/>
        <v>918600</v>
      </c>
      <c r="P70" s="269">
        <f t="shared" si="145"/>
        <v>1220000</v>
      </c>
      <c r="Q70" s="269">
        <f t="shared" si="60"/>
        <v>0</v>
      </c>
      <c r="R70" s="266">
        <f t="shared" si="130"/>
        <v>1478157</v>
      </c>
      <c r="S70" s="268">
        <f t="shared" si="117"/>
        <v>723184.9088</v>
      </c>
      <c r="T70" s="278">
        <f t="shared" si="134"/>
        <v>2470435</v>
      </c>
      <c r="U70" s="266">
        <f t="shared" si="131"/>
        <v>1599630.073</v>
      </c>
      <c r="V70" s="279">
        <f t="shared" si="132"/>
        <v>3780573.975</v>
      </c>
      <c r="W70" s="266">
        <f t="shared" si="119"/>
        <v>442500</v>
      </c>
      <c r="X70" s="266">
        <f>X71+2031.342590164-44000</f>
        <v>1208253.704</v>
      </c>
      <c r="Y70" s="270">
        <f t="shared" si="113"/>
        <v>338445.84</v>
      </c>
      <c r="Z70" s="266"/>
      <c r="AA70" s="277">
        <f>AA71+44000</f>
        <v>3734162</v>
      </c>
      <c r="AB70" s="280">
        <f t="shared" si="4"/>
        <v>26504487.47</v>
      </c>
      <c r="AC70" s="279">
        <f t="shared" si="133"/>
        <v>4184543.111</v>
      </c>
      <c r="AD70" s="279">
        <f t="shared" si="115"/>
        <v>-188811.9178</v>
      </c>
      <c r="AE70" s="283">
        <f t="shared" si="21"/>
        <v>30877842.5</v>
      </c>
      <c r="AF70" s="273">
        <f t="shared" si="22"/>
        <v>0.1408879158</v>
      </c>
      <c r="AG70" s="274">
        <f t="shared" si="23"/>
        <v>4373355.029</v>
      </c>
    </row>
    <row r="71">
      <c r="A71" s="276">
        <f t="shared" si="3"/>
        <v>46031</v>
      </c>
      <c r="B71" s="269">
        <f t="shared" si="101"/>
        <v>379326.6</v>
      </c>
      <c r="C71" s="266"/>
      <c r="D71" s="266"/>
      <c r="E71" s="266"/>
      <c r="F71" s="259"/>
      <c r="G71" s="259">
        <f t="shared" si="136"/>
        <v>2796420</v>
      </c>
      <c r="H71" s="281">
        <f t="shared" si="137"/>
        <v>781920</v>
      </c>
      <c r="I71" s="259">
        <f t="shared" si="138"/>
        <v>394800</v>
      </c>
      <c r="J71" s="259">
        <f t="shared" si="139"/>
        <v>3552000</v>
      </c>
      <c r="K71" s="268">
        <f t="shared" si="140"/>
        <v>1723920</v>
      </c>
      <c r="L71" s="268">
        <f t="shared" si="141"/>
        <v>158000</v>
      </c>
      <c r="M71" s="268">
        <f t="shared" si="142"/>
        <v>1111560</v>
      </c>
      <c r="N71" s="268">
        <f t="shared" si="143"/>
        <v>2445280</v>
      </c>
      <c r="O71" s="269">
        <f t="shared" si="144"/>
        <v>918600</v>
      </c>
      <c r="P71" s="269">
        <f t="shared" si="145"/>
        <v>1220000</v>
      </c>
      <c r="Q71" s="269">
        <f t="shared" si="60"/>
        <v>0</v>
      </c>
      <c r="R71" s="266">
        <f>R72-3402+60000</f>
        <v>1481559</v>
      </c>
      <c r="S71" s="268">
        <f t="shared" si="117"/>
        <v>722007.0615</v>
      </c>
      <c r="T71" s="278">
        <f t="shared" si="134"/>
        <v>2468605</v>
      </c>
      <c r="U71" s="266">
        <f t="shared" si="131"/>
        <v>1597594.073</v>
      </c>
      <c r="V71" s="279">
        <f t="shared" si="132"/>
        <v>3779818.011</v>
      </c>
      <c r="W71" s="266">
        <f t="shared" si="119"/>
        <v>442500</v>
      </c>
      <c r="X71" s="266">
        <f t="shared" ref="X71:X74" si="147">X72+2031.342590164</f>
        <v>1250222.361</v>
      </c>
      <c r="Y71" s="270">
        <f t="shared" si="113"/>
        <v>337113.01</v>
      </c>
      <c r="Z71" s="266"/>
      <c r="AA71" s="277">
        <f>AA72-60000</f>
        <v>3690162</v>
      </c>
      <c r="AB71" s="280">
        <f t="shared" si="4"/>
        <v>26499344.02</v>
      </c>
      <c r="AC71" s="279">
        <f t="shared" si="133"/>
        <v>4182524.583</v>
      </c>
      <c r="AD71" s="279">
        <f t="shared" si="115"/>
        <v>-190211.9178</v>
      </c>
      <c r="AE71" s="283">
        <f t="shared" si="21"/>
        <v>30872080.52</v>
      </c>
      <c r="AF71" s="273">
        <f t="shared" si="22"/>
        <v>0.1392548434</v>
      </c>
      <c r="AG71" s="274">
        <f t="shared" si="23"/>
        <v>4372736.501</v>
      </c>
    </row>
    <row r="72">
      <c r="A72" s="264">
        <f t="shared" si="3"/>
        <v>46030</v>
      </c>
      <c r="B72" s="269">
        <f>101.56*3734</f>
        <v>379225.04</v>
      </c>
      <c r="C72" s="266"/>
      <c r="D72" s="266"/>
      <c r="E72" s="266"/>
      <c r="F72" s="259"/>
      <c r="G72" s="259">
        <f>209*13260</f>
        <v>2771340</v>
      </c>
      <c r="H72" s="281">
        <f>12*65040</f>
        <v>780480</v>
      </c>
      <c r="I72" s="259">
        <f>6*65060</f>
        <v>390360</v>
      </c>
      <c r="J72" s="259">
        <f>80*44980</f>
        <v>3598400</v>
      </c>
      <c r="K72" s="268">
        <f>66*25920</f>
        <v>1710720</v>
      </c>
      <c r="L72" s="268">
        <f>2*79300</f>
        <v>158600</v>
      </c>
      <c r="M72" s="268">
        <f>59*18880</f>
        <v>1113920</v>
      </c>
      <c r="N72" s="268">
        <f>124*19500</f>
        <v>2418000</v>
      </c>
      <c r="O72" s="269">
        <f>1*912500</f>
        <v>912500</v>
      </c>
      <c r="P72" s="269">
        <f>5*241900</f>
        <v>1209500</v>
      </c>
      <c r="Q72" s="269">
        <f t="shared" si="60"/>
        <v>0</v>
      </c>
      <c r="R72" s="266">
        <f>R73-3402+100000</f>
        <v>1424961</v>
      </c>
      <c r="S72" s="268">
        <f t="shared" si="117"/>
        <v>720829.2142</v>
      </c>
      <c r="T72" s="278">
        <f t="shared" si="134"/>
        <v>2466775</v>
      </c>
      <c r="U72" s="266">
        <f t="shared" si="131"/>
        <v>1595558.073</v>
      </c>
      <c r="V72" s="279">
        <f t="shared" si="132"/>
        <v>3779062.199</v>
      </c>
      <c r="W72" s="266">
        <f t="shared" si="119"/>
        <v>442500</v>
      </c>
      <c r="X72" s="266">
        <f t="shared" si="147"/>
        <v>1248191.018</v>
      </c>
      <c r="Y72" s="270">
        <f t="shared" si="113"/>
        <v>335780.18</v>
      </c>
      <c r="Z72" s="266"/>
      <c r="AA72" s="277">
        <f>AA73-100000</f>
        <v>3750162</v>
      </c>
      <c r="AB72" s="280">
        <f t="shared" si="4"/>
        <v>26455520.71</v>
      </c>
      <c r="AC72" s="279">
        <f t="shared" si="133"/>
        <v>4180506.056</v>
      </c>
      <c r="AD72" s="279">
        <f t="shared" si="115"/>
        <v>-191611.9178</v>
      </c>
      <c r="AE72" s="283">
        <f t="shared" si="21"/>
        <v>30827638.68</v>
      </c>
      <c r="AF72" s="273">
        <f t="shared" si="22"/>
        <v>0.1417534752</v>
      </c>
      <c r="AG72" s="274">
        <f t="shared" si="23"/>
        <v>4372117.973</v>
      </c>
    </row>
    <row r="73">
      <c r="A73" s="264">
        <f t="shared" si="3"/>
        <v>46029</v>
      </c>
      <c r="B73" s="269">
        <f>101.56*3730</f>
        <v>378818.8</v>
      </c>
      <c r="C73" s="266"/>
      <c r="D73" s="266"/>
      <c r="E73" s="266"/>
      <c r="F73" s="259"/>
      <c r="G73" s="259">
        <f>209*13180</f>
        <v>2754620</v>
      </c>
      <c r="H73" s="281">
        <f>12*66500</f>
        <v>798000</v>
      </c>
      <c r="I73" s="259">
        <f>6*64000</f>
        <v>384000</v>
      </c>
      <c r="J73" s="259">
        <f>80*45240</f>
        <v>3619200</v>
      </c>
      <c r="K73" s="268">
        <f>66*25600</f>
        <v>1689600</v>
      </c>
      <c r="L73" s="268">
        <f>2*80000</f>
        <v>160000</v>
      </c>
      <c r="M73" s="268">
        <f>59*18920</f>
        <v>1116280</v>
      </c>
      <c r="N73" s="268">
        <f>124*19400</f>
        <v>2405600</v>
      </c>
      <c r="O73" s="269">
        <f>1*912840</f>
        <v>912840</v>
      </c>
      <c r="P73" s="269">
        <f>5*239460</f>
        <v>1197300</v>
      </c>
      <c r="Q73" s="269">
        <f t="shared" si="60"/>
        <v>0</v>
      </c>
      <c r="R73" s="266">
        <f>R74-3402+80000</f>
        <v>1328363</v>
      </c>
      <c r="S73" s="268">
        <f t="shared" si="117"/>
        <v>719651.3669</v>
      </c>
      <c r="T73" s="278">
        <f t="shared" si="134"/>
        <v>2464945</v>
      </c>
      <c r="U73" s="266">
        <f t="shared" si="131"/>
        <v>1593522.073</v>
      </c>
      <c r="V73" s="279">
        <f t="shared" si="132"/>
        <v>3778306.537</v>
      </c>
      <c r="W73" s="266">
        <f t="shared" si="119"/>
        <v>442500</v>
      </c>
      <c r="X73" s="266">
        <f t="shared" si="147"/>
        <v>1246159.676</v>
      </c>
      <c r="Y73" s="270">
        <f t="shared" si="113"/>
        <v>334447.35</v>
      </c>
      <c r="Z73" s="266"/>
      <c r="AA73" s="277">
        <f>AA74-48*25600-80000</f>
        <v>3850162</v>
      </c>
      <c r="AB73" s="280">
        <f t="shared" si="4"/>
        <v>26423997.56</v>
      </c>
      <c r="AC73" s="279">
        <f t="shared" si="133"/>
        <v>4178487.528</v>
      </c>
      <c r="AD73" s="279">
        <f t="shared" si="115"/>
        <v>-193011.9178</v>
      </c>
      <c r="AE73" s="283">
        <f t="shared" si="21"/>
        <v>30795497</v>
      </c>
      <c r="AF73" s="273">
        <f t="shared" si="22"/>
        <v>0.1457070223</v>
      </c>
      <c r="AG73" s="274">
        <f t="shared" si="23"/>
        <v>4371499.446</v>
      </c>
    </row>
    <row r="74">
      <c r="A74" s="264">
        <f t="shared" si="3"/>
        <v>46028</v>
      </c>
      <c r="B74" s="269">
        <f t="shared" ref="B74:B81" si="148">101.56*3742</f>
        <v>380037.52</v>
      </c>
      <c r="C74" s="266"/>
      <c r="D74" s="266"/>
      <c r="E74" s="266"/>
      <c r="F74" s="259"/>
      <c r="G74" s="259">
        <f>209*13360</f>
        <v>2792240</v>
      </c>
      <c r="H74" s="281">
        <f>12*66540</f>
        <v>798480</v>
      </c>
      <c r="I74" s="259">
        <f>6*63200</f>
        <v>379200</v>
      </c>
      <c r="J74" s="259">
        <f>80*45100</f>
        <v>3608000</v>
      </c>
      <c r="K74" s="268">
        <f>18*25100</f>
        <v>451800</v>
      </c>
      <c r="L74" s="268">
        <f>2*80300</f>
        <v>160600</v>
      </c>
      <c r="M74" s="268">
        <f>59*19000</f>
        <v>1121000</v>
      </c>
      <c r="N74" s="268">
        <f>124*19500</f>
        <v>2418000</v>
      </c>
      <c r="O74" s="269">
        <f>1*894800</f>
        <v>894800</v>
      </c>
      <c r="P74" s="269">
        <f>5*243000</f>
        <v>1215000</v>
      </c>
      <c r="Q74" s="269">
        <f t="shared" si="60"/>
        <v>0</v>
      </c>
      <c r="R74" s="266">
        <f t="shared" ref="R74:R83" si="149">R75-3402</f>
        <v>1251765</v>
      </c>
      <c r="S74" s="268">
        <f t="shared" si="117"/>
        <v>718473.5196</v>
      </c>
      <c r="T74" s="278">
        <f t="shared" si="134"/>
        <v>2463115</v>
      </c>
      <c r="U74" s="266">
        <f t="shared" si="131"/>
        <v>1591486.073</v>
      </c>
      <c r="V74" s="279">
        <f>V75*1.0002+300000</f>
        <v>3777551.027</v>
      </c>
      <c r="W74" s="266">
        <f t="shared" si="119"/>
        <v>442500</v>
      </c>
      <c r="X74" s="266">
        <f t="shared" si="147"/>
        <v>1244128.333</v>
      </c>
      <c r="Y74" s="270">
        <f t="shared" si="113"/>
        <v>333114.52</v>
      </c>
      <c r="Z74" s="266"/>
      <c r="AA74" s="277">
        <f>AA75-500000</f>
        <v>5158962</v>
      </c>
      <c r="AB74" s="280">
        <f t="shared" si="4"/>
        <v>26449334.55</v>
      </c>
      <c r="AC74" s="279">
        <f t="shared" si="133"/>
        <v>4176469</v>
      </c>
      <c r="AD74" s="279">
        <f>AD75+1200-200000</f>
        <v>-194411.9178</v>
      </c>
      <c r="AE74" s="283">
        <f t="shared" si="21"/>
        <v>30820215.47</v>
      </c>
      <c r="AF74" s="273">
        <f t="shared" si="22"/>
        <v>0.1950507295</v>
      </c>
      <c r="AG74" s="274">
        <f t="shared" si="23"/>
        <v>4370880.918</v>
      </c>
    </row>
    <row r="75">
      <c r="A75" s="264">
        <f t="shared" si="3"/>
        <v>46027</v>
      </c>
      <c r="B75" s="269">
        <f t="shared" si="148"/>
        <v>380037.52</v>
      </c>
      <c r="C75" s="266"/>
      <c r="D75" s="266"/>
      <c r="E75" s="266"/>
      <c r="F75" s="259"/>
      <c r="G75" s="259">
        <f>209*13200</f>
        <v>2758800</v>
      </c>
      <c r="H75" s="281">
        <f>12*66780</f>
        <v>801360</v>
      </c>
      <c r="I75" s="259">
        <f>6*61980</f>
        <v>371880</v>
      </c>
      <c r="J75" s="259">
        <f>80*44000</f>
        <v>3520000</v>
      </c>
      <c r="K75" s="268">
        <f>18*25000</f>
        <v>450000</v>
      </c>
      <c r="L75" s="268">
        <f>2*80900</f>
        <v>161800</v>
      </c>
      <c r="M75" s="268">
        <f>59*18820</f>
        <v>1110380</v>
      </c>
      <c r="N75" s="268">
        <f>124*19200</f>
        <v>2380800</v>
      </c>
      <c r="O75" s="269">
        <f>1*864680</f>
        <v>864680</v>
      </c>
      <c r="P75" s="269">
        <f>5*242500</f>
        <v>1212500</v>
      </c>
      <c r="Q75" s="269">
        <f t="shared" si="60"/>
        <v>0</v>
      </c>
      <c r="R75" s="266">
        <f t="shared" si="149"/>
        <v>1255167</v>
      </c>
      <c r="S75" s="268">
        <f t="shared" si="117"/>
        <v>717295.6723</v>
      </c>
      <c r="T75" s="278">
        <f t="shared" si="134"/>
        <v>2461285</v>
      </c>
      <c r="U75" s="266">
        <f t="shared" si="131"/>
        <v>1589450.073</v>
      </c>
      <c r="V75" s="279">
        <f t="shared" ref="V75:V78" si="150">V76*1.0002</f>
        <v>3476855.656</v>
      </c>
      <c r="W75" s="266">
        <f t="shared" si="119"/>
        <v>442500</v>
      </c>
      <c r="X75" s="266">
        <f>X76+2031.342590164-129000</f>
        <v>1242096.991</v>
      </c>
      <c r="Y75" s="270">
        <f t="shared" si="113"/>
        <v>331781.69</v>
      </c>
      <c r="Z75" s="266"/>
      <c r="AA75" s="277">
        <f>AA76+129000</f>
        <v>5658962</v>
      </c>
      <c r="AB75" s="280">
        <f t="shared" ref="AB75:AB110" si="151">IF((SUM(C75:AA75)-AC75-AD75)&lt;18000000,,SUM(C75:AA75)-AC75-AD75)</f>
        <v>26628755.53</v>
      </c>
      <c r="AC75" s="279">
        <f t="shared" si="133"/>
        <v>4174450.472</v>
      </c>
      <c r="AD75" s="279">
        <f t="shared" ref="AD75:AD77" si="152">AD76+1200</f>
        <v>4388.082229</v>
      </c>
      <c r="AE75" s="283">
        <f t="shared" si="21"/>
        <v>30807594.08</v>
      </c>
      <c r="AF75" s="273">
        <f t="shared" si="22"/>
        <v>0.2125131982</v>
      </c>
      <c r="AG75" s="274">
        <f t="shared" si="23"/>
        <v>4178838.555</v>
      </c>
    </row>
    <row r="76">
      <c r="A76" s="275">
        <f t="shared" si="3"/>
        <v>46026</v>
      </c>
      <c r="B76" s="269">
        <f t="shared" si="148"/>
        <v>380037.52</v>
      </c>
      <c r="C76" s="266"/>
      <c r="D76" s="266"/>
      <c r="E76" s="266"/>
      <c r="F76" s="259"/>
      <c r="G76" s="259">
        <f t="shared" ref="G76:G78" si="153">209*12980</f>
        <v>2712820</v>
      </c>
      <c r="H76" s="281">
        <f t="shared" ref="H76:H78" si="154">12*64100</f>
        <v>769200</v>
      </c>
      <c r="I76" s="259">
        <f t="shared" ref="I76:I78" si="155">6*59520</f>
        <v>357120</v>
      </c>
      <c r="J76" s="259">
        <f t="shared" ref="J76:J78" si="156">80*42900</f>
        <v>3432000</v>
      </c>
      <c r="K76" s="268">
        <f t="shared" ref="K76:K78" si="157">18*24820</f>
        <v>446760</v>
      </c>
      <c r="L76" s="268">
        <f t="shared" ref="L76:L81" si="158">2*79960</f>
        <v>159920</v>
      </c>
      <c r="M76" s="268">
        <f t="shared" ref="M76:M81" si="159">59*18260</f>
        <v>1077340</v>
      </c>
      <c r="N76" s="268">
        <f t="shared" ref="N76:N78" si="160">124*18700</f>
        <v>2318800</v>
      </c>
      <c r="O76" s="269">
        <f t="shared" ref="O76:O78" si="161">1*865000</f>
        <v>865000</v>
      </c>
      <c r="P76" s="269">
        <f t="shared" ref="P76:P81" si="162">5*230000</f>
        <v>1150000</v>
      </c>
      <c r="Q76" s="269">
        <f t="shared" si="60"/>
        <v>0</v>
      </c>
      <c r="R76" s="266">
        <f t="shared" si="149"/>
        <v>1258569</v>
      </c>
      <c r="S76" s="268">
        <f t="shared" si="117"/>
        <v>716117.825</v>
      </c>
      <c r="T76" s="278">
        <f t="shared" si="134"/>
        <v>2459455</v>
      </c>
      <c r="U76" s="266">
        <f t="shared" si="131"/>
        <v>1587414.073</v>
      </c>
      <c r="V76" s="279">
        <f t="shared" si="150"/>
        <v>3476160.424</v>
      </c>
      <c r="W76" s="266">
        <f t="shared" si="119"/>
        <v>442500</v>
      </c>
      <c r="X76" s="266">
        <f t="shared" ref="X76:X109" si="163">X77+2031.342590164</f>
        <v>1369065.648</v>
      </c>
      <c r="Y76" s="270">
        <f t="shared" si="113"/>
        <v>330448.86</v>
      </c>
      <c r="Z76" s="266"/>
      <c r="AA76" s="277">
        <f t="shared" ref="AA76:AA77" si="164">AA77</f>
        <v>5529962</v>
      </c>
      <c r="AB76" s="280">
        <f t="shared" si="151"/>
        <v>26283032.8</v>
      </c>
      <c r="AC76" s="279">
        <f t="shared" si="133"/>
        <v>4172431.945</v>
      </c>
      <c r="AD76" s="279">
        <f t="shared" si="152"/>
        <v>3188.082229</v>
      </c>
      <c r="AE76" s="283">
        <f t="shared" si="21"/>
        <v>30458652.83</v>
      </c>
      <c r="AF76" s="273">
        <f t="shared" si="22"/>
        <v>0.2104004527</v>
      </c>
      <c r="AG76" s="274">
        <f t="shared" si="23"/>
        <v>4175620.027</v>
      </c>
    </row>
    <row r="77">
      <c r="A77" s="284">
        <f t="shared" si="3"/>
        <v>46025</v>
      </c>
      <c r="B77" s="269">
        <f t="shared" si="148"/>
        <v>380037.52</v>
      </c>
      <c r="C77" s="266"/>
      <c r="D77" s="266"/>
      <c r="E77" s="266"/>
      <c r="F77" s="259"/>
      <c r="G77" s="259">
        <f t="shared" si="153"/>
        <v>2712820</v>
      </c>
      <c r="H77" s="281">
        <f t="shared" si="154"/>
        <v>769200</v>
      </c>
      <c r="I77" s="259">
        <f t="shared" si="155"/>
        <v>357120</v>
      </c>
      <c r="J77" s="259">
        <f t="shared" si="156"/>
        <v>3432000</v>
      </c>
      <c r="K77" s="268">
        <f t="shared" si="157"/>
        <v>446760</v>
      </c>
      <c r="L77" s="268">
        <f t="shared" si="158"/>
        <v>159920</v>
      </c>
      <c r="M77" s="268">
        <f t="shared" si="159"/>
        <v>1077340</v>
      </c>
      <c r="N77" s="268">
        <f t="shared" si="160"/>
        <v>2318800</v>
      </c>
      <c r="O77" s="269">
        <f t="shared" si="161"/>
        <v>865000</v>
      </c>
      <c r="P77" s="269">
        <f t="shared" si="162"/>
        <v>1150000</v>
      </c>
      <c r="Q77" s="269">
        <f t="shared" si="60"/>
        <v>0</v>
      </c>
      <c r="R77" s="266">
        <f t="shared" si="149"/>
        <v>1261971</v>
      </c>
      <c r="S77" s="268">
        <f t="shared" si="117"/>
        <v>714939.9777</v>
      </c>
      <c r="T77" s="278">
        <f t="shared" si="134"/>
        <v>2457625</v>
      </c>
      <c r="U77" s="266">
        <f t="shared" si="131"/>
        <v>1585378.073</v>
      </c>
      <c r="V77" s="279">
        <f t="shared" si="150"/>
        <v>3475465.331</v>
      </c>
      <c r="W77" s="266">
        <f t="shared" si="119"/>
        <v>442500</v>
      </c>
      <c r="X77" s="266">
        <f t="shared" si="163"/>
        <v>1367034.305</v>
      </c>
      <c r="Y77" s="270">
        <f t="shared" si="113"/>
        <v>329116.03</v>
      </c>
      <c r="Z77" s="266"/>
      <c r="AA77" s="277">
        <f t="shared" si="164"/>
        <v>5529962</v>
      </c>
      <c r="AB77" s="280">
        <f t="shared" si="151"/>
        <v>26280550.22</v>
      </c>
      <c r="AC77" s="279">
        <f t="shared" si="133"/>
        <v>4170413.417</v>
      </c>
      <c r="AD77" s="279">
        <f t="shared" si="152"/>
        <v>1988.082229</v>
      </c>
      <c r="AE77" s="283">
        <f t="shared" si="21"/>
        <v>30452951.72</v>
      </c>
      <c r="AF77" s="273">
        <f t="shared" si="22"/>
        <v>0.2104203281</v>
      </c>
      <c r="AG77" s="274">
        <f t="shared" si="23"/>
        <v>4172401.499</v>
      </c>
    </row>
    <row r="78">
      <c r="A78" s="276">
        <f t="shared" si="3"/>
        <v>46024</v>
      </c>
      <c r="B78" s="269">
        <f t="shared" si="148"/>
        <v>380037.52</v>
      </c>
      <c r="C78" s="266"/>
      <c r="D78" s="266"/>
      <c r="E78" s="266"/>
      <c r="F78" s="259"/>
      <c r="G78" s="259">
        <f t="shared" si="153"/>
        <v>2712820</v>
      </c>
      <c r="H78" s="281">
        <f t="shared" si="154"/>
        <v>769200</v>
      </c>
      <c r="I78" s="259">
        <f t="shared" si="155"/>
        <v>357120</v>
      </c>
      <c r="J78" s="259">
        <f t="shared" si="156"/>
        <v>3432000</v>
      </c>
      <c r="K78" s="268">
        <f t="shared" si="157"/>
        <v>446760</v>
      </c>
      <c r="L78" s="268">
        <f t="shared" si="158"/>
        <v>159920</v>
      </c>
      <c r="M78" s="268">
        <f t="shared" si="159"/>
        <v>1077340</v>
      </c>
      <c r="N78" s="268">
        <f t="shared" si="160"/>
        <v>2318800</v>
      </c>
      <c r="O78" s="269">
        <f t="shared" si="161"/>
        <v>865000</v>
      </c>
      <c r="P78" s="269">
        <f t="shared" si="162"/>
        <v>1150000</v>
      </c>
      <c r="Q78" s="269">
        <f t="shared" si="60"/>
        <v>0</v>
      </c>
      <c r="R78" s="266">
        <f t="shared" si="149"/>
        <v>1265373</v>
      </c>
      <c r="S78" s="268">
        <f>S79+1377.8473-150000</f>
        <v>713762.1304</v>
      </c>
      <c r="T78" s="278">
        <f t="shared" si="134"/>
        <v>2455795</v>
      </c>
      <c r="U78" s="266">
        <f t="shared" si="131"/>
        <v>1583342.073</v>
      </c>
      <c r="V78" s="279">
        <f t="shared" si="150"/>
        <v>3474770.377</v>
      </c>
      <c r="W78" s="266">
        <f t="shared" si="119"/>
        <v>442500</v>
      </c>
      <c r="X78" s="266">
        <f t="shared" si="163"/>
        <v>1365002.963</v>
      </c>
      <c r="Y78" s="270">
        <f t="shared" si="113"/>
        <v>327783.2</v>
      </c>
      <c r="Z78" s="266"/>
      <c r="AA78" s="277">
        <f>AA79-50000-1122000+150000-865000-250000</f>
        <v>5529962</v>
      </c>
      <c r="AB78" s="280">
        <f t="shared" si="151"/>
        <v>26278067.77</v>
      </c>
      <c r="AC78" s="279">
        <f t="shared" si="133"/>
        <v>4168394.889</v>
      </c>
      <c r="AD78" s="279">
        <f>AD79+1200-50000</f>
        <v>788.082229</v>
      </c>
      <c r="AE78" s="283">
        <f t="shared" si="21"/>
        <v>30447250.74</v>
      </c>
      <c r="AF78" s="273">
        <f t="shared" si="22"/>
        <v>0.2104402062</v>
      </c>
      <c r="AG78" s="274">
        <f t="shared" si="23"/>
        <v>4169182.971</v>
      </c>
    </row>
    <row r="79">
      <c r="A79" s="285">
        <f t="shared" si="3"/>
        <v>46023</v>
      </c>
      <c r="B79" s="269">
        <f t="shared" si="148"/>
        <v>380037.52</v>
      </c>
      <c r="C79" s="266"/>
      <c r="D79" s="266"/>
      <c r="E79" s="266"/>
      <c r="F79" s="259"/>
      <c r="G79" s="259">
        <f t="shared" ref="G79:G81" si="165">209*12900</f>
        <v>2696100</v>
      </c>
      <c r="H79" s="281">
        <f t="shared" ref="H79:H81" si="166">12*63060</f>
        <v>756720</v>
      </c>
      <c r="I79" s="267">
        <v>0.0</v>
      </c>
      <c r="J79" s="259">
        <f t="shared" ref="J79:J80" si="167">80*43000</f>
        <v>3440000</v>
      </c>
      <c r="K79" s="268">
        <f t="shared" ref="K79:K81" si="168">18*24720</f>
        <v>444960</v>
      </c>
      <c r="L79" s="268">
        <f t="shared" si="158"/>
        <v>159920</v>
      </c>
      <c r="M79" s="268">
        <f t="shared" si="159"/>
        <v>1077340</v>
      </c>
      <c r="N79" s="268">
        <f t="shared" ref="N79:N81" si="169">64*18700</f>
        <v>1196800</v>
      </c>
      <c r="O79" s="269">
        <f t="shared" ref="O79:O81" si="170">0*865000</f>
        <v>0</v>
      </c>
      <c r="P79" s="269">
        <f t="shared" si="162"/>
        <v>1150000</v>
      </c>
      <c r="Q79" s="269">
        <f t="shared" si="60"/>
        <v>0</v>
      </c>
      <c r="R79" s="266">
        <f t="shared" si="149"/>
        <v>1268775</v>
      </c>
      <c r="S79" s="268">
        <f t="shared" ref="S79:S98" si="171">S80+1377.8473</f>
        <v>862384.2831</v>
      </c>
      <c r="T79" s="278">
        <f t="shared" si="134"/>
        <v>2453965</v>
      </c>
      <c r="U79" s="266">
        <f t="shared" si="131"/>
        <v>1581306.073</v>
      </c>
      <c r="V79" s="279">
        <f>V80*1.0002+100000</f>
        <v>3474075.562</v>
      </c>
      <c r="W79" s="266">
        <f t="shared" si="119"/>
        <v>442500</v>
      </c>
      <c r="X79" s="266">
        <f t="shared" si="163"/>
        <v>1362971.62</v>
      </c>
      <c r="Y79" s="270">
        <f t="shared" si="113"/>
        <v>326450.37</v>
      </c>
      <c r="Z79" s="266"/>
      <c r="AA79" s="277">
        <f>AA80+200000+3000000</f>
        <v>7666962</v>
      </c>
      <c r="AB79" s="280">
        <f t="shared" si="151"/>
        <v>26145265.46</v>
      </c>
      <c r="AC79" s="279">
        <f t="shared" si="133"/>
        <v>4166376.361</v>
      </c>
      <c r="AD79" s="279">
        <f t="shared" ref="AD79:AD116" si="172">AD80+1200</f>
        <v>49588.08223</v>
      </c>
      <c r="AE79" s="283">
        <f t="shared" si="21"/>
        <v>30361229.91</v>
      </c>
      <c r="AF79" s="273">
        <f t="shared" si="22"/>
        <v>0.2932447563</v>
      </c>
      <c r="AG79" s="274">
        <f t="shared" si="23"/>
        <v>4215964.443</v>
      </c>
    </row>
    <row r="80">
      <c r="A80" s="285">
        <f t="shared" si="3"/>
        <v>46022</v>
      </c>
      <c r="B80" s="269">
        <f t="shared" si="148"/>
        <v>380037.52</v>
      </c>
      <c r="C80" s="266"/>
      <c r="D80" s="266"/>
      <c r="E80" s="266"/>
      <c r="F80" s="259"/>
      <c r="G80" s="259">
        <f t="shared" si="165"/>
        <v>2696100</v>
      </c>
      <c r="H80" s="281">
        <f t="shared" si="166"/>
        <v>756720</v>
      </c>
      <c r="I80" s="267">
        <v>0.0</v>
      </c>
      <c r="J80" s="259">
        <f t="shared" si="167"/>
        <v>3440000</v>
      </c>
      <c r="K80" s="268">
        <f t="shared" si="168"/>
        <v>444960</v>
      </c>
      <c r="L80" s="268">
        <f t="shared" si="158"/>
        <v>159920</v>
      </c>
      <c r="M80" s="268">
        <f t="shared" si="159"/>
        <v>1077340</v>
      </c>
      <c r="N80" s="268">
        <f t="shared" si="169"/>
        <v>1196800</v>
      </c>
      <c r="O80" s="269">
        <f t="shared" si="170"/>
        <v>0</v>
      </c>
      <c r="P80" s="269">
        <f t="shared" si="162"/>
        <v>1150000</v>
      </c>
      <c r="Q80" s="269">
        <f t="shared" si="60"/>
        <v>0</v>
      </c>
      <c r="R80" s="266">
        <f t="shared" si="149"/>
        <v>1272177</v>
      </c>
      <c r="S80" s="268">
        <f t="shared" si="171"/>
        <v>861006.4358</v>
      </c>
      <c r="T80" s="278">
        <f t="shared" si="134"/>
        <v>2452135</v>
      </c>
      <c r="U80" s="266">
        <f t="shared" si="131"/>
        <v>1579270.073</v>
      </c>
      <c r="V80" s="279">
        <f t="shared" ref="V80:V88" si="173">V81*1.0002</f>
        <v>3373400.881</v>
      </c>
      <c r="W80" s="266">
        <f t="shared" si="119"/>
        <v>442500</v>
      </c>
      <c r="X80" s="266">
        <f t="shared" si="163"/>
        <v>1360940.278</v>
      </c>
      <c r="Y80" s="270">
        <f t="shared" si="113"/>
        <v>325117.54</v>
      </c>
      <c r="Z80" s="266"/>
      <c r="AA80" s="277">
        <f>AA81-3440000</f>
        <v>4466962</v>
      </c>
      <c r="AB80" s="280">
        <f t="shared" si="151"/>
        <v>22842603.29</v>
      </c>
      <c r="AC80" s="279">
        <f t="shared" si="133"/>
        <v>4164357.833</v>
      </c>
      <c r="AD80" s="279">
        <f t="shared" si="172"/>
        <v>48388.08223</v>
      </c>
      <c r="AE80" s="283">
        <f t="shared" ref="AE80:AE237" si="174">IF(AB80="",,(AB80+AC80+AD80))</f>
        <v>27055349.21</v>
      </c>
      <c r="AF80" s="273">
        <f t="shared" si="22"/>
        <v>0.1955539806</v>
      </c>
      <c r="AG80" s="274">
        <f t="shared" si="23"/>
        <v>4212745.916</v>
      </c>
    </row>
    <row r="81">
      <c r="A81" s="264">
        <f t="shared" si="3"/>
        <v>46021</v>
      </c>
      <c r="B81" s="269">
        <f t="shared" si="148"/>
        <v>380037.52</v>
      </c>
      <c r="C81" s="266"/>
      <c r="D81" s="266"/>
      <c r="E81" s="266"/>
      <c r="F81" s="259"/>
      <c r="G81" s="259">
        <f t="shared" si="165"/>
        <v>2696100</v>
      </c>
      <c r="H81" s="281">
        <f t="shared" si="166"/>
        <v>756720</v>
      </c>
      <c r="I81" s="267">
        <v>0.0</v>
      </c>
      <c r="J81" s="282">
        <v>0.0</v>
      </c>
      <c r="K81" s="268">
        <f t="shared" si="168"/>
        <v>444960</v>
      </c>
      <c r="L81" s="268">
        <f t="shared" si="158"/>
        <v>159920</v>
      </c>
      <c r="M81" s="268">
        <f t="shared" si="159"/>
        <v>1077340</v>
      </c>
      <c r="N81" s="268">
        <f t="shared" si="169"/>
        <v>1196800</v>
      </c>
      <c r="O81" s="269">
        <f t="shared" si="170"/>
        <v>0</v>
      </c>
      <c r="P81" s="269">
        <f t="shared" si="162"/>
        <v>1150000</v>
      </c>
      <c r="Q81" s="269">
        <f t="shared" si="60"/>
        <v>0</v>
      </c>
      <c r="R81" s="266">
        <f t="shared" si="149"/>
        <v>1275579</v>
      </c>
      <c r="S81" s="268">
        <f t="shared" si="171"/>
        <v>859628.5885</v>
      </c>
      <c r="T81" s="278">
        <f t="shared" si="134"/>
        <v>2450305</v>
      </c>
      <c r="U81" s="266">
        <f t="shared" si="131"/>
        <v>1577234.073</v>
      </c>
      <c r="V81" s="279">
        <f t="shared" si="173"/>
        <v>3372726.336</v>
      </c>
      <c r="W81" s="266">
        <f t="shared" si="119"/>
        <v>442500</v>
      </c>
      <c r="X81" s="266">
        <f t="shared" si="163"/>
        <v>1358908.935</v>
      </c>
      <c r="Y81" s="270">
        <f t="shared" si="113"/>
        <v>323784.71</v>
      </c>
      <c r="Z81" s="266"/>
      <c r="AA81" s="277">
        <f>AA82-903000+1106560+3967600+1633500+692160-380000-1150000+200000</f>
        <v>7906962</v>
      </c>
      <c r="AB81" s="280">
        <f t="shared" si="151"/>
        <v>22839941.25</v>
      </c>
      <c r="AC81" s="279">
        <f t="shared" si="133"/>
        <v>4162339.306</v>
      </c>
      <c r="AD81" s="279">
        <f t="shared" si="172"/>
        <v>47188.08223</v>
      </c>
      <c r="AE81" s="283">
        <f t="shared" si="174"/>
        <v>27049468.64</v>
      </c>
      <c r="AF81" s="273">
        <f t="shared" si="22"/>
        <v>0.3461901198</v>
      </c>
      <c r="AG81" s="274">
        <f t="shared" si="23"/>
        <v>4209527.388</v>
      </c>
    </row>
    <row r="82">
      <c r="A82" s="264">
        <f t="shared" si="3"/>
        <v>46020</v>
      </c>
      <c r="B82" s="269"/>
      <c r="C82" s="266"/>
      <c r="D82" s="266"/>
      <c r="E82" s="266"/>
      <c r="F82" s="259"/>
      <c r="G82" s="259">
        <f>139*13280</f>
        <v>1845920</v>
      </c>
      <c r="H82" s="281">
        <f>12*62080</f>
        <v>744960</v>
      </c>
      <c r="I82" s="259">
        <f>27*61400</f>
        <v>1657800</v>
      </c>
      <c r="J82" s="268">
        <f>91*43960</f>
        <v>4000360</v>
      </c>
      <c r="K82" s="268">
        <f t="shared" ref="K82:K85" si="175">46*25680</f>
        <v>1181280</v>
      </c>
      <c r="L82" s="268">
        <f>2*78780</f>
        <v>157560</v>
      </c>
      <c r="M82" s="268">
        <f>59*19060</f>
        <v>1124540</v>
      </c>
      <c r="N82" s="268">
        <f>64*19400</f>
        <v>1241600</v>
      </c>
      <c r="O82" s="269"/>
      <c r="P82" s="269"/>
      <c r="Q82" s="269">
        <f>608*1845</f>
        <v>1121760</v>
      </c>
      <c r="R82" s="266">
        <f t="shared" si="149"/>
        <v>1278981</v>
      </c>
      <c r="S82" s="268">
        <f t="shared" si="171"/>
        <v>858250.7412</v>
      </c>
      <c r="T82" s="278">
        <f t="shared" si="134"/>
        <v>2448475</v>
      </c>
      <c r="U82" s="266">
        <f t="shared" si="131"/>
        <v>1575198.073</v>
      </c>
      <c r="V82" s="279">
        <f t="shared" si="173"/>
        <v>3372051.926</v>
      </c>
      <c r="W82" s="266">
        <f t="shared" si="119"/>
        <v>442500</v>
      </c>
      <c r="X82" s="266">
        <f t="shared" si="163"/>
        <v>1356877.593</v>
      </c>
      <c r="Y82" s="270">
        <f t="shared" si="113"/>
        <v>322451.88</v>
      </c>
      <c r="Z82" s="266"/>
      <c r="AA82" s="277">
        <f t="shared" ref="AA82:AA83" si="176">AA83</f>
        <v>2740142</v>
      </c>
      <c r="AB82" s="280">
        <f t="shared" si="151"/>
        <v>23264399.35</v>
      </c>
      <c r="AC82" s="279">
        <f t="shared" si="133"/>
        <v>4160320.778</v>
      </c>
      <c r="AD82" s="279">
        <f t="shared" si="172"/>
        <v>45988.08223</v>
      </c>
      <c r="AE82" s="283">
        <f t="shared" si="174"/>
        <v>27470708.21</v>
      </c>
      <c r="AF82" s="273">
        <f t="shared" si="22"/>
        <v>0.1177826239</v>
      </c>
      <c r="AG82" s="274">
        <f t="shared" si="23"/>
        <v>4206308.86</v>
      </c>
    </row>
    <row r="83">
      <c r="A83" s="275">
        <f t="shared" si="3"/>
        <v>46019</v>
      </c>
      <c r="B83" s="269"/>
      <c r="C83" s="266"/>
      <c r="D83" s="266"/>
      <c r="E83" s="266"/>
      <c r="F83" s="259"/>
      <c r="G83" s="259">
        <f t="shared" ref="G83:G87" si="177">139*12980</f>
        <v>1804220</v>
      </c>
      <c r="H83" s="281">
        <f t="shared" ref="H83:H85" si="178">12*62060</f>
        <v>744720</v>
      </c>
      <c r="I83" s="259">
        <f t="shared" ref="I83:I86" si="179">27*60160</f>
        <v>1624320</v>
      </c>
      <c r="J83" s="268">
        <f t="shared" ref="J83:J89" si="180">91*44000</f>
        <v>4004000</v>
      </c>
      <c r="K83" s="268">
        <f t="shared" si="175"/>
        <v>1181280</v>
      </c>
      <c r="L83" s="268">
        <f t="shared" ref="L83:L85" si="181">2*78580</f>
        <v>157160</v>
      </c>
      <c r="M83" s="268">
        <f t="shared" ref="M83:M85" si="182">59*19000</f>
        <v>1121000</v>
      </c>
      <c r="N83" s="268">
        <f t="shared" ref="N83:N85" si="183">64*19420</f>
        <v>1242880</v>
      </c>
      <c r="O83" s="269"/>
      <c r="P83" s="269"/>
      <c r="Q83" s="269">
        <f t="shared" ref="Q83:Q88" si="184">608*1800</f>
        <v>1094400</v>
      </c>
      <c r="R83" s="266">
        <f t="shared" si="149"/>
        <v>1282383</v>
      </c>
      <c r="S83" s="268">
        <f t="shared" si="171"/>
        <v>856872.8939</v>
      </c>
      <c r="T83" s="278">
        <f t="shared" si="134"/>
        <v>2446645</v>
      </c>
      <c r="U83" s="266">
        <f t="shared" si="131"/>
        <v>1573162.073</v>
      </c>
      <c r="V83" s="279">
        <f t="shared" si="173"/>
        <v>3371377.65</v>
      </c>
      <c r="W83" s="266">
        <f t="shared" si="119"/>
        <v>442500</v>
      </c>
      <c r="X83" s="266">
        <f t="shared" si="163"/>
        <v>1354846.25</v>
      </c>
      <c r="Y83" s="270">
        <f t="shared" si="113"/>
        <v>321119.05</v>
      </c>
      <c r="Z83" s="266"/>
      <c r="AA83" s="277">
        <f t="shared" si="176"/>
        <v>2740142</v>
      </c>
      <c r="AB83" s="280">
        <f t="shared" si="151"/>
        <v>23159937.58</v>
      </c>
      <c r="AC83" s="279">
        <f t="shared" si="133"/>
        <v>4158302.25</v>
      </c>
      <c r="AD83" s="279">
        <f t="shared" si="172"/>
        <v>44788.08223</v>
      </c>
      <c r="AE83" s="283">
        <f t="shared" si="174"/>
        <v>27363027.92</v>
      </c>
      <c r="AF83" s="273">
        <f t="shared" si="22"/>
        <v>0.1183138767</v>
      </c>
      <c r="AG83" s="274">
        <f t="shared" si="23"/>
        <v>4203090.332</v>
      </c>
    </row>
    <row r="84">
      <c r="A84" s="284">
        <f t="shared" si="3"/>
        <v>46018</v>
      </c>
      <c r="B84" s="269"/>
      <c r="C84" s="266"/>
      <c r="D84" s="266"/>
      <c r="E84" s="266"/>
      <c r="F84" s="259"/>
      <c r="G84" s="259">
        <f t="shared" si="177"/>
        <v>1804220</v>
      </c>
      <c r="H84" s="281">
        <f t="shared" si="178"/>
        <v>744720</v>
      </c>
      <c r="I84" s="259">
        <f t="shared" si="179"/>
        <v>1624320</v>
      </c>
      <c r="J84" s="268">
        <f t="shared" si="180"/>
        <v>4004000</v>
      </c>
      <c r="K84" s="268">
        <f t="shared" si="175"/>
        <v>1181280</v>
      </c>
      <c r="L84" s="268">
        <f t="shared" si="181"/>
        <v>157160</v>
      </c>
      <c r="M84" s="268">
        <f t="shared" si="182"/>
        <v>1121000</v>
      </c>
      <c r="N84" s="268">
        <f t="shared" si="183"/>
        <v>1242880</v>
      </c>
      <c r="O84" s="269"/>
      <c r="P84" s="269"/>
      <c r="Q84" s="269">
        <f t="shared" si="184"/>
        <v>1094400</v>
      </c>
      <c r="R84" s="266">
        <f>R85-3402-87675</f>
        <v>1285785</v>
      </c>
      <c r="S84" s="268">
        <f t="shared" si="171"/>
        <v>855495.0466</v>
      </c>
      <c r="T84" s="278">
        <f>T85+1830+87675+1000000</f>
        <v>2444815</v>
      </c>
      <c r="U84" s="266">
        <f t="shared" si="131"/>
        <v>1571126.073</v>
      </c>
      <c r="V84" s="279">
        <f t="shared" si="173"/>
        <v>3370703.51</v>
      </c>
      <c r="W84" s="266">
        <f t="shared" si="119"/>
        <v>442500</v>
      </c>
      <c r="X84" s="266">
        <f t="shared" si="163"/>
        <v>1352814.907</v>
      </c>
      <c r="Y84" s="270">
        <f t="shared" si="113"/>
        <v>319786.22</v>
      </c>
      <c r="Z84" s="266"/>
      <c r="AA84" s="277">
        <f>AA85-1000000</f>
        <v>2740142</v>
      </c>
      <c r="AB84" s="280">
        <f t="shared" si="151"/>
        <v>23157275.95</v>
      </c>
      <c r="AC84" s="279">
        <f t="shared" si="133"/>
        <v>4156283.722</v>
      </c>
      <c r="AD84" s="279">
        <f t="shared" si="172"/>
        <v>43588.08223</v>
      </c>
      <c r="AE84" s="283">
        <f t="shared" si="174"/>
        <v>27357147.76</v>
      </c>
      <c r="AF84" s="273">
        <f t="shared" si="22"/>
        <v>0.1183274754</v>
      </c>
      <c r="AG84" s="274">
        <f t="shared" si="23"/>
        <v>4199871.805</v>
      </c>
    </row>
    <row r="85">
      <c r="A85" s="276">
        <f t="shared" si="3"/>
        <v>46017</v>
      </c>
      <c r="B85" s="269"/>
      <c r="C85" s="266"/>
      <c r="D85" s="266"/>
      <c r="E85" s="266"/>
      <c r="F85" s="259"/>
      <c r="G85" s="259">
        <f t="shared" si="177"/>
        <v>1804220</v>
      </c>
      <c r="H85" s="281">
        <f t="shared" si="178"/>
        <v>744720</v>
      </c>
      <c r="I85" s="259">
        <f t="shared" si="179"/>
        <v>1624320</v>
      </c>
      <c r="J85" s="268">
        <f t="shared" si="180"/>
        <v>4004000</v>
      </c>
      <c r="K85" s="268">
        <f t="shared" si="175"/>
        <v>1181280</v>
      </c>
      <c r="L85" s="268">
        <f t="shared" si="181"/>
        <v>157160</v>
      </c>
      <c r="M85" s="268">
        <f t="shared" si="182"/>
        <v>1121000</v>
      </c>
      <c r="N85" s="268">
        <f t="shared" si="183"/>
        <v>1242880</v>
      </c>
      <c r="O85" s="269"/>
      <c r="P85" s="269"/>
      <c r="Q85" s="269">
        <f t="shared" si="184"/>
        <v>1094400</v>
      </c>
      <c r="R85" s="266">
        <f>R86-3402+120000</f>
        <v>1376862</v>
      </c>
      <c r="S85" s="268">
        <f t="shared" si="171"/>
        <v>854117.1993</v>
      </c>
      <c r="T85" s="278">
        <f t="shared" ref="T85:T98" si="185">T86+1830</f>
        <v>1355310</v>
      </c>
      <c r="U85" s="266">
        <f t="shared" si="131"/>
        <v>1569090.073</v>
      </c>
      <c r="V85" s="279">
        <f t="shared" si="173"/>
        <v>3370029.504</v>
      </c>
      <c r="W85" s="266">
        <f t="shared" si="119"/>
        <v>442500</v>
      </c>
      <c r="X85" s="266">
        <f t="shared" si="163"/>
        <v>1350783.565</v>
      </c>
      <c r="Y85" s="270">
        <f>Y86+735+597.83-200000</f>
        <v>318453.39</v>
      </c>
      <c r="Z85" s="266"/>
      <c r="AA85" s="277">
        <f>AA86+80000</f>
        <v>3740142</v>
      </c>
      <c r="AB85" s="280">
        <f t="shared" si="151"/>
        <v>23154614.45</v>
      </c>
      <c r="AC85" s="279">
        <f t="shared" si="133"/>
        <v>4154265.194</v>
      </c>
      <c r="AD85" s="279">
        <f t="shared" si="172"/>
        <v>42388.08223</v>
      </c>
      <c r="AE85" s="283">
        <f t="shared" si="174"/>
        <v>27351267.73</v>
      </c>
      <c r="AF85" s="273">
        <f t="shared" si="22"/>
        <v>0.1615290122</v>
      </c>
      <c r="AG85" s="274">
        <f t="shared" si="23"/>
        <v>4196653.277</v>
      </c>
    </row>
    <row r="86">
      <c r="A86" s="285">
        <f t="shared" si="3"/>
        <v>46016</v>
      </c>
      <c r="B86" s="269"/>
      <c r="C86" s="266"/>
      <c r="D86" s="266"/>
      <c r="E86" s="266"/>
      <c r="F86" s="259"/>
      <c r="G86" s="259">
        <f t="shared" si="177"/>
        <v>1804220</v>
      </c>
      <c r="H86" s="281">
        <f t="shared" ref="H86:H88" si="186">12*63280</f>
        <v>759360</v>
      </c>
      <c r="I86" s="259">
        <f t="shared" si="179"/>
        <v>1624320</v>
      </c>
      <c r="J86" s="268">
        <f t="shared" si="180"/>
        <v>4004000</v>
      </c>
      <c r="K86" s="268">
        <f t="shared" ref="K86:K87" si="187">46*25220</f>
        <v>1160120</v>
      </c>
      <c r="L86" s="268">
        <f t="shared" ref="L86:L87" si="188">2*78600</f>
        <v>157200</v>
      </c>
      <c r="M86" s="268">
        <f t="shared" ref="M86:M87" si="189">59*18900</f>
        <v>1115100</v>
      </c>
      <c r="N86" s="268">
        <f t="shared" ref="N86:N87" si="190">64*19400</f>
        <v>1241600</v>
      </c>
      <c r="O86" s="269"/>
      <c r="P86" s="269"/>
      <c r="Q86" s="269">
        <f t="shared" si="184"/>
        <v>1094400</v>
      </c>
      <c r="R86" s="266">
        <f t="shared" ref="R86:R88" si="191">R87-3402</f>
        <v>1260264</v>
      </c>
      <c r="S86" s="268">
        <f t="shared" si="171"/>
        <v>852739.352</v>
      </c>
      <c r="T86" s="278">
        <f t="shared" si="185"/>
        <v>1353480</v>
      </c>
      <c r="U86" s="266">
        <f t="shared" si="131"/>
        <v>1567054.073</v>
      </c>
      <c r="V86" s="279">
        <f t="shared" si="173"/>
        <v>3369355.632</v>
      </c>
      <c r="W86" s="266">
        <f t="shared" si="119"/>
        <v>442500</v>
      </c>
      <c r="X86" s="266">
        <f t="shared" si="163"/>
        <v>1348752.222</v>
      </c>
      <c r="Y86" s="270">
        <f t="shared" ref="Y86:Y117" si="192">Y87+735+597.83</f>
        <v>517120.56</v>
      </c>
      <c r="Z86" s="266"/>
      <c r="AA86" s="277">
        <f>AA87+2750000</f>
        <v>3660142</v>
      </c>
      <c r="AB86" s="280">
        <f t="shared" si="151"/>
        <v>23138293.09</v>
      </c>
      <c r="AC86" s="279">
        <f t="shared" si="133"/>
        <v>4152246.667</v>
      </c>
      <c r="AD86" s="279">
        <f t="shared" si="172"/>
        <v>41188.08223</v>
      </c>
      <c r="AE86" s="283">
        <f t="shared" si="174"/>
        <v>27331727.84</v>
      </c>
      <c r="AF86" s="273">
        <f t="shared" si="22"/>
        <v>0.15818548</v>
      </c>
      <c r="AG86" s="274">
        <f t="shared" si="23"/>
        <v>4193434.749</v>
      </c>
    </row>
    <row r="87">
      <c r="A87" s="264">
        <f t="shared" si="3"/>
        <v>46015</v>
      </c>
      <c r="B87" s="269"/>
      <c r="C87" s="266"/>
      <c r="D87" s="266"/>
      <c r="E87" s="266"/>
      <c r="F87" s="259"/>
      <c r="G87" s="259">
        <f t="shared" si="177"/>
        <v>1804220</v>
      </c>
      <c r="H87" s="281">
        <f t="shared" si="186"/>
        <v>759360</v>
      </c>
      <c r="I87" s="259">
        <f>27*60000</f>
        <v>1620000</v>
      </c>
      <c r="J87" s="268">
        <f t="shared" si="180"/>
        <v>4004000</v>
      </c>
      <c r="K87" s="268">
        <f t="shared" si="187"/>
        <v>1160120</v>
      </c>
      <c r="L87" s="268">
        <f t="shared" si="188"/>
        <v>157200</v>
      </c>
      <c r="M87" s="268">
        <f t="shared" si="189"/>
        <v>1115100</v>
      </c>
      <c r="N87" s="268">
        <f t="shared" si="190"/>
        <v>1241600</v>
      </c>
      <c r="O87" s="269"/>
      <c r="P87" s="269"/>
      <c r="Q87" s="269">
        <f t="shared" si="184"/>
        <v>1094400</v>
      </c>
      <c r="R87" s="266">
        <f t="shared" si="191"/>
        <v>1263666</v>
      </c>
      <c r="S87" s="268">
        <f t="shared" si="171"/>
        <v>851361.5047</v>
      </c>
      <c r="T87" s="278">
        <f t="shared" si="185"/>
        <v>1351650</v>
      </c>
      <c r="U87" s="266">
        <f t="shared" si="131"/>
        <v>1565018.073</v>
      </c>
      <c r="V87" s="279">
        <f t="shared" si="173"/>
        <v>3368681.896</v>
      </c>
      <c r="W87" s="266">
        <f t="shared" si="119"/>
        <v>442500</v>
      </c>
      <c r="X87" s="266">
        <f t="shared" si="163"/>
        <v>1346720.88</v>
      </c>
      <c r="Y87" s="270">
        <f t="shared" si="192"/>
        <v>515787.73</v>
      </c>
      <c r="Z87" s="266"/>
      <c r="AA87" s="277">
        <f t="shared" ref="AA87:AA88" si="193">AA88</f>
        <v>910142</v>
      </c>
      <c r="AB87" s="280">
        <f t="shared" si="151"/>
        <v>20381311.86</v>
      </c>
      <c r="AC87" s="279">
        <f t="shared" si="133"/>
        <v>4150228.139</v>
      </c>
      <c r="AD87" s="279">
        <f t="shared" si="172"/>
        <v>39988.08223</v>
      </c>
      <c r="AE87" s="283">
        <f t="shared" si="174"/>
        <v>24571528.08</v>
      </c>
      <c r="AF87" s="273">
        <f t="shared" si="22"/>
        <v>0.04465571236</v>
      </c>
      <c r="AG87" s="274">
        <f t="shared" si="23"/>
        <v>4190216.221</v>
      </c>
    </row>
    <row r="88">
      <c r="A88" s="264">
        <f t="shared" si="3"/>
        <v>46014</v>
      </c>
      <c r="B88" s="269"/>
      <c r="C88" s="266"/>
      <c r="D88" s="266"/>
      <c r="E88" s="266"/>
      <c r="F88" s="259"/>
      <c r="G88" s="259">
        <f>139*12800</f>
        <v>1779200</v>
      </c>
      <c r="H88" s="281">
        <f t="shared" si="186"/>
        <v>759360</v>
      </c>
      <c r="I88" s="259">
        <f>27*60500</f>
        <v>1633500</v>
      </c>
      <c r="J88" s="268">
        <f t="shared" si="180"/>
        <v>4004000</v>
      </c>
      <c r="K88" s="268">
        <f>46*25200</f>
        <v>1159200</v>
      </c>
      <c r="L88" s="268">
        <f>2*78300</f>
        <v>156600</v>
      </c>
      <c r="M88" s="268">
        <f>59*18980</f>
        <v>1119820</v>
      </c>
      <c r="N88" s="268">
        <f>64*19660</f>
        <v>1258240</v>
      </c>
      <c r="O88" s="269"/>
      <c r="P88" s="269"/>
      <c r="Q88" s="269">
        <f t="shared" si="184"/>
        <v>1094400</v>
      </c>
      <c r="R88" s="266">
        <f t="shared" si="191"/>
        <v>1267068</v>
      </c>
      <c r="S88" s="268">
        <f t="shared" si="171"/>
        <v>849983.6574</v>
      </c>
      <c r="T88" s="278">
        <f t="shared" si="185"/>
        <v>1349820</v>
      </c>
      <c r="U88" s="266">
        <f t="shared" si="131"/>
        <v>1562982.073</v>
      </c>
      <c r="V88" s="279">
        <f t="shared" si="173"/>
        <v>3368008.294</v>
      </c>
      <c r="W88" s="266">
        <f>W89+7500</f>
        <v>442500</v>
      </c>
      <c r="X88" s="266">
        <f t="shared" si="163"/>
        <v>1344689.537</v>
      </c>
      <c r="Y88" s="270">
        <f t="shared" si="192"/>
        <v>514454.9</v>
      </c>
      <c r="Z88" s="266"/>
      <c r="AA88" s="277">
        <f t="shared" si="193"/>
        <v>910142</v>
      </c>
      <c r="AB88" s="280">
        <f t="shared" si="151"/>
        <v>20386970.77</v>
      </c>
      <c r="AC88" s="279">
        <f t="shared" si="133"/>
        <v>4148209.611</v>
      </c>
      <c r="AD88" s="279">
        <f t="shared" si="172"/>
        <v>38788.08223</v>
      </c>
      <c r="AE88" s="283">
        <f t="shared" si="174"/>
        <v>24573968.46</v>
      </c>
      <c r="AF88" s="273">
        <f t="shared" si="22"/>
        <v>0.04464331706</v>
      </c>
      <c r="AG88" s="274">
        <f t="shared" si="23"/>
        <v>4186997.693</v>
      </c>
    </row>
    <row r="89">
      <c r="A89" s="264">
        <f t="shared" si="3"/>
        <v>46013</v>
      </c>
      <c r="B89" s="269"/>
      <c r="C89" s="266"/>
      <c r="D89" s="266"/>
      <c r="E89" s="266"/>
      <c r="F89" s="259"/>
      <c r="G89" s="259">
        <f>139*12680</f>
        <v>1762520</v>
      </c>
      <c r="H89" s="281">
        <f>12*62560</f>
        <v>750720</v>
      </c>
      <c r="I89" s="259">
        <f>27*59240</f>
        <v>1599480</v>
      </c>
      <c r="J89" s="268">
        <f t="shared" si="180"/>
        <v>4004000</v>
      </c>
      <c r="K89" s="268">
        <f t="shared" ref="K89:K92" si="194">46*25120</f>
        <v>1155520</v>
      </c>
      <c r="L89" s="268">
        <f>2*79380</f>
        <v>158760</v>
      </c>
      <c r="M89" s="268">
        <f>59*18900</f>
        <v>1115100</v>
      </c>
      <c r="N89" s="268">
        <f>64*19600</f>
        <v>1254400</v>
      </c>
      <c r="O89" s="269"/>
      <c r="P89" s="269"/>
      <c r="Q89" s="269">
        <f>608*1770</f>
        <v>1076160</v>
      </c>
      <c r="R89" s="266">
        <f>R90-3402+100000</f>
        <v>1270470</v>
      </c>
      <c r="S89" s="268">
        <f t="shared" si="171"/>
        <v>848605.8101</v>
      </c>
      <c r="T89" s="278">
        <f t="shared" si="185"/>
        <v>1347990</v>
      </c>
      <c r="U89" s="266">
        <f t="shared" si="131"/>
        <v>1560946.073</v>
      </c>
      <c r="V89" s="279">
        <f>V90*1.0002+580000-100000</f>
        <v>3367334.827</v>
      </c>
      <c r="W89" s="266">
        <f t="shared" ref="W89:W93" si="195">W90+10000</f>
        <v>435000</v>
      </c>
      <c r="X89" s="266">
        <f t="shared" si="163"/>
        <v>1342658.194</v>
      </c>
      <c r="Y89" s="270">
        <f t="shared" si="192"/>
        <v>513122.07</v>
      </c>
      <c r="Z89" s="266"/>
      <c r="AA89" s="277">
        <f>AA90-580000</f>
        <v>910142</v>
      </c>
      <c r="AB89" s="280">
        <f t="shared" si="151"/>
        <v>20289149.81</v>
      </c>
      <c r="AC89" s="279">
        <f t="shared" si="133"/>
        <v>4146191.083</v>
      </c>
      <c r="AD89" s="279">
        <f t="shared" si="172"/>
        <v>37588.08223</v>
      </c>
      <c r="AE89" s="283">
        <f t="shared" si="174"/>
        <v>24472928.97</v>
      </c>
      <c r="AF89" s="273">
        <f t="shared" si="22"/>
        <v>0.04485855783</v>
      </c>
      <c r="AG89" s="274">
        <f t="shared" si="23"/>
        <v>4183779.166</v>
      </c>
    </row>
    <row r="90">
      <c r="A90" s="275">
        <f t="shared" si="3"/>
        <v>46012</v>
      </c>
      <c r="B90" s="269"/>
      <c r="C90" s="266"/>
      <c r="D90" s="266"/>
      <c r="E90" s="266"/>
      <c r="F90" s="259"/>
      <c r="G90" s="259">
        <f t="shared" ref="G90:G92" si="196">139*12360</f>
        <v>1718040</v>
      </c>
      <c r="H90" s="281">
        <f t="shared" ref="H90:H92" si="197">12*62700</f>
        <v>752400</v>
      </c>
      <c r="I90" s="259">
        <f t="shared" ref="I90:I92" si="198">27*59520</f>
        <v>1607040</v>
      </c>
      <c r="J90" s="268">
        <f t="shared" ref="J90:J92" si="199">91*43700</f>
        <v>3976700</v>
      </c>
      <c r="K90" s="268">
        <f t="shared" si="194"/>
        <v>1155520</v>
      </c>
      <c r="L90" s="268">
        <f t="shared" ref="L90:L92" si="200">2*79000</f>
        <v>158000</v>
      </c>
      <c r="M90" s="268">
        <f t="shared" ref="M90:M92" si="201">59*19100</f>
        <v>1126900</v>
      </c>
      <c r="N90" s="268">
        <f t="shared" ref="N90:N92" si="202">64*19700</f>
        <v>1260800</v>
      </c>
      <c r="O90" s="269"/>
      <c r="P90" s="269"/>
      <c r="Q90" s="269">
        <f t="shared" ref="Q90:Q92" si="203">608*1765</f>
        <v>1073120</v>
      </c>
      <c r="R90" s="266">
        <f t="shared" ref="R90:R109" si="204">R91-3402</f>
        <v>1173872</v>
      </c>
      <c r="S90" s="268">
        <f t="shared" si="171"/>
        <v>847227.9628</v>
      </c>
      <c r="T90" s="278">
        <f t="shared" si="185"/>
        <v>1346160</v>
      </c>
      <c r="U90" s="266">
        <f t="shared" si="131"/>
        <v>1558910.073</v>
      </c>
      <c r="V90" s="279">
        <f t="shared" ref="V90:V116" si="205">V91*1.0002</f>
        <v>2886757.476</v>
      </c>
      <c r="W90" s="266">
        <f t="shared" si="195"/>
        <v>425000</v>
      </c>
      <c r="X90" s="266">
        <f t="shared" si="163"/>
        <v>1340626.852</v>
      </c>
      <c r="Y90" s="270">
        <f t="shared" si="192"/>
        <v>511789.24</v>
      </c>
      <c r="Z90" s="266"/>
      <c r="AA90" s="277">
        <f t="shared" ref="AA90:AA92" si="206">AA91</f>
        <v>1490142</v>
      </c>
      <c r="AB90" s="280">
        <f t="shared" si="151"/>
        <v>20228444.97</v>
      </c>
      <c r="AC90" s="279">
        <f t="shared" si="133"/>
        <v>4144172.556</v>
      </c>
      <c r="AD90" s="279">
        <f t="shared" si="172"/>
        <v>36388.08223</v>
      </c>
      <c r="AE90" s="283">
        <f t="shared" si="174"/>
        <v>24409005.6</v>
      </c>
      <c r="AF90" s="273">
        <f t="shared" si="22"/>
        <v>0.0736656724</v>
      </c>
      <c r="AG90" s="274">
        <f t="shared" si="23"/>
        <v>4180560.638</v>
      </c>
    </row>
    <row r="91">
      <c r="A91" s="284">
        <f t="shared" si="3"/>
        <v>46011</v>
      </c>
      <c r="B91" s="269"/>
      <c r="C91" s="266"/>
      <c r="D91" s="266"/>
      <c r="E91" s="266"/>
      <c r="F91" s="259"/>
      <c r="G91" s="259">
        <f t="shared" si="196"/>
        <v>1718040</v>
      </c>
      <c r="H91" s="281">
        <f t="shared" si="197"/>
        <v>752400</v>
      </c>
      <c r="I91" s="259">
        <f t="shared" si="198"/>
        <v>1607040</v>
      </c>
      <c r="J91" s="268">
        <f t="shared" si="199"/>
        <v>3976700</v>
      </c>
      <c r="K91" s="268">
        <f t="shared" si="194"/>
        <v>1155520</v>
      </c>
      <c r="L91" s="268">
        <f t="shared" si="200"/>
        <v>158000</v>
      </c>
      <c r="M91" s="268">
        <f t="shared" si="201"/>
        <v>1126900</v>
      </c>
      <c r="N91" s="268">
        <f t="shared" si="202"/>
        <v>1260800</v>
      </c>
      <c r="O91" s="269"/>
      <c r="P91" s="269"/>
      <c r="Q91" s="269">
        <f t="shared" si="203"/>
        <v>1073120</v>
      </c>
      <c r="R91" s="266">
        <f t="shared" si="204"/>
        <v>1177274</v>
      </c>
      <c r="S91" s="268">
        <f t="shared" si="171"/>
        <v>845850.1155</v>
      </c>
      <c r="T91" s="278">
        <f t="shared" si="185"/>
        <v>1344330</v>
      </c>
      <c r="U91" s="266">
        <f t="shared" si="131"/>
        <v>1556874.073</v>
      </c>
      <c r="V91" s="279">
        <f t="shared" si="205"/>
        <v>2886180.24</v>
      </c>
      <c r="W91" s="266">
        <f t="shared" si="195"/>
        <v>415000</v>
      </c>
      <c r="X91" s="266">
        <f t="shared" si="163"/>
        <v>1338595.509</v>
      </c>
      <c r="Y91" s="270">
        <f t="shared" si="192"/>
        <v>510456.41</v>
      </c>
      <c r="Z91" s="266"/>
      <c r="AA91" s="277">
        <f t="shared" si="206"/>
        <v>1490142</v>
      </c>
      <c r="AB91" s="280">
        <f t="shared" si="151"/>
        <v>20215880.24</v>
      </c>
      <c r="AC91" s="279">
        <f t="shared" si="133"/>
        <v>4142154.028</v>
      </c>
      <c r="AD91" s="279">
        <f t="shared" si="172"/>
        <v>35188.08223</v>
      </c>
      <c r="AE91" s="283">
        <f t="shared" si="174"/>
        <v>24393222.35</v>
      </c>
      <c r="AF91" s="273">
        <f t="shared" si="22"/>
        <v>0.07371145765</v>
      </c>
      <c r="AG91" s="274">
        <f t="shared" si="23"/>
        <v>4177342.11</v>
      </c>
    </row>
    <row r="92">
      <c r="A92" s="276">
        <f t="shared" si="3"/>
        <v>46010</v>
      </c>
      <c r="B92" s="269"/>
      <c r="C92" s="266"/>
      <c r="D92" s="266"/>
      <c r="E92" s="266"/>
      <c r="F92" s="259"/>
      <c r="G92" s="259">
        <f t="shared" si="196"/>
        <v>1718040</v>
      </c>
      <c r="H92" s="281">
        <f t="shared" si="197"/>
        <v>752400</v>
      </c>
      <c r="I92" s="259">
        <f t="shared" si="198"/>
        <v>1607040</v>
      </c>
      <c r="J92" s="268">
        <f t="shared" si="199"/>
        <v>3976700</v>
      </c>
      <c r="K92" s="268">
        <f t="shared" si="194"/>
        <v>1155520</v>
      </c>
      <c r="L92" s="268">
        <f t="shared" si="200"/>
        <v>158000</v>
      </c>
      <c r="M92" s="268">
        <f t="shared" si="201"/>
        <v>1126900</v>
      </c>
      <c r="N92" s="268">
        <f t="shared" si="202"/>
        <v>1260800</v>
      </c>
      <c r="O92" s="269"/>
      <c r="P92" s="269"/>
      <c r="Q92" s="269">
        <f t="shared" si="203"/>
        <v>1073120</v>
      </c>
      <c r="R92" s="266">
        <f t="shared" si="204"/>
        <v>1180676</v>
      </c>
      <c r="S92" s="268">
        <f t="shared" si="171"/>
        <v>844472.2682</v>
      </c>
      <c r="T92" s="278">
        <f t="shared" si="185"/>
        <v>1342500</v>
      </c>
      <c r="U92" s="266">
        <f t="shared" si="131"/>
        <v>1554838.073</v>
      </c>
      <c r="V92" s="279">
        <f t="shared" si="205"/>
        <v>2885603.119</v>
      </c>
      <c r="W92" s="266">
        <f t="shared" si="195"/>
        <v>405000</v>
      </c>
      <c r="X92" s="266">
        <f t="shared" si="163"/>
        <v>1336564.167</v>
      </c>
      <c r="Y92" s="270">
        <f t="shared" si="192"/>
        <v>509123.58</v>
      </c>
      <c r="Z92" s="266"/>
      <c r="AA92" s="277">
        <f t="shared" si="206"/>
        <v>1490142</v>
      </c>
      <c r="AB92" s="280">
        <f t="shared" si="151"/>
        <v>20203315.62</v>
      </c>
      <c r="AC92" s="279">
        <f t="shared" si="133"/>
        <v>4140135.5</v>
      </c>
      <c r="AD92" s="279">
        <f t="shared" si="172"/>
        <v>33988.08223</v>
      </c>
      <c r="AE92" s="283">
        <f t="shared" si="174"/>
        <v>24377439.21</v>
      </c>
      <c r="AF92" s="273">
        <f t="shared" si="22"/>
        <v>0.07375729943</v>
      </c>
      <c r="AG92" s="274">
        <f t="shared" si="23"/>
        <v>4174123.582</v>
      </c>
    </row>
    <row r="93">
      <c r="A93" s="264">
        <f t="shared" si="3"/>
        <v>46009</v>
      </c>
      <c r="B93" s="269"/>
      <c r="C93" s="266"/>
      <c r="D93" s="266"/>
      <c r="E93" s="266"/>
      <c r="F93" s="259"/>
      <c r="G93" s="259">
        <f>139*12600</f>
        <v>1751400</v>
      </c>
      <c r="H93" s="281">
        <f>12*62780</f>
        <v>753360</v>
      </c>
      <c r="I93" s="259">
        <f>27*59300</f>
        <v>1601100</v>
      </c>
      <c r="J93" s="268">
        <f>91*44780</f>
        <v>4074980</v>
      </c>
      <c r="K93" s="268">
        <f>46*25320</f>
        <v>1164720</v>
      </c>
      <c r="L93" s="268">
        <f>2*78500</f>
        <v>157000</v>
      </c>
      <c r="M93" s="268">
        <f>59*18900</f>
        <v>1115100</v>
      </c>
      <c r="N93" s="268">
        <f>64*19500</f>
        <v>1248000</v>
      </c>
      <c r="O93" s="269"/>
      <c r="P93" s="269"/>
      <c r="Q93" s="269">
        <f>608*1785</f>
        <v>1085280</v>
      </c>
      <c r="R93" s="266">
        <f t="shared" si="204"/>
        <v>1184078</v>
      </c>
      <c r="S93" s="268">
        <f t="shared" si="171"/>
        <v>843094.4209</v>
      </c>
      <c r="T93" s="278">
        <f t="shared" si="185"/>
        <v>1340670</v>
      </c>
      <c r="U93" s="266">
        <f t="shared" si="131"/>
        <v>1552802.073</v>
      </c>
      <c r="V93" s="279">
        <f t="shared" si="205"/>
        <v>2885026.114</v>
      </c>
      <c r="W93" s="266">
        <f t="shared" si="195"/>
        <v>395000</v>
      </c>
      <c r="X93" s="266">
        <f t="shared" si="163"/>
        <v>1334532.824</v>
      </c>
      <c r="Y93" s="270">
        <f t="shared" si="192"/>
        <v>507790.75</v>
      </c>
      <c r="Z93" s="266"/>
      <c r="AA93" s="277">
        <f>AA94-492580-274500</f>
        <v>1490142</v>
      </c>
      <c r="AB93" s="280">
        <f t="shared" si="151"/>
        <v>20313171.13</v>
      </c>
      <c r="AC93" s="279">
        <f t="shared" si="133"/>
        <v>4138116.972</v>
      </c>
      <c r="AD93" s="279">
        <f t="shared" si="172"/>
        <v>32788.08223</v>
      </c>
      <c r="AE93" s="283">
        <f t="shared" si="174"/>
        <v>24484076.18</v>
      </c>
      <c r="AF93" s="273">
        <f t="shared" si="22"/>
        <v>0.07335841315</v>
      </c>
      <c r="AG93" s="274">
        <f t="shared" si="23"/>
        <v>4170905.055</v>
      </c>
    </row>
    <row r="94">
      <c r="A94" s="264">
        <f t="shared" si="3"/>
        <v>46008</v>
      </c>
      <c r="B94" s="269"/>
      <c r="C94" s="266"/>
      <c r="D94" s="266"/>
      <c r="E94" s="266"/>
      <c r="F94" s="259"/>
      <c r="G94" s="259">
        <f>139*12700</f>
        <v>1765300</v>
      </c>
      <c r="H94" s="281">
        <f>12*61660</f>
        <v>739920</v>
      </c>
      <c r="I94" s="259">
        <f>27*59360</f>
        <v>1602720</v>
      </c>
      <c r="J94" s="268">
        <f>80*43500</f>
        <v>3480000</v>
      </c>
      <c r="K94" s="268">
        <f>46*25500</f>
        <v>1173000</v>
      </c>
      <c r="L94" s="268">
        <f>2*77340</f>
        <v>154680</v>
      </c>
      <c r="M94" s="268">
        <f>59*18720</f>
        <v>1104480</v>
      </c>
      <c r="N94" s="268">
        <f>64*19480</f>
        <v>1246720</v>
      </c>
      <c r="O94" s="269"/>
      <c r="P94" s="269"/>
      <c r="Q94" s="269">
        <f>608*1815</f>
        <v>1103520</v>
      </c>
      <c r="R94" s="266">
        <f t="shared" si="204"/>
        <v>1187480</v>
      </c>
      <c r="S94" s="268">
        <f t="shared" si="171"/>
        <v>841716.5736</v>
      </c>
      <c r="T94" s="278">
        <f t="shared" si="185"/>
        <v>1338840</v>
      </c>
      <c r="U94" s="266">
        <f t="shared" si="131"/>
        <v>1550766.073</v>
      </c>
      <c r="V94" s="279">
        <f t="shared" si="205"/>
        <v>2884449.224</v>
      </c>
      <c r="W94" s="266">
        <f>W95+274500</f>
        <v>385000</v>
      </c>
      <c r="X94" s="266">
        <f t="shared" si="163"/>
        <v>1332501.481</v>
      </c>
      <c r="Y94" s="270">
        <f t="shared" si="192"/>
        <v>506457.92</v>
      </c>
      <c r="Z94" s="266"/>
      <c r="AA94" s="277">
        <f t="shared" ref="AA94:AA98" si="207">AA95</f>
        <v>2257222</v>
      </c>
      <c r="AB94" s="280">
        <f t="shared" si="151"/>
        <v>20487086.75</v>
      </c>
      <c r="AC94" s="279">
        <f t="shared" si="133"/>
        <v>4136098.444</v>
      </c>
      <c r="AD94" s="279">
        <f t="shared" si="172"/>
        <v>31588.08223</v>
      </c>
      <c r="AE94" s="283">
        <f t="shared" si="174"/>
        <v>24654773.27</v>
      </c>
      <c r="AF94" s="273">
        <f t="shared" si="22"/>
        <v>0.1101777929</v>
      </c>
      <c r="AG94" s="274">
        <f t="shared" si="23"/>
        <v>4167686.527</v>
      </c>
    </row>
    <row r="95">
      <c r="A95" s="264">
        <f t="shared" si="3"/>
        <v>46007</v>
      </c>
      <c r="B95" s="269"/>
      <c r="C95" s="266"/>
      <c r="D95" s="266"/>
      <c r="E95" s="266"/>
      <c r="F95" s="259"/>
      <c r="G95" s="259">
        <f>139*12900</f>
        <v>1793100</v>
      </c>
      <c r="H95" s="281">
        <f>12*62120</f>
        <v>745440</v>
      </c>
      <c r="I95" s="259">
        <f>27*60500</f>
        <v>1633500</v>
      </c>
      <c r="J95" s="268">
        <f>80*45020</f>
        <v>3601600</v>
      </c>
      <c r="K95" s="268">
        <f>46*26020</f>
        <v>1196920</v>
      </c>
      <c r="L95" s="268">
        <f>2*77480</f>
        <v>154960</v>
      </c>
      <c r="M95" s="268">
        <f>59*19160</f>
        <v>1130440</v>
      </c>
      <c r="N95" s="268">
        <f>64*19000</f>
        <v>1216000</v>
      </c>
      <c r="O95" s="269"/>
      <c r="P95" s="269"/>
      <c r="Q95" s="269">
        <f>608*1800</f>
        <v>1094400</v>
      </c>
      <c r="R95" s="266">
        <f t="shared" si="204"/>
        <v>1190882</v>
      </c>
      <c r="S95" s="268">
        <f t="shared" si="171"/>
        <v>840338.7263</v>
      </c>
      <c r="T95" s="278">
        <f t="shared" si="185"/>
        <v>1337010</v>
      </c>
      <c r="U95" s="266">
        <f t="shared" si="131"/>
        <v>1548730.073</v>
      </c>
      <c r="V95" s="279">
        <f t="shared" si="205"/>
        <v>2883872.45</v>
      </c>
      <c r="W95" s="266">
        <f t="shared" ref="W95:W98" si="208">W96</f>
        <v>110500</v>
      </c>
      <c r="X95" s="266">
        <f t="shared" si="163"/>
        <v>1330470.139</v>
      </c>
      <c r="Y95" s="270">
        <f t="shared" si="192"/>
        <v>505125.09</v>
      </c>
      <c r="Z95" s="266"/>
      <c r="AA95" s="277">
        <f t="shared" si="207"/>
        <v>2257222</v>
      </c>
      <c r="AB95" s="280">
        <f t="shared" si="151"/>
        <v>20406042.48</v>
      </c>
      <c r="AC95" s="279">
        <f t="shared" si="133"/>
        <v>4134079.917</v>
      </c>
      <c r="AD95" s="279">
        <f t="shared" si="172"/>
        <v>30388.08223</v>
      </c>
      <c r="AE95" s="283">
        <f t="shared" si="174"/>
        <v>24570510.48</v>
      </c>
      <c r="AF95" s="273">
        <f t="shared" si="22"/>
        <v>0.110615373</v>
      </c>
      <c r="AG95" s="274">
        <f t="shared" si="23"/>
        <v>4164467.999</v>
      </c>
    </row>
    <row r="96">
      <c r="A96" s="264">
        <f t="shared" si="3"/>
        <v>46006</v>
      </c>
      <c r="B96" s="269"/>
      <c r="C96" s="266"/>
      <c r="D96" s="266"/>
      <c r="E96" s="266"/>
      <c r="F96" s="259"/>
      <c r="G96" s="259">
        <f>139*13000</f>
        <v>1807000</v>
      </c>
      <c r="H96" s="281">
        <f>12*63820</f>
        <v>765840</v>
      </c>
      <c r="I96" s="259">
        <f>27*60120</f>
        <v>1623240</v>
      </c>
      <c r="J96" s="268">
        <f>80*46100</f>
        <v>3688000</v>
      </c>
      <c r="K96" s="268">
        <f>46*26240</f>
        <v>1207040</v>
      </c>
      <c r="L96" s="268">
        <f>2*76000</f>
        <v>152000</v>
      </c>
      <c r="M96" s="268">
        <f>59*19400</f>
        <v>1144600</v>
      </c>
      <c r="N96" s="268">
        <f>64*19440</f>
        <v>1244160</v>
      </c>
      <c r="O96" s="269"/>
      <c r="P96" s="269"/>
      <c r="Q96" s="269">
        <f>608*1845</f>
        <v>1121760</v>
      </c>
      <c r="R96" s="266">
        <f t="shared" si="204"/>
        <v>1194284</v>
      </c>
      <c r="S96" s="268">
        <f t="shared" si="171"/>
        <v>838960.879</v>
      </c>
      <c r="T96" s="278">
        <f t="shared" si="185"/>
        <v>1335180</v>
      </c>
      <c r="U96" s="266">
        <f t="shared" si="131"/>
        <v>1546694.073</v>
      </c>
      <c r="V96" s="279">
        <f t="shared" si="205"/>
        <v>2883295.791</v>
      </c>
      <c r="W96" s="266">
        <f t="shared" si="208"/>
        <v>110500</v>
      </c>
      <c r="X96" s="266">
        <f t="shared" si="163"/>
        <v>1328438.796</v>
      </c>
      <c r="Y96" s="270">
        <f t="shared" si="192"/>
        <v>503792.26</v>
      </c>
      <c r="Z96" s="266"/>
      <c r="AA96" s="277">
        <f t="shared" si="207"/>
        <v>2257222</v>
      </c>
      <c r="AB96" s="280">
        <f t="shared" si="151"/>
        <v>20590758.33</v>
      </c>
      <c r="AC96" s="279">
        <f t="shared" si="133"/>
        <v>4132061.389</v>
      </c>
      <c r="AD96" s="279">
        <f t="shared" si="172"/>
        <v>29188.08223</v>
      </c>
      <c r="AE96" s="283">
        <f t="shared" si="174"/>
        <v>24752007.8</v>
      </c>
      <c r="AF96" s="273">
        <f t="shared" si="22"/>
        <v>0.1096230631</v>
      </c>
      <c r="AG96" s="274">
        <f t="shared" si="23"/>
        <v>4161249.471</v>
      </c>
    </row>
    <row r="97">
      <c r="A97" s="275">
        <f t="shared" si="3"/>
        <v>46005</v>
      </c>
      <c r="B97" s="269"/>
      <c r="C97" s="266"/>
      <c r="D97" s="266"/>
      <c r="E97" s="266"/>
      <c r="F97" s="259"/>
      <c r="G97" s="259">
        <f t="shared" ref="G97:G99" si="209">139*13060</f>
        <v>1815340</v>
      </c>
      <c r="H97" s="281">
        <f t="shared" ref="H97:H99" si="210">12*64600</f>
        <v>775200</v>
      </c>
      <c r="I97" s="259">
        <f t="shared" ref="I97:I99" si="211">27*60900</f>
        <v>1644300</v>
      </c>
      <c r="J97" s="268">
        <f t="shared" ref="J97:J99" si="212">80*46640</f>
        <v>3731200</v>
      </c>
      <c r="K97" s="268">
        <f t="shared" ref="K97:K100" si="213">46*26400</f>
        <v>1214400</v>
      </c>
      <c r="L97" s="268">
        <f t="shared" ref="L97:L99" si="214">2*77800</f>
        <v>155600</v>
      </c>
      <c r="M97" s="268">
        <f t="shared" ref="M97:M99" si="215">59*19120</f>
        <v>1128080</v>
      </c>
      <c r="N97" s="268">
        <f t="shared" ref="N97:N99" si="216">64*19120</f>
        <v>1223680</v>
      </c>
      <c r="O97" s="269"/>
      <c r="P97" s="269"/>
      <c r="Q97" s="269">
        <f t="shared" ref="Q97:Q99" si="217">608*1865</f>
        <v>1133920</v>
      </c>
      <c r="R97" s="266">
        <f t="shared" si="204"/>
        <v>1197686</v>
      </c>
      <c r="S97" s="268">
        <f t="shared" si="171"/>
        <v>837583.0317</v>
      </c>
      <c r="T97" s="278">
        <f t="shared" si="185"/>
        <v>1333350</v>
      </c>
      <c r="U97" s="266">
        <f t="shared" si="131"/>
        <v>1544658.073</v>
      </c>
      <c r="V97" s="279">
        <f t="shared" si="205"/>
        <v>2882719.247</v>
      </c>
      <c r="W97" s="266">
        <f t="shared" si="208"/>
        <v>110500</v>
      </c>
      <c r="X97" s="266">
        <f t="shared" si="163"/>
        <v>1326407.454</v>
      </c>
      <c r="Y97" s="270">
        <f t="shared" si="192"/>
        <v>502459.43</v>
      </c>
      <c r="Z97" s="266"/>
      <c r="AA97" s="277">
        <f t="shared" si="207"/>
        <v>2257222</v>
      </c>
      <c r="AB97" s="280">
        <f t="shared" si="151"/>
        <v>20656274.29</v>
      </c>
      <c r="AC97" s="279">
        <f t="shared" si="133"/>
        <v>4130042.861</v>
      </c>
      <c r="AD97" s="279">
        <f t="shared" si="172"/>
        <v>27988.08223</v>
      </c>
      <c r="AE97" s="283">
        <f t="shared" si="174"/>
        <v>24814305.23</v>
      </c>
      <c r="AF97" s="273">
        <f t="shared" si="22"/>
        <v>0.1092753692</v>
      </c>
      <c r="AG97" s="274">
        <f t="shared" si="23"/>
        <v>4158030.943</v>
      </c>
    </row>
    <row r="98">
      <c r="A98" s="284">
        <f t="shared" si="3"/>
        <v>46004</v>
      </c>
      <c r="B98" s="269"/>
      <c r="C98" s="266"/>
      <c r="D98" s="266"/>
      <c r="E98" s="266"/>
      <c r="F98" s="259"/>
      <c r="G98" s="259">
        <f t="shared" si="209"/>
        <v>1815340</v>
      </c>
      <c r="H98" s="281">
        <f t="shared" si="210"/>
        <v>775200</v>
      </c>
      <c r="I98" s="259">
        <f t="shared" si="211"/>
        <v>1644300</v>
      </c>
      <c r="J98" s="268">
        <f t="shared" si="212"/>
        <v>3731200</v>
      </c>
      <c r="K98" s="268">
        <f t="shared" si="213"/>
        <v>1214400</v>
      </c>
      <c r="L98" s="268">
        <f t="shared" si="214"/>
        <v>155600</v>
      </c>
      <c r="M98" s="268">
        <f t="shared" si="215"/>
        <v>1128080</v>
      </c>
      <c r="N98" s="268">
        <f t="shared" si="216"/>
        <v>1223680</v>
      </c>
      <c r="O98" s="269"/>
      <c r="P98" s="269"/>
      <c r="Q98" s="269">
        <f t="shared" si="217"/>
        <v>1133920</v>
      </c>
      <c r="R98" s="266">
        <f t="shared" si="204"/>
        <v>1201088</v>
      </c>
      <c r="S98" s="268">
        <f t="shared" si="171"/>
        <v>836205.1844</v>
      </c>
      <c r="T98" s="278">
        <f t="shared" si="185"/>
        <v>1331520</v>
      </c>
      <c r="U98" s="266">
        <f t="shared" si="131"/>
        <v>1542622.073</v>
      </c>
      <c r="V98" s="279">
        <f t="shared" si="205"/>
        <v>2882142.818</v>
      </c>
      <c r="W98" s="266">
        <f t="shared" si="208"/>
        <v>110500</v>
      </c>
      <c r="X98" s="266">
        <f t="shared" si="163"/>
        <v>1324376.111</v>
      </c>
      <c r="Y98" s="270">
        <f t="shared" si="192"/>
        <v>501126.6</v>
      </c>
      <c r="Z98" s="266"/>
      <c r="AA98" s="277">
        <f t="shared" si="207"/>
        <v>2257222</v>
      </c>
      <c r="AB98" s="280">
        <f t="shared" si="151"/>
        <v>20653710.37</v>
      </c>
      <c r="AC98" s="279">
        <f t="shared" si="133"/>
        <v>4128024.333</v>
      </c>
      <c r="AD98" s="279">
        <f t="shared" si="172"/>
        <v>26788.08223</v>
      </c>
      <c r="AE98" s="283">
        <f t="shared" si="174"/>
        <v>24808522.79</v>
      </c>
      <c r="AF98" s="273">
        <f t="shared" si="22"/>
        <v>0.1092889345</v>
      </c>
      <c r="AG98" s="274">
        <f t="shared" si="23"/>
        <v>4154812.416</v>
      </c>
    </row>
    <row r="99">
      <c r="A99" s="276">
        <f t="shared" si="3"/>
        <v>46003</v>
      </c>
      <c r="B99" s="269"/>
      <c r="C99" s="266"/>
      <c r="D99" s="266"/>
      <c r="E99" s="266"/>
      <c r="F99" s="259"/>
      <c r="G99" s="259">
        <f t="shared" si="209"/>
        <v>1815340</v>
      </c>
      <c r="H99" s="281">
        <f t="shared" si="210"/>
        <v>775200</v>
      </c>
      <c r="I99" s="259">
        <f t="shared" si="211"/>
        <v>1644300</v>
      </c>
      <c r="J99" s="268">
        <f t="shared" si="212"/>
        <v>3731200</v>
      </c>
      <c r="K99" s="268">
        <f t="shared" si="213"/>
        <v>1214400</v>
      </c>
      <c r="L99" s="268">
        <f t="shared" si="214"/>
        <v>155600</v>
      </c>
      <c r="M99" s="268">
        <f t="shared" si="215"/>
        <v>1128080</v>
      </c>
      <c r="N99" s="268">
        <f t="shared" si="216"/>
        <v>1223680</v>
      </c>
      <c r="O99" s="269"/>
      <c r="P99" s="269"/>
      <c r="Q99" s="269">
        <f t="shared" si="217"/>
        <v>1133920</v>
      </c>
      <c r="R99" s="266">
        <f t="shared" si="204"/>
        <v>1204490</v>
      </c>
      <c r="S99" s="268">
        <f>S100+1377.8473+400000</f>
        <v>834827.3371</v>
      </c>
      <c r="T99" s="278">
        <f>T100+1830+573000</f>
        <v>1329690</v>
      </c>
      <c r="U99" s="266">
        <f t="shared" si="131"/>
        <v>1540586.073</v>
      </c>
      <c r="V99" s="279">
        <f t="shared" si="205"/>
        <v>2881566.505</v>
      </c>
      <c r="W99" s="266">
        <f>W100-400000</f>
        <v>110500</v>
      </c>
      <c r="X99" s="266">
        <f t="shared" si="163"/>
        <v>1322344.768</v>
      </c>
      <c r="Y99" s="270">
        <f t="shared" si="192"/>
        <v>499793.77</v>
      </c>
      <c r="Z99" s="266"/>
      <c r="AA99" s="277">
        <f>AA100-573000</f>
        <v>2257222</v>
      </c>
      <c r="AB99" s="280">
        <f t="shared" si="151"/>
        <v>20651146.57</v>
      </c>
      <c r="AC99" s="279">
        <f t="shared" si="133"/>
        <v>4126005.806</v>
      </c>
      <c r="AD99" s="279">
        <f t="shared" si="172"/>
        <v>25588.08223</v>
      </c>
      <c r="AE99" s="283">
        <f t="shared" si="174"/>
        <v>24802740.45</v>
      </c>
      <c r="AF99" s="273">
        <f t="shared" si="22"/>
        <v>0.1093025025</v>
      </c>
      <c r="AG99" s="274">
        <f t="shared" si="23"/>
        <v>4151593.888</v>
      </c>
    </row>
    <row r="100">
      <c r="A100" s="264">
        <f t="shared" si="3"/>
        <v>46002</v>
      </c>
      <c r="B100" s="269"/>
      <c r="C100" s="266"/>
      <c r="D100" s="266"/>
      <c r="E100" s="266"/>
      <c r="F100" s="259"/>
      <c r="G100" s="259">
        <f>139*12900</f>
        <v>1793100</v>
      </c>
      <c r="H100" s="281">
        <f>12*64360</f>
        <v>772320</v>
      </c>
      <c r="I100" s="259">
        <f>27*61000</f>
        <v>1647000</v>
      </c>
      <c r="J100" s="268">
        <f>80*46980</f>
        <v>3758400</v>
      </c>
      <c r="K100" s="268">
        <f t="shared" si="213"/>
        <v>1214400</v>
      </c>
      <c r="L100" s="268">
        <f>2*77900</f>
        <v>155800</v>
      </c>
      <c r="M100" s="268">
        <f>59*19020</f>
        <v>1122180</v>
      </c>
      <c r="N100" s="268">
        <f>64*18600</f>
        <v>1190400</v>
      </c>
      <c r="O100" s="269"/>
      <c r="P100" s="269"/>
      <c r="Q100" s="269">
        <f>608*1880</f>
        <v>1143040</v>
      </c>
      <c r="R100" s="266">
        <f t="shared" si="204"/>
        <v>1207892</v>
      </c>
      <c r="S100" s="268">
        <f t="shared" ref="S100:S127" si="218">S101+877.8473</f>
        <v>433449.4898</v>
      </c>
      <c r="T100" s="278">
        <f t="shared" ref="T100:T109" si="219">T101+1830</f>
        <v>754860</v>
      </c>
      <c r="U100" s="266">
        <f t="shared" si="131"/>
        <v>1538550.073</v>
      </c>
      <c r="V100" s="279">
        <f t="shared" si="205"/>
        <v>2880990.307</v>
      </c>
      <c r="W100" s="266">
        <f t="shared" ref="W100:W117" si="220">W101</f>
        <v>510500</v>
      </c>
      <c r="X100" s="266">
        <f t="shared" si="163"/>
        <v>1320313.426</v>
      </c>
      <c r="Y100" s="270">
        <f t="shared" si="192"/>
        <v>498460.94</v>
      </c>
      <c r="Z100" s="266"/>
      <c r="AA100" s="277">
        <f>AA101+1500000</f>
        <v>2830222</v>
      </c>
      <c r="AB100" s="280">
        <f t="shared" si="151"/>
        <v>20623502.88</v>
      </c>
      <c r="AC100" s="279">
        <f t="shared" si="133"/>
        <v>4123987.278</v>
      </c>
      <c r="AD100" s="279">
        <f t="shared" si="172"/>
        <v>24388.08223</v>
      </c>
      <c r="AE100" s="283">
        <f t="shared" si="174"/>
        <v>24771878.24</v>
      </c>
      <c r="AF100" s="273">
        <f t="shared" si="22"/>
        <v>0.1372328463</v>
      </c>
      <c r="AG100" s="274">
        <f t="shared" si="23"/>
        <v>4148375.36</v>
      </c>
    </row>
    <row r="101">
      <c r="A101" s="264">
        <f t="shared" si="3"/>
        <v>46001</v>
      </c>
      <c r="B101" s="269"/>
      <c r="C101" s="266"/>
      <c r="D101" s="266"/>
      <c r="E101" s="266"/>
      <c r="F101" s="259"/>
      <c r="G101" s="259">
        <f>139*12840</f>
        <v>1784760</v>
      </c>
      <c r="H101" s="281">
        <f>12*64520</f>
        <v>774240</v>
      </c>
      <c r="I101" s="259">
        <f>27*61980</f>
        <v>1673460</v>
      </c>
      <c r="J101" s="268">
        <f>80*46000</f>
        <v>3680000</v>
      </c>
      <c r="K101" s="268">
        <f>46*26980</f>
        <v>1241080</v>
      </c>
      <c r="L101" s="268">
        <f>2*78300</f>
        <v>156600</v>
      </c>
      <c r="M101" s="268">
        <f>59*18700</f>
        <v>1103300</v>
      </c>
      <c r="N101" s="268">
        <f>64*18000</f>
        <v>1152000</v>
      </c>
      <c r="O101" s="269"/>
      <c r="P101" s="269"/>
      <c r="Q101" s="269">
        <f>608*1895</f>
        <v>1152160</v>
      </c>
      <c r="R101" s="266">
        <f t="shared" si="204"/>
        <v>1211294</v>
      </c>
      <c r="S101" s="268">
        <f t="shared" si="218"/>
        <v>432571.6425</v>
      </c>
      <c r="T101" s="278">
        <f t="shared" si="219"/>
        <v>753030</v>
      </c>
      <c r="U101" s="266">
        <f t="shared" si="131"/>
        <v>1536514.073</v>
      </c>
      <c r="V101" s="279">
        <f t="shared" si="205"/>
        <v>2880414.224</v>
      </c>
      <c r="W101" s="266">
        <f t="shared" si="220"/>
        <v>510500</v>
      </c>
      <c r="X101" s="266">
        <f t="shared" si="163"/>
        <v>1318282.083</v>
      </c>
      <c r="Y101" s="270">
        <f t="shared" si="192"/>
        <v>497128.11</v>
      </c>
      <c r="Z101" s="266"/>
      <c r="AA101" s="277">
        <f>AA102</f>
        <v>1330222</v>
      </c>
      <c r="AB101" s="280">
        <f t="shared" si="151"/>
        <v>19042399.3</v>
      </c>
      <c r="AC101" s="279">
        <f t="shared" si="133"/>
        <v>4121968.75</v>
      </c>
      <c r="AD101" s="279">
        <f t="shared" si="172"/>
        <v>23188.08223</v>
      </c>
      <c r="AE101" s="283">
        <f t="shared" si="174"/>
        <v>23187556.13</v>
      </c>
      <c r="AF101" s="273">
        <f t="shared" si="22"/>
        <v>0.06985579805</v>
      </c>
      <c r="AG101" s="274">
        <f t="shared" si="23"/>
        <v>4145156.832</v>
      </c>
    </row>
    <row r="102">
      <c r="A102" s="264">
        <f t="shared" si="3"/>
        <v>46000</v>
      </c>
      <c r="B102" s="269"/>
      <c r="C102" s="266"/>
      <c r="D102" s="266"/>
      <c r="E102" s="266"/>
      <c r="F102" s="259"/>
      <c r="G102" s="259">
        <f>139*13040</f>
        <v>1812560</v>
      </c>
      <c r="H102" s="281">
        <f>12*64220</f>
        <v>770640</v>
      </c>
      <c r="I102" s="259">
        <f>27*61480</f>
        <v>1659960</v>
      </c>
      <c r="J102" s="268">
        <f>80*45100</f>
        <v>3608000</v>
      </c>
      <c r="K102" s="268">
        <f>46*26940</f>
        <v>1239240</v>
      </c>
      <c r="L102" s="268">
        <f>2*77680</f>
        <v>155360</v>
      </c>
      <c r="M102" s="268">
        <f>59*18620</f>
        <v>1098580</v>
      </c>
      <c r="N102" s="268">
        <f>64*17800</f>
        <v>1139200</v>
      </c>
      <c r="O102" s="269"/>
      <c r="P102" s="269"/>
      <c r="Q102" s="269">
        <f>608*1925</f>
        <v>1170400</v>
      </c>
      <c r="R102" s="266">
        <f t="shared" si="204"/>
        <v>1214696</v>
      </c>
      <c r="S102" s="268">
        <f t="shared" si="218"/>
        <v>431693.7952</v>
      </c>
      <c r="T102" s="278">
        <f t="shared" si="219"/>
        <v>751200</v>
      </c>
      <c r="U102" s="266">
        <f>U103+3064.23333+2083.87-473000</f>
        <v>1534478.073</v>
      </c>
      <c r="V102" s="279">
        <f t="shared" si="205"/>
        <v>2879838.256</v>
      </c>
      <c r="W102" s="266">
        <f t="shared" si="220"/>
        <v>510500</v>
      </c>
      <c r="X102" s="266">
        <f t="shared" si="163"/>
        <v>1316250.741</v>
      </c>
      <c r="Y102" s="270">
        <f t="shared" si="192"/>
        <v>495795.28</v>
      </c>
      <c r="Z102" s="266"/>
      <c r="AA102" s="277">
        <f>AA103+473000</f>
        <v>1330222</v>
      </c>
      <c r="AB102" s="280">
        <f t="shared" si="151"/>
        <v>18976675.84</v>
      </c>
      <c r="AC102" s="279">
        <f t="shared" si="133"/>
        <v>4119950.222</v>
      </c>
      <c r="AD102" s="279">
        <f t="shared" si="172"/>
        <v>21988.08223</v>
      </c>
      <c r="AE102" s="283">
        <f t="shared" si="174"/>
        <v>23118614.15</v>
      </c>
      <c r="AF102" s="273">
        <f t="shared" si="22"/>
        <v>0.0700977353</v>
      </c>
      <c r="AG102" s="274">
        <f t="shared" si="23"/>
        <v>4141938.305</v>
      </c>
    </row>
    <row r="103">
      <c r="A103" s="264">
        <f t="shared" si="3"/>
        <v>45999</v>
      </c>
      <c r="B103" s="269"/>
      <c r="C103" s="266"/>
      <c r="D103" s="266"/>
      <c r="E103" s="266"/>
      <c r="F103" s="259"/>
      <c r="G103" s="259">
        <f t="shared" ref="G103:G108" si="221">139*13000</f>
        <v>1807000</v>
      </c>
      <c r="H103" s="281">
        <f t="shared" ref="H103:H106" si="222">12*64680</f>
        <v>776160</v>
      </c>
      <c r="I103" s="259">
        <f t="shared" ref="I103:I106" si="223">27*60100</f>
        <v>1622700</v>
      </c>
      <c r="J103" s="268">
        <f t="shared" ref="J103:J106" si="224">80*44000</f>
        <v>3520000</v>
      </c>
      <c r="K103" s="268">
        <f t="shared" ref="K103:K106" si="225">46*26720</f>
        <v>1229120</v>
      </c>
      <c r="L103" s="268">
        <f t="shared" ref="L103:L106" si="226">2*77900</f>
        <v>155800</v>
      </c>
      <c r="M103" s="268">
        <f t="shared" ref="M103:M106" si="227">59*18760</f>
        <v>1106840</v>
      </c>
      <c r="N103" s="268">
        <f t="shared" ref="N103:N106" si="228">64*18100</f>
        <v>1158400</v>
      </c>
      <c r="O103" s="269"/>
      <c r="P103" s="269"/>
      <c r="Q103" s="269">
        <f t="shared" ref="Q103:Q107" si="229">608*1905</f>
        <v>1158240</v>
      </c>
      <c r="R103" s="266">
        <f t="shared" si="204"/>
        <v>1218098</v>
      </c>
      <c r="S103" s="268">
        <f t="shared" si="218"/>
        <v>430815.9479</v>
      </c>
      <c r="T103" s="278">
        <f t="shared" si="219"/>
        <v>749370</v>
      </c>
      <c r="U103" s="266">
        <f t="shared" ref="U103:U110" si="230">U104+3064.23333+2083.87</f>
        <v>2002329.969</v>
      </c>
      <c r="V103" s="279">
        <f t="shared" si="205"/>
        <v>2879262.404</v>
      </c>
      <c r="W103" s="266">
        <f t="shared" si="220"/>
        <v>510500</v>
      </c>
      <c r="X103" s="266">
        <f t="shared" si="163"/>
        <v>1314219.398</v>
      </c>
      <c r="Y103" s="270">
        <f t="shared" si="192"/>
        <v>494462.45</v>
      </c>
      <c r="Z103" s="266"/>
      <c r="AA103" s="277">
        <f t="shared" ref="AA103:AA105" si="231">AA104</f>
        <v>857222</v>
      </c>
      <c r="AB103" s="280">
        <f t="shared" si="151"/>
        <v>18851820.39</v>
      </c>
      <c r="AC103" s="279">
        <f t="shared" si="133"/>
        <v>4117931.694</v>
      </c>
      <c r="AD103" s="279">
        <f t="shared" si="172"/>
        <v>20788.08223</v>
      </c>
      <c r="AE103" s="283">
        <f t="shared" si="174"/>
        <v>22990540.17</v>
      </c>
      <c r="AF103" s="273">
        <f t="shared" si="22"/>
        <v>0.04547157686</v>
      </c>
      <c r="AG103" s="274">
        <f t="shared" si="23"/>
        <v>4138719.777</v>
      </c>
    </row>
    <row r="104">
      <c r="A104" s="275">
        <f t="shared" si="3"/>
        <v>45998</v>
      </c>
      <c r="B104" s="269"/>
      <c r="C104" s="266"/>
      <c r="D104" s="266"/>
      <c r="E104" s="266"/>
      <c r="F104" s="259"/>
      <c r="G104" s="259">
        <f t="shared" si="221"/>
        <v>1807000</v>
      </c>
      <c r="H104" s="281">
        <f t="shared" si="222"/>
        <v>776160</v>
      </c>
      <c r="I104" s="259">
        <f t="shared" si="223"/>
        <v>1622700</v>
      </c>
      <c r="J104" s="268">
        <f t="shared" si="224"/>
        <v>3520000</v>
      </c>
      <c r="K104" s="268">
        <f t="shared" si="225"/>
        <v>1229120</v>
      </c>
      <c r="L104" s="268">
        <f t="shared" si="226"/>
        <v>155800</v>
      </c>
      <c r="M104" s="268">
        <f t="shared" si="227"/>
        <v>1106840</v>
      </c>
      <c r="N104" s="268">
        <f t="shared" si="228"/>
        <v>1158400</v>
      </c>
      <c r="O104" s="269"/>
      <c r="P104" s="269"/>
      <c r="Q104" s="269">
        <f t="shared" si="229"/>
        <v>1158240</v>
      </c>
      <c r="R104" s="266">
        <f t="shared" si="204"/>
        <v>1221500</v>
      </c>
      <c r="S104" s="268">
        <f t="shared" si="218"/>
        <v>429938.1006</v>
      </c>
      <c r="T104" s="278">
        <f t="shared" si="219"/>
        <v>747540</v>
      </c>
      <c r="U104" s="266">
        <f t="shared" si="230"/>
        <v>1997181.866</v>
      </c>
      <c r="V104" s="279">
        <f t="shared" si="205"/>
        <v>2878686.667</v>
      </c>
      <c r="W104" s="266">
        <f t="shared" si="220"/>
        <v>510500</v>
      </c>
      <c r="X104" s="266">
        <f t="shared" si="163"/>
        <v>1312188.056</v>
      </c>
      <c r="Y104" s="270">
        <f t="shared" si="192"/>
        <v>493129.62</v>
      </c>
      <c r="Z104" s="266"/>
      <c r="AA104" s="277">
        <f t="shared" si="231"/>
        <v>857222</v>
      </c>
      <c r="AB104" s="280">
        <f t="shared" si="151"/>
        <v>18846645.06</v>
      </c>
      <c r="AC104" s="279">
        <f t="shared" si="133"/>
        <v>4115913.167</v>
      </c>
      <c r="AD104" s="279">
        <f t="shared" si="172"/>
        <v>19588.08223</v>
      </c>
      <c r="AE104" s="283">
        <f t="shared" si="174"/>
        <v>22982146.31</v>
      </c>
      <c r="AF104" s="273">
        <f t="shared" si="22"/>
        <v>0.04548406346</v>
      </c>
      <c r="AG104" s="274">
        <f t="shared" si="23"/>
        <v>4135501.249</v>
      </c>
    </row>
    <row r="105">
      <c r="A105" s="284">
        <f t="shared" si="3"/>
        <v>45997</v>
      </c>
      <c r="B105" s="269"/>
      <c r="C105" s="266"/>
      <c r="D105" s="266"/>
      <c r="E105" s="266"/>
      <c r="F105" s="259"/>
      <c r="G105" s="259">
        <f t="shared" si="221"/>
        <v>1807000</v>
      </c>
      <c r="H105" s="281">
        <f t="shared" si="222"/>
        <v>776160</v>
      </c>
      <c r="I105" s="259">
        <f t="shared" si="223"/>
        <v>1622700</v>
      </c>
      <c r="J105" s="268">
        <f t="shared" si="224"/>
        <v>3520000</v>
      </c>
      <c r="K105" s="268">
        <f t="shared" si="225"/>
        <v>1229120</v>
      </c>
      <c r="L105" s="268">
        <f t="shared" si="226"/>
        <v>155800</v>
      </c>
      <c r="M105" s="268">
        <f t="shared" si="227"/>
        <v>1106840</v>
      </c>
      <c r="N105" s="268">
        <f t="shared" si="228"/>
        <v>1158400</v>
      </c>
      <c r="O105" s="269"/>
      <c r="P105" s="269"/>
      <c r="Q105" s="269">
        <f t="shared" si="229"/>
        <v>1158240</v>
      </c>
      <c r="R105" s="266">
        <f t="shared" si="204"/>
        <v>1224902</v>
      </c>
      <c r="S105" s="268">
        <f t="shared" si="218"/>
        <v>429060.2533</v>
      </c>
      <c r="T105" s="278">
        <f t="shared" si="219"/>
        <v>745710</v>
      </c>
      <c r="U105" s="266">
        <f t="shared" si="230"/>
        <v>1992033.763</v>
      </c>
      <c r="V105" s="279">
        <f t="shared" si="205"/>
        <v>2878111.044</v>
      </c>
      <c r="W105" s="266">
        <f t="shared" si="220"/>
        <v>510500</v>
      </c>
      <c r="X105" s="266">
        <f t="shared" si="163"/>
        <v>1310156.713</v>
      </c>
      <c r="Y105" s="270">
        <f t="shared" si="192"/>
        <v>491796.79</v>
      </c>
      <c r="Z105" s="266"/>
      <c r="AA105" s="277">
        <f t="shared" si="231"/>
        <v>857222</v>
      </c>
      <c r="AB105" s="280">
        <f t="shared" si="151"/>
        <v>18841469.84</v>
      </c>
      <c r="AC105" s="279">
        <f t="shared" si="133"/>
        <v>4113894.639</v>
      </c>
      <c r="AD105" s="279">
        <f t="shared" si="172"/>
        <v>18388.08223</v>
      </c>
      <c r="AE105" s="283">
        <f t="shared" si="174"/>
        <v>22973752.56</v>
      </c>
      <c r="AF105" s="273">
        <f t="shared" si="22"/>
        <v>0.04549655665</v>
      </c>
      <c r="AG105" s="274">
        <f t="shared" si="23"/>
        <v>4132282.721</v>
      </c>
    </row>
    <row r="106">
      <c r="A106" s="276">
        <f t="shared" si="3"/>
        <v>45996</v>
      </c>
      <c r="B106" s="269"/>
      <c r="C106" s="266"/>
      <c r="D106" s="266"/>
      <c r="E106" s="266"/>
      <c r="F106" s="259"/>
      <c r="G106" s="259">
        <f t="shared" si="221"/>
        <v>1807000</v>
      </c>
      <c r="H106" s="281">
        <f t="shared" si="222"/>
        <v>776160</v>
      </c>
      <c r="I106" s="259">
        <f t="shared" si="223"/>
        <v>1622700</v>
      </c>
      <c r="J106" s="268">
        <f t="shared" si="224"/>
        <v>3520000</v>
      </c>
      <c r="K106" s="268">
        <f t="shared" si="225"/>
        <v>1229120</v>
      </c>
      <c r="L106" s="268">
        <f t="shared" si="226"/>
        <v>155800</v>
      </c>
      <c r="M106" s="268">
        <f t="shared" si="227"/>
        <v>1106840</v>
      </c>
      <c r="N106" s="268">
        <f t="shared" si="228"/>
        <v>1158400</v>
      </c>
      <c r="O106" s="269"/>
      <c r="P106" s="269"/>
      <c r="Q106" s="269">
        <f t="shared" si="229"/>
        <v>1158240</v>
      </c>
      <c r="R106" s="266">
        <f t="shared" si="204"/>
        <v>1228304</v>
      </c>
      <c r="S106" s="268">
        <f t="shared" si="218"/>
        <v>428182.406</v>
      </c>
      <c r="T106" s="278">
        <f t="shared" si="219"/>
        <v>743880</v>
      </c>
      <c r="U106" s="266">
        <f t="shared" si="230"/>
        <v>1986885.659</v>
      </c>
      <c r="V106" s="279">
        <f t="shared" si="205"/>
        <v>2877535.537</v>
      </c>
      <c r="W106" s="266">
        <f t="shared" si="220"/>
        <v>510500</v>
      </c>
      <c r="X106" s="266">
        <f t="shared" si="163"/>
        <v>1308125.37</v>
      </c>
      <c r="Y106" s="270">
        <f t="shared" si="192"/>
        <v>490463.96</v>
      </c>
      <c r="Z106" s="266"/>
      <c r="AA106" s="277">
        <f>AA107+300000</f>
        <v>857222</v>
      </c>
      <c r="AB106" s="280">
        <f t="shared" si="151"/>
        <v>18836294.74</v>
      </c>
      <c r="AC106" s="279">
        <f t="shared" si="133"/>
        <v>4111876.111</v>
      </c>
      <c r="AD106" s="279">
        <f t="shared" si="172"/>
        <v>17188.08223</v>
      </c>
      <c r="AE106" s="283">
        <f t="shared" si="174"/>
        <v>22965358.93</v>
      </c>
      <c r="AF106" s="273">
        <f t="shared" si="22"/>
        <v>0.04550905642</v>
      </c>
      <c r="AG106" s="274">
        <f t="shared" si="23"/>
        <v>4129064.193</v>
      </c>
    </row>
    <row r="107">
      <c r="A107" s="264">
        <f t="shared" si="3"/>
        <v>45995</v>
      </c>
      <c r="B107" s="269"/>
      <c r="C107" s="266"/>
      <c r="D107" s="266"/>
      <c r="E107" s="266"/>
      <c r="F107" s="259"/>
      <c r="G107" s="259">
        <f t="shared" si="221"/>
        <v>1807000</v>
      </c>
      <c r="H107" s="281">
        <f>12*66880</f>
        <v>802560</v>
      </c>
      <c r="I107" s="259">
        <f>27*61400</f>
        <v>1657800</v>
      </c>
      <c r="J107" s="268">
        <f>80*44700</f>
        <v>3576000</v>
      </c>
      <c r="K107" s="268">
        <f>46*27400</f>
        <v>1260400</v>
      </c>
      <c r="L107" s="268">
        <f>2*78000</f>
        <v>156000</v>
      </c>
      <c r="M107" s="268">
        <f>59*18640</f>
        <v>1099760</v>
      </c>
      <c r="N107" s="268">
        <f>64*17800</f>
        <v>1139200</v>
      </c>
      <c r="O107" s="269"/>
      <c r="P107" s="269"/>
      <c r="Q107" s="269">
        <f t="shared" si="229"/>
        <v>1158240</v>
      </c>
      <c r="R107" s="266">
        <f t="shared" si="204"/>
        <v>1231706</v>
      </c>
      <c r="S107" s="268">
        <f t="shared" si="218"/>
        <v>427304.5587</v>
      </c>
      <c r="T107" s="278">
        <f t="shared" si="219"/>
        <v>742050</v>
      </c>
      <c r="U107" s="266">
        <f t="shared" si="230"/>
        <v>1981737.556</v>
      </c>
      <c r="V107" s="279">
        <f t="shared" si="205"/>
        <v>2876960.145</v>
      </c>
      <c r="W107" s="266">
        <f t="shared" si="220"/>
        <v>510500</v>
      </c>
      <c r="X107" s="266">
        <f t="shared" si="163"/>
        <v>1306094.028</v>
      </c>
      <c r="Y107" s="270">
        <f t="shared" si="192"/>
        <v>489131.13</v>
      </c>
      <c r="Z107" s="266"/>
      <c r="AA107" s="277">
        <f t="shared" ref="AA107:AA110" si="232">AA108</f>
        <v>557222</v>
      </c>
      <c r="AB107" s="280">
        <f t="shared" si="151"/>
        <v>18653819.75</v>
      </c>
      <c r="AC107" s="279">
        <f t="shared" si="133"/>
        <v>4109857.583</v>
      </c>
      <c r="AD107" s="279">
        <f t="shared" si="172"/>
        <v>15988.08223</v>
      </c>
      <c r="AE107" s="283">
        <f t="shared" si="174"/>
        <v>22779665.42</v>
      </c>
      <c r="AF107" s="273">
        <f t="shared" si="22"/>
        <v>0.02987173712</v>
      </c>
      <c r="AG107" s="274">
        <f t="shared" si="23"/>
        <v>4125845.666</v>
      </c>
    </row>
    <row r="108">
      <c r="A108" s="264">
        <f t="shared" si="3"/>
        <v>45994</v>
      </c>
      <c r="B108" s="269"/>
      <c r="C108" s="266"/>
      <c r="D108" s="266"/>
      <c r="E108" s="266"/>
      <c r="F108" s="259"/>
      <c r="G108" s="259">
        <f t="shared" si="221"/>
        <v>1807000</v>
      </c>
      <c r="H108" s="281">
        <f>12*66000</f>
        <v>792000</v>
      </c>
      <c r="I108" s="259">
        <f>27*60440</f>
        <v>1631880</v>
      </c>
      <c r="J108" s="268">
        <f>80*45060</f>
        <v>3604800</v>
      </c>
      <c r="K108" s="268">
        <f>46*27940</f>
        <v>1285240</v>
      </c>
      <c r="L108" s="268">
        <f>2*77400</f>
        <v>154800</v>
      </c>
      <c r="M108" s="268">
        <f>59*18680</f>
        <v>1102120</v>
      </c>
      <c r="N108" s="268">
        <f>64*17480</f>
        <v>1118720</v>
      </c>
      <c r="O108" s="269"/>
      <c r="P108" s="269"/>
      <c r="Q108" s="269">
        <f>608*1910</f>
        <v>1161280</v>
      </c>
      <c r="R108" s="266">
        <f t="shared" si="204"/>
        <v>1235108</v>
      </c>
      <c r="S108" s="268">
        <f t="shared" si="218"/>
        <v>426426.7114</v>
      </c>
      <c r="T108" s="278">
        <f t="shared" si="219"/>
        <v>740220</v>
      </c>
      <c r="U108" s="266">
        <f t="shared" si="230"/>
        <v>1976589.453</v>
      </c>
      <c r="V108" s="279">
        <f t="shared" si="205"/>
        <v>2876384.868</v>
      </c>
      <c r="W108" s="266">
        <f t="shared" si="220"/>
        <v>510500</v>
      </c>
      <c r="X108" s="266">
        <f t="shared" si="163"/>
        <v>1304062.685</v>
      </c>
      <c r="Y108" s="270">
        <f t="shared" si="192"/>
        <v>487798.3</v>
      </c>
      <c r="Z108" s="266"/>
      <c r="AA108" s="277">
        <f t="shared" si="232"/>
        <v>557222</v>
      </c>
      <c r="AB108" s="280">
        <f t="shared" si="151"/>
        <v>18649524.88</v>
      </c>
      <c r="AC108" s="279">
        <f t="shared" si="133"/>
        <v>4107839.056</v>
      </c>
      <c r="AD108" s="279">
        <f t="shared" si="172"/>
        <v>14788.08223</v>
      </c>
      <c r="AE108" s="283">
        <f t="shared" si="174"/>
        <v>22772152.02</v>
      </c>
      <c r="AF108" s="273">
        <f t="shared" si="22"/>
        <v>0.0298786164</v>
      </c>
      <c r="AG108" s="274">
        <f t="shared" si="23"/>
        <v>4122627.138</v>
      </c>
    </row>
    <row r="109">
      <c r="A109" s="264">
        <f t="shared" si="3"/>
        <v>45993</v>
      </c>
      <c r="B109" s="269"/>
      <c r="C109" s="266"/>
      <c r="D109" s="266"/>
      <c r="E109" s="266"/>
      <c r="F109" s="259"/>
      <c r="G109" s="259">
        <f>139*13200</f>
        <v>1834800</v>
      </c>
      <c r="H109" s="281">
        <f>12*67500</f>
        <v>810000</v>
      </c>
      <c r="I109" s="259">
        <f>27*61260</f>
        <v>1654020</v>
      </c>
      <c r="J109" s="268">
        <f>80*46080</f>
        <v>3686400</v>
      </c>
      <c r="K109" s="268">
        <f>46*26940</f>
        <v>1239240</v>
      </c>
      <c r="L109" s="268">
        <f>2*77820</f>
        <v>155640</v>
      </c>
      <c r="M109" s="268">
        <f>59*18540</f>
        <v>1093860</v>
      </c>
      <c r="N109" s="268">
        <f>64*17300</f>
        <v>1107200</v>
      </c>
      <c r="O109" s="269"/>
      <c r="P109" s="269"/>
      <c r="Q109" s="269">
        <f>608*1890</f>
        <v>1149120</v>
      </c>
      <c r="R109" s="266">
        <f t="shared" si="204"/>
        <v>1238510</v>
      </c>
      <c r="S109" s="268">
        <f t="shared" si="218"/>
        <v>425548.8641</v>
      </c>
      <c r="T109" s="278">
        <f t="shared" si="219"/>
        <v>738390</v>
      </c>
      <c r="U109" s="266">
        <f t="shared" si="230"/>
        <v>1971441.349</v>
      </c>
      <c r="V109" s="279">
        <f t="shared" si="205"/>
        <v>2875809.706</v>
      </c>
      <c r="W109" s="266">
        <f t="shared" si="220"/>
        <v>510500</v>
      </c>
      <c r="X109" s="266">
        <f t="shared" si="163"/>
        <v>1302031.343</v>
      </c>
      <c r="Y109" s="270">
        <f t="shared" si="192"/>
        <v>486465.47</v>
      </c>
      <c r="Z109" s="266"/>
      <c r="AA109" s="277">
        <f t="shared" si="232"/>
        <v>557222</v>
      </c>
      <c r="AB109" s="280">
        <f t="shared" si="151"/>
        <v>18716790.12</v>
      </c>
      <c r="AC109" s="279">
        <f t="shared" si="133"/>
        <v>4105820.528</v>
      </c>
      <c r="AD109" s="279">
        <f t="shared" si="172"/>
        <v>13588.08223</v>
      </c>
      <c r="AE109" s="283">
        <f t="shared" si="174"/>
        <v>22836198.73</v>
      </c>
      <c r="AF109" s="273">
        <f t="shared" si="22"/>
        <v>0.02977123729</v>
      </c>
      <c r="AG109" s="274">
        <f t="shared" si="23"/>
        <v>4119408.61</v>
      </c>
    </row>
    <row r="110">
      <c r="A110" s="264">
        <f t="shared" si="3"/>
        <v>45992</v>
      </c>
      <c r="B110" s="269"/>
      <c r="C110" s="266"/>
      <c r="D110" s="266"/>
      <c r="E110" s="266"/>
      <c r="F110" s="259"/>
      <c r="G110" s="259">
        <f>139*13180</f>
        <v>1832020</v>
      </c>
      <c r="H110" s="281">
        <f>12*66400</f>
        <v>796800</v>
      </c>
      <c r="I110" s="259">
        <f>27*59120</f>
        <v>1596240</v>
      </c>
      <c r="J110" s="268">
        <f>80*45980</f>
        <v>3678400</v>
      </c>
      <c r="K110" s="268">
        <f>46*26380</f>
        <v>1213480</v>
      </c>
      <c r="L110" s="268">
        <f>2*77000</f>
        <v>154000</v>
      </c>
      <c r="M110" s="268">
        <f>59*18400</f>
        <v>1085600</v>
      </c>
      <c r="N110" s="268">
        <f>64*16800</f>
        <v>1075200</v>
      </c>
      <c r="O110" s="269"/>
      <c r="P110" s="269"/>
      <c r="Q110" s="269">
        <f>608*1895</f>
        <v>1152160</v>
      </c>
      <c r="R110" s="266">
        <f>R111-1300000</f>
        <v>1241912</v>
      </c>
      <c r="S110" s="268">
        <f t="shared" si="218"/>
        <v>424671.0168</v>
      </c>
      <c r="T110" s="278">
        <f t="shared" ref="T110:T145" si="233">T111+1000</f>
        <v>736560</v>
      </c>
      <c r="U110" s="266">
        <f t="shared" si="230"/>
        <v>1966293.246</v>
      </c>
      <c r="V110" s="279">
        <f t="shared" si="205"/>
        <v>2875234.659</v>
      </c>
      <c r="W110" s="266">
        <f t="shared" si="220"/>
        <v>510500</v>
      </c>
      <c r="X110" s="270">
        <v>1300000.0</v>
      </c>
      <c r="Y110" s="270">
        <f t="shared" si="192"/>
        <v>485132.64</v>
      </c>
      <c r="Z110" s="266"/>
      <c r="AA110" s="277">
        <f t="shared" si="232"/>
        <v>557222</v>
      </c>
      <c r="AB110" s="280">
        <f t="shared" si="151"/>
        <v>18565235.48</v>
      </c>
      <c r="AC110" s="279">
        <f t="shared" si="133"/>
        <v>4103802</v>
      </c>
      <c r="AD110" s="279">
        <f t="shared" si="172"/>
        <v>12388.08223</v>
      </c>
      <c r="AE110" s="283">
        <f t="shared" si="174"/>
        <v>22681425.56</v>
      </c>
      <c r="AF110" s="273">
        <f t="shared" si="22"/>
        <v>0.03001427052</v>
      </c>
      <c r="AG110" s="274">
        <f t="shared" si="23"/>
        <v>4116190.082</v>
      </c>
    </row>
    <row r="111">
      <c r="A111" s="275">
        <f t="shared" si="3"/>
        <v>45991</v>
      </c>
      <c r="B111" s="269"/>
      <c r="C111" s="266"/>
      <c r="D111" s="266"/>
      <c r="E111" s="266"/>
      <c r="F111" s="259"/>
      <c r="G111" s="259">
        <f t="shared" ref="G111:G113" si="234">139*13300</f>
        <v>1848700</v>
      </c>
      <c r="H111" s="281">
        <f t="shared" ref="H111:H113" si="235">12*65380</f>
        <v>784560</v>
      </c>
      <c r="I111" s="259">
        <f t="shared" ref="I111:I113" si="236">27*58980</f>
        <v>1592460</v>
      </c>
      <c r="J111" s="268">
        <f t="shared" ref="J111:J113" si="237">80*44680</f>
        <v>3574400</v>
      </c>
      <c r="K111" s="268">
        <f t="shared" ref="K111:K113" si="238">46*26500</f>
        <v>1219000</v>
      </c>
      <c r="L111" s="268">
        <f t="shared" ref="L111:L113" si="239">2*76980</f>
        <v>153960</v>
      </c>
      <c r="M111" s="268">
        <f t="shared" ref="M111:M113" si="240">59*18280</f>
        <v>1078520</v>
      </c>
      <c r="N111" s="268">
        <f t="shared" ref="N111:N113" si="241">64*16900</f>
        <v>1081600</v>
      </c>
      <c r="O111" s="269"/>
      <c r="P111" s="269"/>
      <c r="Q111" s="269">
        <f t="shared" ref="Q111:Q113" si="242">608*1880</f>
        <v>1143040</v>
      </c>
      <c r="R111" s="266">
        <f>R112-557000</f>
        <v>2541912</v>
      </c>
      <c r="S111" s="268">
        <f t="shared" si="218"/>
        <v>423793.1695</v>
      </c>
      <c r="T111" s="278">
        <f t="shared" si="233"/>
        <v>735560</v>
      </c>
      <c r="U111" s="266">
        <f t="shared" ref="U111:U141" si="243">U112+3064.23333+1980.65</f>
        <v>1961145.143</v>
      </c>
      <c r="V111" s="279">
        <f t="shared" si="205"/>
        <v>2874659.727</v>
      </c>
      <c r="W111" s="266">
        <f t="shared" si="220"/>
        <v>510500</v>
      </c>
      <c r="X111" s="270"/>
      <c r="Y111" s="270">
        <f t="shared" si="192"/>
        <v>483799.81</v>
      </c>
      <c r="Z111" s="266"/>
      <c r="AA111" s="277">
        <f>AA112+557000-578150+21150</f>
        <v>557222</v>
      </c>
      <c r="AB111" s="280">
        <f t="shared" ref="AB111:AB228" si="244">IF((SUM(G111:AA111)-AC111-AD111)&lt;0,,SUM(G111:AA111)-AC111-AD111)</f>
        <v>18451860.3</v>
      </c>
      <c r="AC111" s="279">
        <f t="shared" si="133"/>
        <v>4101783.472</v>
      </c>
      <c r="AD111" s="279">
        <f t="shared" si="172"/>
        <v>11188.08223</v>
      </c>
      <c r="AE111" s="283">
        <f t="shared" si="174"/>
        <v>22564831.85</v>
      </c>
      <c r="AF111" s="273">
        <f t="shared" si="22"/>
        <v>0.03019868951</v>
      </c>
      <c r="AG111" s="274">
        <f t="shared" si="23"/>
        <v>4112971.554</v>
      </c>
    </row>
    <row r="112">
      <c r="A112" s="284">
        <f t="shared" si="3"/>
        <v>45990</v>
      </c>
      <c r="B112" s="269"/>
      <c r="C112" s="266"/>
      <c r="D112" s="266"/>
      <c r="E112" s="266"/>
      <c r="F112" s="259"/>
      <c r="G112" s="259">
        <f t="shared" si="234"/>
        <v>1848700</v>
      </c>
      <c r="H112" s="281">
        <f t="shared" si="235"/>
        <v>784560</v>
      </c>
      <c r="I112" s="259">
        <f t="shared" si="236"/>
        <v>1592460</v>
      </c>
      <c r="J112" s="268">
        <f t="shared" si="237"/>
        <v>3574400</v>
      </c>
      <c r="K112" s="268">
        <f t="shared" si="238"/>
        <v>1219000</v>
      </c>
      <c r="L112" s="268">
        <f t="shared" si="239"/>
        <v>153960</v>
      </c>
      <c r="M112" s="268">
        <f t="shared" si="240"/>
        <v>1078520</v>
      </c>
      <c r="N112" s="268">
        <f t="shared" si="241"/>
        <v>1081600</v>
      </c>
      <c r="O112" s="269"/>
      <c r="P112" s="269"/>
      <c r="Q112" s="269">
        <f t="shared" si="242"/>
        <v>1143040</v>
      </c>
      <c r="R112" s="266">
        <f t="shared" ref="R112:R117" si="245">R113</f>
        <v>3098912</v>
      </c>
      <c r="S112" s="268">
        <f t="shared" si="218"/>
        <v>422915.3222</v>
      </c>
      <c r="T112" s="278">
        <f t="shared" si="233"/>
        <v>734560</v>
      </c>
      <c r="U112" s="266">
        <f t="shared" si="243"/>
        <v>1956100.26</v>
      </c>
      <c r="V112" s="279">
        <f t="shared" si="205"/>
        <v>2874084.91</v>
      </c>
      <c r="W112" s="266">
        <f t="shared" si="220"/>
        <v>510500</v>
      </c>
      <c r="X112" s="270"/>
      <c r="Y112" s="270">
        <f t="shared" si="192"/>
        <v>482466.98</v>
      </c>
      <c r="Z112" s="266"/>
      <c r="AA112" s="277">
        <f>AA113</f>
        <v>557222</v>
      </c>
      <c r="AB112" s="280">
        <f t="shared" si="244"/>
        <v>19003248.45</v>
      </c>
      <c r="AC112" s="279">
        <f t="shared" si="133"/>
        <v>4099764.944</v>
      </c>
      <c r="AD112" s="279">
        <f t="shared" si="172"/>
        <v>9988.082229</v>
      </c>
      <c r="AE112" s="283">
        <f t="shared" si="174"/>
        <v>23113001.47</v>
      </c>
      <c r="AF112" s="273">
        <f t="shared" si="22"/>
        <v>0.0293224604</v>
      </c>
      <c r="AG112" s="274">
        <f t="shared" si="23"/>
        <v>4109753.027</v>
      </c>
    </row>
    <row r="113">
      <c r="A113" s="276">
        <f t="shared" si="3"/>
        <v>45989</v>
      </c>
      <c r="B113" s="269"/>
      <c r="C113" s="266"/>
      <c r="D113" s="266"/>
      <c r="E113" s="266"/>
      <c r="F113" s="259"/>
      <c r="G113" s="259">
        <f t="shared" si="234"/>
        <v>1848700</v>
      </c>
      <c r="H113" s="281">
        <f t="shared" si="235"/>
        <v>784560</v>
      </c>
      <c r="I113" s="259">
        <f t="shared" si="236"/>
        <v>1592460</v>
      </c>
      <c r="J113" s="268">
        <f t="shared" si="237"/>
        <v>3574400</v>
      </c>
      <c r="K113" s="268">
        <f t="shared" si="238"/>
        <v>1219000</v>
      </c>
      <c r="L113" s="268">
        <f t="shared" si="239"/>
        <v>153960</v>
      </c>
      <c r="M113" s="268">
        <f t="shared" si="240"/>
        <v>1078520</v>
      </c>
      <c r="N113" s="268">
        <f t="shared" si="241"/>
        <v>1081600</v>
      </c>
      <c r="O113" s="269"/>
      <c r="P113" s="269"/>
      <c r="Q113" s="269">
        <f t="shared" si="242"/>
        <v>1143040</v>
      </c>
      <c r="R113" s="266">
        <f t="shared" si="245"/>
        <v>3098912</v>
      </c>
      <c r="S113" s="268">
        <f t="shared" si="218"/>
        <v>422037.4749</v>
      </c>
      <c r="T113" s="278">
        <f t="shared" si="233"/>
        <v>733560</v>
      </c>
      <c r="U113" s="266">
        <f t="shared" si="243"/>
        <v>1951055.376</v>
      </c>
      <c r="V113" s="279">
        <f t="shared" si="205"/>
        <v>2873510.208</v>
      </c>
      <c r="W113" s="266">
        <f t="shared" si="220"/>
        <v>510500</v>
      </c>
      <c r="X113" s="270"/>
      <c r="Y113" s="270">
        <f t="shared" si="192"/>
        <v>481134.15</v>
      </c>
      <c r="Z113" s="266"/>
      <c r="AA113" s="277">
        <f>AA114-200000</f>
        <v>557222</v>
      </c>
      <c r="AB113" s="280">
        <f t="shared" si="244"/>
        <v>18997636.71</v>
      </c>
      <c r="AC113" s="279">
        <f t="shared" si="133"/>
        <v>4097746.417</v>
      </c>
      <c r="AD113" s="279">
        <f t="shared" si="172"/>
        <v>8788.082229</v>
      </c>
      <c r="AE113" s="283">
        <f t="shared" si="174"/>
        <v>23104171.21</v>
      </c>
      <c r="AF113" s="273">
        <f t="shared" si="22"/>
        <v>0.029331122</v>
      </c>
      <c r="AG113" s="274">
        <f t="shared" si="23"/>
        <v>4106534.499</v>
      </c>
    </row>
    <row r="114">
      <c r="A114" s="264">
        <f t="shared" si="3"/>
        <v>45988</v>
      </c>
      <c r="B114" s="269"/>
      <c r="C114" s="266"/>
      <c r="D114" s="266"/>
      <c r="E114" s="266"/>
      <c r="F114" s="259"/>
      <c r="G114" s="259">
        <f>139*13280</f>
        <v>1845920</v>
      </c>
      <c r="H114" s="281">
        <f>12*64400</f>
        <v>772800</v>
      </c>
      <c r="I114" s="259">
        <f>27*58480</f>
        <v>1578960</v>
      </c>
      <c r="J114" s="268">
        <f>80*44240</f>
        <v>3539200</v>
      </c>
      <c r="K114" s="268">
        <f>46*26100</f>
        <v>1200600</v>
      </c>
      <c r="L114" s="268">
        <f>2*76500</f>
        <v>153000</v>
      </c>
      <c r="M114" s="268">
        <f>59*18100</f>
        <v>1067900</v>
      </c>
      <c r="N114" s="268">
        <f>64*16560</f>
        <v>1059840</v>
      </c>
      <c r="O114" s="269"/>
      <c r="P114" s="269"/>
      <c r="Q114" s="269">
        <f>608*1865</f>
        <v>1133920</v>
      </c>
      <c r="R114" s="266">
        <f t="shared" si="245"/>
        <v>3098912</v>
      </c>
      <c r="S114" s="268">
        <f t="shared" si="218"/>
        <v>421159.6276</v>
      </c>
      <c r="T114" s="278">
        <f t="shared" si="233"/>
        <v>732560</v>
      </c>
      <c r="U114" s="266">
        <f t="shared" si="243"/>
        <v>1946010.493</v>
      </c>
      <c r="V114" s="279">
        <f t="shared" si="205"/>
        <v>2872935.621</v>
      </c>
      <c r="W114" s="266">
        <f t="shared" si="220"/>
        <v>510500</v>
      </c>
      <c r="X114" s="270"/>
      <c r="Y114" s="270">
        <f t="shared" si="192"/>
        <v>479801.32</v>
      </c>
      <c r="Z114" s="266"/>
      <c r="AA114" s="277">
        <f t="shared" ref="AA114:AA117" si="246">AA115</f>
        <v>757222</v>
      </c>
      <c r="AB114" s="280">
        <f t="shared" si="244"/>
        <v>19067925.09</v>
      </c>
      <c r="AC114" s="279">
        <f t="shared" si="133"/>
        <v>4095727.889</v>
      </c>
      <c r="AD114" s="279">
        <f t="shared" si="172"/>
        <v>7588.082229</v>
      </c>
      <c r="AE114" s="283">
        <f t="shared" si="174"/>
        <v>23171241.06</v>
      </c>
      <c r="AF114" s="273">
        <f t="shared" si="22"/>
        <v>0.03971181953</v>
      </c>
      <c r="AG114" s="274">
        <f t="shared" si="23"/>
        <v>4103315.971</v>
      </c>
    </row>
    <row r="115">
      <c r="A115" s="264">
        <f t="shared" si="3"/>
        <v>45987</v>
      </c>
      <c r="B115" s="269"/>
      <c r="C115" s="266"/>
      <c r="D115" s="266"/>
      <c r="E115" s="266"/>
      <c r="F115" s="259"/>
      <c r="G115" s="259">
        <f>139*13300</f>
        <v>1848700</v>
      </c>
      <c r="H115" s="281">
        <f>12*64320</f>
        <v>771840</v>
      </c>
      <c r="I115" s="259">
        <f>27*58100</f>
        <v>1568700</v>
      </c>
      <c r="J115" s="268">
        <f>80*44500</f>
        <v>3560000</v>
      </c>
      <c r="K115" s="268">
        <f>46*26120</f>
        <v>1201520</v>
      </c>
      <c r="L115" s="268">
        <f>2*76800</f>
        <v>153600</v>
      </c>
      <c r="M115" s="268">
        <f>59*18200</f>
        <v>1073800</v>
      </c>
      <c r="N115" s="268">
        <f>64*16520</f>
        <v>1057280</v>
      </c>
      <c r="O115" s="269"/>
      <c r="P115" s="269"/>
      <c r="Q115" s="269">
        <f t="shared" ref="Q115:Q116" si="247">608*1845</f>
        <v>1121760</v>
      </c>
      <c r="R115" s="266">
        <f t="shared" si="245"/>
        <v>3098912</v>
      </c>
      <c r="S115" s="268">
        <f t="shared" si="218"/>
        <v>420281.7803</v>
      </c>
      <c r="T115" s="278">
        <f t="shared" si="233"/>
        <v>731560</v>
      </c>
      <c r="U115" s="266">
        <f t="shared" si="243"/>
        <v>1940965.61</v>
      </c>
      <c r="V115" s="279">
        <f t="shared" si="205"/>
        <v>2872361.149</v>
      </c>
      <c r="W115" s="266">
        <f t="shared" si="220"/>
        <v>510500</v>
      </c>
      <c r="X115" s="270"/>
      <c r="Y115" s="270">
        <f t="shared" si="192"/>
        <v>478468.49</v>
      </c>
      <c r="Z115" s="266"/>
      <c r="AA115" s="277">
        <f t="shared" si="246"/>
        <v>757222</v>
      </c>
      <c r="AB115" s="280">
        <f t="shared" si="244"/>
        <v>19067373.59</v>
      </c>
      <c r="AC115" s="279">
        <f t="shared" si="133"/>
        <v>4093709.361</v>
      </c>
      <c r="AD115" s="279">
        <f t="shared" si="172"/>
        <v>6388.082229</v>
      </c>
      <c r="AE115" s="283">
        <f t="shared" si="174"/>
        <v>23167471.03</v>
      </c>
      <c r="AF115" s="273">
        <f t="shared" si="22"/>
        <v>0.03971296816</v>
      </c>
      <c r="AG115" s="274">
        <f t="shared" si="23"/>
        <v>4100097.443</v>
      </c>
    </row>
    <row r="116">
      <c r="A116" s="264">
        <f t="shared" si="3"/>
        <v>45986</v>
      </c>
      <c r="B116" s="269"/>
      <c r="C116" s="266"/>
      <c r="D116" s="266"/>
      <c r="E116" s="266"/>
      <c r="F116" s="259"/>
      <c r="G116" s="259">
        <f>139*13360</f>
        <v>1857040</v>
      </c>
      <c r="H116" s="281">
        <f>12*62520</f>
        <v>750240</v>
      </c>
      <c r="I116" s="259">
        <f>27*57680</f>
        <v>1557360</v>
      </c>
      <c r="J116" s="268">
        <f>80*44400</f>
        <v>3552000</v>
      </c>
      <c r="K116" s="268">
        <f>46*26900</f>
        <v>1237400</v>
      </c>
      <c r="L116" s="268">
        <f>2*77000</f>
        <v>154000</v>
      </c>
      <c r="M116" s="268">
        <f>59*17860</f>
        <v>1053740</v>
      </c>
      <c r="N116" s="268">
        <f t="shared" ref="N116:N117" si="248">64*16400</f>
        <v>1049600</v>
      </c>
      <c r="O116" s="269"/>
      <c r="P116" s="269"/>
      <c r="Q116" s="269">
        <f t="shared" si="247"/>
        <v>1121760</v>
      </c>
      <c r="R116" s="266">
        <f t="shared" si="245"/>
        <v>3098912</v>
      </c>
      <c r="S116" s="268">
        <f t="shared" si="218"/>
        <v>419403.933</v>
      </c>
      <c r="T116" s="278">
        <f t="shared" si="233"/>
        <v>730560</v>
      </c>
      <c r="U116" s="266">
        <f t="shared" si="243"/>
        <v>1935920.726</v>
      </c>
      <c r="V116" s="279">
        <f t="shared" si="205"/>
        <v>2871786.792</v>
      </c>
      <c r="W116" s="266">
        <f t="shared" si="220"/>
        <v>510500</v>
      </c>
      <c r="X116" s="270"/>
      <c r="Y116" s="270">
        <f t="shared" si="192"/>
        <v>477135.66</v>
      </c>
      <c r="Z116" s="266"/>
      <c r="AA116" s="277">
        <f t="shared" si="246"/>
        <v>757222</v>
      </c>
      <c r="AB116" s="280">
        <f t="shared" si="244"/>
        <v>19037702.2</v>
      </c>
      <c r="AC116" s="279">
        <f t="shared" si="133"/>
        <v>4091690.833</v>
      </c>
      <c r="AD116" s="279">
        <f t="shared" si="172"/>
        <v>5188.082229</v>
      </c>
      <c r="AE116" s="283">
        <f t="shared" si="174"/>
        <v>23134581.11</v>
      </c>
      <c r="AF116" s="273">
        <f t="shared" si="22"/>
        <v>0.03977486318</v>
      </c>
      <c r="AG116" s="274">
        <f t="shared" si="23"/>
        <v>4096878.916</v>
      </c>
    </row>
    <row r="117">
      <c r="A117" s="264">
        <f t="shared" si="3"/>
        <v>45985</v>
      </c>
      <c r="B117" s="269"/>
      <c r="C117" s="266"/>
      <c r="D117" s="266"/>
      <c r="E117" s="266"/>
      <c r="F117" s="259"/>
      <c r="G117" s="259">
        <f>139*13220</f>
        <v>1837580</v>
      </c>
      <c r="H117" s="281">
        <f>12*60300</f>
        <v>723600</v>
      </c>
      <c r="I117" s="259">
        <f>27*56860</f>
        <v>1535220</v>
      </c>
      <c r="J117" s="268">
        <f>80*42500</f>
        <v>3400000</v>
      </c>
      <c r="K117" s="268">
        <f>46*27600</f>
        <v>1269600</v>
      </c>
      <c r="L117" s="268">
        <f>2*77500</f>
        <v>155000</v>
      </c>
      <c r="M117" s="268">
        <f>59*17520</f>
        <v>1033680</v>
      </c>
      <c r="N117" s="268">
        <f t="shared" si="248"/>
        <v>1049600</v>
      </c>
      <c r="O117" s="269"/>
      <c r="P117" s="269"/>
      <c r="Q117" s="269">
        <f>608*1815</f>
        <v>1103520</v>
      </c>
      <c r="R117" s="266">
        <f t="shared" si="245"/>
        <v>3098912</v>
      </c>
      <c r="S117" s="268">
        <f t="shared" si="218"/>
        <v>418526.0857</v>
      </c>
      <c r="T117" s="278">
        <f t="shared" si="233"/>
        <v>729560</v>
      </c>
      <c r="U117" s="266">
        <f t="shared" si="243"/>
        <v>1930875.843</v>
      </c>
      <c r="V117" s="279">
        <f>V118*1.0002-30000</f>
        <v>2871212.549</v>
      </c>
      <c r="W117" s="266">
        <f t="shared" si="220"/>
        <v>510500</v>
      </c>
      <c r="X117" s="270"/>
      <c r="Y117" s="270">
        <f t="shared" si="192"/>
        <v>475802.83</v>
      </c>
      <c r="Z117" s="266"/>
      <c r="AA117" s="277">
        <f t="shared" si="246"/>
        <v>757222</v>
      </c>
      <c r="AB117" s="280">
        <f t="shared" si="244"/>
        <v>18806750.92</v>
      </c>
      <c r="AC117" s="279">
        <f t="shared" si="133"/>
        <v>4089672.306</v>
      </c>
      <c r="AD117" s="279">
        <f>AD118+382.191781+300+180+150+130-30000</f>
        <v>3988.082229</v>
      </c>
      <c r="AE117" s="283">
        <f t="shared" si="174"/>
        <v>22900411.31</v>
      </c>
      <c r="AF117" s="273">
        <f t="shared" si="22"/>
        <v>0.04026330775</v>
      </c>
      <c r="AG117" s="274">
        <f t="shared" si="23"/>
        <v>4093660.388</v>
      </c>
    </row>
    <row r="118">
      <c r="A118" s="284">
        <f t="shared" si="3"/>
        <v>45984</v>
      </c>
      <c r="B118" s="269"/>
      <c r="C118" s="266"/>
      <c r="D118" s="266"/>
      <c r="E118" s="266"/>
      <c r="F118" s="259"/>
      <c r="G118" s="266">
        <f t="shared" ref="G118:G121" si="249">139*13500</f>
        <v>1876500</v>
      </c>
      <c r="H118" s="286">
        <f t="shared" ref="H118:H120" si="250">12*60560</f>
        <v>726720</v>
      </c>
      <c r="I118" s="266">
        <f t="shared" ref="I118:I120" si="251">27*57840</f>
        <v>1561680</v>
      </c>
      <c r="J118" s="266">
        <f t="shared" ref="J118:J120" si="252">80*44980</f>
        <v>3598400</v>
      </c>
      <c r="K118" s="266">
        <f t="shared" ref="K118:K120" si="253">46*27940</f>
        <v>1285240</v>
      </c>
      <c r="L118" s="266">
        <f t="shared" ref="L118:L121" si="254">2*79080</f>
        <v>158160</v>
      </c>
      <c r="M118" s="266">
        <f t="shared" ref="M118:M120" si="255">59*18000</f>
        <v>1062000</v>
      </c>
      <c r="N118" s="266">
        <f t="shared" ref="N118:N120" si="256">64*16740</f>
        <v>1071360</v>
      </c>
      <c r="O118" s="269"/>
      <c r="P118" s="269"/>
      <c r="Q118" s="269">
        <f t="shared" ref="Q118:Q120" si="257">608*1860</f>
        <v>1130880</v>
      </c>
      <c r="R118" s="266">
        <f>R119-12000+180000</f>
        <v>3098912</v>
      </c>
      <c r="S118" s="268">
        <f t="shared" si="218"/>
        <v>417648.2384</v>
      </c>
      <c r="T118" s="278">
        <f t="shared" si="233"/>
        <v>728560</v>
      </c>
      <c r="U118" s="266">
        <f t="shared" si="243"/>
        <v>1925830.96</v>
      </c>
      <c r="V118" s="279">
        <f>V119*1.0002-180000</f>
        <v>2900632.423</v>
      </c>
      <c r="W118" s="266">
        <f>W119-273000</f>
        <v>510500</v>
      </c>
      <c r="X118" s="270"/>
      <c r="Y118" s="270">
        <f>Y119+735-118000+273000-82000</f>
        <v>474470</v>
      </c>
      <c r="Z118" s="266"/>
      <c r="AA118" s="277">
        <f>AA119+118000+82000</f>
        <v>757222</v>
      </c>
      <c r="AB118" s="280">
        <f t="shared" si="244"/>
        <v>19164215.95</v>
      </c>
      <c r="AC118" s="279">
        <f t="shared" si="133"/>
        <v>4087653.778</v>
      </c>
      <c r="AD118" s="279">
        <f t="shared" ref="AD118:AD128" si="258">AD119+382.191781+300+180+150+130</f>
        <v>32845.89045</v>
      </c>
      <c r="AE118" s="283">
        <f t="shared" si="174"/>
        <v>23284715.62</v>
      </c>
      <c r="AF118" s="273">
        <f t="shared" si="22"/>
        <v>0.03951228696</v>
      </c>
      <c r="AG118" s="274">
        <f t="shared" si="23"/>
        <v>4120499.668</v>
      </c>
    </row>
    <row r="119">
      <c r="A119" s="284">
        <f t="shared" si="3"/>
        <v>45983</v>
      </c>
      <c r="B119" s="269"/>
      <c r="C119" s="266"/>
      <c r="D119" s="266"/>
      <c r="E119" s="266"/>
      <c r="F119" s="259"/>
      <c r="G119" s="259">
        <f t="shared" si="249"/>
        <v>1876500</v>
      </c>
      <c r="H119" s="281">
        <f t="shared" si="250"/>
        <v>726720</v>
      </c>
      <c r="I119" s="259">
        <f t="shared" si="251"/>
        <v>1561680</v>
      </c>
      <c r="J119" s="268">
        <f t="shared" si="252"/>
        <v>3598400</v>
      </c>
      <c r="K119" s="268">
        <f t="shared" si="253"/>
        <v>1285240</v>
      </c>
      <c r="L119" s="268">
        <f t="shared" si="254"/>
        <v>158160</v>
      </c>
      <c r="M119" s="268">
        <f t="shared" si="255"/>
        <v>1062000</v>
      </c>
      <c r="N119" s="268">
        <f t="shared" si="256"/>
        <v>1071360</v>
      </c>
      <c r="O119" s="269"/>
      <c r="P119" s="269"/>
      <c r="Q119" s="269">
        <f t="shared" si="257"/>
        <v>1130880</v>
      </c>
      <c r="R119" s="266">
        <f t="shared" ref="R119:R127" si="259">R120-12000</f>
        <v>2930912</v>
      </c>
      <c r="S119" s="268">
        <f t="shared" si="218"/>
        <v>416770.3911</v>
      </c>
      <c r="T119" s="278">
        <f t="shared" si="233"/>
        <v>727560</v>
      </c>
      <c r="U119" s="266">
        <f t="shared" si="243"/>
        <v>1920786.076</v>
      </c>
      <c r="V119" s="279">
        <f>V120*1.0005-130000</f>
        <v>3080016.419</v>
      </c>
      <c r="W119" s="266">
        <f>W120</f>
        <v>783500</v>
      </c>
      <c r="X119" s="270"/>
      <c r="Y119" s="270">
        <f>Y120+735</f>
        <v>400735</v>
      </c>
      <c r="Z119" s="266"/>
      <c r="AA119" s="277">
        <f>AA120+130000</f>
        <v>557222</v>
      </c>
      <c r="AB119" s="280">
        <f t="shared" si="244"/>
        <v>19171102.94</v>
      </c>
      <c r="AC119" s="279">
        <f t="shared" si="133"/>
        <v>4085635.25</v>
      </c>
      <c r="AD119" s="279">
        <f t="shared" si="258"/>
        <v>31703.69867</v>
      </c>
      <c r="AE119" s="283">
        <f t="shared" si="174"/>
        <v>23288441.89</v>
      </c>
      <c r="AF119" s="273">
        <f t="shared" si="22"/>
        <v>0.02906572469</v>
      </c>
      <c r="AG119" s="274">
        <f t="shared" si="23"/>
        <v>4117338.949</v>
      </c>
    </row>
    <row r="120">
      <c r="A120" s="264">
        <f t="shared" si="3"/>
        <v>45982</v>
      </c>
      <c r="B120" s="269"/>
      <c r="C120" s="266"/>
      <c r="D120" s="266"/>
      <c r="E120" s="266"/>
      <c r="F120" s="259"/>
      <c r="G120" s="259">
        <f t="shared" si="249"/>
        <v>1876500</v>
      </c>
      <c r="H120" s="281">
        <f t="shared" si="250"/>
        <v>726720</v>
      </c>
      <c r="I120" s="259">
        <f t="shared" si="251"/>
        <v>1561680</v>
      </c>
      <c r="J120" s="268">
        <f t="shared" si="252"/>
        <v>3598400</v>
      </c>
      <c r="K120" s="268">
        <f t="shared" si="253"/>
        <v>1285240</v>
      </c>
      <c r="L120" s="268">
        <f t="shared" si="254"/>
        <v>158160</v>
      </c>
      <c r="M120" s="268">
        <f t="shared" si="255"/>
        <v>1062000</v>
      </c>
      <c r="N120" s="268">
        <f t="shared" si="256"/>
        <v>1071360</v>
      </c>
      <c r="O120" s="269"/>
      <c r="P120" s="269"/>
      <c r="Q120" s="269">
        <f t="shared" si="257"/>
        <v>1130880</v>
      </c>
      <c r="R120" s="266">
        <f t="shared" si="259"/>
        <v>2942912</v>
      </c>
      <c r="S120" s="268">
        <f t="shared" si="218"/>
        <v>415892.5438</v>
      </c>
      <c r="T120" s="278">
        <f t="shared" si="233"/>
        <v>726560</v>
      </c>
      <c r="U120" s="266">
        <f t="shared" si="243"/>
        <v>1915741.193</v>
      </c>
      <c r="V120" s="279">
        <f t="shared" ref="V120:V127" si="260">V121*1.0005-12000</f>
        <v>3208412.213</v>
      </c>
      <c r="W120" s="266">
        <f>W121-400000</f>
        <v>783500</v>
      </c>
      <c r="X120" s="270"/>
      <c r="Y120" s="270">
        <f>400000</f>
        <v>400000</v>
      </c>
      <c r="Z120" s="266"/>
      <c r="AA120" s="277">
        <f>AA121+413931.2677</f>
        <v>427222</v>
      </c>
      <c r="AB120" s="280">
        <f t="shared" si="244"/>
        <v>19177001.72</v>
      </c>
      <c r="AC120" s="279">
        <f t="shared" si="133"/>
        <v>4083616.722</v>
      </c>
      <c r="AD120" s="279">
        <f t="shared" si="258"/>
        <v>30561.50689</v>
      </c>
      <c r="AE120" s="283">
        <f t="shared" si="174"/>
        <v>23291179.95</v>
      </c>
      <c r="AF120" s="273">
        <f t="shared" si="22"/>
        <v>0.02227783082</v>
      </c>
      <c r="AG120" s="274">
        <f t="shared" si="23"/>
        <v>4114178.229</v>
      </c>
    </row>
    <row r="121">
      <c r="A121" s="264">
        <f t="shared" si="3"/>
        <v>45981</v>
      </c>
      <c r="B121" s="269"/>
      <c r="C121" s="266"/>
      <c r="D121" s="266"/>
      <c r="E121" s="266"/>
      <c r="F121" s="259"/>
      <c r="G121" s="259">
        <f t="shared" si="249"/>
        <v>1876500</v>
      </c>
      <c r="H121" s="281">
        <f>12*57800</f>
        <v>693600</v>
      </c>
      <c r="I121" s="259">
        <f>27*57540</f>
        <v>1553580</v>
      </c>
      <c r="J121" s="268">
        <f>80*45220</f>
        <v>3617600</v>
      </c>
      <c r="K121" s="268">
        <f>46*28000</f>
        <v>1288000</v>
      </c>
      <c r="L121" s="268">
        <f t="shared" si="254"/>
        <v>158160</v>
      </c>
      <c r="M121" s="268">
        <f>59*18400</f>
        <v>1085600</v>
      </c>
      <c r="N121" s="268">
        <f>64*16300</f>
        <v>1043200</v>
      </c>
      <c r="O121" s="269"/>
      <c r="P121" s="269"/>
      <c r="Q121" s="269">
        <f>608*1900</f>
        <v>1155200</v>
      </c>
      <c r="R121" s="266">
        <f t="shared" si="259"/>
        <v>2954912</v>
      </c>
      <c r="S121" s="268">
        <f t="shared" si="218"/>
        <v>415014.6965</v>
      </c>
      <c r="T121" s="278">
        <f t="shared" si="233"/>
        <v>725560</v>
      </c>
      <c r="U121" s="266">
        <f t="shared" si="243"/>
        <v>1910696.31</v>
      </c>
      <c r="V121" s="279">
        <f t="shared" si="260"/>
        <v>3218802.812</v>
      </c>
      <c r="W121" s="266">
        <f t="shared" ref="W121:W181" si="261">W122</f>
        <v>1183500</v>
      </c>
      <c r="X121" s="266"/>
      <c r="Y121" s="266"/>
      <c r="Z121" s="266"/>
      <c r="AA121" s="277">
        <f>AA122</f>
        <v>13290.7323</v>
      </c>
      <c r="AB121" s="280">
        <f t="shared" si="244"/>
        <v>18782199.04</v>
      </c>
      <c r="AC121" s="279">
        <f t="shared" si="133"/>
        <v>4081598.194</v>
      </c>
      <c r="AD121" s="279">
        <f t="shared" si="258"/>
        <v>29419.31511</v>
      </c>
      <c r="AE121" s="283">
        <f t="shared" si="174"/>
        <v>22893216.55</v>
      </c>
      <c r="AF121" s="273">
        <f t="shared" si="22"/>
        <v>0.0007076238662</v>
      </c>
      <c r="AG121" s="274">
        <f t="shared" si="23"/>
        <v>4111017.51</v>
      </c>
    </row>
    <row r="122">
      <c r="A122" s="264">
        <f t="shared" si="3"/>
        <v>45980</v>
      </c>
      <c r="B122" s="269"/>
      <c r="C122" s="266"/>
      <c r="D122" s="266"/>
      <c r="E122" s="266"/>
      <c r="F122" s="259"/>
      <c r="G122" s="259">
        <f>139*13680</f>
        <v>1901520</v>
      </c>
      <c r="H122" s="281">
        <f>12*58200</f>
        <v>698400</v>
      </c>
      <c r="I122" s="259">
        <f>27*58200</f>
        <v>1571400</v>
      </c>
      <c r="J122" s="268">
        <f>80*46000</f>
        <v>3680000</v>
      </c>
      <c r="K122" s="268">
        <f>46*29000</f>
        <v>1334000</v>
      </c>
      <c r="L122" s="268">
        <f>2*79340</f>
        <v>158680</v>
      </c>
      <c r="M122" s="268">
        <f>59*18180</f>
        <v>1072620</v>
      </c>
      <c r="N122" s="268">
        <f>64*17100</f>
        <v>1094400</v>
      </c>
      <c r="O122" s="269"/>
      <c r="P122" s="269"/>
      <c r="Q122" s="269">
        <f>608*1945</f>
        <v>1182560</v>
      </c>
      <c r="R122" s="266">
        <f t="shared" si="259"/>
        <v>2966912</v>
      </c>
      <c r="S122" s="268">
        <f t="shared" si="218"/>
        <v>414136.8492</v>
      </c>
      <c r="T122" s="278">
        <f t="shared" si="233"/>
        <v>724560</v>
      </c>
      <c r="U122" s="266">
        <f t="shared" si="243"/>
        <v>1905651.426</v>
      </c>
      <c r="V122" s="279">
        <f t="shared" si="260"/>
        <v>3229188.218</v>
      </c>
      <c r="W122" s="266">
        <f t="shared" si="261"/>
        <v>1183500</v>
      </c>
      <c r="X122" s="266"/>
      <c r="Y122" s="266"/>
      <c r="Z122" s="266"/>
      <c r="AA122" s="277">
        <f>AA123-130000-413931.2677</f>
        <v>13290.7323</v>
      </c>
      <c r="AB122" s="280">
        <f t="shared" si="244"/>
        <v>19022962.44</v>
      </c>
      <c r="AC122" s="279">
        <f t="shared" si="133"/>
        <v>4079579.667</v>
      </c>
      <c r="AD122" s="279">
        <f t="shared" si="258"/>
        <v>28277.12332</v>
      </c>
      <c r="AE122" s="283">
        <f t="shared" si="174"/>
        <v>23130819.23</v>
      </c>
      <c r="AF122" s="273">
        <f t="shared" si="22"/>
        <v>0.0006986678518</v>
      </c>
      <c r="AG122" s="274">
        <f t="shared" si="23"/>
        <v>4107856.79</v>
      </c>
    </row>
    <row r="123">
      <c r="A123" s="264">
        <f t="shared" si="3"/>
        <v>45979</v>
      </c>
      <c r="B123" s="269"/>
      <c r="C123" s="266"/>
      <c r="D123" s="266"/>
      <c r="E123" s="266"/>
      <c r="F123" s="259"/>
      <c r="G123" s="259">
        <f>139*13500</f>
        <v>1876500</v>
      </c>
      <c r="H123" s="281">
        <f>12*57260</f>
        <v>687120</v>
      </c>
      <c r="I123" s="259">
        <f>27*58600</f>
        <v>1582200</v>
      </c>
      <c r="J123" s="268">
        <f>80*46900</f>
        <v>3752000</v>
      </c>
      <c r="K123" s="268">
        <f>46*30020</f>
        <v>1380920</v>
      </c>
      <c r="L123" s="268">
        <f>2*79120</f>
        <v>158240</v>
      </c>
      <c r="M123" s="268">
        <f>59*18140</f>
        <v>1070260</v>
      </c>
      <c r="N123" s="268">
        <f>64*16920</f>
        <v>1082880</v>
      </c>
      <c r="O123" s="269"/>
      <c r="P123" s="269"/>
      <c r="Q123" s="269">
        <f>608*1980</f>
        <v>1203840</v>
      </c>
      <c r="R123" s="266">
        <f t="shared" si="259"/>
        <v>2978912</v>
      </c>
      <c r="S123" s="268">
        <f t="shared" si="218"/>
        <v>413259.0019</v>
      </c>
      <c r="T123" s="278">
        <f t="shared" si="233"/>
        <v>723560</v>
      </c>
      <c r="U123" s="266">
        <f t="shared" si="243"/>
        <v>1900606.543</v>
      </c>
      <c r="V123" s="279">
        <f t="shared" si="260"/>
        <v>3239568.434</v>
      </c>
      <c r="W123" s="266">
        <f t="shared" si="261"/>
        <v>1183500</v>
      </c>
      <c r="X123" s="266"/>
      <c r="Y123" s="266"/>
      <c r="Z123" s="266"/>
      <c r="AA123" s="277">
        <f t="shared" ref="AA123:AA127" si="262">AA124</f>
        <v>557222</v>
      </c>
      <c r="AB123" s="280">
        <f t="shared" si="244"/>
        <v>19685891.91</v>
      </c>
      <c r="AC123" s="279">
        <f t="shared" si="133"/>
        <v>4077561.139</v>
      </c>
      <c r="AD123" s="279">
        <f t="shared" si="258"/>
        <v>27134.93154</v>
      </c>
      <c r="AE123" s="283">
        <f t="shared" si="174"/>
        <v>23790587.98</v>
      </c>
      <c r="AF123" s="273">
        <f t="shared" si="22"/>
        <v>0.02830565171</v>
      </c>
      <c r="AG123" s="274">
        <f t="shared" si="23"/>
        <v>4104696.07</v>
      </c>
    </row>
    <row r="124">
      <c r="A124" s="275">
        <f t="shared" si="3"/>
        <v>45978</v>
      </c>
      <c r="B124" s="269"/>
      <c r="C124" s="266"/>
      <c r="D124" s="266"/>
      <c r="E124" s="266"/>
      <c r="F124" s="259"/>
      <c r="G124" s="259">
        <f t="shared" ref="G124:G127" si="263">139*13120</f>
        <v>1823680</v>
      </c>
      <c r="H124" s="281">
        <f t="shared" ref="H124:H127" si="264">12*59800</f>
        <v>717600</v>
      </c>
      <c r="I124" s="259">
        <f t="shared" ref="I124:I127" si="265">27*58900</f>
        <v>1590300</v>
      </c>
      <c r="J124" s="268">
        <f t="shared" ref="J124:J127" si="266">80*47680</f>
        <v>3814400</v>
      </c>
      <c r="K124" s="268">
        <f t="shared" ref="K124:K127" si="267">46*30460</f>
        <v>1401160</v>
      </c>
      <c r="L124" s="268">
        <f t="shared" ref="L124:L127" si="268">2*78940</f>
        <v>157880</v>
      </c>
      <c r="M124" s="268">
        <f t="shared" ref="M124:M127" si="269">59*17940</f>
        <v>1058460</v>
      </c>
      <c r="N124" s="268">
        <f t="shared" ref="N124:N127" si="270">64*16800</f>
        <v>1075200</v>
      </c>
      <c r="O124" s="269"/>
      <c r="P124" s="269"/>
      <c r="Q124" s="269">
        <f t="shared" ref="Q124:Q127" si="271">608*1950</f>
        <v>1185600</v>
      </c>
      <c r="R124" s="266">
        <f t="shared" si="259"/>
        <v>2990912</v>
      </c>
      <c r="S124" s="268">
        <f t="shared" si="218"/>
        <v>412381.1546</v>
      </c>
      <c r="T124" s="278">
        <f t="shared" si="233"/>
        <v>722560</v>
      </c>
      <c r="U124" s="266">
        <f t="shared" si="243"/>
        <v>1895561.66</v>
      </c>
      <c r="V124" s="279">
        <f t="shared" si="260"/>
        <v>3249943.462</v>
      </c>
      <c r="W124" s="266">
        <f t="shared" si="261"/>
        <v>1183500</v>
      </c>
      <c r="X124" s="266"/>
      <c r="Y124" s="266"/>
      <c r="Z124" s="266"/>
      <c r="AA124" s="277">
        <f t="shared" si="262"/>
        <v>557222</v>
      </c>
      <c r="AB124" s="280">
        <f t="shared" si="244"/>
        <v>19734824.93</v>
      </c>
      <c r="AC124" s="279">
        <f t="shared" si="133"/>
        <v>4075542.611</v>
      </c>
      <c r="AD124" s="279">
        <f t="shared" si="258"/>
        <v>25992.73976</v>
      </c>
      <c r="AE124" s="283">
        <f t="shared" si="174"/>
        <v>23836360.28</v>
      </c>
      <c r="AF124" s="273">
        <f t="shared" si="22"/>
        <v>0.02823546711</v>
      </c>
      <c r="AG124" s="274">
        <f t="shared" si="23"/>
        <v>4101535.351</v>
      </c>
    </row>
    <row r="125">
      <c r="A125" s="284">
        <f t="shared" si="3"/>
        <v>45977</v>
      </c>
      <c r="B125" s="269"/>
      <c r="C125" s="266"/>
      <c r="D125" s="266"/>
      <c r="E125" s="266"/>
      <c r="F125" s="259"/>
      <c r="G125" s="259">
        <f t="shared" si="263"/>
        <v>1823680</v>
      </c>
      <c r="H125" s="281">
        <f t="shared" si="264"/>
        <v>717600</v>
      </c>
      <c r="I125" s="259">
        <f t="shared" si="265"/>
        <v>1590300</v>
      </c>
      <c r="J125" s="268">
        <f t="shared" si="266"/>
        <v>3814400</v>
      </c>
      <c r="K125" s="268">
        <f t="shared" si="267"/>
        <v>1401160</v>
      </c>
      <c r="L125" s="268">
        <f t="shared" si="268"/>
        <v>157880</v>
      </c>
      <c r="M125" s="268">
        <f t="shared" si="269"/>
        <v>1058460</v>
      </c>
      <c r="N125" s="268">
        <f t="shared" si="270"/>
        <v>1075200</v>
      </c>
      <c r="O125" s="269"/>
      <c r="P125" s="269"/>
      <c r="Q125" s="269">
        <f t="shared" si="271"/>
        <v>1185600</v>
      </c>
      <c r="R125" s="266">
        <f t="shared" si="259"/>
        <v>3002912</v>
      </c>
      <c r="S125" s="268">
        <f t="shared" si="218"/>
        <v>411503.3073</v>
      </c>
      <c r="T125" s="278">
        <f t="shared" si="233"/>
        <v>721560</v>
      </c>
      <c r="U125" s="266">
        <f t="shared" si="243"/>
        <v>1890516.776</v>
      </c>
      <c r="V125" s="279">
        <f t="shared" si="260"/>
        <v>3260313.305</v>
      </c>
      <c r="W125" s="266">
        <f t="shared" si="261"/>
        <v>1183500</v>
      </c>
      <c r="X125" s="266"/>
      <c r="Y125" s="266"/>
      <c r="Z125" s="266"/>
      <c r="AA125" s="277">
        <f t="shared" si="262"/>
        <v>557222</v>
      </c>
      <c r="AB125" s="280">
        <f t="shared" si="244"/>
        <v>19753432.76</v>
      </c>
      <c r="AC125" s="279">
        <f t="shared" si="133"/>
        <v>4073524.083</v>
      </c>
      <c r="AD125" s="279">
        <f t="shared" si="258"/>
        <v>24850.54798</v>
      </c>
      <c r="AE125" s="283">
        <f t="shared" si="174"/>
        <v>23851807.39</v>
      </c>
      <c r="AF125" s="273">
        <f t="shared" si="22"/>
        <v>0.02820886915</v>
      </c>
      <c r="AG125" s="274">
        <f t="shared" si="23"/>
        <v>4098374.631</v>
      </c>
    </row>
    <row r="126">
      <c r="A126" s="284">
        <f t="shared" si="3"/>
        <v>45976</v>
      </c>
      <c r="B126" s="269"/>
      <c r="C126" s="266"/>
      <c r="D126" s="266"/>
      <c r="E126" s="266"/>
      <c r="F126" s="259"/>
      <c r="G126" s="259">
        <f t="shared" si="263"/>
        <v>1823680</v>
      </c>
      <c r="H126" s="281">
        <f t="shared" si="264"/>
        <v>717600</v>
      </c>
      <c r="I126" s="259">
        <f t="shared" si="265"/>
        <v>1590300</v>
      </c>
      <c r="J126" s="268">
        <f t="shared" si="266"/>
        <v>3814400</v>
      </c>
      <c r="K126" s="268">
        <f t="shared" si="267"/>
        <v>1401160</v>
      </c>
      <c r="L126" s="268">
        <f t="shared" si="268"/>
        <v>157880</v>
      </c>
      <c r="M126" s="268">
        <f t="shared" si="269"/>
        <v>1058460</v>
      </c>
      <c r="N126" s="268">
        <f t="shared" si="270"/>
        <v>1075200</v>
      </c>
      <c r="O126" s="269"/>
      <c r="P126" s="269"/>
      <c r="Q126" s="269">
        <f t="shared" si="271"/>
        <v>1185600</v>
      </c>
      <c r="R126" s="266">
        <f t="shared" si="259"/>
        <v>3014912</v>
      </c>
      <c r="S126" s="268">
        <f t="shared" si="218"/>
        <v>410625.46</v>
      </c>
      <c r="T126" s="278">
        <f t="shared" si="233"/>
        <v>720560</v>
      </c>
      <c r="U126" s="266">
        <f t="shared" si="243"/>
        <v>1885471.893</v>
      </c>
      <c r="V126" s="279">
        <f t="shared" si="260"/>
        <v>3270677.966</v>
      </c>
      <c r="W126" s="266">
        <f t="shared" si="261"/>
        <v>1183500</v>
      </c>
      <c r="X126" s="266"/>
      <c r="Y126" s="266"/>
      <c r="Z126" s="266"/>
      <c r="AA126" s="277">
        <f t="shared" si="262"/>
        <v>557222</v>
      </c>
      <c r="AB126" s="280">
        <f t="shared" si="244"/>
        <v>19772035.41</v>
      </c>
      <c r="AC126" s="279">
        <f t="shared" si="133"/>
        <v>4071505.556</v>
      </c>
      <c r="AD126" s="279">
        <f t="shared" si="258"/>
        <v>23708.3562</v>
      </c>
      <c r="AE126" s="283">
        <f t="shared" si="174"/>
        <v>23867249.32</v>
      </c>
      <c r="AF126" s="273">
        <f t="shared" si="22"/>
        <v>0.02818232865</v>
      </c>
      <c r="AG126" s="274">
        <f t="shared" si="23"/>
        <v>4095213.912</v>
      </c>
    </row>
    <row r="127">
      <c r="A127" s="264">
        <f t="shared" si="3"/>
        <v>45975</v>
      </c>
      <c r="B127" s="269"/>
      <c r="C127" s="266"/>
      <c r="D127" s="266"/>
      <c r="E127" s="266"/>
      <c r="F127" s="259"/>
      <c r="G127" s="259">
        <f t="shared" si="263"/>
        <v>1823680</v>
      </c>
      <c r="H127" s="281">
        <f t="shared" si="264"/>
        <v>717600</v>
      </c>
      <c r="I127" s="259">
        <f t="shared" si="265"/>
        <v>1590300</v>
      </c>
      <c r="J127" s="268">
        <f t="shared" si="266"/>
        <v>3814400</v>
      </c>
      <c r="K127" s="268">
        <f t="shared" si="267"/>
        <v>1401160</v>
      </c>
      <c r="L127" s="268">
        <f t="shared" si="268"/>
        <v>157880</v>
      </c>
      <c r="M127" s="268">
        <f t="shared" si="269"/>
        <v>1058460</v>
      </c>
      <c r="N127" s="268">
        <f t="shared" si="270"/>
        <v>1075200</v>
      </c>
      <c r="O127" s="269"/>
      <c r="P127" s="269"/>
      <c r="Q127" s="269">
        <f t="shared" si="271"/>
        <v>1185600</v>
      </c>
      <c r="R127" s="266">
        <f t="shared" si="259"/>
        <v>3026912</v>
      </c>
      <c r="S127" s="268">
        <f t="shared" si="218"/>
        <v>409747.6127</v>
      </c>
      <c r="T127" s="278">
        <f t="shared" si="233"/>
        <v>719560</v>
      </c>
      <c r="U127" s="266">
        <f t="shared" si="243"/>
        <v>1880427.01</v>
      </c>
      <c r="V127" s="279">
        <f t="shared" si="260"/>
        <v>3281037.447</v>
      </c>
      <c r="W127" s="266">
        <f t="shared" si="261"/>
        <v>1183500</v>
      </c>
      <c r="X127" s="266"/>
      <c r="Y127" s="266"/>
      <c r="Z127" s="266"/>
      <c r="AA127" s="277">
        <f t="shared" si="262"/>
        <v>557222</v>
      </c>
      <c r="AB127" s="280">
        <f t="shared" si="244"/>
        <v>19790632.88</v>
      </c>
      <c r="AC127" s="279">
        <f t="shared" si="133"/>
        <v>4069487.028</v>
      </c>
      <c r="AD127" s="279">
        <f t="shared" si="258"/>
        <v>22566.16442</v>
      </c>
      <c r="AE127" s="283">
        <f t="shared" si="174"/>
        <v>23882686.07</v>
      </c>
      <c r="AF127" s="273">
        <f t="shared" si="22"/>
        <v>0.02815584542</v>
      </c>
      <c r="AG127" s="274">
        <f t="shared" si="23"/>
        <v>4092053.192</v>
      </c>
    </row>
    <row r="128">
      <c r="A128" s="264">
        <f t="shared" si="3"/>
        <v>45974</v>
      </c>
      <c r="B128" s="269"/>
      <c r="C128" s="266"/>
      <c r="D128" s="266"/>
      <c r="E128" s="266"/>
      <c r="F128" s="259"/>
      <c r="G128" s="259">
        <f>139*12900</f>
        <v>1793100</v>
      </c>
      <c r="H128" s="281">
        <f>12*59040</f>
        <v>708480</v>
      </c>
      <c r="I128" s="259">
        <f>27*58020</f>
        <v>1566540</v>
      </c>
      <c r="J128" s="268">
        <f>80*46100</f>
        <v>3688000</v>
      </c>
      <c r="K128" s="268">
        <f>46*29400</f>
        <v>1352400</v>
      </c>
      <c r="L128" s="268">
        <f>2*78000</f>
        <v>156000</v>
      </c>
      <c r="M128" s="268">
        <f>59*18800</f>
        <v>1109200</v>
      </c>
      <c r="N128" s="268">
        <f>64*16640</f>
        <v>1064960</v>
      </c>
      <c r="O128" s="269"/>
      <c r="P128" s="269"/>
      <c r="Q128" s="269">
        <f>608*1870</f>
        <v>1136960</v>
      </c>
      <c r="R128" s="266">
        <f t="shared" ref="R128:R130" si="272">R129+150000-12000</f>
        <v>3038912</v>
      </c>
      <c r="S128" s="268">
        <f t="shared" ref="S128:S130" si="273">S129+927.8473-150000</f>
        <v>408869.7654</v>
      </c>
      <c r="T128" s="278">
        <f t="shared" si="233"/>
        <v>718560</v>
      </c>
      <c r="U128" s="266">
        <f t="shared" si="243"/>
        <v>1875382.126</v>
      </c>
      <c r="V128" s="279">
        <f>V129*1.0005+133778-12000</f>
        <v>3291391.752</v>
      </c>
      <c r="W128" s="266">
        <f t="shared" si="261"/>
        <v>1183500</v>
      </c>
      <c r="X128" s="266"/>
      <c r="Y128" s="266"/>
      <c r="Z128" s="266"/>
      <c r="AA128" s="277">
        <f>AA129-17000-133778</f>
        <v>557222</v>
      </c>
      <c r="AB128" s="280">
        <f t="shared" si="244"/>
        <v>19560585.17</v>
      </c>
      <c r="AC128" s="279">
        <f t="shared" si="133"/>
        <v>4067468.5</v>
      </c>
      <c r="AD128" s="279">
        <f t="shared" si="258"/>
        <v>21423.97264</v>
      </c>
      <c r="AE128" s="283">
        <f t="shared" si="174"/>
        <v>23649477.64</v>
      </c>
      <c r="AF128" s="273">
        <f t="shared" si="22"/>
        <v>0.02848698007</v>
      </c>
      <c r="AG128" s="274">
        <f t="shared" si="23"/>
        <v>4088892.473</v>
      </c>
    </row>
    <row r="129">
      <c r="A129" s="264">
        <f t="shared" si="3"/>
        <v>45973</v>
      </c>
      <c r="B129" s="269"/>
      <c r="C129" s="266"/>
      <c r="D129" s="266"/>
      <c r="E129" s="266"/>
      <c r="F129" s="259"/>
      <c r="G129" s="259">
        <f>139*12820</f>
        <v>1781980</v>
      </c>
      <c r="H129" s="281">
        <f>12*60000</f>
        <v>720000</v>
      </c>
      <c r="I129" s="259">
        <f>27*59780</f>
        <v>1614060</v>
      </c>
      <c r="J129" s="268">
        <f t="shared" ref="J129:J134" si="274">80*46000</f>
        <v>3680000</v>
      </c>
      <c r="K129" s="268">
        <f>46*28900</f>
        <v>1329400</v>
      </c>
      <c r="L129" s="268">
        <f>2*79000</f>
        <v>158000</v>
      </c>
      <c r="M129" s="268">
        <f>59*18500</f>
        <v>1091500</v>
      </c>
      <c r="N129" s="268">
        <f>64*16800</f>
        <v>1075200</v>
      </c>
      <c r="O129" s="269"/>
      <c r="P129" s="269"/>
      <c r="Q129" s="269">
        <f>608*1880</f>
        <v>1143040</v>
      </c>
      <c r="R129" s="266">
        <f t="shared" si="272"/>
        <v>2900912</v>
      </c>
      <c r="S129" s="268">
        <f t="shared" si="273"/>
        <v>557941.9181</v>
      </c>
      <c r="T129" s="278">
        <f t="shared" si="233"/>
        <v>717560</v>
      </c>
      <c r="U129" s="266">
        <f t="shared" si="243"/>
        <v>1870337.243</v>
      </c>
      <c r="V129" s="279">
        <f t="shared" ref="V129:V137" si="275">V130*1.0005</f>
        <v>3168029.737</v>
      </c>
      <c r="W129" s="266">
        <f t="shared" si="261"/>
        <v>1183500</v>
      </c>
      <c r="X129" s="266"/>
      <c r="Y129" s="266"/>
      <c r="Z129" s="266"/>
      <c r="AA129" s="277">
        <f t="shared" ref="AA129:AA130" si="276">AA130-17000</f>
        <v>708000</v>
      </c>
      <c r="AB129" s="280">
        <f t="shared" si="244"/>
        <v>19613729.14</v>
      </c>
      <c r="AC129" s="279">
        <f t="shared" si="133"/>
        <v>4065449.972</v>
      </c>
      <c r="AD129" s="279">
        <f t="shared" ref="AD129:AD178" si="277">AD130+382.191781+300+180+150</f>
        <v>20281.78086</v>
      </c>
      <c r="AE129" s="283">
        <f t="shared" si="174"/>
        <v>23699460.9</v>
      </c>
      <c r="AF129" s="273">
        <f t="shared" si="22"/>
        <v>0.03609716412</v>
      </c>
      <c r="AG129" s="274">
        <f t="shared" si="23"/>
        <v>4085731.753</v>
      </c>
    </row>
    <row r="130">
      <c r="A130" s="264">
        <f t="shared" si="3"/>
        <v>45972</v>
      </c>
      <c r="B130" s="269"/>
      <c r="C130" s="266"/>
      <c r="D130" s="266"/>
      <c r="E130" s="266"/>
      <c r="F130" s="259"/>
      <c r="G130" s="259">
        <f>139*12720</f>
        <v>1768080</v>
      </c>
      <c r="H130" s="281">
        <f>12*61260</f>
        <v>735120</v>
      </c>
      <c r="I130" s="259">
        <f>27*59580</f>
        <v>1608660</v>
      </c>
      <c r="J130" s="268">
        <f t="shared" si="274"/>
        <v>3680000</v>
      </c>
      <c r="K130" s="268">
        <f>46*28540</f>
        <v>1312840</v>
      </c>
      <c r="L130" s="268">
        <f>2*78720</f>
        <v>157440</v>
      </c>
      <c r="M130" s="268">
        <f>59*18200</f>
        <v>1073800</v>
      </c>
      <c r="N130" s="268">
        <f>64*16500</f>
        <v>1056000</v>
      </c>
      <c r="O130" s="269"/>
      <c r="P130" s="269"/>
      <c r="Q130" s="269">
        <f>608*1890</f>
        <v>1149120</v>
      </c>
      <c r="R130" s="266">
        <f t="shared" si="272"/>
        <v>2762912</v>
      </c>
      <c r="S130" s="268">
        <f t="shared" si="273"/>
        <v>707014.0708</v>
      </c>
      <c r="T130" s="278">
        <f t="shared" si="233"/>
        <v>716560</v>
      </c>
      <c r="U130" s="266">
        <f t="shared" si="243"/>
        <v>1865292.36</v>
      </c>
      <c r="V130" s="279">
        <f t="shared" si="275"/>
        <v>3166446.513</v>
      </c>
      <c r="W130" s="266">
        <f t="shared" si="261"/>
        <v>1183500</v>
      </c>
      <c r="X130" s="266"/>
      <c r="Y130" s="266"/>
      <c r="Z130" s="266"/>
      <c r="AA130" s="277">
        <f t="shared" si="276"/>
        <v>725000</v>
      </c>
      <c r="AB130" s="280">
        <f t="shared" si="244"/>
        <v>19585083.91</v>
      </c>
      <c r="AC130" s="279">
        <f t="shared" si="133"/>
        <v>4063431.444</v>
      </c>
      <c r="AD130" s="279">
        <f t="shared" si="277"/>
        <v>19269.58908</v>
      </c>
      <c r="AE130" s="283">
        <f t="shared" si="174"/>
        <v>23667784.94</v>
      </c>
      <c r="AF130" s="273">
        <f t="shared" si="22"/>
        <v>0.03701796752</v>
      </c>
      <c r="AG130" s="274">
        <f t="shared" si="23"/>
        <v>4082701.034</v>
      </c>
    </row>
    <row r="131">
      <c r="A131" s="264">
        <f t="shared" si="3"/>
        <v>45971</v>
      </c>
      <c r="B131" s="269"/>
      <c r="C131" s="266"/>
      <c r="D131" s="266"/>
      <c r="E131" s="266"/>
      <c r="F131" s="259"/>
      <c r="G131" s="259">
        <f>139*12800</f>
        <v>1779200</v>
      </c>
      <c r="H131" s="281">
        <f>12*60160</f>
        <v>721920</v>
      </c>
      <c r="I131" s="259">
        <f>27*59480</f>
        <v>1605960</v>
      </c>
      <c r="J131" s="268">
        <f t="shared" si="274"/>
        <v>3680000</v>
      </c>
      <c r="K131" s="268">
        <f>46*28820</f>
        <v>1325720</v>
      </c>
      <c r="L131" s="268">
        <f>2*80000</f>
        <v>160000</v>
      </c>
      <c r="M131" s="268">
        <f>59*18100</f>
        <v>1067900</v>
      </c>
      <c r="N131" s="268">
        <f>64*16240</f>
        <v>1039360</v>
      </c>
      <c r="O131" s="269"/>
      <c r="P131" s="269"/>
      <c r="Q131" s="269">
        <f>608*1860</f>
        <v>1130880</v>
      </c>
      <c r="R131" s="266">
        <f>R132-12000</f>
        <v>2624912</v>
      </c>
      <c r="S131" s="268">
        <f t="shared" ref="S131:S169" si="278">S132+927.8473</f>
        <v>856086.2235</v>
      </c>
      <c r="T131" s="278">
        <f t="shared" si="233"/>
        <v>715560</v>
      </c>
      <c r="U131" s="266">
        <f t="shared" si="243"/>
        <v>1860247.476</v>
      </c>
      <c r="V131" s="279">
        <f t="shared" si="275"/>
        <v>3164864.081</v>
      </c>
      <c r="W131" s="266">
        <f t="shared" si="261"/>
        <v>1183500</v>
      </c>
      <c r="X131" s="266"/>
      <c r="Y131" s="266"/>
      <c r="Z131" s="266"/>
      <c r="AA131" s="277">
        <f t="shared" ref="AA131:AA133" si="279">AA132</f>
        <v>742000</v>
      </c>
      <c r="AB131" s="280">
        <f t="shared" si="244"/>
        <v>19578439.47</v>
      </c>
      <c r="AC131" s="279">
        <f t="shared" si="133"/>
        <v>4061412.917</v>
      </c>
      <c r="AD131" s="279">
        <f t="shared" si="277"/>
        <v>18257.3973</v>
      </c>
      <c r="AE131" s="283">
        <f t="shared" si="174"/>
        <v>23658109.78</v>
      </c>
      <c r="AF131" s="273">
        <f t="shared" si="22"/>
        <v>0.0378988326</v>
      </c>
      <c r="AG131" s="274">
        <f t="shared" si="23"/>
        <v>4079670.314</v>
      </c>
    </row>
    <row r="132">
      <c r="A132" s="284">
        <f t="shared" si="3"/>
        <v>45970</v>
      </c>
      <c r="B132" s="269"/>
      <c r="C132" s="266"/>
      <c r="D132" s="266"/>
      <c r="E132" s="266"/>
      <c r="F132" s="259"/>
      <c r="G132" s="259">
        <f t="shared" ref="G132:G134" si="280">139*12740</f>
        <v>1770860</v>
      </c>
      <c r="H132" s="281">
        <f t="shared" ref="H132:H134" si="281">12*59840</f>
        <v>718080</v>
      </c>
      <c r="I132" s="259">
        <f t="shared" ref="I132:I134" si="282">27*60000</f>
        <v>1620000</v>
      </c>
      <c r="J132" s="268">
        <f t="shared" si="274"/>
        <v>3680000</v>
      </c>
      <c r="K132" s="268">
        <f t="shared" ref="K132:K134" si="283">46*28240</f>
        <v>1299040</v>
      </c>
      <c r="L132" s="268">
        <f t="shared" ref="L132:L134" si="284">2*78000</f>
        <v>156000</v>
      </c>
      <c r="M132" s="268">
        <f t="shared" ref="M132:M134" si="285">59*17740</f>
        <v>1046660</v>
      </c>
      <c r="N132" s="268">
        <f t="shared" ref="N132:N134" si="286">64*16180</f>
        <v>1035520</v>
      </c>
      <c r="O132" s="269"/>
      <c r="P132" s="269"/>
      <c r="Q132" s="269">
        <f t="shared" ref="Q132:Q134" si="287">608*1865</f>
        <v>1133920</v>
      </c>
      <c r="R132" s="266">
        <f t="shared" ref="R132:R133" si="288">R133</f>
        <v>2636912</v>
      </c>
      <c r="S132" s="268">
        <f t="shared" si="278"/>
        <v>855158.3762</v>
      </c>
      <c r="T132" s="278">
        <f t="shared" si="233"/>
        <v>714560</v>
      </c>
      <c r="U132" s="266">
        <f t="shared" si="243"/>
        <v>1855202.593</v>
      </c>
      <c r="V132" s="279">
        <f t="shared" si="275"/>
        <v>3163282.44</v>
      </c>
      <c r="W132" s="266">
        <f t="shared" si="261"/>
        <v>1183500</v>
      </c>
      <c r="X132" s="266"/>
      <c r="Y132" s="266"/>
      <c r="Z132" s="266"/>
      <c r="AA132" s="277">
        <f t="shared" si="279"/>
        <v>742000</v>
      </c>
      <c r="AB132" s="280">
        <f t="shared" si="244"/>
        <v>19534055.81</v>
      </c>
      <c r="AC132" s="279">
        <f t="shared" si="133"/>
        <v>4059394.389</v>
      </c>
      <c r="AD132" s="279">
        <f t="shared" si="277"/>
        <v>17245.20551</v>
      </c>
      <c r="AE132" s="283">
        <f t="shared" si="174"/>
        <v>23610695.41</v>
      </c>
      <c r="AF132" s="273">
        <f t="shared" si="22"/>
        <v>0.03798494317</v>
      </c>
      <c r="AG132" s="274">
        <f t="shared" si="23"/>
        <v>4076639.594</v>
      </c>
    </row>
    <row r="133">
      <c r="A133" s="284">
        <f t="shared" si="3"/>
        <v>45969</v>
      </c>
      <c r="B133" s="269"/>
      <c r="C133" s="266"/>
      <c r="D133" s="266"/>
      <c r="E133" s="266"/>
      <c r="F133" s="287">
        <v>0.0</v>
      </c>
      <c r="G133" s="259">
        <f t="shared" si="280"/>
        <v>1770860</v>
      </c>
      <c r="H133" s="281">
        <f t="shared" si="281"/>
        <v>718080</v>
      </c>
      <c r="I133" s="259">
        <f t="shared" si="282"/>
        <v>1620000</v>
      </c>
      <c r="J133" s="268">
        <f t="shared" si="274"/>
        <v>3680000</v>
      </c>
      <c r="K133" s="268">
        <f t="shared" si="283"/>
        <v>1299040</v>
      </c>
      <c r="L133" s="268">
        <f t="shared" si="284"/>
        <v>156000</v>
      </c>
      <c r="M133" s="268">
        <f t="shared" si="285"/>
        <v>1046660</v>
      </c>
      <c r="N133" s="268">
        <f t="shared" si="286"/>
        <v>1035520</v>
      </c>
      <c r="O133" s="269"/>
      <c r="P133" s="269"/>
      <c r="Q133" s="269">
        <f t="shared" si="287"/>
        <v>1133920</v>
      </c>
      <c r="R133" s="266">
        <f t="shared" si="288"/>
        <v>2636912</v>
      </c>
      <c r="S133" s="268">
        <f t="shared" si="278"/>
        <v>854230.5289</v>
      </c>
      <c r="T133" s="278">
        <f t="shared" si="233"/>
        <v>713560</v>
      </c>
      <c r="U133" s="266">
        <f t="shared" si="243"/>
        <v>1850157.71</v>
      </c>
      <c r="V133" s="279">
        <f t="shared" si="275"/>
        <v>3161701.589</v>
      </c>
      <c r="W133" s="266">
        <f t="shared" si="261"/>
        <v>1183500</v>
      </c>
      <c r="X133" s="266"/>
      <c r="Y133" s="266"/>
      <c r="Z133" s="266"/>
      <c r="AA133" s="277">
        <f t="shared" si="279"/>
        <v>742000</v>
      </c>
      <c r="AB133" s="280">
        <f t="shared" si="244"/>
        <v>19528532.95</v>
      </c>
      <c r="AC133" s="279">
        <f t="shared" si="133"/>
        <v>4057375.861</v>
      </c>
      <c r="AD133" s="279">
        <f t="shared" si="277"/>
        <v>16233.01373</v>
      </c>
      <c r="AE133" s="283">
        <f t="shared" si="174"/>
        <v>23602141.83</v>
      </c>
      <c r="AF133" s="273">
        <f t="shared" si="22"/>
        <v>0.03799568569</v>
      </c>
      <c r="AG133" s="274">
        <f t="shared" si="23"/>
        <v>4073608.875</v>
      </c>
    </row>
    <row r="134">
      <c r="A134" s="264">
        <f t="shared" si="3"/>
        <v>45968</v>
      </c>
      <c r="B134" s="269"/>
      <c r="C134" s="266"/>
      <c r="D134" s="266"/>
      <c r="E134" s="266"/>
      <c r="F134" s="287">
        <v>0.0</v>
      </c>
      <c r="G134" s="259">
        <f t="shared" si="280"/>
        <v>1770860</v>
      </c>
      <c r="H134" s="281">
        <f t="shared" si="281"/>
        <v>718080</v>
      </c>
      <c r="I134" s="259">
        <f t="shared" si="282"/>
        <v>1620000</v>
      </c>
      <c r="J134" s="268">
        <f t="shared" si="274"/>
        <v>3680000</v>
      </c>
      <c r="K134" s="268">
        <f t="shared" si="283"/>
        <v>1299040</v>
      </c>
      <c r="L134" s="268">
        <f t="shared" si="284"/>
        <v>156000</v>
      </c>
      <c r="M134" s="268">
        <f t="shared" si="285"/>
        <v>1046660</v>
      </c>
      <c r="N134" s="268">
        <f t="shared" si="286"/>
        <v>1035520</v>
      </c>
      <c r="O134" s="269"/>
      <c r="P134" s="269"/>
      <c r="Q134" s="269">
        <f t="shared" si="287"/>
        <v>1133920</v>
      </c>
      <c r="R134" s="266">
        <f>R135+200000</f>
        <v>2636912</v>
      </c>
      <c r="S134" s="268">
        <f t="shared" si="278"/>
        <v>853302.6816</v>
      </c>
      <c r="T134" s="278">
        <f t="shared" si="233"/>
        <v>712560</v>
      </c>
      <c r="U134" s="266">
        <f t="shared" si="243"/>
        <v>1845112.826</v>
      </c>
      <c r="V134" s="279">
        <f t="shared" si="275"/>
        <v>3160121.529</v>
      </c>
      <c r="W134" s="266">
        <f t="shared" si="261"/>
        <v>1183500</v>
      </c>
      <c r="X134" s="266"/>
      <c r="Y134" s="266"/>
      <c r="Z134" s="266"/>
      <c r="AA134" s="277">
        <f>AA135-200000</f>
        <v>742000</v>
      </c>
      <c r="AB134" s="280">
        <f t="shared" si="244"/>
        <v>19523010.88</v>
      </c>
      <c r="AC134" s="279">
        <f t="shared" si="133"/>
        <v>4055357.333</v>
      </c>
      <c r="AD134" s="279">
        <f t="shared" si="277"/>
        <v>15220.82195</v>
      </c>
      <c r="AE134" s="283">
        <f t="shared" si="174"/>
        <v>23593589.04</v>
      </c>
      <c r="AF134" s="273">
        <f t="shared" si="22"/>
        <v>0.03800643274</v>
      </c>
      <c r="AG134" s="274">
        <f t="shared" si="23"/>
        <v>4070578.155</v>
      </c>
    </row>
    <row r="135">
      <c r="A135" s="264">
        <f t="shared" si="3"/>
        <v>45967</v>
      </c>
      <c r="B135" s="269"/>
      <c r="C135" s="266"/>
      <c r="D135" s="266"/>
      <c r="E135" s="266"/>
      <c r="F135" s="287">
        <v>0.0</v>
      </c>
      <c r="G135" s="259">
        <f>139*12600</f>
        <v>1751400</v>
      </c>
      <c r="H135" s="281">
        <f>12*62200</f>
        <v>746400</v>
      </c>
      <c r="I135" s="259">
        <f>27*58000</f>
        <v>1566000</v>
      </c>
      <c r="J135" s="268">
        <f>80*45400</f>
        <v>3632000</v>
      </c>
      <c r="K135" s="268">
        <f>46*27800</f>
        <v>1278800</v>
      </c>
      <c r="L135" s="268">
        <f>2*79600</f>
        <v>159200</v>
      </c>
      <c r="M135" s="268">
        <f>59*18200</f>
        <v>1073800</v>
      </c>
      <c r="N135" s="268">
        <f>64*16200</f>
        <v>1036800</v>
      </c>
      <c r="O135" s="269"/>
      <c r="P135" s="269"/>
      <c r="Q135" s="269">
        <f t="shared" ref="Q135:Q136" si="289">608*1830</f>
        <v>1112640</v>
      </c>
      <c r="R135" s="266">
        <f t="shared" ref="R135:R136" si="290">R136</f>
        <v>2436912</v>
      </c>
      <c r="S135" s="268">
        <f t="shared" si="278"/>
        <v>852374.8343</v>
      </c>
      <c r="T135" s="278">
        <f t="shared" si="233"/>
        <v>711560</v>
      </c>
      <c r="U135" s="266">
        <f t="shared" si="243"/>
        <v>1840067.943</v>
      </c>
      <c r="V135" s="279">
        <f t="shared" si="275"/>
        <v>3158542.257</v>
      </c>
      <c r="W135" s="266">
        <f t="shared" si="261"/>
        <v>1183500</v>
      </c>
      <c r="X135" s="266"/>
      <c r="Y135" s="266"/>
      <c r="Z135" s="266"/>
      <c r="AA135" s="277">
        <f t="shared" ref="AA135:AA136" si="291">AA136</f>
        <v>942000</v>
      </c>
      <c r="AB135" s="280">
        <f t="shared" si="244"/>
        <v>19414449.6</v>
      </c>
      <c r="AC135" s="279">
        <f t="shared" si="133"/>
        <v>4053338.806</v>
      </c>
      <c r="AD135" s="279">
        <f t="shared" si="277"/>
        <v>14208.63017</v>
      </c>
      <c r="AE135" s="283">
        <f t="shared" si="174"/>
        <v>23481997.03</v>
      </c>
      <c r="AF135" s="273">
        <f t="shared" si="22"/>
        <v>0.04852056172</v>
      </c>
      <c r="AG135" s="274">
        <f t="shared" si="23"/>
        <v>4067547.436</v>
      </c>
    </row>
    <row r="136">
      <c r="A136" s="264">
        <f t="shared" si="3"/>
        <v>45966</v>
      </c>
      <c r="B136" s="269"/>
      <c r="C136" s="266"/>
      <c r="D136" s="266"/>
      <c r="E136" s="266"/>
      <c r="F136" s="287">
        <v>0.0</v>
      </c>
      <c r="G136" s="259">
        <f>139*12580</f>
        <v>1748620</v>
      </c>
      <c r="H136" s="281">
        <f>12*62640</f>
        <v>751680</v>
      </c>
      <c r="I136" s="259">
        <f>27*56500</f>
        <v>1525500</v>
      </c>
      <c r="J136" s="268">
        <f>80*44980</f>
        <v>3598400</v>
      </c>
      <c r="K136" s="268">
        <f>46*27840</f>
        <v>1280640</v>
      </c>
      <c r="L136" s="268">
        <f>2*81580</f>
        <v>163160</v>
      </c>
      <c r="M136" s="268">
        <f t="shared" ref="M136:M137" si="292">59*18100</f>
        <v>1067900</v>
      </c>
      <c r="N136" s="268">
        <f t="shared" ref="N136:N137" si="293">64*16000</f>
        <v>1024000</v>
      </c>
      <c r="O136" s="269"/>
      <c r="P136" s="269"/>
      <c r="Q136" s="269">
        <f t="shared" si="289"/>
        <v>1112640</v>
      </c>
      <c r="R136" s="266">
        <f t="shared" si="290"/>
        <v>2436912</v>
      </c>
      <c r="S136" s="268">
        <f t="shared" si="278"/>
        <v>851446.987</v>
      </c>
      <c r="T136" s="278">
        <f t="shared" si="233"/>
        <v>710560</v>
      </c>
      <c r="U136" s="266">
        <f t="shared" si="243"/>
        <v>1835023.06</v>
      </c>
      <c r="V136" s="279">
        <f t="shared" si="275"/>
        <v>3156963.776</v>
      </c>
      <c r="W136" s="266">
        <f t="shared" si="261"/>
        <v>1183500</v>
      </c>
      <c r="X136" s="266"/>
      <c r="Y136" s="266"/>
      <c r="Z136" s="266"/>
      <c r="AA136" s="277">
        <f t="shared" si="291"/>
        <v>942000</v>
      </c>
      <c r="AB136" s="280">
        <f t="shared" si="244"/>
        <v>19324429.11</v>
      </c>
      <c r="AC136" s="279">
        <f t="shared" si="133"/>
        <v>4051320.278</v>
      </c>
      <c r="AD136" s="279">
        <f t="shared" si="277"/>
        <v>13196.43839</v>
      </c>
      <c r="AE136" s="283">
        <f t="shared" si="174"/>
        <v>23388945.82</v>
      </c>
      <c r="AF136" s="273">
        <f t="shared" si="22"/>
        <v>0.04874658883</v>
      </c>
      <c r="AG136" s="274">
        <f t="shared" si="23"/>
        <v>4064516.716</v>
      </c>
    </row>
    <row r="137">
      <c r="A137" s="264">
        <f t="shared" si="3"/>
        <v>45965</v>
      </c>
      <c r="B137" s="269"/>
      <c r="C137" s="266"/>
      <c r="D137" s="266"/>
      <c r="E137" s="266"/>
      <c r="F137" s="287">
        <v>0.0</v>
      </c>
      <c r="G137" s="259">
        <f>139*12060</f>
        <v>1676340</v>
      </c>
      <c r="H137" s="281">
        <f>12*61140</f>
        <v>733680</v>
      </c>
      <c r="I137" s="259">
        <f>27*56360</f>
        <v>1521720</v>
      </c>
      <c r="J137" s="268">
        <f>80*42000</f>
        <v>3360000</v>
      </c>
      <c r="K137" s="268">
        <f>46*28020</f>
        <v>1288920</v>
      </c>
      <c r="L137" s="268">
        <f>2*79880</f>
        <v>159760</v>
      </c>
      <c r="M137" s="268">
        <f t="shared" si="292"/>
        <v>1067900</v>
      </c>
      <c r="N137" s="268">
        <f t="shared" si="293"/>
        <v>1024000</v>
      </c>
      <c r="O137" s="269"/>
      <c r="P137" s="269"/>
      <c r="Q137" s="269">
        <f>608*1800</f>
        <v>1094400</v>
      </c>
      <c r="R137" s="266">
        <f>R138+260000+100000</f>
        <v>2436912</v>
      </c>
      <c r="S137" s="268">
        <f t="shared" si="278"/>
        <v>850519.1397</v>
      </c>
      <c r="T137" s="278">
        <f t="shared" si="233"/>
        <v>709560</v>
      </c>
      <c r="U137" s="266">
        <f t="shared" si="243"/>
        <v>1829978.176</v>
      </c>
      <c r="V137" s="279">
        <f t="shared" si="275"/>
        <v>3155386.083</v>
      </c>
      <c r="W137" s="266">
        <f t="shared" si="261"/>
        <v>1183500</v>
      </c>
      <c r="X137" s="266"/>
      <c r="Y137" s="266"/>
      <c r="Z137" s="266"/>
      <c r="AA137" s="277">
        <f>AA138-360000</f>
        <v>942000</v>
      </c>
      <c r="AB137" s="280">
        <f t="shared" si="244"/>
        <v>18973089.4</v>
      </c>
      <c r="AC137" s="279">
        <f t="shared" si="133"/>
        <v>4049301.75</v>
      </c>
      <c r="AD137" s="279">
        <f t="shared" si="277"/>
        <v>12184.24661</v>
      </c>
      <c r="AE137" s="283">
        <f t="shared" si="174"/>
        <v>23034575.4</v>
      </c>
      <c r="AF137" s="273">
        <f t="shared" si="22"/>
        <v>0.04964926797</v>
      </c>
      <c r="AG137" s="274">
        <f t="shared" si="23"/>
        <v>4061485.997</v>
      </c>
    </row>
    <row r="138">
      <c r="A138" s="284">
        <f t="shared" si="3"/>
        <v>45964</v>
      </c>
      <c r="B138" s="269"/>
      <c r="C138" s="266"/>
      <c r="D138" s="266"/>
      <c r="E138" s="266"/>
      <c r="F138" s="287">
        <v>0.0</v>
      </c>
      <c r="G138" s="259">
        <f t="shared" ref="G138:G141" si="294">139*12080</f>
        <v>1679120</v>
      </c>
      <c r="H138" s="281">
        <f t="shared" ref="H138:H141" si="295">12*62200</f>
        <v>746400</v>
      </c>
      <c r="I138" s="259">
        <f t="shared" ref="I138:I141" si="296">27*56300</f>
        <v>1520100</v>
      </c>
      <c r="J138" s="259">
        <f t="shared" ref="J138:J141" si="297">80*40900</f>
        <v>3272000</v>
      </c>
      <c r="K138" s="266">
        <f t="shared" ref="K138:K141" si="298">46*27820</f>
        <v>1279720</v>
      </c>
      <c r="L138" s="266">
        <f>2*79160</f>
        <v>158320</v>
      </c>
      <c r="M138" s="266">
        <f>59*18240</f>
        <v>1076160</v>
      </c>
      <c r="N138" s="266">
        <f t="shared" ref="N138:N141" si="299">64*16460</f>
        <v>1053440</v>
      </c>
      <c r="O138" s="269"/>
      <c r="P138" s="269"/>
      <c r="Q138" s="269">
        <f t="shared" ref="Q138:Q141" si="300">608*1780</f>
        <v>1082240</v>
      </c>
      <c r="R138" s="266">
        <f>R139+170000</f>
        <v>2076912</v>
      </c>
      <c r="S138" s="266">
        <f t="shared" si="278"/>
        <v>849591.2924</v>
      </c>
      <c r="T138" s="279">
        <f t="shared" si="233"/>
        <v>708560</v>
      </c>
      <c r="U138" s="266">
        <f t="shared" si="243"/>
        <v>1824933.293</v>
      </c>
      <c r="V138" s="279">
        <f>V139*1.0005+400000</f>
        <v>3153809.178</v>
      </c>
      <c r="W138" s="266">
        <f t="shared" si="261"/>
        <v>1183500</v>
      </c>
      <c r="X138" s="266"/>
      <c r="Y138" s="266"/>
      <c r="Z138" s="266"/>
      <c r="AA138" s="277">
        <f>AA139-170000+20000+200000</f>
        <v>1302000</v>
      </c>
      <c r="AB138" s="280">
        <f t="shared" si="244"/>
        <v>18908350.49</v>
      </c>
      <c r="AC138" s="279">
        <f t="shared" si="133"/>
        <v>4047283.222</v>
      </c>
      <c r="AD138" s="279">
        <f t="shared" si="277"/>
        <v>11172.05483</v>
      </c>
      <c r="AE138" s="283">
        <f t="shared" si="174"/>
        <v>22966805.76</v>
      </c>
      <c r="AF138" s="273">
        <f t="shared" si="22"/>
        <v>0.06885846552</v>
      </c>
      <c r="AG138" s="274">
        <f t="shared" si="23"/>
        <v>4058455.277</v>
      </c>
    </row>
    <row r="139">
      <c r="A139" s="284">
        <f t="shared" si="3"/>
        <v>45963</v>
      </c>
      <c r="B139" s="269"/>
      <c r="C139" s="266"/>
      <c r="D139" s="266"/>
      <c r="E139" s="266"/>
      <c r="F139" s="287">
        <v>0.0</v>
      </c>
      <c r="G139" s="259">
        <f t="shared" si="294"/>
        <v>1679120</v>
      </c>
      <c r="H139" s="281">
        <f t="shared" si="295"/>
        <v>746400</v>
      </c>
      <c r="I139" s="259">
        <f t="shared" si="296"/>
        <v>1520100</v>
      </c>
      <c r="J139" s="259">
        <f t="shared" si="297"/>
        <v>3272000</v>
      </c>
      <c r="K139" s="266">
        <f t="shared" si="298"/>
        <v>1279720</v>
      </c>
      <c r="L139" s="266">
        <f t="shared" ref="L139:L141" si="301">2*80000</f>
        <v>160000</v>
      </c>
      <c r="M139" s="266">
        <f t="shared" ref="M139:M141" si="302">59*18220</f>
        <v>1074980</v>
      </c>
      <c r="N139" s="266">
        <f t="shared" si="299"/>
        <v>1053440</v>
      </c>
      <c r="O139" s="269"/>
      <c r="P139" s="269"/>
      <c r="Q139" s="269">
        <f t="shared" si="300"/>
        <v>1082240</v>
      </c>
      <c r="R139" s="266">
        <f t="shared" ref="R139:R145" si="303">R140</f>
        <v>1906912</v>
      </c>
      <c r="S139" s="266">
        <f t="shared" si="278"/>
        <v>848663.4451</v>
      </c>
      <c r="T139" s="279">
        <f t="shared" si="233"/>
        <v>707560</v>
      </c>
      <c r="U139" s="266">
        <f t="shared" si="243"/>
        <v>1819888.41</v>
      </c>
      <c r="V139" s="279">
        <f t="shared" ref="V139:V141" si="304">V140*1.0005</f>
        <v>2752432.961</v>
      </c>
      <c r="W139" s="266">
        <f t="shared" si="261"/>
        <v>1183500</v>
      </c>
      <c r="X139" s="266"/>
      <c r="Y139" s="266"/>
      <c r="Z139" s="266"/>
      <c r="AA139" s="277">
        <f>AA140+70000</f>
        <v>1252000</v>
      </c>
      <c r="AB139" s="280">
        <f t="shared" si="244"/>
        <v>18283532.26</v>
      </c>
      <c r="AC139" s="279">
        <f t="shared" si="133"/>
        <v>4045264.694</v>
      </c>
      <c r="AD139" s="279">
        <f t="shared" si="277"/>
        <v>10159.86305</v>
      </c>
      <c r="AE139" s="283">
        <f t="shared" si="174"/>
        <v>22338956.82</v>
      </c>
      <c r="AF139" s="273">
        <f t="shared" si="22"/>
        <v>0.06847692132</v>
      </c>
      <c r="AG139" s="274">
        <f t="shared" si="23"/>
        <v>4055424.558</v>
      </c>
    </row>
    <row r="140">
      <c r="A140" s="284">
        <f t="shared" si="3"/>
        <v>45962</v>
      </c>
      <c r="B140" s="269"/>
      <c r="C140" s="266"/>
      <c r="D140" s="266"/>
      <c r="E140" s="266"/>
      <c r="F140" s="287">
        <v>0.0</v>
      </c>
      <c r="G140" s="259">
        <f t="shared" si="294"/>
        <v>1679120</v>
      </c>
      <c r="H140" s="281">
        <f t="shared" si="295"/>
        <v>746400</v>
      </c>
      <c r="I140" s="259">
        <f t="shared" si="296"/>
        <v>1520100</v>
      </c>
      <c r="J140" s="259">
        <f t="shared" si="297"/>
        <v>3272000</v>
      </c>
      <c r="K140" s="266">
        <f t="shared" si="298"/>
        <v>1279720</v>
      </c>
      <c r="L140" s="266">
        <f t="shared" si="301"/>
        <v>160000</v>
      </c>
      <c r="M140" s="266">
        <f t="shared" si="302"/>
        <v>1074980</v>
      </c>
      <c r="N140" s="266">
        <f t="shared" si="299"/>
        <v>1053440</v>
      </c>
      <c r="O140" s="269"/>
      <c r="P140" s="269"/>
      <c r="Q140" s="269">
        <f t="shared" si="300"/>
        <v>1082240</v>
      </c>
      <c r="R140" s="266">
        <f t="shared" si="303"/>
        <v>1906912</v>
      </c>
      <c r="S140" s="266">
        <f t="shared" si="278"/>
        <v>847735.5978</v>
      </c>
      <c r="T140" s="279">
        <f t="shared" si="233"/>
        <v>706560</v>
      </c>
      <c r="U140" s="266">
        <f t="shared" si="243"/>
        <v>1814843.526</v>
      </c>
      <c r="V140" s="279">
        <f t="shared" si="304"/>
        <v>2751057.433</v>
      </c>
      <c r="W140" s="266">
        <f t="shared" si="261"/>
        <v>1183500</v>
      </c>
      <c r="X140" s="266"/>
      <c r="Y140" s="266"/>
      <c r="Z140" s="266"/>
      <c r="AA140" s="277">
        <f t="shared" ref="AA140:AA147" si="305">AA141</f>
        <v>1182000</v>
      </c>
      <c r="AB140" s="280">
        <f t="shared" si="244"/>
        <v>18208214.72</v>
      </c>
      <c r="AC140" s="279">
        <f t="shared" si="133"/>
        <v>4043246.167</v>
      </c>
      <c r="AD140" s="279">
        <f t="shared" si="277"/>
        <v>9147.671266</v>
      </c>
      <c r="AE140" s="283">
        <f t="shared" si="174"/>
        <v>22260608.56</v>
      </c>
      <c r="AF140" s="273">
        <f t="shared" si="22"/>
        <v>0.06491575469</v>
      </c>
      <c r="AG140" s="274">
        <f t="shared" si="23"/>
        <v>4052393.838</v>
      </c>
    </row>
    <row r="141">
      <c r="A141" s="264">
        <f t="shared" si="3"/>
        <v>45961</v>
      </c>
      <c r="B141" s="269"/>
      <c r="C141" s="266"/>
      <c r="D141" s="266"/>
      <c r="E141" s="266"/>
      <c r="F141" s="287">
        <v>0.0</v>
      </c>
      <c r="G141" s="259">
        <f t="shared" si="294"/>
        <v>1679120</v>
      </c>
      <c r="H141" s="281">
        <f t="shared" si="295"/>
        <v>746400</v>
      </c>
      <c r="I141" s="259">
        <f t="shared" si="296"/>
        <v>1520100</v>
      </c>
      <c r="J141" s="259">
        <f t="shared" si="297"/>
        <v>3272000</v>
      </c>
      <c r="K141" s="266">
        <f t="shared" si="298"/>
        <v>1279720</v>
      </c>
      <c r="L141" s="266">
        <f t="shared" si="301"/>
        <v>160000</v>
      </c>
      <c r="M141" s="266">
        <f t="shared" si="302"/>
        <v>1074980</v>
      </c>
      <c r="N141" s="266">
        <f t="shared" si="299"/>
        <v>1053440</v>
      </c>
      <c r="O141" s="269"/>
      <c r="P141" s="269"/>
      <c r="Q141" s="269">
        <f t="shared" si="300"/>
        <v>1082240</v>
      </c>
      <c r="R141" s="266">
        <f t="shared" si="303"/>
        <v>1906912</v>
      </c>
      <c r="S141" s="266">
        <f t="shared" si="278"/>
        <v>846807.7505</v>
      </c>
      <c r="T141" s="279">
        <f t="shared" si="233"/>
        <v>705560</v>
      </c>
      <c r="U141" s="266">
        <f t="shared" si="243"/>
        <v>1809798.643</v>
      </c>
      <c r="V141" s="279">
        <f t="shared" si="304"/>
        <v>2749682.591</v>
      </c>
      <c r="W141" s="266">
        <f t="shared" si="261"/>
        <v>1183500</v>
      </c>
      <c r="X141" s="266"/>
      <c r="Y141" s="266"/>
      <c r="Z141" s="266"/>
      <c r="AA141" s="277">
        <f t="shared" si="305"/>
        <v>1182000</v>
      </c>
      <c r="AB141" s="280">
        <f t="shared" si="244"/>
        <v>18202897.87</v>
      </c>
      <c r="AC141" s="279">
        <f t="shared" si="133"/>
        <v>4041227.639</v>
      </c>
      <c r="AD141" s="279">
        <f t="shared" si="277"/>
        <v>8135.479485</v>
      </c>
      <c r="AE141" s="283">
        <f t="shared" si="174"/>
        <v>22252260.98</v>
      </c>
      <c r="AF141" s="273">
        <f t="shared" si="22"/>
        <v>0.06493471582</v>
      </c>
      <c r="AG141" s="274">
        <f t="shared" si="23"/>
        <v>4049363.118</v>
      </c>
    </row>
    <row r="142">
      <c r="A142" s="264">
        <f t="shared" si="3"/>
        <v>45960</v>
      </c>
      <c r="B142" s="269"/>
      <c r="C142" s="266"/>
      <c r="D142" s="266"/>
      <c r="E142" s="266"/>
      <c r="F142" s="287">
        <v>0.0</v>
      </c>
      <c r="G142" s="259">
        <f>139*12100</f>
        <v>1681900</v>
      </c>
      <c r="H142" s="281">
        <f>12*62120</f>
        <v>745440</v>
      </c>
      <c r="I142" s="259">
        <f>27*55980</f>
        <v>1511460</v>
      </c>
      <c r="J142" s="259">
        <f>80*39800</f>
        <v>3184000</v>
      </c>
      <c r="K142" s="266">
        <f>46*28600</f>
        <v>1315600</v>
      </c>
      <c r="L142" s="266">
        <f>2*79240</f>
        <v>158480</v>
      </c>
      <c r="M142" s="266">
        <f>59*18500</f>
        <v>1091500</v>
      </c>
      <c r="N142" s="266">
        <f>64*16340</f>
        <v>1045760</v>
      </c>
      <c r="O142" s="269"/>
      <c r="P142" s="269"/>
      <c r="Q142" s="269">
        <f>608*1800</f>
        <v>1094400</v>
      </c>
      <c r="R142" s="266">
        <f t="shared" si="303"/>
        <v>1906912</v>
      </c>
      <c r="S142" s="266">
        <f t="shared" si="278"/>
        <v>845879.9032</v>
      </c>
      <c r="T142" s="279">
        <f t="shared" si="233"/>
        <v>704560</v>
      </c>
      <c r="U142" s="266">
        <f>U143+2195.7447+4523/2-675000+1980.65</f>
        <v>1804753.76</v>
      </c>
      <c r="V142" s="279">
        <f>V143*1.0005+675000</f>
        <v>2748308.437</v>
      </c>
      <c r="W142" s="266">
        <f t="shared" si="261"/>
        <v>1183500</v>
      </c>
      <c r="X142" s="266"/>
      <c r="Y142" s="266"/>
      <c r="Z142" s="266"/>
      <c r="AA142" s="277">
        <f t="shared" si="305"/>
        <v>1182000</v>
      </c>
      <c r="AB142" s="280">
        <f t="shared" si="244"/>
        <v>18158121.7</v>
      </c>
      <c r="AC142" s="279">
        <f t="shared" si="133"/>
        <v>4039209.111</v>
      </c>
      <c r="AD142" s="279">
        <f t="shared" si="277"/>
        <v>7123.287704</v>
      </c>
      <c r="AE142" s="283">
        <f t="shared" si="174"/>
        <v>22204454.1</v>
      </c>
      <c r="AF142" s="273">
        <f t="shared" si="22"/>
        <v>0.06509483852</v>
      </c>
      <c r="AG142" s="274">
        <f t="shared" si="23"/>
        <v>4046332.399</v>
      </c>
    </row>
    <row r="143">
      <c r="A143" s="264">
        <f t="shared" si="3"/>
        <v>45959</v>
      </c>
      <c r="B143" s="269"/>
      <c r="C143" s="266"/>
      <c r="D143" s="266"/>
      <c r="E143" s="266"/>
      <c r="F143" s="287">
        <v>0.0</v>
      </c>
      <c r="G143" s="259">
        <f>139*11880</f>
        <v>1651320</v>
      </c>
      <c r="H143" s="281">
        <f>12*62100</f>
        <v>745200</v>
      </c>
      <c r="I143" s="259">
        <f>27*55780</f>
        <v>1506060</v>
      </c>
      <c r="J143" s="259">
        <f>80*39980</f>
        <v>3198400</v>
      </c>
      <c r="K143" s="266">
        <f>46*29600</f>
        <v>1361600</v>
      </c>
      <c r="L143" s="266">
        <f>2*78240</f>
        <v>156480</v>
      </c>
      <c r="M143" s="266">
        <f>59*18440</f>
        <v>1087960</v>
      </c>
      <c r="N143" s="266">
        <f>64*16500</f>
        <v>1056000</v>
      </c>
      <c r="O143" s="269"/>
      <c r="P143" s="269"/>
      <c r="Q143" s="269">
        <f>608*1810</f>
        <v>1100480</v>
      </c>
      <c r="R143" s="266">
        <f t="shared" si="303"/>
        <v>1906912</v>
      </c>
      <c r="S143" s="266">
        <f t="shared" si="278"/>
        <v>844952.0559</v>
      </c>
      <c r="T143" s="279">
        <f t="shared" si="233"/>
        <v>703560</v>
      </c>
      <c r="U143" s="266">
        <f t="shared" ref="U143:U163" si="306">U144+2195.7447+4523/2</f>
        <v>2473315.865</v>
      </c>
      <c r="V143" s="279">
        <f t="shared" ref="V143:V145" si="307">V144*1.0005</f>
        <v>2072272.301</v>
      </c>
      <c r="W143" s="266">
        <f t="shared" si="261"/>
        <v>1183500</v>
      </c>
      <c r="X143" s="266"/>
      <c r="Y143" s="266"/>
      <c r="Z143" s="266"/>
      <c r="AA143" s="277">
        <f t="shared" si="305"/>
        <v>1182000</v>
      </c>
      <c r="AB143" s="280">
        <f t="shared" si="244"/>
        <v>18186710.54</v>
      </c>
      <c r="AC143" s="279">
        <f t="shared" si="133"/>
        <v>4037190.583</v>
      </c>
      <c r="AD143" s="279">
        <f t="shared" si="277"/>
        <v>6111.095923</v>
      </c>
      <c r="AE143" s="283">
        <f t="shared" si="174"/>
        <v>22230012.22</v>
      </c>
      <c r="AF143" s="273">
        <f t="shared" si="22"/>
        <v>0.06499251183</v>
      </c>
      <c r="AG143" s="274">
        <f t="shared" si="23"/>
        <v>4043301.679</v>
      </c>
    </row>
    <row r="144">
      <c r="A144" s="264">
        <f t="shared" si="3"/>
        <v>45958</v>
      </c>
      <c r="B144" s="269"/>
      <c r="C144" s="266"/>
      <c r="D144" s="266"/>
      <c r="E144" s="266"/>
      <c r="F144" s="287">
        <v>0.0</v>
      </c>
      <c r="G144" s="259">
        <f>139*11700</f>
        <v>1626300</v>
      </c>
      <c r="H144" s="281">
        <f>12*61400</f>
        <v>736800</v>
      </c>
      <c r="I144" s="259">
        <f>27*55000</f>
        <v>1485000</v>
      </c>
      <c r="J144" s="259">
        <f>80*39540</f>
        <v>3163200</v>
      </c>
      <c r="K144" s="266">
        <f>46*30100</f>
        <v>1384600</v>
      </c>
      <c r="L144" s="266">
        <f>2*78980</f>
        <v>157960</v>
      </c>
      <c r="M144" s="266">
        <f>59*18400</f>
        <v>1085600</v>
      </c>
      <c r="N144" s="266">
        <f>64*16120</f>
        <v>1031680</v>
      </c>
      <c r="O144" s="269"/>
      <c r="P144" s="269"/>
      <c r="Q144" s="269">
        <f>608*1805</f>
        <v>1097440</v>
      </c>
      <c r="R144" s="266">
        <f t="shared" si="303"/>
        <v>1906912</v>
      </c>
      <c r="S144" s="266">
        <f t="shared" si="278"/>
        <v>844024.2086</v>
      </c>
      <c r="T144" s="279">
        <f t="shared" si="233"/>
        <v>702560</v>
      </c>
      <c r="U144" s="266">
        <f t="shared" si="306"/>
        <v>2468858.62</v>
      </c>
      <c r="V144" s="279">
        <f t="shared" si="307"/>
        <v>2071236.683</v>
      </c>
      <c r="W144" s="266">
        <f t="shared" si="261"/>
        <v>1183500</v>
      </c>
      <c r="X144" s="266"/>
      <c r="Y144" s="266"/>
      <c r="Z144" s="266"/>
      <c r="AA144" s="277">
        <f t="shared" si="305"/>
        <v>1182000</v>
      </c>
      <c r="AB144" s="280">
        <f t="shared" si="244"/>
        <v>18087400.55</v>
      </c>
      <c r="AC144" s="279">
        <f t="shared" si="133"/>
        <v>4035172.056</v>
      </c>
      <c r="AD144" s="279">
        <f t="shared" si="277"/>
        <v>5098.904142</v>
      </c>
      <c r="AE144" s="283">
        <f t="shared" si="174"/>
        <v>22127671.51</v>
      </c>
      <c r="AF144" s="273">
        <f t="shared" si="22"/>
        <v>0.06534935723</v>
      </c>
      <c r="AG144" s="274">
        <f t="shared" si="23"/>
        <v>4040270.96</v>
      </c>
    </row>
    <row r="145">
      <c r="A145" s="264">
        <f t="shared" si="3"/>
        <v>45957</v>
      </c>
      <c r="B145" s="269"/>
      <c r="C145" s="266"/>
      <c r="D145" s="266"/>
      <c r="E145" s="266"/>
      <c r="F145" s="281">
        <f t="shared" ref="F145:F146" si="308">96*7560</f>
        <v>725760</v>
      </c>
      <c r="G145" s="259">
        <f>139*11620</f>
        <v>1615180</v>
      </c>
      <c r="H145" s="281">
        <f>12*61440</f>
        <v>737280</v>
      </c>
      <c r="I145" s="259">
        <f>27*54800</f>
        <v>1479600</v>
      </c>
      <c r="J145" s="259">
        <f>80*40360</f>
        <v>3228800</v>
      </c>
      <c r="K145" s="266">
        <f>46*29700</f>
        <v>1366200</v>
      </c>
      <c r="L145" s="266">
        <f>2*78000</f>
        <v>156000</v>
      </c>
      <c r="M145" s="266">
        <f>59*17700</f>
        <v>1044300</v>
      </c>
      <c r="N145" s="266">
        <f>64*15660</f>
        <v>1002240</v>
      </c>
      <c r="O145" s="269"/>
      <c r="P145" s="269"/>
      <c r="Q145" s="269">
        <f>608*1780</f>
        <v>1082240</v>
      </c>
      <c r="R145" s="266">
        <f t="shared" si="303"/>
        <v>1906912</v>
      </c>
      <c r="S145" s="266">
        <f t="shared" si="278"/>
        <v>843096.3613</v>
      </c>
      <c r="T145" s="279">
        <f t="shared" si="233"/>
        <v>701560</v>
      </c>
      <c r="U145" s="266">
        <f t="shared" si="306"/>
        <v>2464401.376</v>
      </c>
      <c r="V145" s="279">
        <f t="shared" si="307"/>
        <v>2070201.582</v>
      </c>
      <c r="W145" s="266">
        <f t="shared" si="261"/>
        <v>1183500</v>
      </c>
      <c r="X145" s="266"/>
      <c r="Y145" s="266"/>
      <c r="Z145" s="266"/>
      <c r="AA145" s="277">
        <f t="shared" si="305"/>
        <v>1182000</v>
      </c>
      <c r="AB145" s="280">
        <f t="shared" si="244"/>
        <v>18026271.08</v>
      </c>
      <c r="AC145" s="279">
        <f t="shared" si="133"/>
        <v>4033153.528</v>
      </c>
      <c r="AD145" s="279">
        <f t="shared" si="277"/>
        <v>4086.712361</v>
      </c>
      <c r="AE145" s="283">
        <f t="shared" si="174"/>
        <v>22063511.32</v>
      </c>
      <c r="AF145" s="273">
        <f t="shared" si="22"/>
        <v>0.06557096556</v>
      </c>
      <c r="AG145" s="274">
        <f t="shared" si="23"/>
        <v>4037240.24</v>
      </c>
    </row>
    <row r="146">
      <c r="A146" s="284">
        <f t="shared" si="3"/>
        <v>45956</v>
      </c>
      <c r="B146" s="269"/>
      <c r="C146" s="266"/>
      <c r="D146" s="266"/>
      <c r="E146" s="266"/>
      <c r="F146" s="281">
        <f t="shared" si="308"/>
        <v>725760</v>
      </c>
      <c r="G146" s="259">
        <f t="shared" ref="G146:G155" si="309">139*11380</f>
        <v>1581820</v>
      </c>
      <c r="H146" s="281">
        <f t="shared" ref="H146:H148" si="310">12*61400</f>
        <v>736800</v>
      </c>
      <c r="I146" s="259">
        <f t="shared" ref="I146:I148" si="311">27*54440</f>
        <v>1469880</v>
      </c>
      <c r="J146" s="259">
        <f t="shared" ref="J146:J148" si="312">80*39480</f>
        <v>3158400</v>
      </c>
      <c r="K146" s="266">
        <f t="shared" ref="K146:K148" si="313">46*29100</f>
        <v>1338600</v>
      </c>
      <c r="L146" s="266">
        <f t="shared" ref="L146:L148" si="314">2*78160</f>
        <v>156320</v>
      </c>
      <c r="M146" s="266">
        <f t="shared" ref="M146:M148" si="315">59*17480</f>
        <v>1031320</v>
      </c>
      <c r="N146" s="266">
        <f t="shared" ref="N146:N148" si="316">64*15600</f>
        <v>998400</v>
      </c>
      <c r="O146" s="269"/>
      <c r="P146" s="269"/>
      <c r="Q146" s="269">
        <f t="shared" ref="Q146:Q148" si="317">608*1770</f>
        <v>1076160</v>
      </c>
      <c r="R146" s="266">
        <f>R147+460912</f>
        <v>1906912</v>
      </c>
      <c r="S146" s="266">
        <f t="shared" si="278"/>
        <v>842168.514</v>
      </c>
      <c r="T146" s="279">
        <f t="shared" ref="T146:T200" si="318">T147+600</f>
        <v>700560</v>
      </c>
      <c r="U146" s="266">
        <f t="shared" si="306"/>
        <v>2459944.131</v>
      </c>
      <c r="V146" s="279">
        <f>V147*1.0005-460912</f>
        <v>2069166.998</v>
      </c>
      <c r="W146" s="266">
        <f t="shared" si="261"/>
        <v>1183500</v>
      </c>
      <c r="X146" s="266"/>
      <c r="Y146" s="266"/>
      <c r="Z146" s="266"/>
      <c r="AA146" s="277">
        <f t="shared" si="305"/>
        <v>1182000</v>
      </c>
      <c r="AB146" s="280">
        <f t="shared" si="244"/>
        <v>17857742.12</v>
      </c>
      <c r="AC146" s="279">
        <f t="shared" si="133"/>
        <v>4031135</v>
      </c>
      <c r="AD146" s="279">
        <f t="shared" si="277"/>
        <v>3074.52058</v>
      </c>
      <c r="AE146" s="283">
        <f t="shared" si="174"/>
        <v>21891951.64</v>
      </c>
      <c r="AF146" s="273">
        <f t="shared" si="22"/>
        <v>0.06618977875</v>
      </c>
      <c r="AG146" s="274">
        <f t="shared" si="23"/>
        <v>4034209.521</v>
      </c>
    </row>
    <row r="147">
      <c r="A147" s="284">
        <f t="shared" si="3"/>
        <v>45955</v>
      </c>
      <c r="B147" s="269"/>
      <c r="C147" s="266"/>
      <c r="D147" s="266"/>
      <c r="E147" s="266"/>
      <c r="F147" s="281">
        <f>96*7690</f>
        <v>738240</v>
      </c>
      <c r="G147" s="259">
        <f t="shared" si="309"/>
        <v>1581820</v>
      </c>
      <c r="H147" s="281">
        <f t="shared" si="310"/>
        <v>736800</v>
      </c>
      <c r="I147" s="259">
        <f t="shared" si="311"/>
        <v>1469880</v>
      </c>
      <c r="J147" s="259">
        <f t="shared" si="312"/>
        <v>3158400</v>
      </c>
      <c r="K147" s="266">
        <f t="shared" si="313"/>
        <v>1338600</v>
      </c>
      <c r="L147" s="266">
        <f t="shared" si="314"/>
        <v>156320</v>
      </c>
      <c r="M147" s="266">
        <f t="shared" si="315"/>
        <v>1031320</v>
      </c>
      <c r="N147" s="266">
        <f t="shared" si="316"/>
        <v>998400</v>
      </c>
      <c r="O147" s="269"/>
      <c r="P147" s="269"/>
      <c r="Q147" s="269">
        <f t="shared" si="317"/>
        <v>1076160</v>
      </c>
      <c r="R147" s="266">
        <f t="shared" ref="R147:R156" si="319">R148</f>
        <v>1446000</v>
      </c>
      <c r="S147" s="266">
        <f t="shared" si="278"/>
        <v>841240.6667</v>
      </c>
      <c r="T147" s="279">
        <f t="shared" si="318"/>
        <v>699960</v>
      </c>
      <c r="U147" s="266">
        <f t="shared" si="306"/>
        <v>2455486.886</v>
      </c>
      <c r="V147" s="279">
        <f t="shared" ref="V147:V156" si="320">V148*1.0005</f>
        <v>2528814.591</v>
      </c>
      <c r="W147" s="266">
        <f t="shared" si="261"/>
        <v>1183500</v>
      </c>
      <c r="X147" s="266"/>
      <c r="Y147" s="266"/>
      <c r="Z147" s="266"/>
      <c r="AA147" s="277">
        <f t="shared" si="305"/>
        <v>1182000</v>
      </c>
      <c r="AB147" s="280">
        <f t="shared" si="244"/>
        <v>17853523.34</v>
      </c>
      <c r="AC147" s="279">
        <f t="shared" si="133"/>
        <v>4029116.472</v>
      </c>
      <c r="AD147" s="279">
        <f t="shared" si="277"/>
        <v>2062.328799</v>
      </c>
      <c r="AE147" s="283">
        <f t="shared" si="174"/>
        <v>21884702.14</v>
      </c>
      <c r="AF147" s="273">
        <f t="shared" si="22"/>
        <v>0.06620541936</v>
      </c>
      <c r="AG147" s="274">
        <f t="shared" si="23"/>
        <v>4031178.801</v>
      </c>
    </row>
    <row r="148">
      <c r="A148" s="264">
        <f t="shared" si="3"/>
        <v>45954</v>
      </c>
      <c r="B148" s="269"/>
      <c r="C148" s="266"/>
      <c r="D148" s="266"/>
      <c r="E148" s="266"/>
      <c r="F148" s="281">
        <f t="shared" ref="F148:F155" si="321">96*7540</f>
        <v>723840</v>
      </c>
      <c r="G148" s="259">
        <f t="shared" si="309"/>
        <v>1581820</v>
      </c>
      <c r="H148" s="281">
        <f t="shared" si="310"/>
        <v>736800</v>
      </c>
      <c r="I148" s="259">
        <f t="shared" si="311"/>
        <v>1469880</v>
      </c>
      <c r="J148" s="259">
        <f t="shared" si="312"/>
        <v>3158400</v>
      </c>
      <c r="K148" s="266">
        <f t="shared" si="313"/>
        <v>1338600</v>
      </c>
      <c r="L148" s="266">
        <f t="shared" si="314"/>
        <v>156320</v>
      </c>
      <c r="M148" s="266">
        <f t="shared" si="315"/>
        <v>1031320</v>
      </c>
      <c r="N148" s="266">
        <f t="shared" si="316"/>
        <v>998400</v>
      </c>
      <c r="O148" s="269"/>
      <c r="P148" s="269"/>
      <c r="Q148" s="269">
        <f t="shared" si="317"/>
        <v>1076160</v>
      </c>
      <c r="R148" s="266">
        <f t="shared" si="319"/>
        <v>1446000</v>
      </c>
      <c r="S148" s="266">
        <f t="shared" si="278"/>
        <v>840312.8194</v>
      </c>
      <c r="T148" s="279">
        <f t="shared" si="318"/>
        <v>699360</v>
      </c>
      <c r="U148" s="266">
        <f t="shared" si="306"/>
        <v>2451029.641</v>
      </c>
      <c r="V148" s="279">
        <f t="shared" si="320"/>
        <v>2527550.816</v>
      </c>
      <c r="W148" s="266">
        <f t="shared" si="261"/>
        <v>1183500</v>
      </c>
      <c r="X148" s="266"/>
      <c r="Y148" s="266"/>
      <c r="Z148" s="266"/>
      <c r="AA148" s="277">
        <f>AA149+100000</f>
        <v>1182000</v>
      </c>
      <c r="AB148" s="280">
        <f t="shared" si="244"/>
        <v>17849305.2</v>
      </c>
      <c r="AC148" s="279">
        <f t="shared" si="133"/>
        <v>4027097.944</v>
      </c>
      <c r="AD148" s="279">
        <f t="shared" si="277"/>
        <v>1050.137018</v>
      </c>
      <c r="AE148" s="283">
        <f t="shared" si="174"/>
        <v>21877453.28</v>
      </c>
      <c r="AF148" s="273">
        <f t="shared" si="22"/>
        <v>0.06622106503</v>
      </c>
      <c r="AG148" s="274">
        <f t="shared" si="23"/>
        <v>4028148.082</v>
      </c>
    </row>
    <row r="149">
      <c r="A149" s="264">
        <f t="shared" si="3"/>
        <v>45953</v>
      </c>
      <c r="B149" s="269"/>
      <c r="C149" s="266"/>
      <c r="D149" s="266"/>
      <c r="E149" s="266"/>
      <c r="F149" s="281">
        <f t="shared" si="321"/>
        <v>723840</v>
      </c>
      <c r="G149" s="259">
        <f t="shared" si="309"/>
        <v>1581820</v>
      </c>
      <c r="H149" s="281">
        <f>12*61540</f>
        <v>738480</v>
      </c>
      <c r="I149" s="259">
        <f>27*54180</f>
        <v>1462860</v>
      </c>
      <c r="J149" s="259">
        <f>80*38000</f>
        <v>3040000</v>
      </c>
      <c r="K149" s="266">
        <f>46*28400</f>
        <v>1306400</v>
      </c>
      <c r="L149" s="266">
        <f>2*76640</f>
        <v>153280</v>
      </c>
      <c r="M149" s="266">
        <f>59*17360</f>
        <v>1024240</v>
      </c>
      <c r="N149" s="266">
        <f t="shared" ref="N149:N150" si="322">64*15500</f>
        <v>992000</v>
      </c>
      <c r="O149" s="269"/>
      <c r="P149" s="269"/>
      <c r="Q149" s="269">
        <f>608*1775</f>
        <v>1079200</v>
      </c>
      <c r="R149" s="266">
        <f t="shared" si="319"/>
        <v>1446000</v>
      </c>
      <c r="S149" s="266">
        <f t="shared" si="278"/>
        <v>839384.9721</v>
      </c>
      <c r="T149" s="279">
        <f t="shared" si="318"/>
        <v>698760</v>
      </c>
      <c r="U149" s="266">
        <f t="shared" si="306"/>
        <v>2446572.397</v>
      </c>
      <c r="V149" s="279">
        <f t="shared" si="320"/>
        <v>2526287.672</v>
      </c>
      <c r="W149" s="266">
        <f t="shared" si="261"/>
        <v>1183500</v>
      </c>
      <c r="X149" s="266"/>
      <c r="Y149" s="266"/>
      <c r="Z149" s="266"/>
      <c r="AA149" s="277">
        <f t="shared" ref="AA149:AA151" si="323">AA150</f>
        <v>1082000</v>
      </c>
      <c r="AB149" s="280">
        <f t="shared" si="244"/>
        <v>17575667.68</v>
      </c>
      <c r="AC149" s="279">
        <f t="shared" si="133"/>
        <v>4025079.417</v>
      </c>
      <c r="AD149" s="279">
        <f t="shared" si="277"/>
        <v>37.945237</v>
      </c>
      <c r="AE149" s="283">
        <f t="shared" si="174"/>
        <v>21600785.04</v>
      </c>
      <c r="AF149" s="273">
        <f t="shared" si="22"/>
        <v>0.06156238385</v>
      </c>
      <c r="AG149" s="274">
        <f t="shared" si="23"/>
        <v>4025117.362</v>
      </c>
    </row>
    <row r="150">
      <c r="A150" s="264">
        <f t="shared" si="3"/>
        <v>45952</v>
      </c>
      <c r="B150" s="269"/>
      <c r="C150" s="266"/>
      <c r="D150" s="266"/>
      <c r="E150" s="266"/>
      <c r="F150" s="281">
        <f t="shared" si="321"/>
        <v>723840</v>
      </c>
      <c r="G150" s="259">
        <f t="shared" si="309"/>
        <v>1581820</v>
      </c>
      <c r="H150" s="281">
        <f>12*59580</f>
        <v>714960</v>
      </c>
      <c r="I150" s="259">
        <f>27*54000</f>
        <v>1458000</v>
      </c>
      <c r="J150" s="259">
        <f>80*37700</f>
        <v>3016000</v>
      </c>
      <c r="K150" s="266">
        <f>46*28040</f>
        <v>1289840</v>
      </c>
      <c r="L150" s="266">
        <f>2*76520</f>
        <v>153040</v>
      </c>
      <c r="M150" s="266">
        <f>59*17420</f>
        <v>1027780</v>
      </c>
      <c r="N150" s="266">
        <f t="shared" si="322"/>
        <v>992000</v>
      </c>
      <c r="O150" s="269"/>
      <c r="P150" s="269"/>
      <c r="Q150" s="269">
        <f>608*1720</f>
        <v>1045760</v>
      </c>
      <c r="R150" s="266">
        <f t="shared" si="319"/>
        <v>1446000</v>
      </c>
      <c r="S150" s="266">
        <f t="shared" si="278"/>
        <v>838457.1248</v>
      </c>
      <c r="T150" s="279">
        <f t="shared" si="318"/>
        <v>698160</v>
      </c>
      <c r="U150" s="266">
        <f t="shared" si="306"/>
        <v>2442115.152</v>
      </c>
      <c r="V150" s="279">
        <f t="shared" si="320"/>
        <v>2525025.159</v>
      </c>
      <c r="W150" s="266">
        <f t="shared" si="261"/>
        <v>1183500</v>
      </c>
      <c r="X150" s="266"/>
      <c r="Y150" s="266"/>
      <c r="Z150" s="266"/>
      <c r="AA150" s="277">
        <f t="shared" si="323"/>
        <v>1082000</v>
      </c>
      <c r="AB150" s="280">
        <f t="shared" si="244"/>
        <v>17472370.79</v>
      </c>
      <c r="AC150" s="279">
        <f t="shared" si="133"/>
        <v>4023060.889</v>
      </c>
      <c r="AD150" s="279">
        <f t="shared" si="277"/>
        <v>-974.246544</v>
      </c>
      <c r="AE150" s="283">
        <f t="shared" si="174"/>
        <v>21494457.44</v>
      </c>
      <c r="AF150" s="273">
        <f t="shared" si="22"/>
        <v>0.06192634147</v>
      </c>
      <c r="AG150" s="274">
        <f t="shared" si="23"/>
        <v>4022086.642</v>
      </c>
    </row>
    <row r="151">
      <c r="A151" s="264">
        <f t="shared" si="3"/>
        <v>45951</v>
      </c>
      <c r="B151" s="269"/>
      <c r="C151" s="266"/>
      <c r="D151" s="266"/>
      <c r="E151" s="266"/>
      <c r="F151" s="281">
        <f t="shared" si="321"/>
        <v>723840</v>
      </c>
      <c r="G151" s="259">
        <f t="shared" si="309"/>
        <v>1581820</v>
      </c>
      <c r="H151" s="281">
        <f>12*59740</f>
        <v>716880</v>
      </c>
      <c r="I151" s="259">
        <f>27*52920</f>
        <v>1428840</v>
      </c>
      <c r="J151" s="259">
        <f>80*36800</f>
        <v>2944000</v>
      </c>
      <c r="K151" s="266">
        <f>46*27720</f>
        <v>1275120</v>
      </c>
      <c r="L151" s="266">
        <f>2*78000</f>
        <v>156000</v>
      </c>
      <c r="M151" s="266">
        <f t="shared" ref="M151:M152" si="324">59*17460</f>
        <v>1030140</v>
      </c>
      <c r="N151" s="266">
        <f t="shared" ref="N151:N153" si="325">64*15200</f>
        <v>972800</v>
      </c>
      <c r="O151" s="269"/>
      <c r="P151" s="269"/>
      <c r="Q151" s="269">
        <f>608*1685</f>
        <v>1024480</v>
      </c>
      <c r="R151" s="266">
        <f t="shared" si="319"/>
        <v>1446000</v>
      </c>
      <c r="S151" s="266">
        <f t="shared" si="278"/>
        <v>837529.2775</v>
      </c>
      <c r="T151" s="279">
        <f t="shared" si="318"/>
        <v>697560</v>
      </c>
      <c r="U151" s="266">
        <f t="shared" si="306"/>
        <v>2437657.907</v>
      </c>
      <c r="V151" s="279">
        <f t="shared" si="320"/>
        <v>2523763.278</v>
      </c>
      <c r="W151" s="266">
        <f t="shared" si="261"/>
        <v>1183500</v>
      </c>
      <c r="X151" s="266"/>
      <c r="Y151" s="266"/>
      <c r="Z151" s="266"/>
      <c r="AA151" s="277">
        <f t="shared" si="323"/>
        <v>1082000</v>
      </c>
      <c r="AB151" s="280">
        <f t="shared" si="244"/>
        <v>17319034.54</v>
      </c>
      <c r="AC151" s="279">
        <f t="shared" si="133"/>
        <v>4021042.361</v>
      </c>
      <c r="AD151" s="279">
        <f t="shared" si="277"/>
        <v>-1986.438325</v>
      </c>
      <c r="AE151" s="283">
        <f t="shared" si="174"/>
        <v>21338090.46</v>
      </c>
      <c r="AF151" s="273">
        <f t="shared" si="22"/>
        <v>0.06247461413</v>
      </c>
      <c r="AG151" s="274">
        <f t="shared" si="23"/>
        <v>4019055.923</v>
      </c>
    </row>
    <row r="152">
      <c r="A152" s="264">
        <f t="shared" si="3"/>
        <v>45950</v>
      </c>
      <c r="B152" s="269"/>
      <c r="C152" s="266"/>
      <c r="D152" s="266"/>
      <c r="E152" s="266"/>
      <c r="F152" s="281">
        <f t="shared" si="321"/>
        <v>723840</v>
      </c>
      <c r="G152" s="259">
        <f t="shared" si="309"/>
        <v>1581820</v>
      </c>
      <c r="H152" s="281">
        <f>12*59900</f>
        <v>718800</v>
      </c>
      <c r="I152" s="259">
        <f>27*53700</f>
        <v>1449900</v>
      </c>
      <c r="J152" s="259">
        <f>80*36500</f>
        <v>2920000</v>
      </c>
      <c r="K152" s="266">
        <f>46*27420</f>
        <v>1261320</v>
      </c>
      <c r="L152" s="266">
        <f t="shared" ref="L152:L155" si="326">2*79400</f>
        <v>158800</v>
      </c>
      <c r="M152" s="266">
        <f t="shared" si="324"/>
        <v>1030140</v>
      </c>
      <c r="N152" s="266">
        <f t="shared" si="325"/>
        <v>972800</v>
      </c>
      <c r="O152" s="269"/>
      <c r="P152" s="269"/>
      <c r="Q152" s="269">
        <f>608*1710</f>
        <v>1039680</v>
      </c>
      <c r="R152" s="266">
        <f t="shared" si="319"/>
        <v>1446000</v>
      </c>
      <c r="S152" s="266">
        <f t="shared" si="278"/>
        <v>836601.4302</v>
      </c>
      <c r="T152" s="279">
        <f t="shared" si="318"/>
        <v>696960</v>
      </c>
      <c r="U152" s="266">
        <f t="shared" si="306"/>
        <v>2433200.663</v>
      </c>
      <c r="V152" s="279">
        <f t="shared" si="320"/>
        <v>2522502.027</v>
      </c>
      <c r="W152" s="266">
        <f t="shared" si="261"/>
        <v>1183500</v>
      </c>
      <c r="X152" s="266"/>
      <c r="Y152" s="266"/>
      <c r="Z152" s="266"/>
      <c r="AA152" s="277">
        <f>AA153+800000</f>
        <v>1082000</v>
      </c>
      <c r="AB152" s="280">
        <f t="shared" si="244"/>
        <v>17317998.92</v>
      </c>
      <c r="AC152" s="279">
        <f t="shared" si="133"/>
        <v>4019023.833</v>
      </c>
      <c r="AD152" s="279">
        <f t="shared" si="277"/>
        <v>-2998.630106</v>
      </c>
      <c r="AE152" s="283">
        <f t="shared" si="174"/>
        <v>21334024.12</v>
      </c>
      <c r="AF152" s="273">
        <f t="shared" si="22"/>
        <v>0.06247835014</v>
      </c>
      <c r="AG152" s="274">
        <f t="shared" si="23"/>
        <v>4016025.203</v>
      </c>
    </row>
    <row r="153">
      <c r="A153" s="284">
        <f t="shared" si="3"/>
        <v>45949</v>
      </c>
      <c r="B153" s="269"/>
      <c r="C153" s="266"/>
      <c r="D153" s="266"/>
      <c r="E153" s="266"/>
      <c r="F153" s="281">
        <f t="shared" si="321"/>
        <v>723840</v>
      </c>
      <c r="G153" s="259">
        <f t="shared" si="309"/>
        <v>1581820</v>
      </c>
      <c r="H153" s="281">
        <f t="shared" ref="H153:H155" si="327">12*57740</f>
        <v>692880</v>
      </c>
      <c r="I153" s="259">
        <f t="shared" ref="I153:I155" si="328">27*54780</f>
        <v>1479060</v>
      </c>
      <c r="J153" s="259">
        <f t="shared" ref="J153:J155" si="329">80*36400</f>
        <v>2912000</v>
      </c>
      <c r="K153" s="266">
        <f t="shared" ref="K153:K155" si="330">46*27300</f>
        <v>1255800</v>
      </c>
      <c r="L153" s="266">
        <f t="shared" si="326"/>
        <v>158800</v>
      </c>
      <c r="M153" s="266">
        <f t="shared" ref="M153:M155" si="331">59*17400</f>
        <v>1026600</v>
      </c>
      <c r="N153" s="266">
        <f t="shared" si="325"/>
        <v>972800</v>
      </c>
      <c r="O153" s="269"/>
      <c r="P153" s="269"/>
      <c r="Q153" s="269">
        <f t="shared" ref="Q153:Q155" si="332">608*1740</f>
        <v>1057920</v>
      </c>
      <c r="R153" s="266">
        <f t="shared" si="319"/>
        <v>1446000</v>
      </c>
      <c r="S153" s="266">
        <f t="shared" si="278"/>
        <v>835673.5829</v>
      </c>
      <c r="T153" s="279">
        <f t="shared" si="318"/>
        <v>696360</v>
      </c>
      <c r="U153" s="266">
        <f t="shared" si="306"/>
        <v>2428743.418</v>
      </c>
      <c r="V153" s="279">
        <f t="shared" si="320"/>
        <v>2521241.406</v>
      </c>
      <c r="W153" s="266">
        <f t="shared" si="261"/>
        <v>1183500</v>
      </c>
      <c r="X153" s="266"/>
      <c r="Y153" s="266"/>
      <c r="Z153" s="266"/>
      <c r="AA153" s="277">
        <f t="shared" ref="AA153:AA156" si="333">AA154</f>
        <v>282000</v>
      </c>
      <c r="AB153" s="280">
        <f t="shared" si="244"/>
        <v>16518203.92</v>
      </c>
      <c r="AC153" s="279">
        <f t="shared" si="133"/>
        <v>4017005.306</v>
      </c>
      <c r="AD153" s="279">
        <f t="shared" si="277"/>
        <v>-4010.821887</v>
      </c>
      <c r="AE153" s="283">
        <f t="shared" si="174"/>
        <v>20531198.41</v>
      </c>
      <c r="AF153" s="273">
        <f t="shared" si="22"/>
        <v>0.01707207402</v>
      </c>
      <c r="AG153" s="274">
        <f t="shared" si="23"/>
        <v>4012994.484</v>
      </c>
    </row>
    <row r="154">
      <c r="A154" s="284">
        <f t="shared" si="3"/>
        <v>45948</v>
      </c>
      <c r="B154" s="269"/>
      <c r="C154" s="266"/>
      <c r="D154" s="266"/>
      <c r="E154" s="266"/>
      <c r="F154" s="281">
        <f t="shared" si="321"/>
        <v>723840</v>
      </c>
      <c r="G154" s="259">
        <f t="shared" si="309"/>
        <v>1581820</v>
      </c>
      <c r="H154" s="281">
        <f t="shared" si="327"/>
        <v>692880</v>
      </c>
      <c r="I154" s="259">
        <f t="shared" si="328"/>
        <v>1479060</v>
      </c>
      <c r="J154" s="259">
        <f t="shared" si="329"/>
        <v>2912000</v>
      </c>
      <c r="K154" s="266">
        <f t="shared" si="330"/>
        <v>1255800</v>
      </c>
      <c r="L154" s="266">
        <f t="shared" si="326"/>
        <v>158800</v>
      </c>
      <c r="M154" s="266">
        <f t="shared" si="331"/>
        <v>1026600</v>
      </c>
      <c r="N154" s="266">
        <f t="shared" ref="N154:N157" si="334">64*15360</f>
        <v>983040</v>
      </c>
      <c r="O154" s="269"/>
      <c r="P154" s="269"/>
      <c r="Q154" s="269">
        <f t="shared" si="332"/>
        <v>1057920</v>
      </c>
      <c r="R154" s="266">
        <f t="shared" si="319"/>
        <v>1446000</v>
      </c>
      <c r="S154" s="266">
        <f t="shared" si="278"/>
        <v>834745.7356</v>
      </c>
      <c r="T154" s="279">
        <f t="shared" si="318"/>
        <v>695760</v>
      </c>
      <c r="U154" s="266">
        <f t="shared" si="306"/>
        <v>2424286.173</v>
      </c>
      <c r="V154" s="279">
        <f t="shared" si="320"/>
        <v>2519981.415</v>
      </c>
      <c r="W154" s="266">
        <f t="shared" si="261"/>
        <v>1183500</v>
      </c>
      <c r="X154" s="266"/>
      <c r="Y154" s="266"/>
      <c r="Z154" s="266"/>
      <c r="AA154" s="277">
        <f t="shared" si="333"/>
        <v>282000</v>
      </c>
      <c r="AB154" s="280">
        <f t="shared" si="244"/>
        <v>16524229.56</v>
      </c>
      <c r="AC154" s="279">
        <f t="shared" si="133"/>
        <v>4014986.778</v>
      </c>
      <c r="AD154" s="279">
        <f t="shared" si="277"/>
        <v>-5023.013668</v>
      </c>
      <c r="AE154" s="283">
        <f t="shared" si="174"/>
        <v>20534193.32</v>
      </c>
      <c r="AF154" s="273">
        <f t="shared" si="22"/>
        <v>0.01706584861</v>
      </c>
      <c r="AG154" s="274">
        <f t="shared" si="23"/>
        <v>4009963.764</v>
      </c>
    </row>
    <row r="155">
      <c r="A155" s="264">
        <f t="shared" si="3"/>
        <v>45947</v>
      </c>
      <c r="B155" s="269"/>
      <c r="C155" s="266"/>
      <c r="D155" s="266"/>
      <c r="E155" s="266"/>
      <c r="F155" s="281">
        <f t="shared" si="321"/>
        <v>723840</v>
      </c>
      <c r="G155" s="259">
        <f t="shared" si="309"/>
        <v>1581820</v>
      </c>
      <c r="H155" s="281">
        <f t="shared" si="327"/>
        <v>692880</v>
      </c>
      <c r="I155" s="259">
        <f t="shared" si="328"/>
        <v>1479060</v>
      </c>
      <c r="J155" s="259">
        <f t="shared" si="329"/>
        <v>2912000</v>
      </c>
      <c r="K155" s="266">
        <f t="shared" si="330"/>
        <v>1255800</v>
      </c>
      <c r="L155" s="266">
        <f t="shared" si="326"/>
        <v>158800</v>
      </c>
      <c r="M155" s="266">
        <f t="shared" si="331"/>
        <v>1026600</v>
      </c>
      <c r="N155" s="266">
        <f t="shared" si="334"/>
        <v>983040</v>
      </c>
      <c r="O155" s="269"/>
      <c r="P155" s="269"/>
      <c r="Q155" s="269">
        <f t="shared" si="332"/>
        <v>1057920</v>
      </c>
      <c r="R155" s="266">
        <f t="shared" si="319"/>
        <v>1446000</v>
      </c>
      <c r="S155" s="266">
        <f t="shared" si="278"/>
        <v>833817.8883</v>
      </c>
      <c r="T155" s="279">
        <f t="shared" si="318"/>
        <v>695160</v>
      </c>
      <c r="U155" s="266">
        <f t="shared" si="306"/>
        <v>2419828.929</v>
      </c>
      <c r="V155" s="279">
        <f t="shared" si="320"/>
        <v>2518722.054</v>
      </c>
      <c r="W155" s="266">
        <f t="shared" si="261"/>
        <v>1183500</v>
      </c>
      <c r="X155" s="266"/>
      <c r="Y155" s="266"/>
      <c r="Z155" s="266"/>
      <c r="AA155" s="277">
        <f t="shared" si="333"/>
        <v>282000</v>
      </c>
      <c r="AB155" s="280">
        <f t="shared" si="244"/>
        <v>16520015.83</v>
      </c>
      <c r="AC155" s="279">
        <f t="shared" si="133"/>
        <v>4012968.25</v>
      </c>
      <c r="AD155" s="279">
        <f t="shared" si="277"/>
        <v>-6035.205449</v>
      </c>
      <c r="AE155" s="283">
        <f t="shared" si="174"/>
        <v>20526948.87</v>
      </c>
      <c r="AF155" s="273">
        <f t="shared" si="22"/>
        <v>0.01707020156</v>
      </c>
      <c r="AG155" s="274">
        <f t="shared" si="23"/>
        <v>4006933.045</v>
      </c>
    </row>
    <row r="156">
      <c r="A156" s="264">
        <f t="shared" si="3"/>
        <v>45946</v>
      </c>
      <c r="B156" s="269"/>
      <c r="C156" s="266"/>
      <c r="D156" s="266"/>
      <c r="E156" s="266"/>
      <c r="F156" s="281">
        <f t="shared" ref="F156:F158" si="335">96*7320</f>
        <v>702720</v>
      </c>
      <c r="G156" s="259">
        <f>139*11420</f>
        <v>1587380</v>
      </c>
      <c r="H156" s="281">
        <f>12*56680</f>
        <v>680160</v>
      </c>
      <c r="I156" s="259">
        <f>27*53940</f>
        <v>1456380</v>
      </c>
      <c r="J156" s="259">
        <f>80*35920</f>
        <v>2873600</v>
      </c>
      <c r="K156" s="266">
        <f>46*26760</f>
        <v>1230960</v>
      </c>
      <c r="L156" s="266">
        <f>2*79060</f>
        <v>158120</v>
      </c>
      <c r="M156" s="266">
        <f>59*17160</f>
        <v>1012440</v>
      </c>
      <c r="N156" s="266">
        <f t="shared" si="334"/>
        <v>983040</v>
      </c>
      <c r="O156" s="269"/>
      <c r="P156" s="269"/>
      <c r="Q156" s="269">
        <f>608*1725</f>
        <v>1048800</v>
      </c>
      <c r="R156" s="266">
        <f t="shared" si="319"/>
        <v>1446000</v>
      </c>
      <c r="S156" s="266">
        <f t="shared" si="278"/>
        <v>832890.041</v>
      </c>
      <c r="T156" s="279">
        <f t="shared" si="318"/>
        <v>694560</v>
      </c>
      <c r="U156" s="266">
        <f t="shared" si="306"/>
        <v>2415371.684</v>
      </c>
      <c r="V156" s="279">
        <f t="shared" si="320"/>
        <v>2517463.323</v>
      </c>
      <c r="W156" s="266">
        <f t="shared" si="261"/>
        <v>1183500</v>
      </c>
      <c r="X156" s="266"/>
      <c r="Y156" s="266"/>
      <c r="Z156" s="266"/>
      <c r="AA156" s="277">
        <f t="shared" si="333"/>
        <v>282000</v>
      </c>
      <c r="AB156" s="280">
        <f t="shared" si="244"/>
        <v>16398762.72</v>
      </c>
      <c r="AC156" s="279">
        <f t="shared" si="133"/>
        <v>4010949.722</v>
      </c>
      <c r="AD156" s="279">
        <f t="shared" si="277"/>
        <v>-7047.39723</v>
      </c>
      <c r="AE156" s="283">
        <f t="shared" si="174"/>
        <v>20402665.05</v>
      </c>
      <c r="AF156" s="273">
        <f t="shared" si="22"/>
        <v>0.01719641931</v>
      </c>
      <c r="AG156" s="274">
        <f t="shared" si="23"/>
        <v>4003902.325</v>
      </c>
    </row>
    <row r="157">
      <c r="A157" s="264">
        <f t="shared" si="3"/>
        <v>45945</v>
      </c>
      <c r="B157" s="269"/>
      <c r="C157" s="266"/>
      <c r="D157" s="266"/>
      <c r="E157" s="266"/>
      <c r="F157" s="281">
        <f t="shared" si="335"/>
        <v>702720</v>
      </c>
      <c r="G157" s="259">
        <f>139*11380</f>
        <v>1581820</v>
      </c>
      <c r="H157" s="281">
        <f>12*59240</f>
        <v>710880</v>
      </c>
      <c r="I157" s="259">
        <f>27*53580</f>
        <v>1446660</v>
      </c>
      <c r="J157" s="259">
        <f>80*35600</f>
        <v>2848000</v>
      </c>
      <c r="K157" s="266">
        <f>46*25540</f>
        <v>1174840</v>
      </c>
      <c r="L157" s="266">
        <f>2*79220</f>
        <v>158440</v>
      </c>
      <c r="M157" s="266">
        <f>59*17180</f>
        <v>1013620</v>
      </c>
      <c r="N157" s="266">
        <f t="shared" si="334"/>
        <v>983040</v>
      </c>
      <c r="O157" s="269"/>
      <c r="P157" s="269"/>
      <c r="Q157" s="269">
        <f>608*1740</f>
        <v>1057920</v>
      </c>
      <c r="R157" s="266">
        <f>R158+240000+280000+220000</f>
        <v>1446000</v>
      </c>
      <c r="S157" s="266">
        <f t="shared" si="278"/>
        <v>831962.1937</v>
      </c>
      <c r="T157" s="279">
        <f t="shared" si="318"/>
        <v>693960</v>
      </c>
      <c r="U157" s="266">
        <f t="shared" si="306"/>
        <v>2410914.439</v>
      </c>
      <c r="V157" s="279">
        <f>V158*1.0005+639360</f>
        <v>2516205.22</v>
      </c>
      <c r="W157" s="266">
        <f t="shared" si="261"/>
        <v>1183500</v>
      </c>
      <c r="X157" s="266"/>
      <c r="Y157" s="266"/>
      <c r="Z157" s="266"/>
      <c r="AA157" s="277">
        <f>AA158-520000-639360-220000</f>
        <v>282000</v>
      </c>
      <c r="AB157" s="280">
        <f t="shared" si="244"/>
        <v>16338890.25</v>
      </c>
      <c r="AC157" s="279">
        <f t="shared" si="133"/>
        <v>4008931.194</v>
      </c>
      <c r="AD157" s="279">
        <f t="shared" si="277"/>
        <v>-8059.589011</v>
      </c>
      <c r="AE157" s="283">
        <f t="shared" si="174"/>
        <v>20339761.85</v>
      </c>
      <c r="AF157" s="273">
        <f t="shared" si="22"/>
        <v>0.01725943413</v>
      </c>
      <c r="AG157" s="274">
        <f t="shared" si="23"/>
        <v>4000871.605</v>
      </c>
    </row>
    <row r="158">
      <c r="A158" s="264">
        <f t="shared" si="3"/>
        <v>45944</v>
      </c>
      <c r="B158" s="269"/>
      <c r="C158" s="266"/>
      <c r="D158" s="266"/>
      <c r="E158" s="266"/>
      <c r="F158" s="281">
        <f t="shared" si="335"/>
        <v>702720</v>
      </c>
      <c r="G158" s="259">
        <f t="shared" ref="G158:G162" si="336">139*11300</f>
        <v>1570700</v>
      </c>
      <c r="H158" s="281">
        <f>12*58500</f>
        <v>702000</v>
      </c>
      <c r="I158" s="259">
        <f>27*53520</f>
        <v>1445040</v>
      </c>
      <c r="J158" s="259">
        <f>80*35700</f>
        <v>2856000</v>
      </c>
      <c r="K158" s="266">
        <f>46*25340</f>
        <v>1165640</v>
      </c>
      <c r="L158" s="266">
        <f>2*78880</f>
        <v>157760</v>
      </c>
      <c r="M158" s="266">
        <f>59*16980</f>
        <v>1001820</v>
      </c>
      <c r="N158" s="266">
        <f>64*15480</f>
        <v>990720</v>
      </c>
      <c r="O158" s="269"/>
      <c r="P158" s="269"/>
      <c r="Q158" s="269">
        <f>608*1725</f>
        <v>1048800</v>
      </c>
      <c r="R158" s="266">
        <f t="shared" ref="R158:R163" si="337">R159</f>
        <v>706000</v>
      </c>
      <c r="S158" s="266">
        <f t="shared" si="278"/>
        <v>831034.3464</v>
      </c>
      <c r="T158" s="279">
        <f t="shared" si="318"/>
        <v>693360</v>
      </c>
      <c r="U158" s="266">
        <f t="shared" si="306"/>
        <v>2406457.194</v>
      </c>
      <c r="V158" s="279">
        <f t="shared" ref="V158:V163" si="338">V159*1.0005</f>
        <v>1875907.266</v>
      </c>
      <c r="W158" s="266">
        <f t="shared" si="261"/>
        <v>1183500</v>
      </c>
      <c r="X158" s="266"/>
      <c r="Y158" s="266"/>
      <c r="Z158" s="266"/>
      <c r="AA158" s="277">
        <f>AA159+50000</f>
        <v>1661360</v>
      </c>
      <c r="AB158" s="280">
        <f t="shared" si="244"/>
        <v>16298257.92</v>
      </c>
      <c r="AC158" s="279">
        <f t="shared" si="133"/>
        <v>4006912.667</v>
      </c>
      <c r="AD158" s="279">
        <f t="shared" si="277"/>
        <v>-9071.780792</v>
      </c>
      <c r="AE158" s="283">
        <f t="shared" si="174"/>
        <v>20296098.81</v>
      </c>
      <c r="AF158" s="273">
        <f t="shared" si="22"/>
        <v>0.1019348208</v>
      </c>
      <c r="AG158" s="274">
        <f t="shared" si="23"/>
        <v>3997840.886</v>
      </c>
    </row>
    <row r="159">
      <c r="A159" s="275">
        <f t="shared" si="3"/>
        <v>45943</v>
      </c>
      <c r="B159" s="269"/>
      <c r="C159" s="266"/>
      <c r="D159" s="266"/>
      <c r="E159" s="266"/>
      <c r="F159" s="281">
        <f>96*7290</f>
        <v>699840</v>
      </c>
      <c r="G159" s="259">
        <f t="shared" si="336"/>
        <v>1570700</v>
      </c>
      <c r="H159" s="281">
        <f t="shared" ref="H159:H162" si="339">12*59060</f>
        <v>708720</v>
      </c>
      <c r="I159" s="259">
        <f t="shared" ref="I159:I162" si="340">27*51520</f>
        <v>1391040</v>
      </c>
      <c r="J159" s="259">
        <f t="shared" ref="J159:J162" si="341">80*35840</f>
        <v>2867200</v>
      </c>
      <c r="K159" s="266">
        <f t="shared" ref="K159:K162" si="342">46*25200</f>
        <v>1159200</v>
      </c>
      <c r="L159" s="266">
        <f t="shared" ref="L159:L162" si="343">2*79000</f>
        <v>158000</v>
      </c>
      <c r="M159" s="266">
        <f t="shared" ref="M159:M162" si="344">59*16900</f>
        <v>997100</v>
      </c>
      <c r="N159" s="266">
        <f t="shared" ref="N159:N163" si="345">64*15500</f>
        <v>992000</v>
      </c>
      <c r="O159" s="269"/>
      <c r="P159" s="269"/>
      <c r="Q159" s="269">
        <f t="shared" ref="Q159:Q162" si="346">608*1730</f>
        <v>1051840</v>
      </c>
      <c r="R159" s="266">
        <f t="shared" si="337"/>
        <v>706000</v>
      </c>
      <c r="S159" s="266">
        <f t="shared" si="278"/>
        <v>830106.4991</v>
      </c>
      <c r="T159" s="279">
        <f t="shared" si="318"/>
        <v>692760</v>
      </c>
      <c r="U159" s="266">
        <f t="shared" si="306"/>
        <v>2401999.95</v>
      </c>
      <c r="V159" s="279">
        <f t="shared" si="338"/>
        <v>1874969.781</v>
      </c>
      <c r="W159" s="266">
        <f t="shared" si="261"/>
        <v>1183500</v>
      </c>
      <c r="X159" s="266"/>
      <c r="Y159" s="266"/>
      <c r="Z159" s="266"/>
      <c r="AA159" s="277">
        <f>AA160+500000</f>
        <v>1611360</v>
      </c>
      <c r="AB159" s="280">
        <f t="shared" si="244"/>
        <v>16201686.06</v>
      </c>
      <c r="AC159" s="279">
        <f t="shared" si="133"/>
        <v>4004894.139</v>
      </c>
      <c r="AD159" s="279">
        <f t="shared" si="277"/>
        <v>-10083.97257</v>
      </c>
      <c r="AE159" s="283">
        <f t="shared" si="174"/>
        <v>20196496.23</v>
      </c>
      <c r="AF159" s="273">
        <f t="shared" si="22"/>
        <v>0.09945631545</v>
      </c>
      <c r="AG159" s="274">
        <f t="shared" si="23"/>
        <v>3994810.166</v>
      </c>
    </row>
    <row r="160">
      <c r="A160" s="284">
        <f t="shared" si="3"/>
        <v>45942</v>
      </c>
      <c r="B160" s="269"/>
      <c r="C160" s="266"/>
      <c r="D160" s="266"/>
      <c r="E160" s="266"/>
      <c r="F160" s="281">
        <f t="shared" ref="F160:F161" si="347">96*7300</f>
        <v>700800</v>
      </c>
      <c r="G160" s="259">
        <f t="shared" si="336"/>
        <v>1570700</v>
      </c>
      <c r="H160" s="281">
        <f t="shared" si="339"/>
        <v>708720</v>
      </c>
      <c r="I160" s="259">
        <f t="shared" si="340"/>
        <v>1391040</v>
      </c>
      <c r="J160" s="259">
        <f t="shared" si="341"/>
        <v>2867200</v>
      </c>
      <c r="K160" s="266">
        <f t="shared" si="342"/>
        <v>1159200</v>
      </c>
      <c r="L160" s="266">
        <f t="shared" si="343"/>
        <v>158000</v>
      </c>
      <c r="M160" s="266">
        <f t="shared" si="344"/>
        <v>997100</v>
      </c>
      <c r="N160" s="266">
        <f t="shared" si="345"/>
        <v>992000</v>
      </c>
      <c r="O160" s="269"/>
      <c r="P160" s="269"/>
      <c r="Q160" s="269">
        <f t="shared" si="346"/>
        <v>1051840</v>
      </c>
      <c r="R160" s="266">
        <f t="shared" si="337"/>
        <v>706000</v>
      </c>
      <c r="S160" s="266">
        <f t="shared" si="278"/>
        <v>829178.6518</v>
      </c>
      <c r="T160" s="279">
        <f t="shared" si="318"/>
        <v>692160</v>
      </c>
      <c r="U160" s="266">
        <f t="shared" si="306"/>
        <v>2397542.705</v>
      </c>
      <c r="V160" s="279">
        <f t="shared" si="338"/>
        <v>1874032.765</v>
      </c>
      <c r="W160" s="266">
        <f t="shared" si="261"/>
        <v>1183500</v>
      </c>
      <c r="X160" s="266"/>
      <c r="Y160" s="266"/>
      <c r="Z160" s="266"/>
      <c r="AA160" s="277">
        <f t="shared" ref="AA160:AA163" si="348">AA161</f>
        <v>1111360</v>
      </c>
      <c r="AB160" s="280">
        <f t="shared" si="244"/>
        <v>15697794.68</v>
      </c>
      <c r="AC160" s="279">
        <f t="shared" si="133"/>
        <v>4002875.611</v>
      </c>
      <c r="AD160" s="279">
        <f t="shared" si="277"/>
        <v>-11096.16435</v>
      </c>
      <c r="AE160" s="283">
        <f t="shared" si="174"/>
        <v>19689574.12</v>
      </c>
      <c r="AF160" s="273">
        <f t="shared" si="22"/>
        <v>0.07079720579</v>
      </c>
      <c r="AG160" s="274">
        <f t="shared" si="23"/>
        <v>3991779.447</v>
      </c>
    </row>
    <row r="161">
      <c r="A161" s="284">
        <f t="shared" si="3"/>
        <v>45941</v>
      </c>
      <c r="B161" s="269"/>
      <c r="C161" s="266"/>
      <c r="D161" s="266"/>
      <c r="E161" s="266"/>
      <c r="F161" s="281">
        <f t="shared" si="347"/>
        <v>700800</v>
      </c>
      <c r="G161" s="259">
        <f t="shared" si="336"/>
        <v>1570700</v>
      </c>
      <c r="H161" s="281">
        <f t="shared" si="339"/>
        <v>708720</v>
      </c>
      <c r="I161" s="259">
        <f t="shared" si="340"/>
        <v>1391040</v>
      </c>
      <c r="J161" s="259">
        <f t="shared" si="341"/>
        <v>2867200</v>
      </c>
      <c r="K161" s="266">
        <f t="shared" si="342"/>
        <v>1159200</v>
      </c>
      <c r="L161" s="266">
        <f t="shared" si="343"/>
        <v>158000</v>
      </c>
      <c r="M161" s="266">
        <f t="shared" si="344"/>
        <v>997100</v>
      </c>
      <c r="N161" s="266">
        <f t="shared" si="345"/>
        <v>992000</v>
      </c>
      <c r="O161" s="269"/>
      <c r="P161" s="269"/>
      <c r="Q161" s="269">
        <f t="shared" si="346"/>
        <v>1051840</v>
      </c>
      <c r="R161" s="266">
        <f t="shared" si="337"/>
        <v>706000</v>
      </c>
      <c r="S161" s="266">
        <f t="shared" si="278"/>
        <v>828250.8045</v>
      </c>
      <c r="T161" s="279">
        <f t="shared" si="318"/>
        <v>691560</v>
      </c>
      <c r="U161" s="266">
        <f t="shared" si="306"/>
        <v>2393085.46</v>
      </c>
      <c r="V161" s="279">
        <f t="shared" si="338"/>
        <v>1873096.217</v>
      </c>
      <c r="W161" s="266">
        <f t="shared" si="261"/>
        <v>1183500</v>
      </c>
      <c r="X161" s="266"/>
      <c r="Y161" s="266"/>
      <c r="Z161" s="266"/>
      <c r="AA161" s="277">
        <f t="shared" si="348"/>
        <v>1111360</v>
      </c>
      <c r="AB161" s="280">
        <f t="shared" si="244"/>
        <v>15693903.75</v>
      </c>
      <c r="AC161" s="279">
        <f t="shared" si="133"/>
        <v>4000857.083</v>
      </c>
      <c r="AD161" s="279">
        <f t="shared" si="277"/>
        <v>-12108.35614</v>
      </c>
      <c r="AE161" s="283">
        <f t="shared" si="174"/>
        <v>19682652.48</v>
      </c>
      <c r="AF161" s="273">
        <f t="shared" si="22"/>
        <v>0.07081475823</v>
      </c>
      <c r="AG161" s="274">
        <f t="shared" si="23"/>
        <v>3988748.727</v>
      </c>
    </row>
    <row r="162">
      <c r="A162" s="264">
        <f t="shared" si="3"/>
        <v>45940</v>
      </c>
      <c r="B162" s="269"/>
      <c r="C162" s="266"/>
      <c r="D162" s="266"/>
      <c r="E162" s="266"/>
      <c r="F162" s="281">
        <f t="shared" ref="F162:F174" si="349">96*7230</f>
        <v>694080</v>
      </c>
      <c r="G162" s="259">
        <f t="shared" si="336"/>
        <v>1570700</v>
      </c>
      <c r="H162" s="281">
        <f t="shared" si="339"/>
        <v>708720</v>
      </c>
      <c r="I162" s="259">
        <f t="shared" si="340"/>
        <v>1391040</v>
      </c>
      <c r="J162" s="259">
        <f t="shared" si="341"/>
        <v>2867200</v>
      </c>
      <c r="K162" s="266">
        <f t="shared" si="342"/>
        <v>1159200</v>
      </c>
      <c r="L162" s="266">
        <f t="shared" si="343"/>
        <v>158000</v>
      </c>
      <c r="M162" s="266">
        <f t="shared" si="344"/>
        <v>997100</v>
      </c>
      <c r="N162" s="266">
        <f t="shared" si="345"/>
        <v>992000</v>
      </c>
      <c r="O162" s="269"/>
      <c r="P162" s="269"/>
      <c r="Q162" s="269">
        <f t="shared" si="346"/>
        <v>1051840</v>
      </c>
      <c r="R162" s="266">
        <f t="shared" si="337"/>
        <v>706000</v>
      </c>
      <c r="S162" s="266">
        <f t="shared" si="278"/>
        <v>827322.9572</v>
      </c>
      <c r="T162" s="279">
        <f t="shared" si="318"/>
        <v>690960</v>
      </c>
      <c r="U162" s="266">
        <f t="shared" si="306"/>
        <v>2388628.216</v>
      </c>
      <c r="V162" s="279">
        <f t="shared" si="338"/>
        <v>1872160.137</v>
      </c>
      <c r="W162" s="266">
        <f t="shared" si="261"/>
        <v>1183500</v>
      </c>
      <c r="X162" s="266"/>
      <c r="Y162" s="266"/>
      <c r="Z162" s="266"/>
      <c r="AA162" s="277">
        <f t="shared" si="348"/>
        <v>1111360</v>
      </c>
      <c r="AB162" s="280">
        <f t="shared" si="244"/>
        <v>15690013.3</v>
      </c>
      <c r="AC162" s="279">
        <f t="shared" si="133"/>
        <v>3998838.556</v>
      </c>
      <c r="AD162" s="279">
        <f t="shared" si="277"/>
        <v>-13120.54792</v>
      </c>
      <c r="AE162" s="283">
        <f t="shared" si="174"/>
        <v>19675731.31</v>
      </c>
      <c r="AF162" s="273">
        <f t="shared" si="22"/>
        <v>0.07083231726</v>
      </c>
      <c r="AG162" s="274">
        <f t="shared" si="23"/>
        <v>3985718.008</v>
      </c>
    </row>
    <row r="163">
      <c r="A163" s="264">
        <f t="shared" si="3"/>
        <v>45939</v>
      </c>
      <c r="B163" s="269"/>
      <c r="C163" s="266"/>
      <c r="D163" s="266"/>
      <c r="E163" s="266"/>
      <c r="F163" s="281">
        <f t="shared" si="349"/>
        <v>694080</v>
      </c>
      <c r="G163" s="259">
        <f t="shared" ref="G163:G166" si="350">139*11400</f>
        <v>1584600</v>
      </c>
      <c r="H163" s="281">
        <f>12*60300</f>
        <v>723600</v>
      </c>
      <c r="I163" s="259">
        <f>27*52880</f>
        <v>1427760</v>
      </c>
      <c r="J163" s="259">
        <f t="shared" ref="J163:J166" si="351">80*35500</f>
        <v>2840000</v>
      </c>
      <c r="K163" s="266">
        <f>46*25100</f>
        <v>1154600</v>
      </c>
      <c r="L163" s="266">
        <f>2*79140</f>
        <v>158280</v>
      </c>
      <c r="M163" s="266">
        <f>59*17020</f>
        <v>1004180</v>
      </c>
      <c r="N163" s="266">
        <f t="shared" si="345"/>
        <v>992000</v>
      </c>
      <c r="O163" s="269"/>
      <c r="P163" s="269"/>
      <c r="Q163" s="269">
        <f>608*1755</f>
        <v>1067040</v>
      </c>
      <c r="R163" s="266">
        <f t="shared" si="337"/>
        <v>706000</v>
      </c>
      <c r="S163" s="266">
        <f t="shared" si="278"/>
        <v>826395.1099</v>
      </c>
      <c r="T163" s="279">
        <f t="shared" si="318"/>
        <v>690360</v>
      </c>
      <c r="U163" s="266">
        <f t="shared" si="306"/>
        <v>2384170.971</v>
      </c>
      <c r="V163" s="279">
        <f t="shared" si="338"/>
        <v>1871224.525</v>
      </c>
      <c r="W163" s="266">
        <f t="shared" si="261"/>
        <v>1183500</v>
      </c>
      <c r="X163" s="266"/>
      <c r="Y163" s="266"/>
      <c r="Z163" s="266"/>
      <c r="AA163" s="277">
        <f t="shared" si="348"/>
        <v>1111360</v>
      </c>
      <c r="AB163" s="280">
        <f t="shared" si="244"/>
        <v>15742383.32</v>
      </c>
      <c r="AC163" s="279">
        <f t="shared" si="133"/>
        <v>3996820.028</v>
      </c>
      <c r="AD163" s="279">
        <f t="shared" si="277"/>
        <v>-14132.7397</v>
      </c>
      <c r="AE163" s="283">
        <f t="shared" si="174"/>
        <v>19725070.61</v>
      </c>
      <c r="AF163" s="273">
        <f t="shared" si="22"/>
        <v>0.07059668016</v>
      </c>
      <c r="AG163" s="274">
        <f t="shared" si="23"/>
        <v>3982687.288</v>
      </c>
    </row>
    <row r="164">
      <c r="A164" s="264">
        <f t="shared" si="3"/>
        <v>45938</v>
      </c>
      <c r="B164" s="269"/>
      <c r="C164" s="266"/>
      <c r="D164" s="266"/>
      <c r="E164" s="266"/>
      <c r="F164" s="281">
        <f t="shared" si="349"/>
        <v>694080</v>
      </c>
      <c r="G164" s="259">
        <f t="shared" si="350"/>
        <v>1584600</v>
      </c>
      <c r="H164" s="281">
        <f t="shared" ref="H164:H165" si="352">12*60200</f>
        <v>722400</v>
      </c>
      <c r="I164" s="259">
        <f t="shared" ref="I164:I165" si="353">27*51400</f>
        <v>1387800</v>
      </c>
      <c r="J164" s="259">
        <f t="shared" si="351"/>
        <v>2840000</v>
      </c>
      <c r="K164" s="266">
        <f t="shared" ref="K164:K165" si="354">46*24800</f>
        <v>1140800</v>
      </c>
      <c r="L164" s="266">
        <f t="shared" ref="L164:L165" si="355">2*79520</f>
        <v>159040</v>
      </c>
      <c r="M164" s="266">
        <f t="shared" ref="M164:M165" si="356">59*17060</f>
        <v>1006540</v>
      </c>
      <c r="N164" s="266">
        <f t="shared" ref="N164:N165" si="357">64*15580</f>
        <v>997120</v>
      </c>
      <c r="O164" s="269"/>
      <c r="P164" s="269"/>
      <c r="Q164" s="269">
        <f t="shared" ref="Q164:Q166" si="358">608*1760</f>
        <v>1070080</v>
      </c>
      <c r="R164" s="266">
        <f>R165+145000-424000</f>
        <v>706000</v>
      </c>
      <c r="S164" s="266">
        <f t="shared" si="278"/>
        <v>825467.2626</v>
      </c>
      <c r="T164" s="279">
        <f t="shared" si="318"/>
        <v>689760</v>
      </c>
      <c r="U164" s="266">
        <f t="shared" ref="U164:U187" si="359">U165+2195.7447+4523</f>
        <v>2379713.726</v>
      </c>
      <c r="V164" s="279">
        <f>V165*1.0005+444000</f>
        <v>1870289.38</v>
      </c>
      <c r="W164" s="266">
        <f t="shared" si="261"/>
        <v>1183500</v>
      </c>
      <c r="X164" s="266"/>
      <c r="Y164" s="266"/>
      <c r="Z164" s="266"/>
      <c r="AA164" s="277">
        <f t="shared" ref="AA164:AA165" si="360">AA165-145000</f>
        <v>1111360</v>
      </c>
      <c r="AB164" s="280">
        <f t="shared" si="244"/>
        <v>15694813.8</v>
      </c>
      <c r="AC164" s="279">
        <f t="shared" si="133"/>
        <v>3994801.5</v>
      </c>
      <c r="AD164" s="279">
        <f t="shared" si="277"/>
        <v>-15144.93148</v>
      </c>
      <c r="AE164" s="283">
        <f t="shared" si="174"/>
        <v>19674470.37</v>
      </c>
      <c r="AF164" s="273">
        <f t="shared" si="22"/>
        <v>0.07081065211</v>
      </c>
      <c r="AG164" s="274">
        <f t="shared" si="23"/>
        <v>3979656.569</v>
      </c>
    </row>
    <row r="165">
      <c r="A165" s="264">
        <f t="shared" si="3"/>
        <v>45937</v>
      </c>
      <c r="B165" s="269"/>
      <c r="C165" s="266"/>
      <c r="D165" s="266"/>
      <c r="E165" s="266"/>
      <c r="F165" s="281">
        <f t="shared" si="349"/>
        <v>694080</v>
      </c>
      <c r="G165" s="259">
        <f t="shared" si="350"/>
        <v>1584600</v>
      </c>
      <c r="H165" s="281">
        <f t="shared" si="352"/>
        <v>722400</v>
      </c>
      <c r="I165" s="259">
        <f t="shared" si="353"/>
        <v>1387800</v>
      </c>
      <c r="J165" s="259">
        <f t="shared" si="351"/>
        <v>2840000</v>
      </c>
      <c r="K165" s="266">
        <f t="shared" si="354"/>
        <v>1140800</v>
      </c>
      <c r="L165" s="266">
        <f t="shared" si="355"/>
        <v>159040</v>
      </c>
      <c r="M165" s="266">
        <f t="shared" si="356"/>
        <v>1006540</v>
      </c>
      <c r="N165" s="266">
        <f t="shared" si="357"/>
        <v>997120</v>
      </c>
      <c r="O165" s="269"/>
      <c r="P165" s="269"/>
      <c r="Q165" s="269">
        <f t="shared" si="358"/>
        <v>1070080</v>
      </c>
      <c r="R165" s="266">
        <f>R166+145000</f>
        <v>985000</v>
      </c>
      <c r="S165" s="266">
        <f t="shared" si="278"/>
        <v>824539.4153</v>
      </c>
      <c r="T165" s="279">
        <f t="shared" si="318"/>
        <v>689160</v>
      </c>
      <c r="U165" s="266">
        <f t="shared" si="359"/>
        <v>2372994.982</v>
      </c>
      <c r="V165" s="279">
        <f t="shared" ref="V165:V166" si="361">V166*1.0005</f>
        <v>1425576.592</v>
      </c>
      <c r="W165" s="266">
        <f t="shared" si="261"/>
        <v>1183500</v>
      </c>
      <c r="X165" s="266"/>
      <c r="Y165" s="266"/>
      <c r="Z165" s="266"/>
      <c r="AA165" s="277">
        <f t="shared" si="360"/>
        <v>1256360</v>
      </c>
      <c r="AB165" s="280">
        <f t="shared" si="244"/>
        <v>15668885.14</v>
      </c>
      <c r="AC165" s="279">
        <f t="shared" si="133"/>
        <v>3992782.972</v>
      </c>
      <c r="AD165" s="279">
        <f t="shared" si="277"/>
        <v>-16157.12326</v>
      </c>
      <c r="AE165" s="283">
        <f t="shared" si="174"/>
        <v>19645510.99</v>
      </c>
      <c r="AF165" s="273">
        <f t="shared" si="22"/>
        <v>0.08018183737</v>
      </c>
      <c r="AG165" s="274">
        <f t="shared" si="23"/>
        <v>3976625.849</v>
      </c>
    </row>
    <row r="166">
      <c r="A166" s="264">
        <f t="shared" si="3"/>
        <v>45936</v>
      </c>
      <c r="B166" s="269"/>
      <c r="C166" s="266"/>
      <c r="D166" s="266"/>
      <c r="E166" s="266"/>
      <c r="F166" s="281">
        <f t="shared" si="349"/>
        <v>694080</v>
      </c>
      <c r="G166" s="259">
        <f t="shared" si="350"/>
        <v>1584600</v>
      </c>
      <c r="H166" s="281">
        <f>12*58920</f>
        <v>707040</v>
      </c>
      <c r="I166" s="259">
        <f>27*50500</f>
        <v>1363500</v>
      </c>
      <c r="J166" s="259">
        <f t="shared" si="351"/>
        <v>2840000</v>
      </c>
      <c r="K166" s="266">
        <f>46*24780</f>
        <v>1139880</v>
      </c>
      <c r="L166" s="266">
        <f>2*79120</f>
        <v>158240</v>
      </c>
      <c r="M166" s="266">
        <f>59*17200</f>
        <v>1014800</v>
      </c>
      <c r="N166" s="266">
        <f>64*15520</f>
        <v>993280</v>
      </c>
      <c r="O166" s="269"/>
      <c r="P166" s="269"/>
      <c r="Q166" s="269">
        <f t="shared" si="358"/>
        <v>1070080</v>
      </c>
      <c r="R166" s="266">
        <f t="shared" ref="R166:R178" si="362">R167</f>
        <v>840000</v>
      </c>
      <c r="S166" s="266">
        <f t="shared" si="278"/>
        <v>823611.568</v>
      </c>
      <c r="T166" s="279">
        <f t="shared" si="318"/>
        <v>688560</v>
      </c>
      <c r="U166" s="266">
        <f t="shared" si="359"/>
        <v>2366276.237</v>
      </c>
      <c r="V166" s="279">
        <f t="shared" si="361"/>
        <v>1424864.16</v>
      </c>
      <c r="W166" s="266">
        <f t="shared" si="261"/>
        <v>1183500</v>
      </c>
      <c r="X166" s="266"/>
      <c r="Y166" s="266"/>
      <c r="Z166" s="266"/>
      <c r="AA166" s="277">
        <f>AA167-993280</f>
        <v>1401360</v>
      </c>
      <c r="AB166" s="280">
        <f t="shared" si="244"/>
        <v>15625996.83</v>
      </c>
      <c r="AC166" s="279">
        <f t="shared" si="133"/>
        <v>3990764.444</v>
      </c>
      <c r="AD166" s="279">
        <f t="shared" si="277"/>
        <v>-17169.31504</v>
      </c>
      <c r="AE166" s="283">
        <f t="shared" si="174"/>
        <v>19599591.96</v>
      </c>
      <c r="AF166" s="273">
        <f t="shared" si="22"/>
        <v>0.08968131856</v>
      </c>
      <c r="AG166" s="274">
        <f t="shared" si="23"/>
        <v>3973595.129</v>
      </c>
    </row>
    <row r="167">
      <c r="A167" s="284">
        <f t="shared" si="3"/>
        <v>45935</v>
      </c>
      <c r="B167" s="269"/>
      <c r="C167" s="266"/>
      <c r="D167" s="266"/>
      <c r="E167" s="266"/>
      <c r="F167" s="281">
        <f t="shared" si="349"/>
        <v>694080</v>
      </c>
      <c r="G167" s="259">
        <f t="shared" ref="G167:G169" si="363">139*11480</f>
        <v>1595720</v>
      </c>
      <c r="H167" s="281">
        <f t="shared" ref="H167:H169" si="364">12*58940</f>
        <v>707280</v>
      </c>
      <c r="I167" s="259">
        <f t="shared" ref="I167:I169" si="365">27*50560</f>
        <v>1365120</v>
      </c>
      <c r="J167" s="259">
        <f t="shared" ref="J167:J169" si="366">80*35780</f>
        <v>2862400</v>
      </c>
      <c r="K167" s="266">
        <f t="shared" ref="K167:K169" si="367">46*24420</f>
        <v>1123320</v>
      </c>
      <c r="L167" s="266">
        <f t="shared" ref="L167:L169" si="368">2*79900</f>
        <v>159800</v>
      </c>
      <c r="M167" s="266">
        <f t="shared" ref="M167:M169" si="369">59*17040</f>
        <v>1005360</v>
      </c>
      <c r="N167" s="266"/>
      <c r="O167" s="269"/>
      <c r="P167" s="269"/>
      <c r="Q167" s="269">
        <f t="shared" ref="Q167:Q169" si="370">608*1775</f>
        <v>1079200</v>
      </c>
      <c r="R167" s="266">
        <f t="shared" si="362"/>
        <v>840000</v>
      </c>
      <c r="S167" s="266">
        <f t="shared" si="278"/>
        <v>822683.7207</v>
      </c>
      <c r="T167" s="279">
        <f t="shared" si="318"/>
        <v>687960</v>
      </c>
      <c r="U167" s="266">
        <f t="shared" si="359"/>
        <v>2359557.492</v>
      </c>
      <c r="V167" s="279">
        <f t="shared" ref="V167:V168" si="371">V168*1.0008</f>
        <v>1424152.084</v>
      </c>
      <c r="W167" s="266">
        <f t="shared" si="261"/>
        <v>1183500</v>
      </c>
      <c r="X167" s="266"/>
      <c r="Y167" s="266"/>
      <c r="Z167" s="266"/>
      <c r="AA167" s="277">
        <f t="shared" ref="AA167:AA168" si="372">AA168</f>
        <v>2394640</v>
      </c>
      <c r="AB167" s="280">
        <f t="shared" si="244"/>
        <v>15640128.89</v>
      </c>
      <c r="AC167" s="279">
        <f t="shared" si="133"/>
        <v>3988745.917</v>
      </c>
      <c r="AD167" s="279">
        <f t="shared" si="277"/>
        <v>-18181.50682</v>
      </c>
      <c r="AE167" s="283">
        <f t="shared" si="174"/>
        <v>19610693.3</v>
      </c>
      <c r="AF167" s="273">
        <f t="shared" si="22"/>
        <v>0.1531087127</v>
      </c>
      <c r="AG167" s="274">
        <f t="shared" si="23"/>
        <v>3970564.41</v>
      </c>
    </row>
    <row r="168">
      <c r="A168" s="284">
        <f t="shared" si="3"/>
        <v>45934</v>
      </c>
      <c r="B168" s="269"/>
      <c r="C168" s="266"/>
      <c r="D168" s="266"/>
      <c r="E168" s="266"/>
      <c r="F168" s="281">
        <f t="shared" si="349"/>
        <v>694080</v>
      </c>
      <c r="G168" s="259">
        <f t="shared" si="363"/>
        <v>1595720</v>
      </c>
      <c r="H168" s="281">
        <f t="shared" si="364"/>
        <v>707280</v>
      </c>
      <c r="I168" s="259">
        <f t="shared" si="365"/>
        <v>1365120</v>
      </c>
      <c r="J168" s="259">
        <f t="shared" si="366"/>
        <v>2862400</v>
      </c>
      <c r="K168" s="266">
        <f t="shared" si="367"/>
        <v>1123320</v>
      </c>
      <c r="L168" s="266">
        <f t="shared" si="368"/>
        <v>159800</v>
      </c>
      <c r="M168" s="266">
        <f t="shared" si="369"/>
        <v>1005360</v>
      </c>
      <c r="N168" s="266"/>
      <c r="O168" s="269"/>
      <c r="P168" s="269"/>
      <c r="Q168" s="269">
        <f t="shared" si="370"/>
        <v>1079200</v>
      </c>
      <c r="R168" s="266">
        <f t="shared" si="362"/>
        <v>840000</v>
      </c>
      <c r="S168" s="266">
        <f t="shared" si="278"/>
        <v>821755.8734</v>
      </c>
      <c r="T168" s="279">
        <f t="shared" si="318"/>
        <v>687360</v>
      </c>
      <c r="U168" s="266">
        <f t="shared" si="359"/>
        <v>2352838.747</v>
      </c>
      <c r="V168" s="279">
        <f t="shared" si="371"/>
        <v>1423013.673</v>
      </c>
      <c r="W168" s="266">
        <f t="shared" si="261"/>
        <v>1183500</v>
      </c>
      <c r="X168" s="266"/>
      <c r="Y168" s="266"/>
      <c r="Z168" s="266"/>
      <c r="AA168" s="277">
        <f t="shared" si="372"/>
        <v>2394640</v>
      </c>
      <c r="AB168" s="280">
        <f t="shared" si="244"/>
        <v>15633774.6</v>
      </c>
      <c r="AC168" s="279">
        <f t="shared" si="133"/>
        <v>3986727.389</v>
      </c>
      <c r="AD168" s="279">
        <f t="shared" si="277"/>
        <v>-19193.6986</v>
      </c>
      <c r="AE168" s="283">
        <f t="shared" si="174"/>
        <v>19601308.29</v>
      </c>
      <c r="AF168" s="273">
        <f t="shared" si="22"/>
        <v>0.1531709431</v>
      </c>
      <c r="AG168" s="274">
        <f t="shared" si="23"/>
        <v>3967533.69</v>
      </c>
    </row>
    <row r="169">
      <c r="A169" s="264">
        <f t="shared" si="3"/>
        <v>45933</v>
      </c>
      <c r="B169" s="269"/>
      <c r="C169" s="266"/>
      <c r="D169" s="266"/>
      <c r="E169" s="266"/>
      <c r="F169" s="281">
        <f t="shared" si="349"/>
        <v>694080</v>
      </c>
      <c r="G169" s="259">
        <f t="shared" si="363"/>
        <v>1595720</v>
      </c>
      <c r="H169" s="281">
        <f t="shared" si="364"/>
        <v>707280</v>
      </c>
      <c r="I169" s="259">
        <f t="shared" si="365"/>
        <v>1365120</v>
      </c>
      <c r="J169" s="259">
        <f t="shared" si="366"/>
        <v>2862400</v>
      </c>
      <c r="K169" s="266">
        <f t="shared" si="367"/>
        <v>1123320</v>
      </c>
      <c r="L169" s="266">
        <f t="shared" si="368"/>
        <v>159800</v>
      </c>
      <c r="M169" s="266">
        <f t="shared" si="369"/>
        <v>1005360</v>
      </c>
      <c r="N169" s="266"/>
      <c r="O169" s="269"/>
      <c r="P169" s="269"/>
      <c r="Q169" s="269">
        <f t="shared" si="370"/>
        <v>1079200</v>
      </c>
      <c r="R169" s="266">
        <f t="shared" si="362"/>
        <v>840000</v>
      </c>
      <c r="S169" s="266">
        <f t="shared" si="278"/>
        <v>820828.0261</v>
      </c>
      <c r="T169" s="279">
        <f t="shared" si="318"/>
        <v>686760</v>
      </c>
      <c r="U169" s="266">
        <f t="shared" si="359"/>
        <v>2346120.003</v>
      </c>
      <c r="V169" s="279">
        <f>V170*1.0008+600000</f>
        <v>1421876.172</v>
      </c>
      <c r="W169" s="266">
        <f t="shared" si="261"/>
        <v>1183500</v>
      </c>
      <c r="X169" s="266"/>
      <c r="Y169" s="266"/>
      <c r="Z169" s="266"/>
      <c r="AA169" s="277">
        <f>AA170-1005360-600000</f>
        <v>2394640</v>
      </c>
      <c r="AB169" s="280">
        <f t="shared" si="244"/>
        <v>15627421.23</v>
      </c>
      <c r="AC169" s="279">
        <f t="shared" si="133"/>
        <v>3984708.861</v>
      </c>
      <c r="AD169" s="279">
        <f t="shared" si="277"/>
        <v>-20205.89038</v>
      </c>
      <c r="AE169" s="283">
        <f t="shared" si="174"/>
        <v>19591924.2</v>
      </c>
      <c r="AF169" s="273">
        <f t="shared" si="22"/>
        <v>0.1532332152</v>
      </c>
      <c r="AG169" s="274">
        <f t="shared" si="23"/>
        <v>3964502.971</v>
      </c>
    </row>
    <row r="170">
      <c r="A170" s="264">
        <f t="shared" si="3"/>
        <v>45932</v>
      </c>
      <c r="B170" s="269"/>
      <c r="C170" s="266"/>
      <c r="D170" s="266"/>
      <c r="E170" s="266"/>
      <c r="F170" s="281">
        <f t="shared" si="349"/>
        <v>694080</v>
      </c>
      <c r="G170" s="259">
        <f t="shared" ref="G170:G179" si="373">139*11380</f>
        <v>1581820</v>
      </c>
      <c r="H170" s="281">
        <f>12*59600</f>
        <v>715200</v>
      </c>
      <c r="I170" s="259">
        <f>27*49900</f>
        <v>1347300</v>
      </c>
      <c r="J170" s="259">
        <f>80*35520</f>
        <v>2841600</v>
      </c>
      <c r="K170" s="266">
        <f>46*24480</f>
        <v>1126080</v>
      </c>
      <c r="L170" s="266">
        <f>2*78880</f>
        <v>157760</v>
      </c>
      <c r="M170" s="288"/>
      <c r="N170" s="266"/>
      <c r="O170" s="269"/>
      <c r="P170" s="269"/>
      <c r="Q170" s="269">
        <f>608*1780</f>
        <v>1082240</v>
      </c>
      <c r="R170" s="266">
        <f t="shared" si="362"/>
        <v>840000</v>
      </c>
      <c r="S170" s="266">
        <f t="shared" ref="S170:S174" si="374">S171+947.8473</f>
        <v>819900.1788</v>
      </c>
      <c r="T170" s="279">
        <f t="shared" si="318"/>
        <v>686160</v>
      </c>
      <c r="U170" s="266">
        <f t="shared" si="359"/>
        <v>2339401.258</v>
      </c>
      <c r="V170" s="279">
        <f t="shared" ref="V170:V178" si="375">V171*1.0008</f>
        <v>821219.1963</v>
      </c>
      <c r="W170" s="266">
        <f t="shared" si="261"/>
        <v>1183500</v>
      </c>
      <c r="X170" s="266"/>
      <c r="Y170" s="266"/>
      <c r="Z170" s="266"/>
      <c r="AA170" s="277">
        <f t="shared" ref="AA170:AA171" si="376">AA171+2000000</f>
        <v>4000000</v>
      </c>
      <c r="AB170" s="280">
        <f t="shared" si="244"/>
        <v>15580708.38</v>
      </c>
      <c r="AC170" s="279">
        <f t="shared" si="133"/>
        <v>3982690.333</v>
      </c>
      <c r="AD170" s="279">
        <f t="shared" si="277"/>
        <v>-21218.08216</v>
      </c>
      <c r="AE170" s="283">
        <f t="shared" si="174"/>
        <v>19542180.63</v>
      </c>
      <c r="AF170" s="273">
        <f t="shared" si="22"/>
        <v>0.2567277368</v>
      </c>
      <c r="AG170" s="274">
        <f t="shared" si="23"/>
        <v>3961472.251</v>
      </c>
    </row>
    <row r="171">
      <c r="A171" s="264">
        <f t="shared" si="3"/>
        <v>45931</v>
      </c>
      <c r="B171" s="269"/>
      <c r="C171" s="266"/>
      <c r="D171" s="266"/>
      <c r="E171" s="266"/>
      <c r="F171" s="281">
        <f t="shared" si="349"/>
        <v>694080</v>
      </c>
      <c r="G171" s="259">
        <f t="shared" si="373"/>
        <v>1581820</v>
      </c>
      <c r="H171" s="281">
        <f>12*59100</f>
        <v>709200</v>
      </c>
      <c r="I171" s="259">
        <f>27*50500</f>
        <v>1363500</v>
      </c>
      <c r="J171" s="259">
        <f t="shared" ref="J171:J179" si="377">80*35580</f>
        <v>2846400</v>
      </c>
      <c r="K171" s="266">
        <f>46*24520</f>
        <v>1127920</v>
      </c>
      <c r="L171" s="266">
        <f>2*79000</f>
        <v>158000</v>
      </c>
      <c r="M171" s="288"/>
      <c r="N171" s="266"/>
      <c r="O171" s="269"/>
      <c r="P171" s="269"/>
      <c r="Q171" s="269">
        <f>608*1810</f>
        <v>1100480</v>
      </c>
      <c r="R171" s="266">
        <f t="shared" si="362"/>
        <v>840000</v>
      </c>
      <c r="S171" s="266">
        <f t="shared" si="374"/>
        <v>818952.3315</v>
      </c>
      <c r="T171" s="279">
        <f t="shared" si="318"/>
        <v>685560</v>
      </c>
      <c r="U171" s="266">
        <f t="shared" si="359"/>
        <v>2332682.513</v>
      </c>
      <c r="V171" s="279">
        <f t="shared" si="375"/>
        <v>820562.7461</v>
      </c>
      <c r="W171" s="266">
        <f t="shared" si="261"/>
        <v>1183500</v>
      </c>
      <c r="X171" s="266"/>
      <c r="Y171" s="266"/>
      <c r="Z171" s="266"/>
      <c r="AA171" s="277">
        <f t="shared" si="376"/>
        <v>2000000</v>
      </c>
      <c r="AB171" s="280">
        <f t="shared" si="244"/>
        <v>13610136.06</v>
      </c>
      <c r="AC171" s="279">
        <f t="shared" si="133"/>
        <v>3980671.806</v>
      </c>
      <c r="AD171" s="279">
        <f t="shared" si="277"/>
        <v>-22230.27395</v>
      </c>
      <c r="AE171" s="283">
        <f t="shared" si="174"/>
        <v>17568577.59</v>
      </c>
      <c r="AF171" s="273">
        <f t="shared" si="22"/>
        <v>0.1469493024</v>
      </c>
      <c r="AG171" s="274">
        <f t="shared" si="23"/>
        <v>3958441.532</v>
      </c>
    </row>
    <row r="172">
      <c r="A172" s="264">
        <f t="shared" si="3"/>
        <v>45930</v>
      </c>
      <c r="B172" s="269"/>
      <c r="C172" s="266"/>
      <c r="D172" s="266"/>
      <c r="E172" s="266"/>
      <c r="F172" s="281">
        <f t="shared" si="349"/>
        <v>694080</v>
      </c>
      <c r="G172" s="259">
        <f t="shared" si="373"/>
        <v>1581820</v>
      </c>
      <c r="H172" s="281">
        <f t="shared" ref="H172:H179" si="378">12*62120</f>
        <v>745440</v>
      </c>
      <c r="I172" s="259">
        <f t="shared" ref="I172:I179" si="379">27*50680</f>
        <v>1368360</v>
      </c>
      <c r="J172" s="259">
        <f t="shared" si="377"/>
        <v>2846400</v>
      </c>
      <c r="K172" s="266">
        <f>46*24560</f>
        <v>1129760</v>
      </c>
      <c r="L172" s="266">
        <f t="shared" ref="L172:L173" si="380">2*81020</f>
        <v>162040</v>
      </c>
      <c r="M172" s="288"/>
      <c r="N172" s="266"/>
      <c r="O172" s="269"/>
      <c r="P172" s="269"/>
      <c r="Q172" s="269">
        <f>608*1790</f>
        <v>1088320</v>
      </c>
      <c r="R172" s="266">
        <f t="shared" si="362"/>
        <v>840000</v>
      </c>
      <c r="S172" s="266">
        <f t="shared" si="374"/>
        <v>818004.4842</v>
      </c>
      <c r="T172" s="279">
        <f t="shared" si="318"/>
        <v>684960</v>
      </c>
      <c r="U172" s="266">
        <f t="shared" si="359"/>
        <v>2325963.769</v>
      </c>
      <c r="V172" s="279">
        <f t="shared" si="375"/>
        <v>819906.8207</v>
      </c>
      <c r="W172" s="266">
        <f t="shared" si="261"/>
        <v>1183500</v>
      </c>
      <c r="X172" s="266"/>
      <c r="Y172" s="266"/>
      <c r="Z172" s="266"/>
      <c r="AA172" s="277">
        <f t="shared" ref="AA172:AA174" si="381">AA173</f>
        <v>0</v>
      </c>
      <c r="AB172" s="280">
        <f t="shared" si="244"/>
        <v>11639064.26</v>
      </c>
      <c r="AC172" s="279">
        <f t="shared" si="133"/>
        <v>3978653.278</v>
      </c>
      <c r="AD172" s="279">
        <f t="shared" si="277"/>
        <v>-23242.46573</v>
      </c>
      <c r="AE172" s="283">
        <f t="shared" si="174"/>
        <v>15594475.07</v>
      </c>
      <c r="AF172" s="273">
        <f t="shared" si="22"/>
        <v>0</v>
      </c>
      <c r="AG172" s="274">
        <f t="shared" si="23"/>
        <v>3955410.812</v>
      </c>
    </row>
    <row r="173">
      <c r="A173" s="264">
        <f t="shared" si="3"/>
        <v>45929</v>
      </c>
      <c r="B173" s="269"/>
      <c r="C173" s="266"/>
      <c r="D173" s="266"/>
      <c r="E173" s="266"/>
      <c r="F173" s="281">
        <f t="shared" si="349"/>
        <v>694080</v>
      </c>
      <c r="G173" s="259">
        <f t="shared" si="373"/>
        <v>1581820</v>
      </c>
      <c r="H173" s="281">
        <f t="shared" si="378"/>
        <v>745440</v>
      </c>
      <c r="I173" s="259">
        <f t="shared" si="379"/>
        <v>1368360</v>
      </c>
      <c r="J173" s="259">
        <f t="shared" si="377"/>
        <v>2846400</v>
      </c>
      <c r="K173" s="266">
        <f>46*24580</f>
        <v>1130680</v>
      </c>
      <c r="L173" s="266">
        <f t="shared" si="380"/>
        <v>162040</v>
      </c>
      <c r="M173" s="288"/>
      <c r="N173" s="266"/>
      <c r="O173" s="269"/>
      <c r="P173" s="269"/>
      <c r="Q173" s="269">
        <f t="shared" ref="Q173:Q176" si="382">608*1810</f>
        <v>1100480</v>
      </c>
      <c r="R173" s="266">
        <f t="shared" si="362"/>
        <v>840000</v>
      </c>
      <c r="S173" s="266">
        <f t="shared" si="374"/>
        <v>817056.6369</v>
      </c>
      <c r="T173" s="279">
        <f t="shared" si="318"/>
        <v>684360</v>
      </c>
      <c r="U173" s="266">
        <f t="shared" si="359"/>
        <v>2319245.024</v>
      </c>
      <c r="V173" s="279">
        <f t="shared" si="375"/>
        <v>819251.4195</v>
      </c>
      <c r="W173" s="266">
        <f t="shared" si="261"/>
        <v>1183500</v>
      </c>
      <c r="X173" s="266"/>
      <c r="Y173" s="266"/>
      <c r="Z173" s="266"/>
      <c r="AA173" s="277">
        <f t="shared" si="381"/>
        <v>0</v>
      </c>
      <c r="AB173" s="280">
        <f t="shared" si="244"/>
        <v>11646252.99</v>
      </c>
      <c r="AC173" s="279">
        <f t="shared" si="133"/>
        <v>3976634.75</v>
      </c>
      <c r="AD173" s="279">
        <f t="shared" si="277"/>
        <v>-24254.65751</v>
      </c>
      <c r="AE173" s="283">
        <f t="shared" si="174"/>
        <v>15598633.08</v>
      </c>
      <c r="AF173" s="273">
        <f t="shared" si="22"/>
        <v>0</v>
      </c>
      <c r="AG173" s="274">
        <f t="shared" si="23"/>
        <v>3952380.093</v>
      </c>
    </row>
    <row r="174">
      <c r="A174" s="284">
        <f t="shared" si="3"/>
        <v>45928</v>
      </c>
      <c r="B174" s="269"/>
      <c r="C174" s="266"/>
      <c r="D174" s="266"/>
      <c r="E174" s="266"/>
      <c r="F174" s="281">
        <f t="shared" si="349"/>
        <v>694080</v>
      </c>
      <c r="G174" s="259">
        <f t="shared" si="373"/>
        <v>1581820</v>
      </c>
      <c r="H174" s="281">
        <f t="shared" si="378"/>
        <v>745440</v>
      </c>
      <c r="I174" s="259">
        <f t="shared" si="379"/>
        <v>1368360</v>
      </c>
      <c r="J174" s="259">
        <f t="shared" si="377"/>
        <v>2846400</v>
      </c>
      <c r="K174" s="266">
        <f t="shared" ref="K174:K179" si="383">46*24600</f>
        <v>1131600</v>
      </c>
      <c r="L174" s="266">
        <f t="shared" ref="L174:L176" si="384">2*78800</f>
        <v>157600</v>
      </c>
      <c r="M174" s="288"/>
      <c r="N174" s="266"/>
      <c r="O174" s="269"/>
      <c r="P174" s="269"/>
      <c r="Q174" s="269">
        <f t="shared" si="382"/>
        <v>1100480</v>
      </c>
      <c r="R174" s="266">
        <f t="shared" si="362"/>
        <v>840000</v>
      </c>
      <c r="S174" s="266">
        <f t="shared" si="374"/>
        <v>816108.7896</v>
      </c>
      <c r="T174" s="279">
        <f t="shared" si="318"/>
        <v>683760</v>
      </c>
      <c r="U174" s="266">
        <f t="shared" si="359"/>
        <v>2312526.279</v>
      </c>
      <c r="V174" s="279">
        <f t="shared" si="375"/>
        <v>818596.5423</v>
      </c>
      <c r="W174" s="266">
        <f t="shared" si="261"/>
        <v>1183500</v>
      </c>
      <c r="X174" s="266"/>
      <c r="Y174" s="266"/>
      <c r="Z174" s="266"/>
      <c r="AA174" s="277">
        <f t="shared" si="381"/>
        <v>0</v>
      </c>
      <c r="AB174" s="280">
        <f t="shared" si="244"/>
        <v>11636842.24</v>
      </c>
      <c r="AC174" s="279">
        <f t="shared" si="133"/>
        <v>3974616.222</v>
      </c>
      <c r="AD174" s="279">
        <f t="shared" si="277"/>
        <v>-25266.84929</v>
      </c>
      <c r="AE174" s="283">
        <f t="shared" si="174"/>
        <v>15586191.61</v>
      </c>
      <c r="AF174" s="273">
        <f t="shared" si="22"/>
        <v>0</v>
      </c>
      <c r="AG174" s="274">
        <f t="shared" si="23"/>
        <v>3949349.373</v>
      </c>
    </row>
    <row r="175">
      <c r="A175" s="284">
        <f t="shared" si="3"/>
        <v>45927</v>
      </c>
      <c r="B175" s="269"/>
      <c r="C175" s="266"/>
      <c r="D175" s="266"/>
      <c r="E175" s="266"/>
      <c r="F175" s="281">
        <f t="shared" ref="F175:F179" si="385">96*7200</f>
        <v>691200</v>
      </c>
      <c r="G175" s="259">
        <f t="shared" si="373"/>
        <v>1581820</v>
      </c>
      <c r="H175" s="281">
        <f t="shared" si="378"/>
        <v>745440</v>
      </c>
      <c r="I175" s="259">
        <f t="shared" si="379"/>
        <v>1368360</v>
      </c>
      <c r="J175" s="259">
        <f t="shared" si="377"/>
        <v>2846400</v>
      </c>
      <c r="K175" s="266">
        <f t="shared" si="383"/>
        <v>1131600</v>
      </c>
      <c r="L175" s="266">
        <f t="shared" si="384"/>
        <v>157600</v>
      </c>
      <c r="M175" s="288"/>
      <c r="N175" s="266"/>
      <c r="O175" s="269"/>
      <c r="P175" s="269"/>
      <c r="Q175" s="269">
        <f t="shared" si="382"/>
        <v>1100480</v>
      </c>
      <c r="R175" s="266">
        <f t="shared" si="362"/>
        <v>840000</v>
      </c>
      <c r="S175" s="266">
        <f>S176+947.8473+481780</f>
        <v>815160.9423</v>
      </c>
      <c r="T175" s="279">
        <f t="shared" si="318"/>
        <v>683160</v>
      </c>
      <c r="U175" s="266">
        <f t="shared" si="359"/>
        <v>2305807.535</v>
      </c>
      <c r="V175" s="279">
        <f t="shared" si="375"/>
        <v>817942.1885</v>
      </c>
      <c r="W175" s="266">
        <f t="shared" si="261"/>
        <v>1183500</v>
      </c>
      <c r="X175" s="266"/>
      <c r="Y175" s="266"/>
      <c r="Z175" s="266"/>
      <c r="AA175" s="277">
        <f>AA176-481780</f>
        <v>0</v>
      </c>
      <c r="AB175" s="280">
        <f t="shared" si="244"/>
        <v>11630952.01</v>
      </c>
      <c r="AC175" s="279">
        <f t="shared" si="133"/>
        <v>3972597.694</v>
      </c>
      <c r="AD175" s="279">
        <f t="shared" si="277"/>
        <v>-26279.04107</v>
      </c>
      <c r="AE175" s="283">
        <f t="shared" si="174"/>
        <v>15577270.67</v>
      </c>
      <c r="AF175" s="273">
        <f t="shared" si="22"/>
        <v>0</v>
      </c>
      <c r="AG175" s="274">
        <f t="shared" si="23"/>
        <v>3946318.653</v>
      </c>
    </row>
    <row r="176">
      <c r="A176" s="264">
        <f t="shared" si="3"/>
        <v>45926</v>
      </c>
      <c r="B176" s="269"/>
      <c r="C176" s="266"/>
      <c r="D176" s="266"/>
      <c r="E176" s="266"/>
      <c r="F176" s="281">
        <f t="shared" si="385"/>
        <v>691200</v>
      </c>
      <c r="G176" s="259">
        <f t="shared" si="373"/>
        <v>1581820</v>
      </c>
      <c r="H176" s="281">
        <f t="shared" si="378"/>
        <v>745440</v>
      </c>
      <c r="I176" s="259">
        <f t="shared" si="379"/>
        <v>1368360</v>
      </c>
      <c r="J176" s="259">
        <f t="shared" si="377"/>
        <v>2846400</v>
      </c>
      <c r="K176" s="266">
        <f t="shared" si="383"/>
        <v>1131600</v>
      </c>
      <c r="L176" s="266">
        <f t="shared" si="384"/>
        <v>157600</v>
      </c>
      <c r="M176" s="288"/>
      <c r="N176" s="266"/>
      <c r="O176" s="269"/>
      <c r="P176" s="269"/>
      <c r="Q176" s="269">
        <f t="shared" si="382"/>
        <v>1100480</v>
      </c>
      <c r="R176" s="266">
        <f t="shared" si="362"/>
        <v>840000</v>
      </c>
      <c r="S176" s="266">
        <f t="shared" ref="S176:S177" si="386">S177+947.8473</f>
        <v>332433.095</v>
      </c>
      <c r="T176" s="279">
        <f t="shared" si="318"/>
        <v>682560</v>
      </c>
      <c r="U176" s="266">
        <f t="shared" si="359"/>
        <v>2299088.79</v>
      </c>
      <c r="V176" s="279">
        <f t="shared" si="375"/>
        <v>817288.3579</v>
      </c>
      <c r="W176" s="266">
        <f t="shared" si="261"/>
        <v>1183500</v>
      </c>
      <c r="X176" s="266"/>
      <c r="Y176" s="266"/>
      <c r="Z176" s="266"/>
      <c r="AA176" s="277">
        <f t="shared" ref="AA176:AA178" si="387">AA177</f>
        <v>481780</v>
      </c>
      <c r="AB176" s="280">
        <f t="shared" si="244"/>
        <v>11625062.31</v>
      </c>
      <c r="AC176" s="279">
        <f t="shared" si="133"/>
        <v>3970579.167</v>
      </c>
      <c r="AD176" s="279">
        <f t="shared" si="277"/>
        <v>-27291.23285</v>
      </c>
      <c r="AE176" s="283">
        <f t="shared" si="174"/>
        <v>15568350.24</v>
      </c>
      <c r="AF176" s="273">
        <f t="shared" si="22"/>
        <v>0.04144321873</v>
      </c>
      <c r="AG176" s="274">
        <f t="shared" si="23"/>
        <v>3943287.934</v>
      </c>
    </row>
    <row r="177">
      <c r="A177" s="264">
        <f t="shared" si="3"/>
        <v>45925</v>
      </c>
      <c r="B177" s="269"/>
      <c r="C177" s="266"/>
      <c r="D177" s="266"/>
      <c r="E177" s="266">
        <f t="shared" ref="E177:E202" si="388">E178+1311.48</f>
        <v>290000.28</v>
      </c>
      <c r="F177" s="281">
        <f t="shared" si="385"/>
        <v>691200</v>
      </c>
      <c r="G177" s="259">
        <f t="shared" si="373"/>
        <v>1581820</v>
      </c>
      <c r="H177" s="281">
        <f t="shared" si="378"/>
        <v>745440</v>
      </c>
      <c r="I177" s="259">
        <f t="shared" si="379"/>
        <v>1368360</v>
      </c>
      <c r="J177" s="259">
        <f t="shared" si="377"/>
        <v>2846400</v>
      </c>
      <c r="K177" s="266">
        <f t="shared" si="383"/>
        <v>1131600</v>
      </c>
      <c r="L177" s="266">
        <f>2*78000</f>
        <v>156000</v>
      </c>
      <c r="M177" s="288"/>
      <c r="N177" s="266"/>
      <c r="O177" s="269"/>
      <c r="P177" s="269"/>
      <c r="Q177" s="269">
        <f>608*1840</f>
        <v>1118720</v>
      </c>
      <c r="R177" s="266">
        <f t="shared" si="362"/>
        <v>840000</v>
      </c>
      <c r="S177" s="266">
        <f t="shared" si="386"/>
        <v>331485.2477</v>
      </c>
      <c r="T177" s="279">
        <f t="shared" si="318"/>
        <v>681960</v>
      </c>
      <c r="U177" s="266">
        <f t="shared" si="359"/>
        <v>2292370.045</v>
      </c>
      <c r="V177" s="279">
        <f t="shared" si="375"/>
        <v>816635.0498</v>
      </c>
      <c r="W177" s="266">
        <f t="shared" si="261"/>
        <v>1183500</v>
      </c>
      <c r="X177" s="266"/>
      <c r="Y177" s="266"/>
      <c r="Z177" s="266"/>
      <c r="AA177" s="277">
        <f t="shared" si="387"/>
        <v>481780</v>
      </c>
      <c r="AB177" s="280">
        <f t="shared" si="244"/>
        <v>11635813.13</v>
      </c>
      <c r="AC177" s="279">
        <f t="shared" si="133"/>
        <v>3968560.639</v>
      </c>
      <c r="AD177" s="279">
        <f t="shared" si="277"/>
        <v>-28303.42463</v>
      </c>
      <c r="AE177" s="283">
        <f t="shared" si="174"/>
        <v>15576070.34</v>
      </c>
      <c r="AF177" s="273">
        <f t="shared" si="22"/>
        <v>0.04140492759</v>
      </c>
      <c r="AG177" s="274">
        <f t="shared" si="23"/>
        <v>3940257.214</v>
      </c>
    </row>
    <row r="178">
      <c r="A178" s="264">
        <f t="shared" si="3"/>
        <v>45924</v>
      </c>
      <c r="B178" s="269"/>
      <c r="C178" s="266"/>
      <c r="D178" s="266"/>
      <c r="E178" s="266">
        <f t="shared" si="388"/>
        <v>288688.8</v>
      </c>
      <c r="F178" s="281">
        <f t="shared" si="385"/>
        <v>691200</v>
      </c>
      <c r="G178" s="259">
        <f t="shared" si="373"/>
        <v>1581820</v>
      </c>
      <c r="H178" s="281">
        <f t="shared" si="378"/>
        <v>745440</v>
      </c>
      <c r="I178" s="259">
        <f t="shared" si="379"/>
        <v>1368360</v>
      </c>
      <c r="J178" s="259">
        <f t="shared" si="377"/>
        <v>2846400</v>
      </c>
      <c r="K178" s="266">
        <f t="shared" si="383"/>
        <v>1131600</v>
      </c>
      <c r="L178" s="266">
        <f>2*80000</f>
        <v>160000</v>
      </c>
      <c r="M178" s="288"/>
      <c r="N178" s="266"/>
      <c r="O178" s="269"/>
      <c r="P178" s="269"/>
      <c r="Q178" s="269">
        <f>608*1865</f>
        <v>1133920</v>
      </c>
      <c r="R178" s="266">
        <f t="shared" si="362"/>
        <v>840000</v>
      </c>
      <c r="S178" s="266">
        <f>S179+997.8473</f>
        <v>330537.4004</v>
      </c>
      <c r="T178" s="279">
        <f t="shared" si="318"/>
        <v>681360</v>
      </c>
      <c r="U178" s="266">
        <f t="shared" si="359"/>
        <v>2285651.3</v>
      </c>
      <c r="V178" s="279">
        <f t="shared" si="375"/>
        <v>815982.264</v>
      </c>
      <c r="W178" s="266">
        <f t="shared" si="261"/>
        <v>1183500</v>
      </c>
      <c r="X178" s="266"/>
      <c r="Y178" s="266"/>
      <c r="Z178" s="266"/>
      <c r="AA178" s="277">
        <f t="shared" si="387"/>
        <v>481780</v>
      </c>
      <c r="AB178" s="280">
        <f t="shared" si="244"/>
        <v>11649124.47</v>
      </c>
      <c r="AC178" s="279">
        <f t="shared" si="133"/>
        <v>3966542.111</v>
      </c>
      <c r="AD178" s="279">
        <f t="shared" si="277"/>
        <v>-29315.61641</v>
      </c>
      <c r="AE178" s="283">
        <f t="shared" si="174"/>
        <v>15586350.96</v>
      </c>
      <c r="AF178" s="273">
        <f t="shared" si="22"/>
        <v>0.04135761458</v>
      </c>
      <c r="AG178" s="274">
        <f t="shared" si="23"/>
        <v>3937226.495</v>
      </c>
    </row>
    <row r="179">
      <c r="A179" s="264">
        <f t="shared" si="3"/>
        <v>45923</v>
      </c>
      <c r="B179" s="269"/>
      <c r="C179" s="266"/>
      <c r="D179" s="266"/>
      <c r="E179" s="266">
        <f t="shared" si="388"/>
        <v>287377.32</v>
      </c>
      <c r="F179" s="281">
        <f t="shared" si="385"/>
        <v>691200</v>
      </c>
      <c r="G179" s="259">
        <f t="shared" si="373"/>
        <v>1581820</v>
      </c>
      <c r="H179" s="281">
        <f t="shared" si="378"/>
        <v>745440</v>
      </c>
      <c r="I179" s="259">
        <f t="shared" si="379"/>
        <v>1368360</v>
      </c>
      <c r="J179" s="259">
        <f t="shared" si="377"/>
        <v>2846400</v>
      </c>
      <c r="K179" s="266">
        <f t="shared" si="383"/>
        <v>1131600</v>
      </c>
      <c r="L179" s="266">
        <f t="shared" ref="L179:L183" si="389">2*81020</f>
        <v>162040</v>
      </c>
      <c r="M179" s="288"/>
      <c r="N179" s="266"/>
      <c r="O179" s="269"/>
      <c r="P179" s="269"/>
      <c r="Q179" s="269">
        <f>608*1815</f>
        <v>1103520</v>
      </c>
      <c r="R179" s="266">
        <f>R180+350000</f>
        <v>840000</v>
      </c>
      <c r="S179" s="266">
        <f t="shared" ref="S179:S204" si="390">S180+947.8473</f>
        <v>329539.5531</v>
      </c>
      <c r="T179" s="279">
        <f t="shared" si="318"/>
        <v>680760</v>
      </c>
      <c r="U179" s="266">
        <f t="shared" si="359"/>
        <v>2278932.556</v>
      </c>
      <c r="V179" s="289">
        <v>815330.0</v>
      </c>
      <c r="W179" s="266">
        <f t="shared" si="261"/>
        <v>1183500</v>
      </c>
      <c r="X179" s="266"/>
      <c r="Y179" s="266"/>
      <c r="Z179" s="266"/>
      <c r="AA179" s="277">
        <f>AA180-350000-40000-716410</f>
        <v>481780</v>
      </c>
      <c r="AB179" s="280">
        <f t="shared" si="244"/>
        <v>11614826.33</v>
      </c>
      <c r="AC179" s="279">
        <f t="shared" si="133"/>
        <v>3964523.583</v>
      </c>
      <c r="AD179" s="279">
        <f>AD180+382.191781+300+180+150-40000</f>
        <v>-30327.80819</v>
      </c>
      <c r="AE179" s="283">
        <f t="shared" si="174"/>
        <v>15549022.11</v>
      </c>
      <c r="AF179" s="273">
        <f t="shared" si="22"/>
        <v>0.04147974203</v>
      </c>
      <c r="AG179" s="274">
        <f t="shared" si="23"/>
        <v>3934195.775</v>
      </c>
    </row>
    <row r="180">
      <c r="A180" s="264">
        <f t="shared" si="3"/>
        <v>45922</v>
      </c>
      <c r="B180" s="269"/>
      <c r="C180" s="266"/>
      <c r="D180" s="266"/>
      <c r="E180" s="266">
        <f t="shared" si="388"/>
        <v>286065.84</v>
      </c>
      <c r="F180" s="281">
        <f>96*7230</f>
        <v>694080</v>
      </c>
      <c r="G180" s="259">
        <f t="shared" ref="G180:G183" si="391">139*11500</f>
        <v>1598500</v>
      </c>
      <c r="H180" s="281">
        <f>12*62340</f>
        <v>748080</v>
      </c>
      <c r="I180" s="259">
        <f>27*50920</f>
        <v>1374840</v>
      </c>
      <c r="J180" s="259">
        <f>80*36220</f>
        <v>2897600</v>
      </c>
      <c r="K180" s="266">
        <f>46*24020</f>
        <v>1104920</v>
      </c>
      <c r="L180" s="266">
        <f t="shared" si="389"/>
        <v>162040</v>
      </c>
      <c r="M180" s="266"/>
      <c r="N180" s="266"/>
      <c r="O180" s="269"/>
      <c r="P180" s="279">
        <f>3*251300</f>
        <v>753900</v>
      </c>
      <c r="Q180" s="279">
        <f t="shared" ref="Q180:Q183" si="392">608*1740</f>
        <v>1057920</v>
      </c>
      <c r="R180" s="266">
        <f t="shared" ref="R180:R183" si="393">R181</f>
        <v>490000</v>
      </c>
      <c r="S180" s="266">
        <f t="shared" si="390"/>
        <v>328591.7058</v>
      </c>
      <c r="T180" s="279">
        <f t="shared" si="318"/>
        <v>680160</v>
      </c>
      <c r="U180" s="266">
        <f t="shared" si="359"/>
        <v>2272213.811</v>
      </c>
      <c r="V180" s="279">
        <f t="shared" ref="V180:V195" si="394">37920+65000+270000-50000-40000-40000-40000-80000-24000</f>
        <v>98920</v>
      </c>
      <c r="W180" s="266">
        <f t="shared" si="261"/>
        <v>1183500</v>
      </c>
      <c r="X180" s="266"/>
      <c r="Y180" s="266"/>
      <c r="Z180" s="266"/>
      <c r="AA180" s="277">
        <f>AA181-1267184</f>
        <v>1588190</v>
      </c>
      <c r="AB180" s="280">
        <f t="shared" si="244"/>
        <v>12368210.46</v>
      </c>
      <c r="AC180" s="279">
        <f t="shared" si="133"/>
        <v>3962505.056</v>
      </c>
      <c r="AD180" s="279">
        <f t="shared" ref="AD180:AD187" si="395">AD181+382.191781+300+180+100</f>
        <v>8660.000026</v>
      </c>
      <c r="AE180" s="283">
        <f t="shared" si="174"/>
        <v>16339375.52</v>
      </c>
      <c r="AF180" s="273">
        <f t="shared" si="22"/>
        <v>0.1284090374</v>
      </c>
      <c r="AG180" s="274">
        <f t="shared" si="23"/>
        <v>3971165.056</v>
      </c>
    </row>
    <row r="181">
      <c r="A181" s="284">
        <f t="shared" si="3"/>
        <v>45921</v>
      </c>
      <c r="B181" s="269"/>
      <c r="C181" s="266"/>
      <c r="D181" s="266"/>
      <c r="E181" s="266">
        <f t="shared" si="388"/>
        <v>284754.36</v>
      </c>
      <c r="F181" s="281">
        <f>96*7290</f>
        <v>699840</v>
      </c>
      <c r="G181" s="259">
        <f t="shared" si="391"/>
        <v>1598500</v>
      </c>
      <c r="H181" s="281">
        <f t="shared" ref="H181:H183" si="396">12*62020</f>
        <v>744240</v>
      </c>
      <c r="I181" s="259">
        <f t="shared" ref="I181:I183" si="397">27*50680</f>
        <v>1368360</v>
      </c>
      <c r="J181" s="259">
        <f t="shared" ref="J181:J190" si="398">80*35860</f>
        <v>2868800</v>
      </c>
      <c r="K181" s="266">
        <f t="shared" ref="K181:K183" si="399">46*23500</f>
        <v>1081000</v>
      </c>
      <c r="L181" s="266">
        <f t="shared" si="389"/>
        <v>162040</v>
      </c>
      <c r="M181" s="266"/>
      <c r="N181" s="266"/>
      <c r="O181" s="269"/>
      <c r="P181" s="279">
        <f>3*247460</f>
        <v>742380</v>
      </c>
      <c r="Q181" s="279">
        <f t="shared" si="392"/>
        <v>1057920</v>
      </c>
      <c r="R181" s="266">
        <f t="shared" si="393"/>
        <v>490000</v>
      </c>
      <c r="S181" s="266">
        <f t="shared" si="390"/>
        <v>327643.8585</v>
      </c>
      <c r="T181" s="279">
        <f t="shared" si="318"/>
        <v>679560</v>
      </c>
      <c r="U181" s="266">
        <f t="shared" si="359"/>
        <v>2265495.066</v>
      </c>
      <c r="V181" s="279">
        <f t="shared" si="394"/>
        <v>98920</v>
      </c>
      <c r="W181" s="266">
        <f t="shared" si="261"/>
        <v>1183500</v>
      </c>
      <c r="X181" s="266"/>
      <c r="Y181" s="266"/>
      <c r="Z181" s="266"/>
      <c r="AA181" s="277">
        <f t="shared" ref="AA181:AA182" si="400">AA182</f>
        <v>2855374</v>
      </c>
      <c r="AB181" s="280">
        <f t="shared" si="244"/>
        <v>13555548.59</v>
      </c>
      <c r="AC181" s="279">
        <f t="shared" si="133"/>
        <v>3960486.528</v>
      </c>
      <c r="AD181" s="279">
        <f t="shared" si="395"/>
        <v>7697.808245</v>
      </c>
      <c r="AE181" s="283">
        <f t="shared" si="174"/>
        <v>17523732.92</v>
      </c>
      <c r="AF181" s="273">
        <f t="shared" si="22"/>
        <v>0.2106424525</v>
      </c>
      <c r="AG181" s="274">
        <f t="shared" si="23"/>
        <v>3968184.336</v>
      </c>
    </row>
    <row r="182">
      <c r="A182" s="284">
        <f t="shared" si="3"/>
        <v>45920</v>
      </c>
      <c r="B182" s="269"/>
      <c r="C182" s="266"/>
      <c r="D182" s="266"/>
      <c r="E182" s="266">
        <f t="shared" si="388"/>
        <v>283442.88</v>
      </c>
      <c r="F182" s="281">
        <f>96*7300</f>
        <v>700800</v>
      </c>
      <c r="G182" s="259">
        <f t="shared" si="391"/>
        <v>1598500</v>
      </c>
      <c r="H182" s="281">
        <f t="shared" si="396"/>
        <v>744240</v>
      </c>
      <c r="I182" s="259">
        <f t="shared" si="397"/>
        <v>1368360</v>
      </c>
      <c r="J182" s="259">
        <f t="shared" si="398"/>
        <v>2868800</v>
      </c>
      <c r="K182" s="266">
        <f t="shared" si="399"/>
        <v>1081000</v>
      </c>
      <c r="L182" s="266">
        <f t="shared" si="389"/>
        <v>162040</v>
      </c>
      <c r="M182" s="266"/>
      <c r="N182" s="266"/>
      <c r="O182" s="269"/>
      <c r="P182" s="279">
        <f>3*248000</f>
        <v>744000</v>
      </c>
      <c r="Q182" s="279">
        <f t="shared" si="392"/>
        <v>1057920</v>
      </c>
      <c r="R182" s="266">
        <f t="shared" si="393"/>
        <v>490000</v>
      </c>
      <c r="S182" s="266">
        <f t="shared" si="390"/>
        <v>326696.0112</v>
      </c>
      <c r="T182" s="279">
        <f t="shared" si="318"/>
        <v>678960</v>
      </c>
      <c r="U182" s="266">
        <f t="shared" si="359"/>
        <v>2258776.322</v>
      </c>
      <c r="V182" s="279">
        <f t="shared" si="394"/>
        <v>98920</v>
      </c>
      <c r="W182" s="266">
        <f t="shared" ref="W182:W184" si="401">W183+15250</f>
        <v>1183500</v>
      </c>
      <c r="X182" s="266"/>
      <c r="Y182" s="266"/>
      <c r="Z182" s="266"/>
      <c r="AA182" s="277">
        <f t="shared" si="400"/>
        <v>2855374</v>
      </c>
      <c r="AB182" s="280">
        <f t="shared" si="244"/>
        <v>13551882.72</v>
      </c>
      <c r="AC182" s="279">
        <f t="shared" si="133"/>
        <v>3958468</v>
      </c>
      <c r="AD182" s="279">
        <f t="shared" si="395"/>
        <v>6735.616464</v>
      </c>
      <c r="AE182" s="283">
        <f t="shared" si="174"/>
        <v>17517086.33</v>
      </c>
      <c r="AF182" s="273">
        <f t="shared" si="22"/>
        <v>0.2106994327</v>
      </c>
      <c r="AG182" s="274">
        <f t="shared" si="23"/>
        <v>3965203.616</v>
      </c>
    </row>
    <row r="183">
      <c r="A183" s="264">
        <f t="shared" si="3"/>
        <v>45919</v>
      </c>
      <c r="B183" s="269"/>
      <c r="C183" s="266"/>
      <c r="D183" s="266"/>
      <c r="E183" s="266">
        <f t="shared" si="388"/>
        <v>282131.4</v>
      </c>
      <c r="F183" s="281">
        <f t="shared" ref="F183:F185" si="402">96*7210</f>
        <v>692160</v>
      </c>
      <c r="G183" s="259">
        <f t="shared" si="391"/>
        <v>1598500</v>
      </c>
      <c r="H183" s="281">
        <f t="shared" si="396"/>
        <v>744240</v>
      </c>
      <c r="I183" s="259">
        <f t="shared" si="397"/>
        <v>1368360</v>
      </c>
      <c r="J183" s="259">
        <f t="shared" si="398"/>
        <v>2868800</v>
      </c>
      <c r="K183" s="266">
        <f t="shared" si="399"/>
        <v>1081000</v>
      </c>
      <c r="L183" s="266">
        <f t="shared" si="389"/>
        <v>162040</v>
      </c>
      <c r="M183" s="266"/>
      <c r="N183" s="266"/>
      <c r="O183" s="269"/>
      <c r="P183" s="279">
        <f t="shared" ref="P183:P203" si="403">3*255000</f>
        <v>765000</v>
      </c>
      <c r="Q183" s="279">
        <f t="shared" si="392"/>
        <v>1057920</v>
      </c>
      <c r="R183" s="266">
        <f t="shared" si="393"/>
        <v>490000</v>
      </c>
      <c r="S183" s="266">
        <f t="shared" si="390"/>
        <v>325748.1639</v>
      </c>
      <c r="T183" s="279">
        <f t="shared" si="318"/>
        <v>678360</v>
      </c>
      <c r="U183" s="266">
        <f t="shared" si="359"/>
        <v>2252057.577</v>
      </c>
      <c r="V183" s="279">
        <f t="shared" si="394"/>
        <v>98920</v>
      </c>
      <c r="W183" s="266">
        <f t="shared" si="401"/>
        <v>1168250</v>
      </c>
      <c r="X183" s="266"/>
      <c r="Y183" s="266"/>
      <c r="Z183" s="266"/>
      <c r="AA183" s="277">
        <f>AA184+1513800</f>
        <v>2855374</v>
      </c>
      <c r="AB183" s="280">
        <f t="shared" si="244"/>
        <v>13552346.84</v>
      </c>
      <c r="AC183" s="279">
        <f t="shared" si="133"/>
        <v>3956449.472</v>
      </c>
      <c r="AD183" s="279">
        <f t="shared" si="395"/>
        <v>5773.424683</v>
      </c>
      <c r="AE183" s="283">
        <f t="shared" si="174"/>
        <v>17514569.74</v>
      </c>
      <c r="AF183" s="273">
        <f t="shared" si="22"/>
        <v>0.2106922168</v>
      </c>
      <c r="AG183" s="274">
        <f t="shared" si="23"/>
        <v>3962222.897</v>
      </c>
    </row>
    <row r="184">
      <c r="A184" s="264">
        <f t="shared" si="3"/>
        <v>45918</v>
      </c>
      <c r="B184" s="269"/>
      <c r="C184" s="266"/>
      <c r="D184" s="266"/>
      <c r="E184" s="266">
        <f t="shared" si="388"/>
        <v>280819.92</v>
      </c>
      <c r="F184" s="281">
        <f t="shared" si="402"/>
        <v>692160</v>
      </c>
      <c r="G184" s="259">
        <f>139*11480</f>
        <v>1595720</v>
      </c>
      <c r="H184" s="281">
        <f>12*61840</f>
        <v>742080</v>
      </c>
      <c r="I184" s="259">
        <f>27*50500</f>
        <v>1363500</v>
      </c>
      <c r="J184" s="259">
        <f t="shared" si="398"/>
        <v>2868800</v>
      </c>
      <c r="K184" s="266">
        <f>46*23200</f>
        <v>1067200</v>
      </c>
      <c r="L184" s="266">
        <f t="shared" ref="L184:L187" si="404">2*78920</f>
        <v>157840</v>
      </c>
      <c r="M184" s="266">
        <f t="shared" ref="M184:M186" si="405">87*17400</f>
        <v>1513800</v>
      </c>
      <c r="N184" s="266"/>
      <c r="O184" s="269"/>
      <c r="P184" s="279">
        <f t="shared" si="403"/>
        <v>765000</v>
      </c>
      <c r="Q184" s="279">
        <f>608*1780</f>
        <v>1082240</v>
      </c>
      <c r="R184" s="266">
        <f>R185-300000</f>
        <v>490000</v>
      </c>
      <c r="S184" s="266">
        <f t="shared" si="390"/>
        <v>324800.3166</v>
      </c>
      <c r="T184" s="279">
        <f t="shared" si="318"/>
        <v>677760</v>
      </c>
      <c r="U184" s="266">
        <f t="shared" si="359"/>
        <v>2245338.832</v>
      </c>
      <c r="V184" s="279">
        <f t="shared" si="394"/>
        <v>98920</v>
      </c>
      <c r="W184" s="266">
        <f t="shared" si="401"/>
        <v>1153000</v>
      </c>
      <c r="X184" s="266"/>
      <c r="Y184" s="266"/>
      <c r="Z184" s="266"/>
      <c r="AA184" s="277">
        <f>AA185+300000</f>
        <v>1341574</v>
      </c>
      <c r="AB184" s="280">
        <f t="shared" si="244"/>
        <v>13528330.97</v>
      </c>
      <c r="AC184" s="279">
        <f t="shared" si="133"/>
        <v>3954430.944</v>
      </c>
      <c r="AD184" s="279">
        <f t="shared" si="395"/>
        <v>4811.232902</v>
      </c>
      <c r="AE184" s="283">
        <f t="shared" si="174"/>
        <v>17487573.15</v>
      </c>
      <c r="AF184" s="273">
        <f t="shared" si="22"/>
        <v>0.09916773938</v>
      </c>
      <c r="AG184" s="274">
        <f t="shared" si="23"/>
        <v>3959242.177</v>
      </c>
    </row>
    <row r="185">
      <c r="A185" s="264">
        <f t="shared" si="3"/>
        <v>45917</v>
      </c>
      <c r="B185" s="269"/>
      <c r="C185" s="266"/>
      <c r="D185" s="266"/>
      <c r="E185" s="266">
        <f t="shared" si="388"/>
        <v>279508.44</v>
      </c>
      <c r="F185" s="281">
        <f t="shared" si="402"/>
        <v>692160</v>
      </c>
      <c r="G185" s="259">
        <f>139*11420</f>
        <v>1587380</v>
      </c>
      <c r="H185" s="281">
        <f>12*62000</f>
        <v>744000</v>
      </c>
      <c r="I185" s="259">
        <f>27*50200</f>
        <v>1355400</v>
      </c>
      <c r="J185" s="259">
        <f t="shared" si="398"/>
        <v>2868800</v>
      </c>
      <c r="K185" s="266">
        <f>46*23320</f>
        <v>1072720</v>
      </c>
      <c r="L185" s="266">
        <f t="shared" si="404"/>
        <v>157840</v>
      </c>
      <c r="M185" s="266">
        <f t="shared" si="405"/>
        <v>1513800</v>
      </c>
      <c r="N185" s="266"/>
      <c r="O185" s="269"/>
      <c r="P185" s="279">
        <f t="shared" si="403"/>
        <v>765000</v>
      </c>
      <c r="Q185" s="279">
        <f>608*1805</f>
        <v>1097440</v>
      </c>
      <c r="R185" s="266">
        <f t="shared" ref="R185:R203" si="406">R186</f>
        <v>790000</v>
      </c>
      <c r="S185" s="266">
        <f t="shared" si="390"/>
        <v>323852.4693</v>
      </c>
      <c r="T185" s="279">
        <f t="shared" si="318"/>
        <v>677160</v>
      </c>
      <c r="U185" s="266">
        <f t="shared" si="359"/>
        <v>2238620.088</v>
      </c>
      <c r="V185" s="279">
        <f t="shared" si="394"/>
        <v>98920</v>
      </c>
      <c r="W185" s="266">
        <f t="shared" ref="W185:W186" si="407">W186+20250</f>
        <v>1137750</v>
      </c>
      <c r="X185" s="266"/>
      <c r="Y185" s="266"/>
      <c r="Z185" s="266"/>
      <c r="AA185" s="277">
        <f>AA186+1000000</f>
        <v>1041574</v>
      </c>
      <c r="AB185" s="280">
        <f t="shared" si="244"/>
        <v>13513995.1</v>
      </c>
      <c r="AC185" s="279">
        <f t="shared" si="133"/>
        <v>3952412.417</v>
      </c>
      <c r="AD185" s="279">
        <f t="shared" si="395"/>
        <v>3849.041121</v>
      </c>
      <c r="AE185" s="283">
        <f t="shared" si="174"/>
        <v>17470256.56</v>
      </c>
      <c r="AF185" s="273">
        <f t="shared" si="22"/>
        <v>0.0770737293</v>
      </c>
      <c r="AG185" s="274">
        <f t="shared" si="23"/>
        <v>3956261.458</v>
      </c>
    </row>
    <row r="186">
      <c r="A186" s="264">
        <f t="shared" si="3"/>
        <v>45916</v>
      </c>
      <c r="B186" s="269"/>
      <c r="C186" s="266"/>
      <c r="D186" s="266"/>
      <c r="E186" s="266">
        <f t="shared" si="388"/>
        <v>278196.96</v>
      </c>
      <c r="F186" s="281">
        <f>96*7130</f>
        <v>684480</v>
      </c>
      <c r="G186" s="259">
        <f>139*11380</f>
        <v>1581820</v>
      </c>
      <c r="H186" s="281">
        <f>12*61980</f>
        <v>743760</v>
      </c>
      <c r="I186" s="259">
        <f>27*50620</f>
        <v>1366740</v>
      </c>
      <c r="J186" s="259">
        <f t="shared" si="398"/>
        <v>2868800</v>
      </c>
      <c r="K186" s="266">
        <f>46*24200</f>
        <v>1113200</v>
      </c>
      <c r="L186" s="266">
        <f t="shared" si="404"/>
        <v>157840</v>
      </c>
      <c r="M186" s="266">
        <f t="shared" si="405"/>
        <v>1513800</v>
      </c>
      <c r="N186" s="266"/>
      <c r="O186" s="269"/>
      <c r="P186" s="279">
        <f t="shared" si="403"/>
        <v>765000</v>
      </c>
      <c r="Q186" s="279">
        <f>608*1815</f>
        <v>1103520</v>
      </c>
      <c r="R186" s="266">
        <f t="shared" si="406"/>
        <v>790000</v>
      </c>
      <c r="S186" s="266">
        <f t="shared" si="390"/>
        <v>322904.622</v>
      </c>
      <c r="T186" s="279">
        <f t="shared" si="318"/>
        <v>676560</v>
      </c>
      <c r="U186" s="266">
        <f t="shared" si="359"/>
        <v>2231901.343</v>
      </c>
      <c r="V186" s="279">
        <f t="shared" si="394"/>
        <v>98920</v>
      </c>
      <c r="W186" s="266">
        <f t="shared" si="407"/>
        <v>1117500</v>
      </c>
      <c r="X186" s="266"/>
      <c r="Y186" s="266"/>
      <c r="Z186" s="266"/>
      <c r="AA186" s="277">
        <f>AA187</f>
        <v>41574</v>
      </c>
      <c r="AB186" s="280">
        <f t="shared" si="244"/>
        <v>12540559.23</v>
      </c>
      <c r="AC186" s="279">
        <f t="shared" si="133"/>
        <v>3950393.889</v>
      </c>
      <c r="AD186" s="279">
        <f t="shared" si="395"/>
        <v>2886.84934</v>
      </c>
      <c r="AE186" s="283">
        <f t="shared" si="174"/>
        <v>16493839.96</v>
      </c>
      <c r="AF186" s="273">
        <f t="shared" si="22"/>
        <v>0.003315163164</v>
      </c>
      <c r="AG186" s="274">
        <f t="shared" si="23"/>
        <v>3953280.738</v>
      </c>
    </row>
    <row r="187">
      <c r="A187" s="264">
        <f t="shared" si="3"/>
        <v>45915</v>
      </c>
      <c r="B187" s="269"/>
      <c r="C187" s="266"/>
      <c r="D187" s="266"/>
      <c r="E187" s="266">
        <f t="shared" si="388"/>
        <v>276885.48</v>
      </c>
      <c r="F187" s="281">
        <f>96*7220</f>
        <v>693120</v>
      </c>
      <c r="G187" s="259">
        <f t="shared" ref="G187:G191" si="408">139*11480</f>
        <v>1595720</v>
      </c>
      <c r="H187" s="281">
        <f>12*61900</f>
        <v>742800</v>
      </c>
      <c r="I187" s="259">
        <f>27*50720</f>
        <v>1369440</v>
      </c>
      <c r="J187" s="259">
        <f t="shared" si="398"/>
        <v>2868800</v>
      </c>
      <c r="K187" s="266">
        <f t="shared" ref="K187:K194" si="409">46*24300</f>
        <v>1117800</v>
      </c>
      <c r="L187" s="266">
        <f t="shared" si="404"/>
        <v>157840</v>
      </c>
      <c r="M187" s="266">
        <f>87*17600</f>
        <v>1531200</v>
      </c>
      <c r="N187" s="266"/>
      <c r="O187" s="269"/>
      <c r="P187" s="279">
        <f t="shared" si="403"/>
        <v>765000</v>
      </c>
      <c r="Q187" s="279">
        <f>608*1810</f>
        <v>1100480</v>
      </c>
      <c r="R187" s="266">
        <f t="shared" si="406"/>
        <v>790000</v>
      </c>
      <c r="S187" s="266">
        <f t="shared" si="390"/>
        <v>321956.7747</v>
      </c>
      <c r="T187" s="279">
        <f t="shared" si="318"/>
        <v>675960</v>
      </c>
      <c r="U187" s="266">
        <f t="shared" si="359"/>
        <v>2225182.598</v>
      </c>
      <c r="V187" s="279">
        <f t="shared" si="394"/>
        <v>98920</v>
      </c>
      <c r="W187" s="266">
        <f>W188+20250+58500</f>
        <v>1097250</v>
      </c>
      <c r="X187" s="266"/>
      <c r="Y187" s="266"/>
      <c r="Z187" s="266"/>
      <c r="AA187" s="277">
        <f>AA188-58500</f>
        <v>41574</v>
      </c>
      <c r="AB187" s="280">
        <f t="shared" si="244"/>
        <v>12549623.35</v>
      </c>
      <c r="AC187" s="279">
        <f t="shared" si="133"/>
        <v>3948375.361</v>
      </c>
      <c r="AD187" s="279">
        <f t="shared" si="395"/>
        <v>1924.657559</v>
      </c>
      <c r="AE187" s="283">
        <f t="shared" si="174"/>
        <v>16499923.37</v>
      </c>
      <c r="AF187" s="273">
        <f t="shared" si="22"/>
        <v>0.003312768744</v>
      </c>
      <c r="AG187" s="274">
        <f t="shared" si="23"/>
        <v>3950300.019</v>
      </c>
    </row>
    <row r="188">
      <c r="A188" s="284">
        <f t="shared" si="3"/>
        <v>45914</v>
      </c>
      <c r="B188" s="269"/>
      <c r="C188" s="266"/>
      <c r="D188" s="266"/>
      <c r="E188" s="266">
        <f t="shared" si="388"/>
        <v>275574</v>
      </c>
      <c r="F188" s="281">
        <f>96*7210</f>
        <v>692160</v>
      </c>
      <c r="G188" s="259">
        <f t="shared" si="408"/>
        <v>1595720</v>
      </c>
      <c r="H188" s="281">
        <f t="shared" ref="H188:H190" si="410">12*61220</f>
        <v>734640</v>
      </c>
      <c r="I188" s="259">
        <f t="shared" ref="I188:I190" si="411">27*50620</f>
        <v>1366740</v>
      </c>
      <c r="J188" s="259">
        <f t="shared" si="398"/>
        <v>2868800</v>
      </c>
      <c r="K188" s="266">
        <f t="shared" si="409"/>
        <v>1117800</v>
      </c>
      <c r="L188" s="266">
        <f t="shared" ref="L188:L191" si="412">2*77500</f>
        <v>155000</v>
      </c>
      <c r="M188" s="266">
        <f t="shared" ref="M188:M192" si="413">87*17840</f>
        <v>1552080</v>
      </c>
      <c r="N188" s="266"/>
      <c r="O188" s="269"/>
      <c r="P188" s="279">
        <f t="shared" si="403"/>
        <v>765000</v>
      </c>
      <c r="Q188" s="279">
        <f t="shared" ref="Q188:Q190" si="414">608*1790</f>
        <v>1088320</v>
      </c>
      <c r="R188" s="266">
        <f t="shared" si="406"/>
        <v>790000</v>
      </c>
      <c r="S188" s="266">
        <f t="shared" si="390"/>
        <v>321008.9274</v>
      </c>
      <c r="T188" s="279">
        <f t="shared" si="318"/>
        <v>675360</v>
      </c>
      <c r="U188" s="266">
        <f>U189+2195.7447+4523+350000</f>
        <v>2218463.853</v>
      </c>
      <c r="V188" s="279">
        <f t="shared" si="394"/>
        <v>98920</v>
      </c>
      <c r="W188" s="266">
        <f>W189+27809-410000+40000</f>
        <v>1018500</v>
      </c>
      <c r="X188" s="266"/>
      <c r="Y188" s="266"/>
      <c r="Z188" s="266"/>
      <c r="AA188" s="277">
        <f>AA189+410000-30200-40000-350000</f>
        <v>100074</v>
      </c>
      <c r="AB188" s="280">
        <f t="shared" si="244"/>
        <v>12519107.48</v>
      </c>
      <c r="AC188" s="279">
        <f t="shared" si="133"/>
        <v>3946356.833</v>
      </c>
      <c r="AD188" s="279">
        <f>AD189+382.191781+300+180+100-30200</f>
        <v>962.465778</v>
      </c>
      <c r="AE188" s="283">
        <f t="shared" si="174"/>
        <v>16466426.78</v>
      </c>
      <c r="AF188" s="273">
        <f t="shared" si="22"/>
        <v>0.007993700841</v>
      </c>
      <c r="AG188" s="274">
        <f t="shared" si="23"/>
        <v>3947319.299</v>
      </c>
    </row>
    <row r="189">
      <c r="A189" s="284">
        <f t="shared" si="3"/>
        <v>45913</v>
      </c>
      <c r="B189" s="269"/>
      <c r="C189" s="266"/>
      <c r="D189" s="266"/>
      <c r="E189" s="266">
        <f t="shared" si="388"/>
        <v>274262.52</v>
      </c>
      <c r="F189" s="281">
        <f>96*6960</f>
        <v>668160</v>
      </c>
      <c r="G189" s="259">
        <f t="shared" si="408"/>
        <v>1595720</v>
      </c>
      <c r="H189" s="281">
        <f t="shared" si="410"/>
        <v>734640</v>
      </c>
      <c r="I189" s="259">
        <f t="shared" si="411"/>
        <v>1366740</v>
      </c>
      <c r="J189" s="259">
        <f t="shared" si="398"/>
        <v>2868800</v>
      </c>
      <c r="K189" s="266">
        <f t="shared" si="409"/>
        <v>1117800</v>
      </c>
      <c r="L189" s="266">
        <f t="shared" si="412"/>
        <v>155000</v>
      </c>
      <c r="M189" s="266">
        <f t="shared" si="413"/>
        <v>1552080</v>
      </c>
      <c r="N189" s="266"/>
      <c r="O189" s="269"/>
      <c r="P189" s="279">
        <f t="shared" si="403"/>
        <v>765000</v>
      </c>
      <c r="Q189" s="279">
        <f t="shared" si="414"/>
        <v>1088320</v>
      </c>
      <c r="R189" s="266">
        <f t="shared" si="406"/>
        <v>790000</v>
      </c>
      <c r="S189" s="266">
        <f t="shared" si="390"/>
        <v>320061.0801</v>
      </c>
      <c r="T189" s="279">
        <f t="shared" si="318"/>
        <v>674760</v>
      </c>
      <c r="U189" s="266">
        <f t="shared" ref="U189:U203" si="415">U190+2195.7447+4523</f>
        <v>1861745.109</v>
      </c>
      <c r="V189" s="279">
        <f t="shared" si="394"/>
        <v>98920</v>
      </c>
      <c r="W189" s="266">
        <f t="shared" ref="W189:W193" si="416">W190+17813</f>
        <v>1360691</v>
      </c>
      <c r="X189" s="266"/>
      <c r="Y189" s="266"/>
      <c r="Z189" s="266"/>
      <c r="AA189" s="277">
        <f t="shared" ref="AA189:AA190" si="417">AA190</f>
        <v>110274</v>
      </c>
      <c r="AB189" s="280">
        <f t="shared" si="244"/>
        <v>12486012.61</v>
      </c>
      <c r="AC189" s="279">
        <f t="shared" si="133"/>
        <v>3944338.306</v>
      </c>
      <c r="AD189" s="279">
        <f t="shared" ref="AD189:AD219" si="418">AD190+382.191781+300+180+100</f>
        <v>30200.274</v>
      </c>
      <c r="AE189" s="283">
        <f t="shared" si="174"/>
        <v>16460551.19</v>
      </c>
      <c r="AF189" s="273">
        <f t="shared" si="22"/>
        <v>0.00883180271</v>
      </c>
      <c r="AG189" s="274">
        <f t="shared" si="23"/>
        <v>3974538.58</v>
      </c>
    </row>
    <row r="190">
      <c r="A190" s="264">
        <f t="shared" si="3"/>
        <v>45912</v>
      </c>
      <c r="B190" s="269"/>
      <c r="C190" s="266"/>
      <c r="D190" s="266"/>
      <c r="E190" s="266">
        <f t="shared" si="388"/>
        <v>272951.04</v>
      </c>
      <c r="F190" s="281">
        <f t="shared" ref="F190:F210" si="419">96*7210</f>
        <v>692160</v>
      </c>
      <c r="G190" s="259">
        <f t="shared" si="408"/>
        <v>1595720</v>
      </c>
      <c r="H190" s="281">
        <f t="shared" si="410"/>
        <v>734640</v>
      </c>
      <c r="I190" s="259">
        <f t="shared" si="411"/>
        <v>1366740</v>
      </c>
      <c r="J190" s="259">
        <f t="shared" si="398"/>
        <v>2868800</v>
      </c>
      <c r="K190" s="266">
        <f t="shared" si="409"/>
        <v>1117800</v>
      </c>
      <c r="L190" s="266">
        <f t="shared" si="412"/>
        <v>155000</v>
      </c>
      <c r="M190" s="266">
        <f t="shared" si="413"/>
        <v>1552080</v>
      </c>
      <c r="N190" s="266"/>
      <c r="O190" s="269"/>
      <c r="P190" s="279">
        <f t="shared" si="403"/>
        <v>765000</v>
      </c>
      <c r="Q190" s="279">
        <f t="shared" si="414"/>
        <v>1088320</v>
      </c>
      <c r="R190" s="266">
        <f t="shared" si="406"/>
        <v>790000</v>
      </c>
      <c r="S190" s="266">
        <f t="shared" si="390"/>
        <v>319113.2328</v>
      </c>
      <c r="T190" s="279">
        <f t="shared" si="318"/>
        <v>674160</v>
      </c>
      <c r="U190" s="266">
        <f t="shared" si="415"/>
        <v>1855026.364</v>
      </c>
      <c r="V190" s="279">
        <f t="shared" si="394"/>
        <v>98920</v>
      </c>
      <c r="W190" s="266">
        <f t="shared" si="416"/>
        <v>1342878</v>
      </c>
      <c r="X190" s="266"/>
      <c r="Y190" s="266"/>
      <c r="Z190" s="266"/>
      <c r="AA190" s="277">
        <f t="shared" si="417"/>
        <v>110274</v>
      </c>
      <c r="AB190" s="280">
        <f t="shared" si="244"/>
        <v>12462913.74</v>
      </c>
      <c r="AC190" s="279">
        <f t="shared" si="133"/>
        <v>3942319.778</v>
      </c>
      <c r="AD190" s="279">
        <f t="shared" si="418"/>
        <v>29238.08222</v>
      </c>
      <c r="AE190" s="283">
        <f t="shared" si="174"/>
        <v>16434471.6</v>
      </c>
      <c r="AF190" s="273">
        <f t="shared" si="22"/>
        <v>0.00884817165</v>
      </c>
      <c r="AG190" s="274">
        <f t="shared" si="23"/>
        <v>3971557.86</v>
      </c>
    </row>
    <row r="191">
      <c r="A191" s="264">
        <f t="shared" si="3"/>
        <v>45911</v>
      </c>
      <c r="B191" s="269"/>
      <c r="C191" s="266"/>
      <c r="D191" s="266"/>
      <c r="E191" s="266">
        <f t="shared" si="388"/>
        <v>271639.56</v>
      </c>
      <c r="F191" s="281">
        <f t="shared" si="419"/>
        <v>692160</v>
      </c>
      <c r="G191" s="259">
        <f t="shared" si="408"/>
        <v>1595720</v>
      </c>
      <c r="H191" s="281">
        <f>12*60600</f>
        <v>727200</v>
      </c>
      <c r="I191" s="259">
        <f>27*51040</f>
        <v>1378080</v>
      </c>
      <c r="J191" s="259">
        <f t="shared" ref="J191:J193" si="420">80*36000</f>
        <v>2880000</v>
      </c>
      <c r="K191" s="266">
        <f t="shared" si="409"/>
        <v>1117800</v>
      </c>
      <c r="L191" s="266">
        <f t="shared" si="412"/>
        <v>155000</v>
      </c>
      <c r="M191" s="266">
        <f t="shared" si="413"/>
        <v>1552080</v>
      </c>
      <c r="N191" s="266"/>
      <c r="O191" s="269"/>
      <c r="P191" s="279">
        <f t="shared" si="403"/>
        <v>765000</v>
      </c>
      <c r="Q191" s="279">
        <f>608*1810</f>
        <v>1100480</v>
      </c>
      <c r="R191" s="266">
        <f t="shared" si="406"/>
        <v>790000</v>
      </c>
      <c r="S191" s="266">
        <f t="shared" si="390"/>
        <v>318165.3855</v>
      </c>
      <c r="T191" s="279">
        <f t="shared" si="318"/>
        <v>673560</v>
      </c>
      <c r="U191" s="266">
        <f t="shared" si="415"/>
        <v>1848307.619</v>
      </c>
      <c r="V191" s="279">
        <f t="shared" si="394"/>
        <v>98920</v>
      </c>
      <c r="W191" s="266">
        <f t="shared" si="416"/>
        <v>1325065</v>
      </c>
      <c r="X191" s="266"/>
      <c r="Y191" s="266"/>
      <c r="Z191" s="266"/>
      <c r="AA191" s="277">
        <f>AA192-705280+40000</f>
        <v>110274</v>
      </c>
      <c r="AB191" s="280">
        <f t="shared" si="244"/>
        <v>12467074.86</v>
      </c>
      <c r="AC191" s="279">
        <f t="shared" si="133"/>
        <v>3940301.25</v>
      </c>
      <c r="AD191" s="279">
        <f t="shared" si="418"/>
        <v>28275.89044</v>
      </c>
      <c r="AE191" s="283">
        <f t="shared" si="174"/>
        <v>16435652</v>
      </c>
      <c r="AF191" s="273">
        <f t="shared" si="22"/>
        <v>0.008845218401</v>
      </c>
      <c r="AG191" s="274">
        <f t="shared" si="23"/>
        <v>3968577.14</v>
      </c>
    </row>
    <row r="192">
      <c r="A192" s="264">
        <f t="shared" si="3"/>
        <v>45910</v>
      </c>
      <c r="B192" s="269"/>
      <c r="C192" s="266"/>
      <c r="D192" s="266"/>
      <c r="E192" s="266">
        <f t="shared" si="388"/>
        <v>270328.08</v>
      </c>
      <c r="F192" s="281">
        <f t="shared" si="419"/>
        <v>692160</v>
      </c>
      <c r="G192" s="259">
        <f>78*11440</f>
        <v>892320</v>
      </c>
      <c r="H192" s="281">
        <f>12*60280</f>
        <v>723360</v>
      </c>
      <c r="I192" s="259">
        <f>27*52800</f>
        <v>1425600</v>
      </c>
      <c r="J192" s="259">
        <f t="shared" si="420"/>
        <v>2880000</v>
      </c>
      <c r="K192" s="266">
        <f t="shared" si="409"/>
        <v>1117800</v>
      </c>
      <c r="L192" s="266">
        <f>2*76580</f>
        <v>153160</v>
      </c>
      <c r="M192" s="266">
        <f t="shared" si="413"/>
        <v>1552080</v>
      </c>
      <c r="N192" s="266"/>
      <c r="O192" s="269"/>
      <c r="P192" s="279">
        <f t="shared" si="403"/>
        <v>765000</v>
      </c>
      <c r="Q192" s="279">
        <f>608*1845</f>
        <v>1121760</v>
      </c>
      <c r="R192" s="266">
        <f t="shared" si="406"/>
        <v>790000</v>
      </c>
      <c r="S192" s="266">
        <f t="shared" si="390"/>
        <v>317217.5382</v>
      </c>
      <c r="T192" s="279">
        <f t="shared" si="318"/>
        <v>672960</v>
      </c>
      <c r="U192" s="266">
        <f t="shared" si="415"/>
        <v>1841588.875</v>
      </c>
      <c r="V192" s="279">
        <f t="shared" si="394"/>
        <v>98920</v>
      </c>
      <c r="W192" s="266">
        <f t="shared" si="416"/>
        <v>1307252</v>
      </c>
      <c r="X192" s="266"/>
      <c r="Y192" s="266"/>
      <c r="Z192" s="266"/>
      <c r="AA192" s="277">
        <f t="shared" ref="AA192:AA193" si="421">AA193</f>
        <v>775554</v>
      </c>
      <c r="AB192" s="280">
        <f t="shared" si="244"/>
        <v>12468975.99</v>
      </c>
      <c r="AC192" s="279">
        <f t="shared" si="133"/>
        <v>3938282.722</v>
      </c>
      <c r="AD192" s="279">
        <f t="shared" si="418"/>
        <v>27313.69865</v>
      </c>
      <c r="AE192" s="283">
        <f t="shared" si="174"/>
        <v>16434572.41</v>
      </c>
      <c r="AF192" s="273">
        <f t="shared" si="22"/>
        <v>0.06219869222</v>
      </c>
      <c r="AG192" s="274">
        <f t="shared" si="23"/>
        <v>3965596.421</v>
      </c>
    </row>
    <row r="193">
      <c r="A193" s="264">
        <f t="shared" si="3"/>
        <v>45909</v>
      </c>
      <c r="B193" s="269"/>
      <c r="C193" s="266"/>
      <c r="D193" s="266"/>
      <c r="E193" s="266">
        <f t="shared" si="388"/>
        <v>269016.6</v>
      </c>
      <c r="F193" s="281">
        <f t="shared" si="419"/>
        <v>692160</v>
      </c>
      <c r="G193" s="259">
        <f>78*11280</f>
        <v>879840</v>
      </c>
      <c r="H193" s="281">
        <f>12*60400</f>
        <v>724800</v>
      </c>
      <c r="I193" s="259">
        <f>27*52400</f>
        <v>1414800</v>
      </c>
      <c r="J193" s="259">
        <f t="shared" si="420"/>
        <v>2880000</v>
      </c>
      <c r="K193" s="266">
        <f t="shared" si="409"/>
        <v>1117800</v>
      </c>
      <c r="L193" s="266">
        <f>2*77600</f>
        <v>155200</v>
      </c>
      <c r="M193" s="266">
        <f>87*17920</f>
        <v>1559040</v>
      </c>
      <c r="N193" s="266"/>
      <c r="O193" s="269"/>
      <c r="P193" s="279">
        <f t="shared" si="403"/>
        <v>765000</v>
      </c>
      <c r="Q193" s="279">
        <f>608*1820</f>
        <v>1106560</v>
      </c>
      <c r="R193" s="266">
        <f t="shared" si="406"/>
        <v>790000</v>
      </c>
      <c r="S193" s="266">
        <f t="shared" si="390"/>
        <v>316269.6909</v>
      </c>
      <c r="T193" s="279">
        <f t="shared" si="318"/>
        <v>672360</v>
      </c>
      <c r="U193" s="266">
        <f t="shared" si="415"/>
        <v>1834870.13</v>
      </c>
      <c r="V193" s="279">
        <f t="shared" si="394"/>
        <v>98920</v>
      </c>
      <c r="W193" s="266">
        <f t="shared" si="416"/>
        <v>1289439</v>
      </c>
      <c r="X193" s="266"/>
      <c r="Y193" s="266"/>
      <c r="Z193" s="266"/>
      <c r="AA193" s="277">
        <f t="shared" si="421"/>
        <v>775554</v>
      </c>
      <c r="AB193" s="280">
        <f t="shared" si="244"/>
        <v>12417837.12</v>
      </c>
      <c r="AC193" s="279">
        <f t="shared" si="133"/>
        <v>3936264.194</v>
      </c>
      <c r="AD193" s="279">
        <f t="shared" si="418"/>
        <v>26351.50687</v>
      </c>
      <c r="AE193" s="283">
        <f t="shared" si="174"/>
        <v>16380452.82</v>
      </c>
      <c r="AF193" s="273">
        <f t="shared" si="22"/>
        <v>0.06245483755</v>
      </c>
      <c r="AG193" s="274">
        <f t="shared" si="23"/>
        <v>3962615.701</v>
      </c>
    </row>
    <row r="194">
      <c r="A194" s="264">
        <f t="shared" si="3"/>
        <v>45908</v>
      </c>
      <c r="B194" s="269"/>
      <c r="C194" s="266"/>
      <c r="D194" s="266"/>
      <c r="E194" s="266">
        <f t="shared" si="388"/>
        <v>267705.12</v>
      </c>
      <c r="F194" s="281">
        <f t="shared" si="419"/>
        <v>692160</v>
      </c>
      <c r="G194" s="259">
        <f>78*11200</f>
        <v>873600</v>
      </c>
      <c r="H194" s="281">
        <f>12*59520</f>
        <v>714240</v>
      </c>
      <c r="I194" s="259">
        <f>27*52100</f>
        <v>1406700</v>
      </c>
      <c r="J194" s="259">
        <f t="shared" ref="J194:J197" si="422">80*35540</f>
        <v>2843200</v>
      </c>
      <c r="K194" s="266">
        <f t="shared" si="409"/>
        <v>1117800</v>
      </c>
      <c r="L194" s="266">
        <f>2*79460</f>
        <v>158920</v>
      </c>
      <c r="M194" s="266">
        <f t="shared" ref="M194:M197" si="423">87*18020</f>
        <v>1567740</v>
      </c>
      <c r="N194" s="266"/>
      <c r="O194" s="269"/>
      <c r="P194" s="279">
        <f t="shared" si="403"/>
        <v>765000</v>
      </c>
      <c r="Q194" s="279">
        <f>608*1810</f>
        <v>1100480</v>
      </c>
      <c r="R194" s="266">
        <f t="shared" si="406"/>
        <v>790000</v>
      </c>
      <c r="S194" s="266">
        <f t="shared" si="390"/>
        <v>315321.8436</v>
      </c>
      <c r="T194" s="279">
        <f t="shared" si="318"/>
        <v>671760</v>
      </c>
      <c r="U194" s="266">
        <f t="shared" si="415"/>
        <v>1828151.385</v>
      </c>
      <c r="V194" s="279">
        <f t="shared" si="394"/>
        <v>98920</v>
      </c>
      <c r="W194" s="266">
        <f>W195+150000+17813</f>
        <v>1271626</v>
      </c>
      <c r="X194" s="266"/>
      <c r="Y194" s="266"/>
      <c r="Z194" s="266"/>
      <c r="AA194" s="277">
        <f>AA195-150000+630000</f>
        <v>775554</v>
      </c>
      <c r="AB194" s="280">
        <f t="shared" si="244"/>
        <v>12339378.25</v>
      </c>
      <c r="AC194" s="279">
        <f t="shared" si="133"/>
        <v>3934245.667</v>
      </c>
      <c r="AD194" s="279">
        <f t="shared" si="418"/>
        <v>25389.31509</v>
      </c>
      <c r="AE194" s="283">
        <f t="shared" si="174"/>
        <v>16299013.23</v>
      </c>
      <c r="AF194" s="273">
        <f t="shared" si="22"/>
        <v>0.06285195125</v>
      </c>
      <c r="AG194" s="274">
        <f t="shared" si="23"/>
        <v>3959634.982</v>
      </c>
    </row>
    <row r="195">
      <c r="A195" s="284">
        <f t="shared" si="3"/>
        <v>45907</v>
      </c>
      <c r="B195" s="269"/>
      <c r="C195" s="266"/>
      <c r="D195" s="266"/>
      <c r="E195" s="266">
        <f t="shared" si="388"/>
        <v>266393.64</v>
      </c>
      <c r="F195" s="281">
        <f t="shared" si="419"/>
        <v>692160</v>
      </c>
      <c r="G195" s="259">
        <f t="shared" ref="G195:G197" si="424">78*11180</f>
        <v>872040</v>
      </c>
      <c r="H195" s="281">
        <f t="shared" ref="H195:H197" si="425">12*58100</f>
        <v>697200</v>
      </c>
      <c r="I195" s="259">
        <f t="shared" ref="I195:I197" si="426">27*52020</f>
        <v>1404540</v>
      </c>
      <c r="J195" s="259">
        <f t="shared" si="422"/>
        <v>2843200</v>
      </c>
      <c r="K195" s="266">
        <f t="shared" ref="K195:K197" si="427">46*24240</f>
        <v>1115040</v>
      </c>
      <c r="L195" s="266">
        <f t="shared" ref="L195:L200" si="428">11*70000</f>
        <v>770000</v>
      </c>
      <c r="M195" s="266">
        <f t="shared" si="423"/>
        <v>1567740</v>
      </c>
      <c r="N195" s="266"/>
      <c r="O195" s="269"/>
      <c r="P195" s="279">
        <f t="shared" si="403"/>
        <v>765000</v>
      </c>
      <c r="Q195" s="279">
        <f t="shared" ref="Q195:Q197" si="429">608*1800</f>
        <v>1094400</v>
      </c>
      <c r="R195" s="266">
        <f t="shared" si="406"/>
        <v>790000</v>
      </c>
      <c r="S195" s="266">
        <f t="shared" si="390"/>
        <v>314373.9963</v>
      </c>
      <c r="T195" s="279">
        <f t="shared" si="318"/>
        <v>671160</v>
      </c>
      <c r="U195" s="266">
        <f t="shared" si="415"/>
        <v>1821432.641</v>
      </c>
      <c r="V195" s="279">
        <f t="shared" si="394"/>
        <v>98920</v>
      </c>
      <c r="W195" s="266">
        <f>W196+16600+30000+17813</f>
        <v>1103813</v>
      </c>
      <c r="X195" s="266"/>
      <c r="Y195" s="266"/>
      <c r="Z195" s="266"/>
      <c r="AA195" s="277">
        <f t="shared" ref="AA195:AA198" si="430">AA196</f>
        <v>295554</v>
      </c>
      <c r="AB195" s="280">
        <f t="shared" si="244"/>
        <v>12267759.37</v>
      </c>
      <c r="AC195" s="279">
        <f t="shared" si="133"/>
        <v>3932227.139</v>
      </c>
      <c r="AD195" s="279">
        <f t="shared" si="418"/>
        <v>24427.12331</v>
      </c>
      <c r="AE195" s="283">
        <f t="shared" si="174"/>
        <v>16224413.64</v>
      </c>
      <c r="AF195" s="273">
        <f t="shared" si="22"/>
        <v>0.02409192999</v>
      </c>
      <c r="AG195" s="274">
        <f t="shared" si="23"/>
        <v>3956654.262</v>
      </c>
    </row>
    <row r="196">
      <c r="A196" s="284">
        <f t="shared" si="3"/>
        <v>45906</v>
      </c>
      <c r="B196" s="269"/>
      <c r="C196" s="266"/>
      <c r="D196" s="266"/>
      <c r="E196" s="266">
        <f t="shared" si="388"/>
        <v>265082.16</v>
      </c>
      <c r="F196" s="281">
        <f t="shared" si="419"/>
        <v>692160</v>
      </c>
      <c r="G196" s="259">
        <f t="shared" si="424"/>
        <v>872040</v>
      </c>
      <c r="H196" s="281">
        <f t="shared" si="425"/>
        <v>697200</v>
      </c>
      <c r="I196" s="259">
        <f t="shared" si="426"/>
        <v>1404540</v>
      </c>
      <c r="J196" s="259">
        <f t="shared" si="422"/>
        <v>2843200</v>
      </c>
      <c r="K196" s="266">
        <f t="shared" si="427"/>
        <v>1115040</v>
      </c>
      <c r="L196" s="266">
        <f t="shared" si="428"/>
        <v>770000</v>
      </c>
      <c r="M196" s="266">
        <f t="shared" si="423"/>
        <v>1567740</v>
      </c>
      <c r="N196" s="266"/>
      <c r="O196" s="269"/>
      <c r="P196" s="279">
        <f t="shared" si="403"/>
        <v>765000</v>
      </c>
      <c r="Q196" s="279">
        <f t="shared" si="429"/>
        <v>1094400</v>
      </c>
      <c r="R196" s="266">
        <f t="shared" si="406"/>
        <v>790000</v>
      </c>
      <c r="S196" s="266">
        <f t="shared" si="390"/>
        <v>313426.149</v>
      </c>
      <c r="T196" s="279">
        <f t="shared" si="318"/>
        <v>670560</v>
      </c>
      <c r="U196" s="266">
        <f t="shared" si="415"/>
        <v>1814713.896</v>
      </c>
      <c r="V196" s="279">
        <f t="shared" ref="V196:V199" si="431">37920+65000+270000-50000-40000-40000-40000-80000</f>
        <v>122920</v>
      </c>
      <c r="W196" s="266">
        <f t="shared" ref="W196:W199" si="432">W197+16600</f>
        <v>1039400</v>
      </c>
      <c r="X196" s="266"/>
      <c r="Y196" s="266"/>
      <c r="Z196" s="266"/>
      <c r="AA196" s="277">
        <f t="shared" si="430"/>
        <v>295554</v>
      </c>
      <c r="AB196" s="280">
        <f t="shared" si="244"/>
        <v>12222060.5</v>
      </c>
      <c r="AC196" s="279">
        <f t="shared" si="133"/>
        <v>3930208.611</v>
      </c>
      <c r="AD196" s="279">
        <f t="shared" si="418"/>
        <v>23464.93153</v>
      </c>
      <c r="AE196" s="283">
        <f t="shared" si="174"/>
        <v>16175734.04</v>
      </c>
      <c r="AF196" s="273">
        <f t="shared" si="22"/>
        <v>0.02418201088</v>
      </c>
      <c r="AG196" s="274">
        <f t="shared" si="23"/>
        <v>3953673.543</v>
      </c>
    </row>
    <row r="197">
      <c r="A197" s="264">
        <f t="shared" si="3"/>
        <v>45905</v>
      </c>
      <c r="B197" s="269"/>
      <c r="C197" s="266"/>
      <c r="D197" s="266"/>
      <c r="E197" s="266">
        <f t="shared" si="388"/>
        <v>263770.68</v>
      </c>
      <c r="F197" s="281">
        <f t="shared" si="419"/>
        <v>692160</v>
      </c>
      <c r="G197" s="259">
        <f t="shared" si="424"/>
        <v>872040</v>
      </c>
      <c r="H197" s="281">
        <f t="shared" si="425"/>
        <v>697200</v>
      </c>
      <c r="I197" s="259">
        <f t="shared" si="426"/>
        <v>1404540</v>
      </c>
      <c r="J197" s="259">
        <f t="shared" si="422"/>
        <v>2843200</v>
      </c>
      <c r="K197" s="266">
        <f t="shared" si="427"/>
        <v>1115040</v>
      </c>
      <c r="L197" s="266">
        <f t="shared" si="428"/>
        <v>770000</v>
      </c>
      <c r="M197" s="266">
        <f t="shared" si="423"/>
        <v>1567740</v>
      </c>
      <c r="N197" s="266"/>
      <c r="O197" s="269"/>
      <c r="P197" s="279">
        <f t="shared" si="403"/>
        <v>765000</v>
      </c>
      <c r="Q197" s="279">
        <f t="shared" si="429"/>
        <v>1094400</v>
      </c>
      <c r="R197" s="266">
        <f t="shared" si="406"/>
        <v>790000</v>
      </c>
      <c r="S197" s="266">
        <f t="shared" si="390"/>
        <v>312478.3017</v>
      </c>
      <c r="T197" s="279">
        <f t="shared" si="318"/>
        <v>669960</v>
      </c>
      <c r="U197" s="266">
        <f t="shared" si="415"/>
        <v>1807995.151</v>
      </c>
      <c r="V197" s="279">
        <f t="shared" si="431"/>
        <v>122920</v>
      </c>
      <c r="W197" s="266">
        <f t="shared" si="432"/>
        <v>1022800</v>
      </c>
      <c r="X197" s="266"/>
      <c r="Y197" s="266"/>
      <c r="Z197" s="266"/>
      <c r="AA197" s="277">
        <f t="shared" si="430"/>
        <v>295554</v>
      </c>
      <c r="AB197" s="280">
        <f t="shared" si="244"/>
        <v>12200174.63</v>
      </c>
      <c r="AC197" s="279">
        <f t="shared" si="133"/>
        <v>3928190.083</v>
      </c>
      <c r="AD197" s="279">
        <f t="shared" si="418"/>
        <v>22502.73975</v>
      </c>
      <c r="AE197" s="283">
        <f t="shared" si="174"/>
        <v>16150867.45</v>
      </c>
      <c r="AF197" s="273">
        <f t="shared" si="22"/>
        <v>0.02422539094</v>
      </c>
      <c r="AG197" s="274">
        <f t="shared" si="23"/>
        <v>3950692.823</v>
      </c>
    </row>
    <row r="198">
      <c r="A198" s="264">
        <f t="shared" si="3"/>
        <v>45904</v>
      </c>
      <c r="B198" s="269"/>
      <c r="C198" s="266"/>
      <c r="D198" s="266"/>
      <c r="E198" s="266">
        <f t="shared" si="388"/>
        <v>262459.2</v>
      </c>
      <c r="F198" s="281">
        <f t="shared" si="419"/>
        <v>692160</v>
      </c>
      <c r="G198" s="259">
        <f>78*10620</f>
        <v>828360</v>
      </c>
      <c r="H198" s="281">
        <f>12*59400</f>
        <v>712800</v>
      </c>
      <c r="I198" s="259">
        <f>27*50780</f>
        <v>1371060</v>
      </c>
      <c r="J198" s="259">
        <f t="shared" ref="J198:J200" si="433">80*35500</f>
        <v>2840000</v>
      </c>
      <c r="K198" s="266">
        <f>46*24100</f>
        <v>1108600</v>
      </c>
      <c r="L198" s="266">
        <f t="shared" si="428"/>
        <v>770000</v>
      </c>
      <c r="M198" s="266">
        <f>87*18200</f>
        <v>1583400</v>
      </c>
      <c r="N198" s="266"/>
      <c r="O198" s="269"/>
      <c r="P198" s="279">
        <f t="shared" si="403"/>
        <v>765000</v>
      </c>
      <c r="Q198" s="279">
        <f>608*1810</f>
        <v>1100480</v>
      </c>
      <c r="R198" s="266">
        <f t="shared" si="406"/>
        <v>790000</v>
      </c>
      <c r="S198" s="266">
        <f t="shared" si="390"/>
        <v>311530.4544</v>
      </c>
      <c r="T198" s="279">
        <f t="shared" si="318"/>
        <v>669360</v>
      </c>
      <c r="U198" s="266">
        <f t="shared" si="415"/>
        <v>1801276.406</v>
      </c>
      <c r="V198" s="279">
        <f t="shared" si="431"/>
        <v>122920</v>
      </c>
      <c r="W198" s="266">
        <f t="shared" si="432"/>
        <v>1006200</v>
      </c>
      <c r="X198" s="266"/>
      <c r="Y198" s="266"/>
      <c r="Z198" s="266"/>
      <c r="AA198" s="277">
        <f t="shared" si="430"/>
        <v>295554</v>
      </c>
      <c r="AB198" s="280">
        <f t="shared" si="244"/>
        <v>12128828.76</v>
      </c>
      <c r="AC198" s="279">
        <f t="shared" si="133"/>
        <v>3926171.556</v>
      </c>
      <c r="AD198" s="279">
        <f t="shared" si="418"/>
        <v>21540.54797</v>
      </c>
      <c r="AE198" s="283">
        <f t="shared" si="174"/>
        <v>16076540.86</v>
      </c>
      <c r="AF198" s="273">
        <f t="shared" si="22"/>
        <v>0.02436789289</v>
      </c>
      <c r="AG198" s="274">
        <f t="shared" si="23"/>
        <v>3947712.104</v>
      </c>
    </row>
    <row r="199">
      <c r="A199" s="264">
        <f t="shared" si="3"/>
        <v>45903</v>
      </c>
      <c r="B199" s="269"/>
      <c r="C199" s="266"/>
      <c r="D199" s="266"/>
      <c r="E199" s="266">
        <f t="shared" si="388"/>
        <v>261147.72</v>
      </c>
      <c r="F199" s="281">
        <f t="shared" si="419"/>
        <v>692160</v>
      </c>
      <c r="G199" s="259">
        <f>78*10580</f>
        <v>825240</v>
      </c>
      <c r="H199" s="281">
        <f>12*59000</f>
        <v>708000</v>
      </c>
      <c r="I199" s="259">
        <f>27*49900</f>
        <v>1347300</v>
      </c>
      <c r="J199" s="259">
        <f t="shared" si="433"/>
        <v>2840000</v>
      </c>
      <c r="K199" s="266">
        <f>46*23740</f>
        <v>1092040</v>
      </c>
      <c r="L199" s="266">
        <f t="shared" si="428"/>
        <v>770000</v>
      </c>
      <c r="M199" s="266">
        <f>87*17780</f>
        <v>1546860</v>
      </c>
      <c r="N199" s="270">
        <v>0.0</v>
      </c>
      <c r="O199" s="269"/>
      <c r="P199" s="279">
        <f t="shared" si="403"/>
        <v>765000</v>
      </c>
      <c r="Q199" s="279">
        <f>608*1815</f>
        <v>1103520</v>
      </c>
      <c r="R199" s="266">
        <f t="shared" si="406"/>
        <v>790000</v>
      </c>
      <c r="S199" s="266">
        <f t="shared" si="390"/>
        <v>310582.6071</v>
      </c>
      <c r="T199" s="279">
        <f t="shared" si="318"/>
        <v>668760</v>
      </c>
      <c r="U199" s="266">
        <f t="shared" si="415"/>
        <v>1794557.662</v>
      </c>
      <c r="V199" s="279">
        <f t="shared" si="431"/>
        <v>122920</v>
      </c>
      <c r="W199" s="266">
        <f t="shared" si="432"/>
        <v>989600</v>
      </c>
      <c r="X199" s="266"/>
      <c r="Y199" s="266"/>
      <c r="Z199" s="266"/>
      <c r="AA199" s="277">
        <f>AA200+100000</f>
        <v>295554</v>
      </c>
      <c r="AB199" s="280">
        <f t="shared" si="244"/>
        <v>12025202.88</v>
      </c>
      <c r="AC199" s="279">
        <f t="shared" si="133"/>
        <v>3924153.028</v>
      </c>
      <c r="AD199" s="279">
        <f t="shared" si="418"/>
        <v>20578.35619</v>
      </c>
      <c r="AE199" s="283">
        <f t="shared" si="174"/>
        <v>15969934.27</v>
      </c>
      <c r="AF199" s="273">
        <f t="shared" si="22"/>
        <v>0.02457788054</v>
      </c>
      <c r="AG199" s="274">
        <f t="shared" si="23"/>
        <v>3944731.384</v>
      </c>
    </row>
    <row r="200">
      <c r="A200" s="264">
        <f t="shared" si="3"/>
        <v>45902</v>
      </c>
      <c r="B200" s="269"/>
      <c r="C200" s="266"/>
      <c r="D200" s="266"/>
      <c r="E200" s="266">
        <f t="shared" si="388"/>
        <v>259836.24</v>
      </c>
      <c r="F200" s="281">
        <f t="shared" si="419"/>
        <v>692160</v>
      </c>
      <c r="G200" s="259">
        <f>78*10600</f>
        <v>826800</v>
      </c>
      <c r="H200" s="281">
        <f>12*59400</f>
        <v>712800</v>
      </c>
      <c r="I200" s="259">
        <f>27*49700</f>
        <v>1341900</v>
      </c>
      <c r="J200" s="259">
        <f t="shared" si="433"/>
        <v>2840000</v>
      </c>
      <c r="K200" s="266">
        <f>46*24100</f>
        <v>1108600</v>
      </c>
      <c r="L200" s="266">
        <f t="shared" si="428"/>
        <v>770000</v>
      </c>
      <c r="M200" s="266">
        <f t="shared" ref="M200:M201" si="434">87*18220</f>
        <v>1585140</v>
      </c>
      <c r="N200" s="270">
        <v>0.0</v>
      </c>
      <c r="O200" s="269"/>
      <c r="P200" s="279">
        <f t="shared" si="403"/>
        <v>765000</v>
      </c>
      <c r="Q200" s="279">
        <f>608*1865</f>
        <v>1133920</v>
      </c>
      <c r="R200" s="266">
        <f t="shared" si="406"/>
        <v>790000</v>
      </c>
      <c r="S200" s="266">
        <f t="shared" si="390"/>
        <v>309634.7598</v>
      </c>
      <c r="T200" s="279">
        <f t="shared" si="318"/>
        <v>668160</v>
      </c>
      <c r="U200" s="266">
        <f t="shared" si="415"/>
        <v>1787838.917</v>
      </c>
      <c r="V200" s="279">
        <f t="shared" ref="V200:V379" si="435">37920+65000+270000-50000-40000-40000-40000</f>
        <v>202920</v>
      </c>
      <c r="W200" s="266">
        <f>W201</f>
        <v>973000</v>
      </c>
      <c r="X200" s="266"/>
      <c r="Y200" s="266"/>
      <c r="Z200" s="266"/>
      <c r="AA200" s="277">
        <f>AA201-1110600-770000</f>
        <v>195554</v>
      </c>
      <c r="AB200" s="280">
        <f t="shared" si="244"/>
        <v>12069517.01</v>
      </c>
      <c r="AC200" s="279">
        <f t="shared" si="133"/>
        <v>3922134.5</v>
      </c>
      <c r="AD200" s="279">
        <f t="shared" si="418"/>
        <v>19616.16441</v>
      </c>
      <c r="AE200" s="283">
        <f t="shared" si="174"/>
        <v>16011267.68</v>
      </c>
      <c r="AF200" s="273">
        <f t="shared" si="22"/>
        <v>0.01620230534</v>
      </c>
      <c r="AG200" s="274">
        <f t="shared" si="23"/>
        <v>3941750.664</v>
      </c>
    </row>
    <row r="201">
      <c r="A201" s="264">
        <f t="shared" si="3"/>
        <v>45901</v>
      </c>
      <c r="B201" s="269"/>
      <c r="C201" s="266"/>
      <c r="D201" s="266"/>
      <c r="E201" s="266">
        <f t="shared" si="388"/>
        <v>258524.76</v>
      </c>
      <c r="F201" s="281">
        <f t="shared" si="419"/>
        <v>692160</v>
      </c>
      <c r="G201" s="259">
        <f>78*10640</f>
        <v>829920</v>
      </c>
      <c r="H201" s="281">
        <f>12*58200</f>
        <v>698400</v>
      </c>
      <c r="I201" s="259">
        <f>27*50420</f>
        <v>1361340</v>
      </c>
      <c r="J201" s="259">
        <f>80*35230</f>
        <v>2818400</v>
      </c>
      <c r="K201" s="266"/>
      <c r="L201" s="266"/>
      <c r="M201" s="266">
        <f t="shared" si="434"/>
        <v>1585140</v>
      </c>
      <c r="N201" s="270">
        <v>0.0</v>
      </c>
      <c r="O201" s="269"/>
      <c r="P201" s="279">
        <f t="shared" si="403"/>
        <v>765000</v>
      </c>
      <c r="Q201" s="279">
        <f>608*1885</f>
        <v>1146080</v>
      </c>
      <c r="R201" s="266">
        <f t="shared" si="406"/>
        <v>790000</v>
      </c>
      <c r="S201" s="266">
        <f t="shared" si="390"/>
        <v>308686.9125</v>
      </c>
      <c r="T201" s="279">
        <f t="shared" ref="T201:T236" si="436">T202+180</f>
        <v>667560</v>
      </c>
      <c r="U201" s="266">
        <f t="shared" si="415"/>
        <v>1781120.172</v>
      </c>
      <c r="V201" s="279">
        <f t="shared" si="435"/>
        <v>202920</v>
      </c>
      <c r="W201" s="266">
        <f>W202+573000</f>
        <v>973000</v>
      </c>
      <c r="X201" s="266"/>
      <c r="Y201" s="266"/>
      <c r="Z201" s="266"/>
      <c r="AA201" s="277">
        <f>AA202-573000+85000</f>
        <v>2076154</v>
      </c>
      <c r="AB201" s="280">
        <f t="shared" si="244"/>
        <v>12064951.14</v>
      </c>
      <c r="AC201" s="279">
        <f t="shared" si="133"/>
        <v>3920115.972</v>
      </c>
      <c r="AD201" s="279">
        <f t="shared" si="418"/>
        <v>18653.97263</v>
      </c>
      <c r="AE201" s="283">
        <f t="shared" si="174"/>
        <v>16003721.08</v>
      </c>
      <c r="AF201" s="273">
        <f t="shared" si="22"/>
        <v>0.1720814263</v>
      </c>
      <c r="AG201" s="274">
        <f t="shared" si="23"/>
        <v>3938769.945</v>
      </c>
    </row>
    <row r="202">
      <c r="A202" s="284">
        <f t="shared" si="3"/>
        <v>45900</v>
      </c>
      <c r="B202" s="269"/>
      <c r="C202" s="266"/>
      <c r="D202" s="266"/>
      <c r="E202" s="266">
        <f t="shared" si="388"/>
        <v>257213.28</v>
      </c>
      <c r="F202" s="281">
        <f t="shared" si="419"/>
        <v>692160</v>
      </c>
      <c r="G202" s="259">
        <f t="shared" ref="G202:G204" si="437">78*10880</f>
        <v>848640</v>
      </c>
      <c r="H202" s="281">
        <f t="shared" ref="H202:H204" si="438">12*59120</f>
        <v>709440</v>
      </c>
      <c r="I202" s="259">
        <f t="shared" ref="I202:I211" si="439">27*50220</f>
        <v>1355940</v>
      </c>
      <c r="J202" s="259">
        <f t="shared" ref="J202:J204" si="440">80*35640</f>
        <v>2851200</v>
      </c>
      <c r="K202" s="266"/>
      <c r="L202" s="266"/>
      <c r="M202" s="266">
        <f t="shared" ref="M202:M204" si="441">87*18280</f>
        <v>1590360</v>
      </c>
      <c r="N202" s="266">
        <f t="shared" ref="N202:N208" si="442">48*14300</f>
        <v>686400</v>
      </c>
      <c r="O202" s="269"/>
      <c r="P202" s="279">
        <f t="shared" si="403"/>
        <v>765000</v>
      </c>
      <c r="Q202" s="279">
        <f t="shared" ref="Q202:Q204" si="443">608*1890</f>
        <v>1149120</v>
      </c>
      <c r="R202" s="266">
        <f t="shared" si="406"/>
        <v>790000</v>
      </c>
      <c r="S202" s="266">
        <f t="shared" si="390"/>
        <v>307739.0652</v>
      </c>
      <c r="T202" s="279">
        <f t="shared" si="436"/>
        <v>667380</v>
      </c>
      <c r="U202" s="266">
        <f t="shared" si="415"/>
        <v>1774401.428</v>
      </c>
      <c r="V202" s="279">
        <f t="shared" si="435"/>
        <v>202920</v>
      </c>
      <c r="W202" s="266">
        <f t="shared" ref="W202:W203" si="444">W203</f>
        <v>400000</v>
      </c>
      <c r="X202" s="266"/>
      <c r="Y202" s="266"/>
      <c r="Z202" s="266"/>
      <c r="AA202" s="277">
        <f t="shared" ref="AA202:AA203" si="445">AA203</f>
        <v>2564154</v>
      </c>
      <c r="AB202" s="280">
        <f t="shared" si="244"/>
        <v>12726905.27</v>
      </c>
      <c r="AC202" s="279">
        <f t="shared" si="133"/>
        <v>3918097.444</v>
      </c>
      <c r="AD202" s="279">
        <f t="shared" si="418"/>
        <v>17691.78084</v>
      </c>
      <c r="AE202" s="283">
        <f t="shared" si="174"/>
        <v>16662694.49</v>
      </c>
      <c r="AF202" s="273">
        <f t="shared" si="22"/>
        <v>0.2014750598</v>
      </c>
      <c r="AG202" s="274">
        <f t="shared" si="23"/>
        <v>3935789.225</v>
      </c>
    </row>
    <row r="203">
      <c r="A203" s="284">
        <f t="shared" si="3"/>
        <v>45899</v>
      </c>
      <c r="B203" s="269"/>
      <c r="C203" s="266"/>
      <c r="D203" s="266"/>
      <c r="E203" s="266">
        <f>E204+1311.48-290000</f>
        <v>255901.8</v>
      </c>
      <c r="F203" s="281">
        <f t="shared" si="419"/>
        <v>692160</v>
      </c>
      <c r="G203" s="259">
        <f t="shared" si="437"/>
        <v>848640</v>
      </c>
      <c r="H203" s="281">
        <f t="shared" si="438"/>
        <v>709440</v>
      </c>
      <c r="I203" s="259">
        <f t="shared" si="439"/>
        <v>1355940</v>
      </c>
      <c r="J203" s="259">
        <f t="shared" si="440"/>
        <v>2851200</v>
      </c>
      <c r="K203" s="266"/>
      <c r="L203" s="266"/>
      <c r="M203" s="266">
        <f t="shared" si="441"/>
        <v>1590360</v>
      </c>
      <c r="N203" s="266">
        <f t="shared" si="442"/>
        <v>686400</v>
      </c>
      <c r="O203" s="269"/>
      <c r="P203" s="279">
        <f t="shared" si="403"/>
        <v>765000</v>
      </c>
      <c r="Q203" s="279">
        <f t="shared" si="443"/>
        <v>1149120</v>
      </c>
      <c r="R203" s="266">
        <f t="shared" si="406"/>
        <v>790000</v>
      </c>
      <c r="S203" s="266">
        <f t="shared" si="390"/>
        <v>306791.2179</v>
      </c>
      <c r="T203" s="279">
        <f t="shared" si="436"/>
        <v>667200</v>
      </c>
      <c r="U203" s="266">
        <f t="shared" si="415"/>
        <v>1767682.683</v>
      </c>
      <c r="V203" s="279">
        <f t="shared" si="435"/>
        <v>202920</v>
      </c>
      <c r="W203" s="266">
        <f t="shared" si="444"/>
        <v>400000</v>
      </c>
      <c r="X203" s="266"/>
      <c r="Y203" s="266"/>
      <c r="Z203" s="266"/>
      <c r="AA203" s="277">
        <f t="shared" si="445"/>
        <v>2564154</v>
      </c>
      <c r="AB203" s="280">
        <f t="shared" si="244"/>
        <v>12722039.4</v>
      </c>
      <c r="AC203" s="279">
        <f t="shared" si="133"/>
        <v>3916078.917</v>
      </c>
      <c r="AD203" s="279">
        <f t="shared" si="418"/>
        <v>16729.58906</v>
      </c>
      <c r="AE203" s="283">
        <f t="shared" si="174"/>
        <v>16654847.9</v>
      </c>
      <c r="AF203" s="273">
        <f t="shared" si="22"/>
        <v>0.2015521192</v>
      </c>
      <c r="AG203" s="274">
        <f t="shared" si="23"/>
        <v>3932808.506</v>
      </c>
    </row>
    <row r="204">
      <c r="A204" s="264">
        <f t="shared" si="3"/>
        <v>45898</v>
      </c>
      <c r="B204" s="269"/>
      <c r="C204" s="266"/>
      <c r="D204" s="266"/>
      <c r="E204" s="266">
        <f t="shared" ref="E204:E237" si="446">E205+1311.48</f>
        <v>544590.32</v>
      </c>
      <c r="F204" s="281">
        <f t="shared" si="419"/>
        <v>692160</v>
      </c>
      <c r="G204" s="259">
        <f t="shared" si="437"/>
        <v>848640</v>
      </c>
      <c r="H204" s="281">
        <f t="shared" si="438"/>
        <v>709440</v>
      </c>
      <c r="I204" s="259">
        <f t="shared" si="439"/>
        <v>1355940</v>
      </c>
      <c r="J204" s="259">
        <f t="shared" si="440"/>
        <v>2851200</v>
      </c>
      <c r="K204" s="266"/>
      <c r="L204" s="266"/>
      <c r="M204" s="266">
        <f t="shared" si="441"/>
        <v>1590360</v>
      </c>
      <c r="N204" s="266">
        <f t="shared" si="442"/>
        <v>686400</v>
      </c>
      <c r="O204" s="269"/>
      <c r="P204" s="279">
        <f t="shared" ref="P204:P207" si="447">3*253440</f>
        <v>760320</v>
      </c>
      <c r="Q204" s="279">
        <f t="shared" si="443"/>
        <v>1149120</v>
      </c>
      <c r="R204" s="266">
        <f>R205+136000</f>
        <v>790000</v>
      </c>
      <c r="S204" s="266">
        <f t="shared" si="390"/>
        <v>305843.3706</v>
      </c>
      <c r="T204" s="279">
        <f t="shared" si="436"/>
        <v>667020</v>
      </c>
      <c r="U204" s="266">
        <f>U205+2195.7447+4523-350000-709000</f>
        <v>1760963.938</v>
      </c>
      <c r="V204" s="279">
        <f t="shared" si="435"/>
        <v>202920</v>
      </c>
      <c r="W204" s="266">
        <f>W205+12500</f>
        <v>400000</v>
      </c>
      <c r="X204" s="266"/>
      <c r="Y204" s="266"/>
      <c r="Z204" s="266"/>
      <c r="AA204" s="277">
        <f>AA205+709000-136000</f>
        <v>2564154</v>
      </c>
      <c r="AB204" s="280">
        <f t="shared" si="244"/>
        <v>12712493.52</v>
      </c>
      <c r="AC204" s="279">
        <f>AC205+2318.527778-350000</f>
        <v>3914060.389</v>
      </c>
      <c r="AD204" s="279">
        <f t="shared" si="418"/>
        <v>15767.39728</v>
      </c>
      <c r="AE204" s="283">
        <f t="shared" si="174"/>
        <v>16642321.31</v>
      </c>
      <c r="AF204" s="273">
        <f t="shared" si="22"/>
        <v>0.2017034656</v>
      </c>
      <c r="AG204" s="274">
        <f t="shared" si="23"/>
        <v>3929827.786</v>
      </c>
    </row>
    <row r="205">
      <c r="A205" s="264">
        <f t="shared" si="3"/>
        <v>45897</v>
      </c>
      <c r="B205" s="269"/>
      <c r="C205" s="266"/>
      <c r="D205" s="266"/>
      <c r="E205" s="266">
        <f t="shared" si="446"/>
        <v>543278.84</v>
      </c>
      <c r="F205" s="281">
        <f t="shared" si="419"/>
        <v>692160</v>
      </c>
      <c r="G205" s="259">
        <f t="shared" ref="G205:G208" si="448">78*10920</f>
        <v>851760</v>
      </c>
      <c r="H205" s="281">
        <f>12*59500</f>
        <v>714000</v>
      </c>
      <c r="I205" s="259">
        <f t="shared" si="439"/>
        <v>1355940</v>
      </c>
      <c r="J205" s="259">
        <f>80*35680</f>
        <v>2854400</v>
      </c>
      <c r="K205" s="266"/>
      <c r="L205" s="266"/>
      <c r="M205" s="266">
        <f>87*18380</f>
        <v>1599060</v>
      </c>
      <c r="N205" s="266">
        <f t="shared" si="442"/>
        <v>686400</v>
      </c>
      <c r="O205" s="269"/>
      <c r="P205" s="279">
        <f t="shared" si="447"/>
        <v>760320</v>
      </c>
      <c r="Q205" s="279">
        <f>608*1880</f>
        <v>1143040</v>
      </c>
      <c r="R205" s="266">
        <f>R206+130000</f>
        <v>654000</v>
      </c>
      <c r="S205" s="266">
        <f>S206+1347.8473-96750</f>
        <v>304895.5233</v>
      </c>
      <c r="T205" s="279">
        <f t="shared" si="436"/>
        <v>666840</v>
      </c>
      <c r="U205" s="266">
        <f t="shared" ref="U205:U208" si="449">U206+2195.7447+4523</f>
        <v>2813245.194</v>
      </c>
      <c r="V205" s="279">
        <f t="shared" si="435"/>
        <v>202920</v>
      </c>
      <c r="W205" s="266">
        <f>W206-33250+12500</f>
        <v>387500</v>
      </c>
      <c r="X205" s="266"/>
      <c r="Y205" s="266"/>
      <c r="Z205" s="266"/>
      <c r="AA205" s="277">
        <f>AA206+33250+96750-130000</f>
        <v>1991154</v>
      </c>
      <c r="AB205" s="280">
        <f t="shared" si="244"/>
        <v>12708927.65</v>
      </c>
      <c r="AC205" s="279">
        <f t="shared" ref="AC205:AC232" si="450">AC206+2318.527778</f>
        <v>4261741.861</v>
      </c>
      <c r="AD205" s="279">
        <f t="shared" si="418"/>
        <v>14805.2055</v>
      </c>
      <c r="AE205" s="283">
        <f t="shared" si="174"/>
        <v>16985474.72</v>
      </c>
      <c r="AF205" s="273">
        <f t="shared" si="22"/>
        <v>0.1566736435</v>
      </c>
      <c r="AG205" s="274">
        <f t="shared" si="23"/>
        <v>4276547.067</v>
      </c>
    </row>
    <row r="206">
      <c r="A206" s="264">
        <f t="shared" si="3"/>
        <v>45896</v>
      </c>
      <c r="B206" s="269"/>
      <c r="C206" s="266"/>
      <c r="D206" s="266"/>
      <c r="E206" s="266">
        <f t="shared" si="446"/>
        <v>541967.36</v>
      </c>
      <c r="F206" s="281">
        <f t="shared" si="419"/>
        <v>692160</v>
      </c>
      <c r="G206" s="259">
        <f t="shared" si="448"/>
        <v>851760</v>
      </c>
      <c r="H206" s="281">
        <f t="shared" ref="H206:H207" si="451">12*57840</f>
        <v>694080</v>
      </c>
      <c r="I206" s="259">
        <f t="shared" si="439"/>
        <v>1355940</v>
      </c>
      <c r="J206" s="259">
        <f>80*35700</f>
        <v>2856000</v>
      </c>
      <c r="K206" s="266"/>
      <c r="L206" s="266"/>
      <c r="M206" s="266">
        <f>87*18320</f>
        <v>1593840</v>
      </c>
      <c r="N206" s="266">
        <f t="shared" si="442"/>
        <v>686400</v>
      </c>
      <c r="O206" s="269"/>
      <c r="P206" s="279">
        <f t="shared" si="447"/>
        <v>760320</v>
      </c>
      <c r="Q206" s="279">
        <f>608*1850</f>
        <v>1124800</v>
      </c>
      <c r="R206" s="266">
        <f t="shared" ref="R206:R207" si="452">R207</f>
        <v>524000</v>
      </c>
      <c r="S206" s="266">
        <f t="shared" ref="S206:S210" si="453">S207+1347.8473</f>
        <v>400297.676</v>
      </c>
      <c r="T206" s="279">
        <f t="shared" si="436"/>
        <v>666660</v>
      </c>
      <c r="U206" s="266">
        <f t="shared" si="449"/>
        <v>2806526.449</v>
      </c>
      <c r="V206" s="279">
        <f t="shared" si="435"/>
        <v>202920</v>
      </c>
      <c r="W206" s="266">
        <f t="shared" ref="W206:W207" si="454">W207+25000/2</f>
        <v>408250</v>
      </c>
      <c r="X206" s="266"/>
      <c r="Y206" s="266"/>
      <c r="Z206" s="266"/>
      <c r="AA206" s="277">
        <f t="shared" ref="AA206:AA207" si="455">AA207</f>
        <v>1991154</v>
      </c>
      <c r="AB206" s="280">
        <f t="shared" si="244"/>
        <v>12649681.78</v>
      </c>
      <c r="AC206" s="279">
        <f t="shared" si="450"/>
        <v>4259423.333</v>
      </c>
      <c r="AD206" s="279">
        <f t="shared" si="418"/>
        <v>13843.01372</v>
      </c>
      <c r="AE206" s="283">
        <f t="shared" si="174"/>
        <v>16922948.12</v>
      </c>
      <c r="AF206" s="273">
        <f t="shared" si="22"/>
        <v>0.157407438</v>
      </c>
      <c r="AG206" s="274">
        <f t="shared" si="23"/>
        <v>4273266.347</v>
      </c>
    </row>
    <row r="207">
      <c r="A207" s="264">
        <f t="shared" si="3"/>
        <v>45895</v>
      </c>
      <c r="B207" s="269"/>
      <c r="C207" s="266"/>
      <c r="D207" s="266"/>
      <c r="E207" s="266">
        <f t="shared" si="446"/>
        <v>540655.88</v>
      </c>
      <c r="F207" s="281">
        <f t="shared" si="419"/>
        <v>692160</v>
      </c>
      <c r="G207" s="259">
        <f t="shared" si="448"/>
        <v>851760</v>
      </c>
      <c r="H207" s="281">
        <f t="shared" si="451"/>
        <v>694080</v>
      </c>
      <c r="I207" s="259">
        <f t="shared" si="439"/>
        <v>1355940</v>
      </c>
      <c r="J207" s="259">
        <f>80*35800</f>
        <v>2864000</v>
      </c>
      <c r="K207" s="266"/>
      <c r="L207" s="266"/>
      <c r="M207" s="266">
        <f>87*18500</f>
        <v>1609500</v>
      </c>
      <c r="N207" s="266">
        <f t="shared" si="442"/>
        <v>686400</v>
      </c>
      <c r="O207" s="269"/>
      <c r="P207" s="279">
        <f t="shared" si="447"/>
        <v>760320</v>
      </c>
      <c r="Q207" s="279">
        <f>608*1840</f>
        <v>1118720</v>
      </c>
      <c r="R207" s="266">
        <f t="shared" si="452"/>
        <v>524000</v>
      </c>
      <c r="S207" s="266">
        <f t="shared" si="453"/>
        <v>398949.8287</v>
      </c>
      <c r="T207" s="279">
        <f t="shared" si="436"/>
        <v>666480</v>
      </c>
      <c r="U207" s="266">
        <f t="shared" si="449"/>
        <v>2799807.704</v>
      </c>
      <c r="V207" s="279">
        <f t="shared" si="435"/>
        <v>202920</v>
      </c>
      <c r="W207" s="266">
        <f t="shared" si="454"/>
        <v>395750</v>
      </c>
      <c r="X207" s="266"/>
      <c r="Y207" s="266"/>
      <c r="Z207" s="266"/>
      <c r="AA207" s="277">
        <f t="shared" si="455"/>
        <v>1991154</v>
      </c>
      <c r="AB207" s="280">
        <f t="shared" si="244"/>
        <v>12649795.91</v>
      </c>
      <c r="AC207" s="279">
        <f t="shared" si="450"/>
        <v>4257104.806</v>
      </c>
      <c r="AD207" s="279">
        <f t="shared" si="418"/>
        <v>12880.82194</v>
      </c>
      <c r="AE207" s="283">
        <f t="shared" si="174"/>
        <v>16919781.53</v>
      </c>
      <c r="AF207" s="273">
        <f t="shared" si="22"/>
        <v>0.1574060178</v>
      </c>
      <c r="AG207" s="274">
        <f t="shared" si="23"/>
        <v>4269985.628</v>
      </c>
    </row>
    <row r="208">
      <c r="A208" s="264">
        <f t="shared" si="3"/>
        <v>45894</v>
      </c>
      <c r="B208" s="269"/>
      <c r="C208" s="266"/>
      <c r="D208" s="266"/>
      <c r="E208" s="266">
        <f t="shared" si="446"/>
        <v>539344.4</v>
      </c>
      <c r="F208" s="281">
        <f t="shared" si="419"/>
        <v>692160</v>
      </c>
      <c r="G208" s="259">
        <f t="shared" si="448"/>
        <v>851760</v>
      </c>
      <c r="H208" s="281">
        <f>12*57480</f>
        <v>689760</v>
      </c>
      <c r="I208" s="259">
        <f t="shared" si="439"/>
        <v>1355940</v>
      </c>
      <c r="J208" s="259">
        <f>80*35720</f>
        <v>2857600</v>
      </c>
      <c r="K208" s="266"/>
      <c r="L208" s="266"/>
      <c r="M208" s="266">
        <f>87*18400</f>
        <v>1600800</v>
      </c>
      <c r="N208" s="266">
        <f t="shared" si="442"/>
        <v>686400</v>
      </c>
      <c r="O208" s="269"/>
      <c r="P208" s="279">
        <f>3*253200</f>
        <v>759600</v>
      </c>
      <c r="Q208" s="279">
        <f t="shared" ref="Q208:Q211" si="456">608*1850</f>
        <v>1124800</v>
      </c>
      <c r="R208" s="266">
        <f>R209+300000</f>
        <v>524000</v>
      </c>
      <c r="S208" s="266">
        <f t="shared" si="453"/>
        <v>397601.9814</v>
      </c>
      <c r="T208" s="279">
        <f t="shared" si="436"/>
        <v>666300</v>
      </c>
      <c r="U208" s="266">
        <f t="shared" si="449"/>
        <v>2793088.959</v>
      </c>
      <c r="V208" s="279">
        <f t="shared" si="435"/>
        <v>202920</v>
      </c>
      <c r="W208" s="266">
        <f>W209-300000</f>
        <v>383250</v>
      </c>
      <c r="X208" s="266"/>
      <c r="Y208" s="266"/>
      <c r="Z208" s="266"/>
      <c r="AA208" s="277">
        <f>AA209-928720</f>
        <v>1991154</v>
      </c>
      <c r="AB208" s="280">
        <f t="shared" si="244"/>
        <v>12618270.03</v>
      </c>
      <c r="AC208" s="279">
        <f t="shared" si="450"/>
        <v>4254786.278</v>
      </c>
      <c r="AD208" s="279">
        <f t="shared" si="418"/>
        <v>11918.63016</v>
      </c>
      <c r="AE208" s="283">
        <f t="shared" si="174"/>
        <v>16884974.94</v>
      </c>
      <c r="AF208" s="273">
        <f t="shared" si="22"/>
        <v>0.1577992859</v>
      </c>
      <c r="AG208" s="274">
        <f t="shared" si="23"/>
        <v>4266704.908</v>
      </c>
    </row>
    <row r="209">
      <c r="A209" s="284">
        <f t="shared" si="3"/>
        <v>45893</v>
      </c>
      <c r="B209" s="269"/>
      <c r="C209" s="266"/>
      <c r="D209" s="266"/>
      <c r="E209" s="266">
        <f t="shared" si="446"/>
        <v>538032.92</v>
      </c>
      <c r="F209" s="281">
        <f t="shared" si="419"/>
        <v>692160</v>
      </c>
      <c r="G209" s="259">
        <f t="shared" ref="G209:G211" si="457">78*11000</f>
        <v>858000</v>
      </c>
      <c r="H209" s="281">
        <f t="shared" ref="H209:H211" si="458">12*55680</f>
        <v>668160</v>
      </c>
      <c r="I209" s="259">
        <f t="shared" si="439"/>
        <v>1355940</v>
      </c>
      <c r="J209" s="259">
        <f t="shared" ref="J209:J211" si="459">54*36100</f>
        <v>1949400</v>
      </c>
      <c r="K209" s="289">
        <v>0.0</v>
      </c>
      <c r="L209" s="266"/>
      <c r="M209" s="266">
        <f t="shared" ref="M209:M211" si="460">87*18320</f>
        <v>1593840</v>
      </c>
      <c r="N209" s="266">
        <f t="shared" ref="N209:N211" si="461">48*14000</f>
        <v>672000</v>
      </c>
      <c r="O209" s="269"/>
      <c r="P209" s="279">
        <f>3*255740</f>
        <v>767220</v>
      </c>
      <c r="Q209" s="279">
        <f t="shared" si="456"/>
        <v>1124800</v>
      </c>
      <c r="R209" s="266">
        <f t="shared" ref="R209:R210" si="462">R210</f>
        <v>224000</v>
      </c>
      <c r="S209" s="266">
        <f t="shared" si="453"/>
        <v>396254.1341</v>
      </c>
      <c r="T209" s="279">
        <f t="shared" si="436"/>
        <v>666120</v>
      </c>
      <c r="U209" s="266">
        <f t="shared" ref="U209:U210" si="463">U210+2195.7447</f>
        <v>2786370.215</v>
      </c>
      <c r="V209" s="279">
        <f t="shared" si="435"/>
        <v>202920</v>
      </c>
      <c r="W209" s="266">
        <f t="shared" ref="W209:W210" si="464">W210</f>
        <v>683250</v>
      </c>
      <c r="X209" s="266"/>
      <c r="Y209" s="266"/>
      <c r="Z209" s="266"/>
      <c r="AA209" s="277">
        <f t="shared" ref="AA209:AA210" si="465">AA210</f>
        <v>2919874</v>
      </c>
      <c r="AB209" s="280">
        <f t="shared" si="244"/>
        <v>12604724.16</v>
      </c>
      <c r="AC209" s="279">
        <f t="shared" si="450"/>
        <v>4252467.75</v>
      </c>
      <c r="AD209" s="279">
        <f t="shared" si="418"/>
        <v>10956.43838</v>
      </c>
      <c r="AE209" s="283">
        <f t="shared" si="174"/>
        <v>16868148.35</v>
      </c>
      <c r="AF209" s="273">
        <f t="shared" si="22"/>
        <v>0.2316491787</v>
      </c>
      <c r="AG209" s="274">
        <f t="shared" si="23"/>
        <v>4263424.188</v>
      </c>
    </row>
    <row r="210">
      <c r="A210" s="284">
        <f t="shared" si="3"/>
        <v>45892</v>
      </c>
      <c r="B210" s="269"/>
      <c r="C210" s="266"/>
      <c r="D210" s="266"/>
      <c r="E210" s="266">
        <f t="shared" si="446"/>
        <v>536721.44</v>
      </c>
      <c r="F210" s="281">
        <f t="shared" si="419"/>
        <v>692160</v>
      </c>
      <c r="G210" s="259">
        <f t="shared" si="457"/>
        <v>858000</v>
      </c>
      <c r="H210" s="281">
        <f t="shared" si="458"/>
        <v>668160</v>
      </c>
      <c r="I210" s="259">
        <f t="shared" si="439"/>
        <v>1355940</v>
      </c>
      <c r="J210" s="259">
        <f t="shared" si="459"/>
        <v>1949400</v>
      </c>
      <c r="K210" s="289">
        <v>0.0</v>
      </c>
      <c r="L210" s="266"/>
      <c r="M210" s="266">
        <f t="shared" si="460"/>
        <v>1593840</v>
      </c>
      <c r="N210" s="266">
        <f t="shared" si="461"/>
        <v>672000</v>
      </c>
      <c r="O210" s="269"/>
      <c r="P210" s="279">
        <f>3*257480</f>
        <v>772440</v>
      </c>
      <c r="Q210" s="279">
        <f t="shared" si="456"/>
        <v>1124800</v>
      </c>
      <c r="R210" s="266">
        <f t="shared" si="462"/>
        <v>224000</v>
      </c>
      <c r="S210" s="266">
        <f t="shared" si="453"/>
        <v>394906.2868</v>
      </c>
      <c r="T210" s="279">
        <f t="shared" si="436"/>
        <v>665940</v>
      </c>
      <c r="U210" s="266">
        <f t="shared" si="463"/>
        <v>2784174.47</v>
      </c>
      <c r="V210" s="279">
        <f t="shared" si="435"/>
        <v>202920</v>
      </c>
      <c r="W210" s="266">
        <f t="shared" si="464"/>
        <v>683250</v>
      </c>
      <c r="X210" s="266"/>
      <c r="Y210" s="266"/>
      <c r="Z210" s="266"/>
      <c r="AA210" s="277">
        <f t="shared" si="465"/>
        <v>2919874</v>
      </c>
      <c r="AB210" s="280">
        <f t="shared" si="244"/>
        <v>12609501.29</v>
      </c>
      <c r="AC210" s="279">
        <f t="shared" si="450"/>
        <v>4250149.222</v>
      </c>
      <c r="AD210" s="279">
        <f t="shared" si="418"/>
        <v>9994.246596</v>
      </c>
      <c r="AE210" s="283">
        <f t="shared" si="174"/>
        <v>16869644.76</v>
      </c>
      <c r="AF210" s="273">
        <f t="shared" si="22"/>
        <v>0.2315614181</v>
      </c>
      <c r="AG210" s="274">
        <f t="shared" si="23"/>
        <v>4260143.469</v>
      </c>
    </row>
    <row r="211">
      <c r="A211" s="264">
        <f t="shared" si="3"/>
        <v>45891</v>
      </c>
      <c r="B211" s="269"/>
      <c r="C211" s="266"/>
      <c r="D211" s="266"/>
      <c r="E211" s="266">
        <f t="shared" si="446"/>
        <v>535409.96</v>
      </c>
      <c r="F211" s="281">
        <f>96*7300</f>
        <v>700800</v>
      </c>
      <c r="G211" s="259">
        <f t="shared" si="457"/>
        <v>858000</v>
      </c>
      <c r="H211" s="281">
        <f t="shared" si="458"/>
        <v>668160</v>
      </c>
      <c r="I211" s="259">
        <f t="shared" si="439"/>
        <v>1355940</v>
      </c>
      <c r="J211" s="259">
        <f t="shared" si="459"/>
        <v>1949400</v>
      </c>
      <c r="K211" s="289">
        <v>0.0</v>
      </c>
      <c r="L211" s="266"/>
      <c r="M211" s="266">
        <f t="shared" si="460"/>
        <v>1593840</v>
      </c>
      <c r="N211" s="266">
        <f t="shared" si="461"/>
        <v>672000</v>
      </c>
      <c r="O211" s="269"/>
      <c r="P211" s="279">
        <f>3*250000</f>
        <v>750000</v>
      </c>
      <c r="Q211" s="279">
        <f t="shared" si="456"/>
        <v>1124800</v>
      </c>
      <c r="R211" s="266">
        <f>R212-1650000</f>
        <v>224000</v>
      </c>
      <c r="S211" s="266">
        <f>S212+1197.8473+200-270000</f>
        <v>393558.4395</v>
      </c>
      <c r="T211" s="279">
        <f t="shared" si="436"/>
        <v>665760</v>
      </c>
      <c r="U211" s="266">
        <f>U212+2195.7447+1650000</f>
        <v>2781978.725</v>
      </c>
      <c r="V211" s="279">
        <f t="shared" si="435"/>
        <v>202920</v>
      </c>
      <c r="W211" s="266">
        <f>W212-82250+350000</f>
        <v>683250</v>
      </c>
      <c r="X211" s="266"/>
      <c r="Y211" s="266"/>
      <c r="Z211" s="266"/>
      <c r="AA211" s="277">
        <f>AA212+2250+689280</f>
        <v>2919874</v>
      </c>
      <c r="AB211" s="280">
        <f t="shared" si="244"/>
        <v>12586618.42</v>
      </c>
      <c r="AC211" s="279">
        <f t="shared" si="450"/>
        <v>4247830.694</v>
      </c>
      <c r="AD211" s="279">
        <f t="shared" si="418"/>
        <v>9032.054815</v>
      </c>
      <c r="AE211" s="283">
        <f t="shared" si="174"/>
        <v>16843481.16</v>
      </c>
      <c r="AF211" s="273">
        <f t="shared" si="22"/>
        <v>0.2319824041</v>
      </c>
      <c r="AG211" s="274">
        <f t="shared" si="23"/>
        <v>4256862.749</v>
      </c>
    </row>
    <row r="212">
      <c r="A212" s="264">
        <f t="shared" si="3"/>
        <v>45890</v>
      </c>
      <c r="B212" s="269"/>
      <c r="C212" s="266"/>
      <c r="D212" s="266"/>
      <c r="E212" s="266">
        <f t="shared" si="446"/>
        <v>534098.48</v>
      </c>
      <c r="F212" s="281">
        <f t="shared" ref="F212:F215" si="466">96*7350</f>
        <v>705600</v>
      </c>
      <c r="G212" s="259">
        <f>78*11100</f>
        <v>865800</v>
      </c>
      <c r="H212" s="281">
        <f>12*54520</f>
        <v>654240</v>
      </c>
      <c r="I212" s="259">
        <f>27*49720</f>
        <v>1342440</v>
      </c>
      <c r="J212" s="259">
        <f>54*36500</f>
        <v>1971000</v>
      </c>
      <c r="K212" s="289">
        <v>0.0</v>
      </c>
      <c r="L212" s="266"/>
      <c r="M212" s="266">
        <f>87*18120</f>
        <v>1576440</v>
      </c>
      <c r="N212" s="266">
        <f>48*13820</f>
        <v>663360</v>
      </c>
      <c r="O212" s="269"/>
      <c r="P212" s="279">
        <f t="shared" ref="P212:P214" si="467">3*249500</f>
        <v>748500</v>
      </c>
      <c r="Q212" s="279">
        <f t="shared" ref="Q212:Q214" si="468">608*1805</f>
        <v>1097440</v>
      </c>
      <c r="R212" s="266">
        <f t="shared" ref="R212:R220" si="469">R213</f>
        <v>1874000</v>
      </c>
      <c r="S212" s="266">
        <f t="shared" ref="S212:S220" si="470">S213+1197.8473+200</f>
        <v>662160.5922</v>
      </c>
      <c r="T212" s="279">
        <f t="shared" si="436"/>
        <v>665580</v>
      </c>
      <c r="U212" s="266">
        <f t="shared" ref="U212:U220" si="471">U213+2195.7447</f>
        <v>1129782.981</v>
      </c>
      <c r="V212" s="279">
        <f t="shared" si="435"/>
        <v>202920</v>
      </c>
      <c r="W212" s="266">
        <f t="shared" ref="W212:W214" si="472">W213</f>
        <v>415500</v>
      </c>
      <c r="X212" s="266"/>
      <c r="Y212" s="266"/>
      <c r="Z212" s="266"/>
      <c r="AA212" s="277">
        <f>AA213</f>
        <v>2228344</v>
      </c>
      <c r="AB212" s="280">
        <f t="shared" si="244"/>
        <v>11843925.54</v>
      </c>
      <c r="AC212" s="279">
        <f t="shared" si="450"/>
        <v>4245512.167</v>
      </c>
      <c r="AD212" s="279">
        <f t="shared" si="418"/>
        <v>8069.863034</v>
      </c>
      <c r="AE212" s="283">
        <f t="shared" si="174"/>
        <v>16097507.57</v>
      </c>
      <c r="AF212" s="273">
        <f t="shared" si="22"/>
        <v>0.1881423513</v>
      </c>
      <c r="AG212" s="274">
        <f t="shared" si="23"/>
        <v>4253582.03</v>
      </c>
    </row>
    <row r="213">
      <c r="A213" s="264">
        <f t="shared" si="3"/>
        <v>45889</v>
      </c>
      <c r="B213" s="269"/>
      <c r="C213" s="266"/>
      <c r="D213" s="266"/>
      <c r="E213" s="266">
        <f t="shared" si="446"/>
        <v>532787</v>
      </c>
      <c r="F213" s="281">
        <f t="shared" si="466"/>
        <v>705600</v>
      </c>
      <c r="G213" s="259">
        <f t="shared" ref="G213:G218" si="473">78*11300</f>
        <v>881400</v>
      </c>
      <c r="H213" s="281">
        <f>12*54680</f>
        <v>656160</v>
      </c>
      <c r="I213" s="259">
        <f>27*49600</f>
        <v>1339200</v>
      </c>
      <c r="J213" s="259">
        <f>54*36580</f>
        <v>1975320</v>
      </c>
      <c r="K213" s="289">
        <v>0.0</v>
      </c>
      <c r="L213" s="266"/>
      <c r="M213" s="266">
        <f>87*18140</f>
        <v>1578180</v>
      </c>
      <c r="N213" s="266">
        <f t="shared" ref="N213:N215" si="474">48*13840</f>
        <v>664320</v>
      </c>
      <c r="O213" s="269"/>
      <c r="P213" s="279">
        <f t="shared" si="467"/>
        <v>748500</v>
      </c>
      <c r="Q213" s="279">
        <f t="shared" si="468"/>
        <v>1097440</v>
      </c>
      <c r="R213" s="266">
        <f t="shared" si="469"/>
        <v>1874000</v>
      </c>
      <c r="S213" s="266">
        <f t="shared" si="470"/>
        <v>660762.7449</v>
      </c>
      <c r="T213" s="279">
        <f t="shared" si="436"/>
        <v>665400</v>
      </c>
      <c r="U213" s="266">
        <f t="shared" si="471"/>
        <v>1127587.236</v>
      </c>
      <c r="V213" s="279">
        <f t="shared" si="435"/>
        <v>202920</v>
      </c>
      <c r="W213" s="266">
        <f t="shared" si="472"/>
        <v>415500</v>
      </c>
      <c r="X213" s="266"/>
      <c r="Y213" s="266"/>
      <c r="Z213" s="266"/>
      <c r="AA213" s="277">
        <f>1840747-67800+400000-500000-574448-392142-690357+1115362+1096982</f>
        <v>2228344</v>
      </c>
      <c r="AB213" s="280">
        <f t="shared" si="244"/>
        <v>11864732.67</v>
      </c>
      <c r="AC213" s="279">
        <f t="shared" si="450"/>
        <v>4243193.639</v>
      </c>
      <c r="AD213" s="279">
        <f t="shared" si="418"/>
        <v>7107.671253</v>
      </c>
      <c r="AE213" s="283">
        <f t="shared" si="174"/>
        <v>16115033.98</v>
      </c>
      <c r="AF213" s="273">
        <f t="shared" si="22"/>
        <v>0.1878124069</v>
      </c>
      <c r="AG213" s="274">
        <f t="shared" si="23"/>
        <v>4250301.31</v>
      </c>
    </row>
    <row r="214">
      <c r="A214" s="264">
        <f t="shared" si="3"/>
        <v>45888</v>
      </c>
      <c r="B214" s="269"/>
      <c r="C214" s="266"/>
      <c r="D214" s="266"/>
      <c r="E214" s="266">
        <f t="shared" si="446"/>
        <v>531475.52</v>
      </c>
      <c r="F214" s="281">
        <f t="shared" si="466"/>
        <v>705600</v>
      </c>
      <c r="G214" s="259">
        <f t="shared" si="473"/>
        <v>881400</v>
      </c>
      <c r="H214" s="281">
        <f>12*53400</f>
        <v>640800</v>
      </c>
      <c r="I214" s="259">
        <f>27*49320</f>
        <v>1331640</v>
      </c>
      <c r="J214" s="259">
        <f>54*36600</f>
        <v>1976400</v>
      </c>
      <c r="K214" s="279">
        <f>45*24700</f>
        <v>1111500</v>
      </c>
      <c r="L214" s="266"/>
      <c r="M214" s="266">
        <f>87*18580</f>
        <v>1616460</v>
      </c>
      <c r="N214" s="266">
        <f t="shared" si="474"/>
        <v>664320</v>
      </c>
      <c r="O214" s="269"/>
      <c r="P214" s="279">
        <f t="shared" si="467"/>
        <v>748500</v>
      </c>
      <c r="Q214" s="279">
        <f t="shared" si="468"/>
        <v>1097440</v>
      </c>
      <c r="R214" s="266">
        <f t="shared" si="469"/>
        <v>1874000</v>
      </c>
      <c r="S214" s="266">
        <f t="shared" si="470"/>
        <v>659364.8976</v>
      </c>
      <c r="T214" s="279">
        <f t="shared" si="436"/>
        <v>665220</v>
      </c>
      <c r="U214" s="266">
        <f t="shared" si="471"/>
        <v>1125391.491</v>
      </c>
      <c r="V214" s="279">
        <f t="shared" si="435"/>
        <v>202920</v>
      </c>
      <c r="W214" s="266">
        <f t="shared" si="472"/>
        <v>415500</v>
      </c>
      <c r="X214" s="266"/>
      <c r="Y214" s="266"/>
      <c r="Z214" s="266"/>
      <c r="AA214" s="277">
        <f t="shared" ref="AA214:AA218" si="475">1840747-67800+400000-500000-574448-392142-690357+1115362</f>
        <v>1131362</v>
      </c>
      <c r="AB214" s="280">
        <f t="shared" si="244"/>
        <v>11895197.8</v>
      </c>
      <c r="AC214" s="279">
        <f t="shared" si="450"/>
        <v>4240875.111</v>
      </c>
      <c r="AD214" s="279">
        <f t="shared" si="418"/>
        <v>6145.479472</v>
      </c>
      <c r="AE214" s="283">
        <f t="shared" si="174"/>
        <v>16142218.39</v>
      </c>
      <c r="AF214" s="273">
        <f t="shared" si="22"/>
        <v>0.0951108186</v>
      </c>
      <c r="AG214" s="274">
        <f t="shared" si="23"/>
        <v>4247020.591</v>
      </c>
    </row>
    <row r="215">
      <c r="A215" s="284">
        <f t="shared" si="3"/>
        <v>45887</v>
      </c>
      <c r="B215" s="269"/>
      <c r="C215" s="266"/>
      <c r="D215" s="266"/>
      <c r="E215" s="266">
        <f t="shared" si="446"/>
        <v>530164.04</v>
      </c>
      <c r="F215" s="281">
        <f t="shared" si="466"/>
        <v>705600</v>
      </c>
      <c r="G215" s="259">
        <f t="shared" si="473"/>
        <v>881400</v>
      </c>
      <c r="H215" s="281">
        <f t="shared" ref="H215:H218" si="476">12*52700</f>
        <v>632400</v>
      </c>
      <c r="I215" s="259">
        <f t="shared" ref="I215:I218" si="477">27*49800</f>
        <v>1344600</v>
      </c>
      <c r="J215" s="259">
        <f t="shared" ref="J215:J218" si="478">54*36480</f>
        <v>1969920</v>
      </c>
      <c r="K215" s="279">
        <f t="shared" ref="K215:K218" si="479">45*25000</f>
        <v>1125000</v>
      </c>
      <c r="L215" s="266"/>
      <c r="M215" s="266">
        <f t="shared" ref="M215:M218" si="480">87*17900</f>
        <v>1557300</v>
      </c>
      <c r="N215" s="266">
        <f t="shared" si="474"/>
        <v>664320</v>
      </c>
      <c r="O215" s="269"/>
      <c r="P215" s="279">
        <f>3*257260</f>
        <v>771780</v>
      </c>
      <c r="Q215" s="279">
        <f t="shared" ref="Q215:Q218" si="481">608*1800</f>
        <v>1094400</v>
      </c>
      <c r="R215" s="266">
        <f t="shared" si="469"/>
        <v>1874000</v>
      </c>
      <c r="S215" s="266">
        <f t="shared" si="470"/>
        <v>657967.0503</v>
      </c>
      <c r="T215" s="279">
        <f t="shared" si="436"/>
        <v>665040</v>
      </c>
      <c r="U215" s="266">
        <f t="shared" si="471"/>
        <v>1123195.747</v>
      </c>
      <c r="V215" s="279">
        <f t="shared" si="435"/>
        <v>202920</v>
      </c>
      <c r="W215" s="266">
        <f>392142+23286+72</f>
        <v>415500</v>
      </c>
      <c r="X215" s="266"/>
      <c r="Y215" s="266"/>
      <c r="Z215" s="266"/>
      <c r="AA215" s="277">
        <f t="shared" si="475"/>
        <v>1131362</v>
      </c>
      <c r="AB215" s="280">
        <f t="shared" si="244"/>
        <v>11867364.93</v>
      </c>
      <c r="AC215" s="279">
        <f t="shared" si="450"/>
        <v>4238556.583</v>
      </c>
      <c r="AD215" s="279">
        <f t="shared" si="418"/>
        <v>5183.287691</v>
      </c>
      <c r="AE215" s="283">
        <f t="shared" si="174"/>
        <v>16111104.8</v>
      </c>
      <c r="AF215" s="273">
        <f t="shared" si="22"/>
        <v>0.09533388474</v>
      </c>
      <c r="AG215" s="274">
        <f t="shared" si="23"/>
        <v>4243739.871</v>
      </c>
    </row>
    <row r="216">
      <c r="A216" s="284">
        <f t="shared" si="3"/>
        <v>45886</v>
      </c>
      <c r="B216" s="269"/>
      <c r="C216" s="266"/>
      <c r="D216" s="266"/>
      <c r="E216" s="266">
        <f t="shared" si="446"/>
        <v>528852.56</v>
      </c>
      <c r="F216" s="281">
        <f>96*7440</f>
        <v>714240</v>
      </c>
      <c r="G216" s="259">
        <f t="shared" si="473"/>
        <v>881400</v>
      </c>
      <c r="H216" s="281">
        <f t="shared" si="476"/>
        <v>632400</v>
      </c>
      <c r="I216" s="259">
        <f t="shared" si="477"/>
        <v>1344600</v>
      </c>
      <c r="J216" s="259">
        <f t="shared" si="478"/>
        <v>1969920</v>
      </c>
      <c r="K216" s="279">
        <f t="shared" si="479"/>
        <v>1125000</v>
      </c>
      <c r="L216" s="266"/>
      <c r="M216" s="266">
        <f t="shared" si="480"/>
        <v>1557300</v>
      </c>
      <c r="N216" s="266">
        <f t="shared" ref="N216:N217" si="482">48*13440</f>
        <v>645120</v>
      </c>
      <c r="O216" s="269"/>
      <c r="P216" s="279">
        <f>3*251220</f>
        <v>753660</v>
      </c>
      <c r="Q216" s="279">
        <f t="shared" si="481"/>
        <v>1094400</v>
      </c>
      <c r="R216" s="266">
        <f t="shared" si="469"/>
        <v>1874000</v>
      </c>
      <c r="S216" s="266">
        <f t="shared" si="470"/>
        <v>656569.203</v>
      </c>
      <c r="T216" s="279">
        <f t="shared" si="436"/>
        <v>664860</v>
      </c>
      <c r="U216" s="266">
        <f t="shared" si="471"/>
        <v>1121000.002</v>
      </c>
      <c r="V216" s="279">
        <f t="shared" si="435"/>
        <v>202920</v>
      </c>
      <c r="W216" s="266">
        <v>392142.0</v>
      </c>
      <c r="X216" s="266"/>
      <c r="Y216" s="266"/>
      <c r="Z216" s="266"/>
      <c r="AA216" s="277">
        <f t="shared" si="475"/>
        <v>1131362</v>
      </c>
      <c r="AB216" s="280">
        <f t="shared" si="244"/>
        <v>11806194.05</v>
      </c>
      <c r="AC216" s="279">
        <f t="shared" si="450"/>
        <v>4236238.056</v>
      </c>
      <c r="AD216" s="279">
        <f t="shared" si="418"/>
        <v>4221.09591</v>
      </c>
      <c r="AE216" s="283">
        <f t="shared" si="174"/>
        <v>16046653.2</v>
      </c>
      <c r="AF216" s="273">
        <f t="shared" si="22"/>
        <v>0.09582783367</v>
      </c>
      <c r="AG216" s="274">
        <f t="shared" si="23"/>
        <v>4240459.151</v>
      </c>
    </row>
    <row r="217">
      <c r="A217" s="284">
        <f t="shared" si="3"/>
        <v>45885</v>
      </c>
      <c r="B217" s="269"/>
      <c r="C217" s="266"/>
      <c r="D217" s="266"/>
      <c r="E217" s="266">
        <f t="shared" si="446"/>
        <v>527541.08</v>
      </c>
      <c r="F217" s="281">
        <f>96*7140</f>
        <v>685440</v>
      </c>
      <c r="G217" s="259">
        <f t="shared" si="473"/>
        <v>881400</v>
      </c>
      <c r="H217" s="281">
        <f t="shared" si="476"/>
        <v>632400</v>
      </c>
      <c r="I217" s="259">
        <f t="shared" si="477"/>
        <v>1344600</v>
      </c>
      <c r="J217" s="259">
        <f t="shared" si="478"/>
        <v>1969920</v>
      </c>
      <c r="K217" s="279">
        <f t="shared" si="479"/>
        <v>1125000</v>
      </c>
      <c r="L217" s="266"/>
      <c r="M217" s="266">
        <f t="shared" si="480"/>
        <v>1557300</v>
      </c>
      <c r="N217" s="266">
        <f t="shared" si="482"/>
        <v>645120</v>
      </c>
      <c r="O217" s="269"/>
      <c r="P217" s="279">
        <f>3*261040</f>
        <v>783120</v>
      </c>
      <c r="Q217" s="279">
        <f t="shared" si="481"/>
        <v>1094400</v>
      </c>
      <c r="R217" s="266">
        <f t="shared" si="469"/>
        <v>1874000</v>
      </c>
      <c r="S217" s="266">
        <f t="shared" si="470"/>
        <v>655171.3557</v>
      </c>
      <c r="T217" s="279">
        <f t="shared" si="436"/>
        <v>664680</v>
      </c>
      <c r="U217" s="266">
        <f t="shared" si="471"/>
        <v>1118804.257</v>
      </c>
      <c r="V217" s="279">
        <f t="shared" si="435"/>
        <v>202920</v>
      </c>
      <c r="W217" s="266">
        <v>392142.0</v>
      </c>
      <c r="X217" s="266"/>
      <c r="Y217" s="266"/>
      <c r="Z217" s="266"/>
      <c r="AA217" s="277">
        <f t="shared" si="475"/>
        <v>1131362</v>
      </c>
      <c r="AB217" s="280">
        <f t="shared" si="244"/>
        <v>11835161.18</v>
      </c>
      <c r="AC217" s="279">
        <f t="shared" si="450"/>
        <v>4233919.528</v>
      </c>
      <c r="AD217" s="279">
        <f t="shared" si="418"/>
        <v>3258.904129</v>
      </c>
      <c r="AE217" s="283">
        <f t="shared" si="174"/>
        <v>16072339.61</v>
      </c>
      <c r="AF217" s="273">
        <f t="shared" si="22"/>
        <v>0.09559329043</v>
      </c>
      <c r="AG217" s="274">
        <f t="shared" si="23"/>
        <v>4237178.432</v>
      </c>
    </row>
    <row r="218">
      <c r="A218" s="264">
        <f t="shared" si="3"/>
        <v>45884</v>
      </c>
      <c r="B218" s="269"/>
      <c r="C218" s="266"/>
      <c r="D218" s="266"/>
      <c r="E218" s="266">
        <f t="shared" si="446"/>
        <v>526229.6</v>
      </c>
      <c r="F218" s="281">
        <f>96*7120</f>
        <v>683520</v>
      </c>
      <c r="G218" s="259">
        <f t="shared" si="473"/>
        <v>881400</v>
      </c>
      <c r="H218" s="281">
        <f t="shared" si="476"/>
        <v>632400</v>
      </c>
      <c r="I218" s="259">
        <f t="shared" si="477"/>
        <v>1344600</v>
      </c>
      <c r="J218" s="259">
        <f t="shared" si="478"/>
        <v>1969920</v>
      </c>
      <c r="K218" s="279">
        <f t="shared" si="479"/>
        <v>1125000</v>
      </c>
      <c r="L218" s="266"/>
      <c r="M218" s="266">
        <f t="shared" si="480"/>
        <v>1557300</v>
      </c>
      <c r="N218" s="266">
        <f>48*13420</f>
        <v>644160</v>
      </c>
      <c r="O218" s="269"/>
      <c r="P218" s="279">
        <f>3*259800</f>
        <v>779400</v>
      </c>
      <c r="Q218" s="279">
        <f t="shared" si="481"/>
        <v>1094400</v>
      </c>
      <c r="R218" s="266">
        <f t="shared" si="469"/>
        <v>1874000</v>
      </c>
      <c r="S218" s="266">
        <f t="shared" si="470"/>
        <v>653773.5084</v>
      </c>
      <c r="T218" s="279">
        <f t="shared" si="436"/>
        <v>664500</v>
      </c>
      <c r="U218" s="266">
        <f t="shared" si="471"/>
        <v>1116608.512</v>
      </c>
      <c r="V218" s="279">
        <f t="shared" si="435"/>
        <v>202920</v>
      </c>
      <c r="W218" s="266">
        <v>392142.0</v>
      </c>
      <c r="X218" s="266"/>
      <c r="Y218" s="266"/>
      <c r="Z218" s="266"/>
      <c r="AA218" s="277">
        <f t="shared" si="475"/>
        <v>1131362</v>
      </c>
      <c r="AB218" s="280">
        <f t="shared" si="244"/>
        <v>11829988.31</v>
      </c>
      <c r="AC218" s="279">
        <f t="shared" si="450"/>
        <v>4231601</v>
      </c>
      <c r="AD218" s="279">
        <f t="shared" si="418"/>
        <v>2296.712348</v>
      </c>
      <c r="AE218" s="283">
        <f t="shared" si="174"/>
        <v>16063886.02</v>
      </c>
      <c r="AF218" s="273">
        <f t="shared" si="22"/>
        <v>0.09563509029</v>
      </c>
      <c r="AG218" s="274">
        <f t="shared" si="23"/>
        <v>4233897.712</v>
      </c>
    </row>
    <row r="219">
      <c r="A219" s="264">
        <f t="shared" si="3"/>
        <v>45883</v>
      </c>
      <c r="B219" s="269"/>
      <c r="C219" s="266"/>
      <c r="D219" s="266"/>
      <c r="E219" s="266">
        <f t="shared" si="446"/>
        <v>524918.12</v>
      </c>
      <c r="F219" s="281">
        <f t="shared" ref="F219:F221" si="483">96*7140</f>
        <v>685440</v>
      </c>
      <c r="G219" s="259">
        <f>78*11280</f>
        <v>879840</v>
      </c>
      <c r="H219" s="281">
        <f>32*48780</f>
        <v>1560960</v>
      </c>
      <c r="I219" s="259">
        <f>27*49360</f>
        <v>1332720</v>
      </c>
      <c r="J219" s="259">
        <f t="shared" ref="J219:J220" si="484">54*36800</f>
        <v>1987200</v>
      </c>
      <c r="K219" s="279">
        <f>45*24280</f>
        <v>1092600</v>
      </c>
      <c r="L219" s="266"/>
      <c r="M219" s="266">
        <f>87*17960</f>
        <v>1562520</v>
      </c>
      <c r="N219" s="266">
        <f t="shared" ref="N219:N222" si="485">48*13080</f>
        <v>627840</v>
      </c>
      <c r="O219" s="269"/>
      <c r="P219" s="279">
        <f t="shared" ref="P219:P221" si="486">3*264660</f>
        <v>793980</v>
      </c>
      <c r="Q219" s="279">
        <f>608*1770</f>
        <v>1076160</v>
      </c>
      <c r="R219" s="266">
        <f t="shared" si="469"/>
        <v>1874000</v>
      </c>
      <c r="S219" s="266">
        <f t="shared" si="470"/>
        <v>652375.6611</v>
      </c>
      <c r="T219" s="279">
        <f t="shared" si="436"/>
        <v>664320</v>
      </c>
      <c r="U219" s="266">
        <f t="shared" si="471"/>
        <v>1114412.768</v>
      </c>
      <c r="V219" s="279">
        <f t="shared" si="435"/>
        <v>202920</v>
      </c>
      <c r="W219" s="266">
        <v>392142.0</v>
      </c>
      <c r="X219" s="266"/>
      <c r="Y219" s="266"/>
      <c r="Z219" s="266"/>
      <c r="AA219" s="277">
        <f>1840747-67800+400000-500000-574448-392142-690357</f>
        <v>16000</v>
      </c>
      <c r="AB219" s="280">
        <f t="shared" si="244"/>
        <v>11599373.44</v>
      </c>
      <c r="AC219" s="279">
        <f t="shared" si="450"/>
        <v>4229282.472</v>
      </c>
      <c r="AD219" s="279">
        <f t="shared" si="418"/>
        <v>1334.520567</v>
      </c>
      <c r="AE219" s="283">
        <f t="shared" si="174"/>
        <v>15829990.43</v>
      </c>
      <c r="AF219" s="273">
        <f t="shared" si="22"/>
        <v>0.001379384851</v>
      </c>
      <c r="AG219" s="274">
        <f t="shared" si="23"/>
        <v>4230616.993</v>
      </c>
    </row>
    <row r="220">
      <c r="A220" s="264">
        <f t="shared" si="3"/>
        <v>45882</v>
      </c>
      <c r="B220" s="269"/>
      <c r="C220" s="266"/>
      <c r="D220" s="266"/>
      <c r="E220" s="266">
        <f t="shared" si="446"/>
        <v>523606.64</v>
      </c>
      <c r="F220" s="281">
        <f t="shared" si="483"/>
        <v>685440</v>
      </c>
      <c r="G220" s="259">
        <f>78*11140</f>
        <v>868920</v>
      </c>
      <c r="H220" s="281">
        <f>19*49960</f>
        <v>949240</v>
      </c>
      <c r="I220" s="259">
        <f>27*48660</f>
        <v>1313820</v>
      </c>
      <c r="J220" s="259">
        <f t="shared" si="484"/>
        <v>1987200</v>
      </c>
      <c r="K220" s="279">
        <f>45*24680</f>
        <v>1110600</v>
      </c>
      <c r="L220" s="266"/>
      <c r="M220" s="266">
        <f t="shared" ref="M220:M221" si="487">87*17300</f>
        <v>1505100</v>
      </c>
      <c r="N220" s="266">
        <f t="shared" si="485"/>
        <v>627840</v>
      </c>
      <c r="O220" s="269"/>
      <c r="P220" s="279">
        <f t="shared" si="486"/>
        <v>793980</v>
      </c>
      <c r="Q220" s="279">
        <f>608*1755</f>
        <v>1067040</v>
      </c>
      <c r="R220" s="266">
        <f t="shared" si="469"/>
        <v>1874000</v>
      </c>
      <c r="S220" s="266">
        <f t="shared" si="470"/>
        <v>650977.8138</v>
      </c>
      <c r="T220" s="279">
        <f t="shared" si="436"/>
        <v>664140</v>
      </c>
      <c r="U220" s="266">
        <f t="shared" si="471"/>
        <v>1112217.023</v>
      </c>
      <c r="V220" s="279">
        <f t="shared" si="435"/>
        <v>202920</v>
      </c>
      <c r="W220" s="266">
        <v>392142.0</v>
      </c>
      <c r="X220" s="266"/>
      <c r="Y220" s="266"/>
      <c r="Z220" s="266"/>
      <c r="AA220" s="277">
        <f t="shared" ref="AA220:AA221" si="488">1840747-67800+400000-500000-574448-392142</f>
        <v>706357</v>
      </c>
      <c r="AB220" s="280">
        <f t="shared" si="244"/>
        <v>11599157.56</v>
      </c>
      <c r="AC220" s="279">
        <f t="shared" si="450"/>
        <v>4226963.944</v>
      </c>
      <c r="AD220" s="279">
        <f>AD221+382.191781+300+180+100-30000</f>
        <v>372.328786</v>
      </c>
      <c r="AE220" s="283">
        <f t="shared" si="174"/>
        <v>15826493.84</v>
      </c>
      <c r="AF220" s="273">
        <f t="shared" si="22"/>
        <v>0.06089726742</v>
      </c>
      <c r="AG220" s="274">
        <f t="shared" si="23"/>
        <v>4227336.273</v>
      </c>
    </row>
    <row r="221">
      <c r="A221" s="264">
        <f t="shared" si="3"/>
        <v>45881</v>
      </c>
      <c r="B221" s="269"/>
      <c r="C221" s="266"/>
      <c r="D221" s="266"/>
      <c r="E221" s="266">
        <f t="shared" si="446"/>
        <v>522295.16</v>
      </c>
      <c r="F221" s="281">
        <f t="shared" si="483"/>
        <v>685440</v>
      </c>
      <c r="G221" s="259">
        <f>78*11160</f>
        <v>870480</v>
      </c>
      <c r="H221" s="281">
        <f>19*49160</f>
        <v>934040</v>
      </c>
      <c r="I221" s="259">
        <f>27*48840</f>
        <v>1318680</v>
      </c>
      <c r="J221" s="259">
        <f>54*36620</f>
        <v>1977480</v>
      </c>
      <c r="K221" s="279">
        <f>45*24080</f>
        <v>1083600</v>
      </c>
      <c r="L221" s="266"/>
      <c r="M221" s="266">
        <f t="shared" si="487"/>
        <v>1505100</v>
      </c>
      <c r="N221" s="266">
        <f t="shared" si="485"/>
        <v>627840</v>
      </c>
      <c r="O221" s="269"/>
      <c r="P221" s="279">
        <f t="shared" si="486"/>
        <v>793980</v>
      </c>
      <c r="Q221" s="279">
        <f t="shared" ref="Q221:Q222" si="489">608*1725</f>
        <v>1048800</v>
      </c>
      <c r="R221" s="266">
        <f>R222+200+574448</f>
        <v>1874000</v>
      </c>
      <c r="S221" s="266">
        <f t="shared" ref="S221:S244" si="490">S222+1197.8473+230</f>
        <v>649579.9665</v>
      </c>
      <c r="T221" s="279">
        <f t="shared" si="436"/>
        <v>663960</v>
      </c>
      <c r="U221" s="266">
        <f>U222+1595.7447+500000</f>
        <v>1110021.278</v>
      </c>
      <c r="V221" s="279">
        <f t="shared" si="435"/>
        <v>202920</v>
      </c>
      <c r="W221" s="266">
        <v>392142.0</v>
      </c>
      <c r="X221" s="266"/>
      <c r="Y221" s="266"/>
      <c r="Z221" s="266"/>
      <c r="AA221" s="277">
        <f t="shared" si="488"/>
        <v>706357</v>
      </c>
      <c r="AB221" s="280">
        <f t="shared" si="244"/>
        <v>11504924.69</v>
      </c>
      <c r="AC221" s="279">
        <f t="shared" si="450"/>
        <v>4224645.417</v>
      </c>
      <c r="AD221" s="279">
        <f>AD222+382.191781+300+180+100</f>
        <v>29410.13701</v>
      </c>
      <c r="AE221" s="283">
        <f t="shared" si="174"/>
        <v>15758980.24</v>
      </c>
      <c r="AF221" s="273">
        <f t="shared" si="22"/>
        <v>0.06139605595</v>
      </c>
      <c r="AG221" s="274">
        <f t="shared" si="23"/>
        <v>4254055.554</v>
      </c>
    </row>
    <row r="222">
      <c r="A222" s="264">
        <f t="shared" si="3"/>
        <v>45880</v>
      </c>
      <c r="B222" s="269"/>
      <c r="C222" s="266"/>
      <c r="D222" s="266"/>
      <c r="E222" s="266">
        <f t="shared" si="446"/>
        <v>520983.68</v>
      </c>
      <c r="F222" s="281">
        <f>96*7250</f>
        <v>696000</v>
      </c>
      <c r="G222" s="259">
        <f>78*11280</f>
        <v>879840</v>
      </c>
      <c r="H222" s="281">
        <f>19*48200</f>
        <v>915800</v>
      </c>
      <c r="I222" s="259">
        <f>27*48280</f>
        <v>1303560</v>
      </c>
      <c r="J222" s="259">
        <f>54*36900</f>
        <v>1992600</v>
      </c>
      <c r="K222" s="279">
        <f>45*24040</f>
        <v>1081800</v>
      </c>
      <c r="L222" s="266"/>
      <c r="M222" s="266">
        <f>87*17320</f>
        <v>1506840</v>
      </c>
      <c r="N222" s="266">
        <f t="shared" si="485"/>
        <v>627840</v>
      </c>
      <c r="O222" s="269"/>
      <c r="P222" s="279">
        <f>3*262980</f>
        <v>788940</v>
      </c>
      <c r="Q222" s="279">
        <f t="shared" si="489"/>
        <v>1048800</v>
      </c>
      <c r="R222" s="266">
        <f>R223+200</f>
        <v>1299352</v>
      </c>
      <c r="S222" s="266">
        <f t="shared" si="490"/>
        <v>648152.1192</v>
      </c>
      <c r="T222" s="279">
        <f t="shared" si="436"/>
        <v>663780</v>
      </c>
      <c r="U222" s="266">
        <f t="shared" ref="U222:U226" si="491">U223+1595.7447</f>
        <v>608425.5336</v>
      </c>
      <c r="V222" s="279">
        <f t="shared" si="435"/>
        <v>202920</v>
      </c>
      <c r="W222" s="266"/>
      <c r="X222" s="266"/>
      <c r="Y222" s="266"/>
      <c r="Z222" s="266"/>
      <c r="AA222" s="277">
        <f t="shared" ref="AA222:AA227" si="492">415057+1000000-170000-505187-466000+80000+2000000-143000-154000-678300-84028-577997-214280+2000000-232118+698880-595680-614600+50000+32000-67800</f>
        <v>1772947</v>
      </c>
      <c r="AB222" s="280">
        <f t="shared" si="244"/>
        <v>11090821.82</v>
      </c>
      <c r="AC222" s="279">
        <f t="shared" si="450"/>
        <v>4222326.889</v>
      </c>
      <c r="AD222" s="279">
        <f t="shared" ref="AD222:AD231" si="493">AD223+382.191781+300+180</f>
        <v>28447.94522</v>
      </c>
      <c r="AE222" s="283">
        <f t="shared" si="174"/>
        <v>15341596.65</v>
      </c>
      <c r="AF222" s="273">
        <f t="shared" si="22"/>
        <v>0.1598571349</v>
      </c>
      <c r="AG222" s="274">
        <f t="shared" si="23"/>
        <v>4250774.834</v>
      </c>
    </row>
    <row r="223">
      <c r="A223" s="284">
        <f t="shared" si="3"/>
        <v>45879</v>
      </c>
      <c r="B223" s="269"/>
      <c r="C223" s="266"/>
      <c r="D223" s="266"/>
      <c r="E223" s="266">
        <f t="shared" si="446"/>
        <v>519672.2</v>
      </c>
      <c r="F223" s="281">
        <f>96*7230</f>
        <v>694080</v>
      </c>
      <c r="G223" s="259">
        <f t="shared" ref="G223:G225" si="494">78*11320</f>
        <v>882960</v>
      </c>
      <c r="H223" s="281">
        <f t="shared" ref="H223:H225" si="495">19*50000</f>
        <v>950000</v>
      </c>
      <c r="I223" s="259">
        <f t="shared" ref="I223:I225" si="496">27*47420</f>
        <v>1280340</v>
      </c>
      <c r="J223" s="259">
        <f t="shared" ref="J223:J227" si="497">54*36980</f>
        <v>1996920</v>
      </c>
      <c r="K223" s="279">
        <f t="shared" ref="K223:K225" si="498">45*23660</f>
        <v>1064700</v>
      </c>
      <c r="L223" s="266"/>
      <c r="M223" s="266">
        <f t="shared" ref="M223:M225" si="499">87*17340</f>
        <v>1508580</v>
      </c>
      <c r="N223" s="266">
        <f>48*13000</f>
        <v>624000</v>
      </c>
      <c r="O223" s="269"/>
      <c r="P223" s="279">
        <f>3*260240</f>
        <v>780720</v>
      </c>
      <c r="Q223" s="279">
        <f t="shared" ref="Q223:Q225" si="500">608*1740</f>
        <v>1057920</v>
      </c>
      <c r="R223" s="266">
        <f t="shared" ref="R223:R226" si="501">R224+100</f>
        <v>1299152</v>
      </c>
      <c r="S223" s="266">
        <f t="shared" si="490"/>
        <v>646724.2719</v>
      </c>
      <c r="T223" s="279">
        <f t="shared" si="436"/>
        <v>663600</v>
      </c>
      <c r="U223" s="266">
        <f t="shared" si="491"/>
        <v>606829.7889</v>
      </c>
      <c r="V223" s="279">
        <f t="shared" si="435"/>
        <v>202920</v>
      </c>
      <c r="W223" s="266"/>
      <c r="X223" s="266"/>
      <c r="Y223" s="266"/>
      <c r="Z223" s="266"/>
      <c r="AA223" s="277">
        <f t="shared" si="492"/>
        <v>1772947</v>
      </c>
      <c r="AB223" s="280">
        <f t="shared" si="244"/>
        <v>11090718.95</v>
      </c>
      <c r="AC223" s="279">
        <f t="shared" si="450"/>
        <v>4220008.361</v>
      </c>
      <c r="AD223" s="279">
        <f t="shared" si="493"/>
        <v>27585.75344</v>
      </c>
      <c r="AE223" s="283">
        <f t="shared" si="174"/>
        <v>15338313.06</v>
      </c>
      <c r="AF223" s="273">
        <f t="shared" si="22"/>
        <v>0.1598586177</v>
      </c>
      <c r="AG223" s="274">
        <f t="shared" si="23"/>
        <v>4247594.115</v>
      </c>
    </row>
    <row r="224">
      <c r="A224" s="284">
        <f t="shared" si="3"/>
        <v>45878</v>
      </c>
      <c r="B224" s="269"/>
      <c r="C224" s="266"/>
      <c r="D224" s="266"/>
      <c r="E224" s="266">
        <f t="shared" si="446"/>
        <v>518360.72</v>
      </c>
      <c r="F224" s="281">
        <f>96*6950</f>
        <v>667200</v>
      </c>
      <c r="G224" s="259">
        <f t="shared" si="494"/>
        <v>882960</v>
      </c>
      <c r="H224" s="281">
        <f t="shared" si="495"/>
        <v>950000</v>
      </c>
      <c r="I224" s="259">
        <f t="shared" si="496"/>
        <v>1280340</v>
      </c>
      <c r="J224" s="259">
        <f t="shared" si="497"/>
        <v>1996920</v>
      </c>
      <c r="K224" s="279">
        <f t="shared" si="498"/>
        <v>1064700</v>
      </c>
      <c r="L224" s="266"/>
      <c r="M224" s="266">
        <f t="shared" si="499"/>
        <v>1508580</v>
      </c>
      <c r="N224" s="266">
        <f>48*12700</f>
        <v>609600</v>
      </c>
      <c r="O224" s="269"/>
      <c r="P224" s="279">
        <f>3*263580</f>
        <v>790740</v>
      </c>
      <c r="Q224" s="279">
        <f t="shared" si="500"/>
        <v>1057920</v>
      </c>
      <c r="R224" s="266">
        <f t="shared" si="501"/>
        <v>1299052</v>
      </c>
      <c r="S224" s="266">
        <f t="shared" si="490"/>
        <v>645296.4246</v>
      </c>
      <c r="T224" s="279">
        <f t="shared" si="436"/>
        <v>663420</v>
      </c>
      <c r="U224" s="266">
        <f t="shared" si="491"/>
        <v>605234.0442</v>
      </c>
      <c r="V224" s="279">
        <f t="shared" si="435"/>
        <v>202920</v>
      </c>
      <c r="W224" s="266"/>
      <c r="X224" s="266"/>
      <c r="Y224" s="266"/>
      <c r="Z224" s="266"/>
      <c r="AA224" s="277">
        <f t="shared" si="492"/>
        <v>1772947</v>
      </c>
      <c r="AB224" s="280">
        <f t="shared" si="244"/>
        <v>11086216.07</v>
      </c>
      <c r="AC224" s="279">
        <f t="shared" si="450"/>
        <v>4217689.833</v>
      </c>
      <c r="AD224" s="279">
        <f t="shared" si="493"/>
        <v>26723.56166</v>
      </c>
      <c r="AE224" s="283">
        <f t="shared" si="174"/>
        <v>15330629.47</v>
      </c>
      <c r="AF224" s="273">
        <f t="shared" si="22"/>
        <v>0.1599235472</v>
      </c>
      <c r="AG224" s="274">
        <f t="shared" si="23"/>
        <v>4244413.395</v>
      </c>
    </row>
    <row r="225">
      <c r="A225" s="264">
        <f t="shared" si="3"/>
        <v>45877</v>
      </c>
      <c r="B225" s="269"/>
      <c r="C225" s="266"/>
      <c r="D225" s="266"/>
      <c r="E225" s="266">
        <f t="shared" si="446"/>
        <v>517049.24</v>
      </c>
      <c r="F225" s="281">
        <f>96*6780</f>
        <v>650880</v>
      </c>
      <c r="G225" s="259">
        <f t="shared" si="494"/>
        <v>882960</v>
      </c>
      <c r="H225" s="281">
        <f t="shared" si="495"/>
        <v>950000</v>
      </c>
      <c r="I225" s="259">
        <f t="shared" si="496"/>
        <v>1280340</v>
      </c>
      <c r="J225" s="259">
        <f t="shared" si="497"/>
        <v>1996920</v>
      </c>
      <c r="K225" s="279">
        <f t="shared" si="498"/>
        <v>1064700</v>
      </c>
      <c r="L225" s="266"/>
      <c r="M225" s="266">
        <f t="shared" si="499"/>
        <v>1508580</v>
      </c>
      <c r="N225" s="266">
        <f>48*12620</f>
        <v>605760</v>
      </c>
      <c r="O225" s="269"/>
      <c r="P225" s="279">
        <f>3*264260</f>
        <v>792780</v>
      </c>
      <c r="Q225" s="279">
        <f t="shared" si="500"/>
        <v>1057920</v>
      </c>
      <c r="R225" s="266">
        <f t="shared" si="501"/>
        <v>1298952</v>
      </c>
      <c r="S225" s="266">
        <f t="shared" si="490"/>
        <v>643868.5773</v>
      </c>
      <c r="T225" s="279">
        <f t="shared" si="436"/>
        <v>663240</v>
      </c>
      <c r="U225" s="266">
        <f t="shared" si="491"/>
        <v>603638.2995</v>
      </c>
      <c r="V225" s="279">
        <f t="shared" si="435"/>
        <v>202920</v>
      </c>
      <c r="W225" s="266"/>
      <c r="X225" s="266"/>
      <c r="Y225" s="266"/>
      <c r="Z225" s="266"/>
      <c r="AA225" s="277">
        <f t="shared" si="492"/>
        <v>1772947</v>
      </c>
      <c r="AB225" s="280">
        <f t="shared" si="244"/>
        <v>11084293.2</v>
      </c>
      <c r="AC225" s="279">
        <f t="shared" si="450"/>
        <v>4215371.306</v>
      </c>
      <c r="AD225" s="279">
        <f t="shared" si="493"/>
        <v>25861.36988</v>
      </c>
      <c r="AE225" s="283">
        <f t="shared" si="174"/>
        <v>15325525.88</v>
      </c>
      <c r="AF225" s="273">
        <f t="shared" si="22"/>
        <v>0.1599512903</v>
      </c>
      <c r="AG225" s="274">
        <f t="shared" si="23"/>
        <v>4241232.675</v>
      </c>
    </row>
    <row r="226">
      <c r="A226" s="264">
        <f t="shared" si="3"/>
        <v>45876</v>
      </c>
      <c r="B226" s="269"/>
      <c r="C226" s="266"/>
      <c r="D226" s="266"/>
      <c r="E226" s="266">
        <f t="shared" si="446"/>
        <v>515737.76</v>
      </c>
      <c r="F226" s="281">
        <f t="shared" ref="F226:F228" si="502">96*6990</f>
        <v>671040</v>
      </c>
      <c r="G226" s="259">
        <f t="shared" ref="G226:G227" si="503">78*11380</f>
        <v>887640</v>
      </c>
      <c r="H226" s="281">
        <f t="shared" ref="H226:H227" si="504">19*49760</f>
        <v>945440</v>
      </c>
      <c r="I226" s="259">
        <f t="shared" ref="I226:I227" si="505">27*46100</f>
        <v>1244700</v>
      </c>
      <c r="J226" s="259">
        <f t="shared" si="497"/>
        <v>1996920</v>
      </c>
      <c r="K226" s="279">
        <f t="shared" ref="K226:K227" si="506">45*23300</f>
        <v>1048500</v>
      </c>
      <c r="L226" s="266"/>
      <c r="M226" s="266">
        <f t="shared" ref="M226:M227" si="507">87*17280</f>
        <v>1503360</v>
      </c>
      <c r="N226" s="266">
        <f>48*12440</f>
        <v>597120</v>
      </c>
      <c r="O226" s="269"/>
      <c r="P226" s="279">
        <f t="shared" ref="P226:P228" si="508">3*248960</f>
        <v>746880</v>
      </c>
      <c r="Q226" s="279">
        <f t="shared" ref="Q226:Q227" si="509">608*1750</f>
        <v>1064000</v>
      </c>
      <c r="R226" s="266">
        <f t="shared" si="501"/>
        <v>1298852</v>
      </c>
      <c r="S226" s="266">
        <f t="shared" si="490"/>
        <v>642440.73</v>
      </c>
      <c r="T226" s="279">
        <f t="shared" si="436"/>
        <v>663060</v>
      </c>
      <c r="U226" s="266">
        <f t="shared" si="491"/>
        <v>602042.5548</v>
      </c>
      <c r="V226" s="279">
        <f t="shared" si="435"/>
        <v>202920</v>
      </c>
      <c r="W226" s="266"/>
      <c r="X226" s="266"/>
      <c r="Y226" s="266"/>
      <c r="Z226" s="266"/>
      <c r="AA226" s="277">
        <f t="shared" si="492"/>
        <v>1772947</v>
      </c>
      <c r="AB226" s="280">
        <f t="shared" si="244"/>
        <v>10978770.33</v>
      </c>
      <c r="AC226" s="279">
        <f t="shared" si="450"/>
        <v>4213052.778</v>
      </c>
      <c r="AD226" s="279">
        <f t="shared" si="493"/>
        <v>24999.1781</v>
      </c>
      <c r="AE226" s="283">
        <f t="shared" si="174"/>
        <v>15216822.28</v>
      </c>
      <c r="AF226" s="273">
        <f t="shared" si="22"/>
        <v>0.1614886683</v>
      </c>
      <c r="AG226" s="274">
        <f t="shared" si="23"/>
        <v>4238051.956</v>
      </c>
    </row>
    <row r="227">
      <c r="A227" s="264">
        <f t="shared" si="3"/>
        <v>45875</v>
      </c>
      <c r="B227" s="269"/>
      <c r="C227" s="266"/>
      <c r="D227" s="266"/>
      <c r="E227" s="266">
        <f t="shared" si="446"/>
        <v>514426.28</v>
      </c>
      <c r="F227" s="281">
        <f t="shared" si="502"/>
        <v>671040</v>
      </c>
      <c r="G227" s="259">
        <f t="shared" si="503"/>
        <v>887640</v>
      </c>
      <c r="H227" s="281">
        <f t="shared" si="504"/>
        <v>945440</v>
      </c>
      <c r="I227" s="259">
        <f t="shared" si="505"/>
        <v>1244700</v>
      </c>
      <c r="J227" s="259">
        <f t="shared" si="497"/>
        <v>1996920</v>
      </c>
      <c r="K227" s="279">
        <f t="shared" si="506"/>
        <v>1048500</v>
      </c>
      <c r="L227" s="266"/>
      <c r="M227" s="266">
        <f t="shared" si="507"/>
        <v>1503360</v>
      </c>
      <c r="N227" s="266">
        <f t="shared" ref="N227:N233" si="510">48*12340</f>
        <v>592320</v>
      </c>
      <c r="O227" s="269"/>
      <c r="P227" s="279">
        <f t="shared" si="508"/>
        <v>746880</v>
      </c>
      <c r="Q227" s="279">
        <f t="shared" si="509"/>
        <v>1064000</v>
      </c>
      <c r="R227" s="266">
        <f>R228+100+67800</f>
        <v>1298752</v>
      </c>
      <c r="S227" s="266">
        <f t="shared" si="490"/>
        <v>641012.8827</v>
      </c>
      <c r="T227" s="279">
        <f t="shared" si="436"/>
        <v>662880</v>
      </c>
      <c r="U227" s="266">
        <f>U228+1595.7447-32000</f>
        <v>600446.8101</v>
      </c>
      <c r="V227" s="279">
        <f t="shared" si="435"/>
        <v>202920</v>
      </c>
      <c r="W227" s="266"/>
      <c r="X227" s="266"/>
      <c r="Y227" s="266"/>
      <c r="Z227" s="266"/>
      <c r="AA227" s="277">
        <f t="shared" si="492"/>
        <v>1772947</v>
      </c>
      <c r="AB227" s="280">
        <f t="shared" si="244"/>
        <v>10973847.46</v>
      </c>
      <c r="AC227" s="279">
        <f t="shared" si="450"/>
        <v>4210734.25</v>
      </c>
      <c r="AD227" s="279">
        <f t="shared" si="493"/>
        <v>24136.98632</v>
      </c>
      <c r="AE227" s="283">
        <f t="shared" si="174"/>
        <v>15208718.69</v>
      </c>
      <c r="AF227" s="273">
        <f t="shared" si="22"/>
        <v>0.1615611122</v>
      </c>
      <c r="AG227" s="274">
        <f t="shared" si="23"/>
        <v>4234871.236</v>
      </c>
    </row>
    <row r="228">
      <c r="A228" s="264">
        <f t="shared" si="3"/>
        <v>45874</v>
      </c>
      <c r="B228" s="269"/>
      <c r="C228" s="266"/>
      <c r="D228" s="266"/>
      <c r="E228" s="266">
        <f t="shared" si="446"/>
        <v>513114.8</v>
      </c>
      <c r="F228" s="281">
        <f t="shared" si="502"/>
        <v>671040</v>
      </c>
      <c r="G228" s="259">
        <f>78*11320</f>
        <v>882960</v>
      </c>
      <c r="H228" s="281">
        <f>19*49800</f>
        <v>946200</v>
      </c>
      <c r="I228" s="259">
        <f>27*46040</f>
        <v>1243080</v>
      </c>
      <c r="J228" s="259">
        <f>54*36520</f>
        <v>1972080</v>
      </c>
      <c r="K228" s="279">
        <f>45*22920</f>
        <v>1031400</v>
      </c>
      <c r="L228" s="266"/>
      <c r="M228" s="266">
        <f>87*17340</f>
        <v>1508580</v>
      </c>
      <c r="N228" s="266">
        <f t="shared" si="510"/>
        <v>592320</v>
      </c>
      <c r="O228" s="269"/>
      <c r="P228" s="279">
        <f t="shared" si="508"/>
        <v>746880</v>
      </c>
      <c r="Q228" s="279">
        <f>608*1735</f>
        <v>1054880</v>
      </c>
      <c r="R228" s="266">
        <f t="shared" ref="R228:R231" si="511">R229+100</f>
        <v>1230852</v>
      </c>
      <c r="S228" s="266">
        <f t="shared" si="490"/>
        <v>639585.0354</v>
      </c>
      <c r="T228" s="279">
        <f t="shared" si="436"/>
        <v>662700</v>
      </c>
      <c r="U228" s="266">
        <f t="shared" ref="U228:U253" si="512">U229+1595.7447</f>
        <v>630851.0654</v>
      </c>
      <c r="V228" s="279">
        <f t="shared" si="435"/>
        <v>202920</v>
      </c>
      <c r="W228" s="266"/>
      <c r="X228" s="266"/>
      <c r="Y228" s="266"/>
      <c r="Z228" s="266"/>
      <c r="AA228" s="277">
        <f t="shared" ref="AA228:AA230" si="513">415057+1000000-170000-505187-466000+80000+2000000-143000-154000-678300-84028-577997-214280+2000000-232118+698880-595680-614600+50000</f>
        <v>1808747</v>
      </c>
      <c r="AB228" s="280">
        <f t="shared" si="244"/>
        <v>10922344.58</v>
      </c>
      <c r="AC228" s="279">
        <f t="shared" si="450"/>
        <v>4208415.722</v>
      </c>
      <c r="AD228" s="279">
        <f t="shared" si="493"/>
        <v>23274.79454</v>
      </c>
      <c r="AE228" s="283">
        <f t="shared" si="174"/>
        <v>15154035.1</v>
      </c>
      <c r="AF228" s="273">
        <f t="shared" si="22"/>
        <v>0.1656006168</v>
      </c>
      <c r="AG228" s="274">
        <f t="shared" si="23"/>
        <v>4231690.517</v>
      </c>
    </row>
    <row r="229">
      <c r="A229" s="264">
        <f t="shared" si="3"/>
        <v>45873</v>
      </c>
      <c r="B229" s="269"/>
      <c r="C229" s="266"/>
      <c r="D229" s="266"/>
      <c r="E229" s="266">
        <f t="shared" si="446"/>
        <v>511803.32</v>
      </c>
      <c r="F229" s="281">
        <f>96*6370</f>
        <v>611520</v>
      </c>
      <c r="G229" s="259">
        <f>78*11480</f>
        <v>895440</v>
      </c>
      <c r="H229" s="281">
        <f>19*49500</f>
        <v>940500</v>
      </c>
      <c r="I229" s="259">
        <f>27*45840</f>
        <v>1237680</v>
      </c>
      <c r="J229" s="259">
        <f>54*36540</f>
        <v>1973160</v>
      </c>
      <c r="K229" s="279">
        <f>45*22620</f>
        <v>1017900</v>
      </c>
      <c r="L229" s="266"/>
      <c r="M229" s="266">
        <f>87*17420</f>
        <v>1515540</v>
      </c>
      <c r="N229" s="266">
        <f t="shared" si="510"/>
        <v>592320</v>
      </c>
      <c r="O229" s="269"/>
      <c r="P229" s="279">
        <f>3*252000</f>
        <v>756000</v>
      </c>
      <c r="Q229" s="279">
        <f>608*1715</f>
        <v>1042720</v>
      </c>
      <c r="R229" s="266">
        <f t="shared" si="511"/>
        <v>1230752</v>
      </c>
      <c r="S229" s="266">
        <f t="shared" si="490"/>
        <v>638157.1881</v>
      </c>
      <c r="T229" s="279">
        <f t="shared" si="436"/>
        <v>662520</v>
      </c>
      <c r="U229" s="266">
        <f t="shared" si="512"/>
        <v>629255.3207</v>
      </c>
      <c r="V229" s="279">
        <f t="shared" si="435"/>
        <v>202920</v>
      </c>
      <c r="W229" s="266"/>
      <c r="X229" s="266"/>
      <c r="Y229" s="266"/>
      <c r="Z229" s="266"/>
      <c r="AA229" s="277">
        <f t="shared" si="513"/>
        <v>1808747</v>
      </c>
      <c r="AB229" s="280">
        <f>IF((SUM(G229:AA229)-AC229-abs(AD229))&lt;0,,SUM(G229:AA229)-AC229-abs(AD229))</f>
        <v>10915101.71</v>
      </c>
      <c r="AC229" s="279">
        <f t="shared" si="450"/>
        <v>4206097.194</v>
      </c>
      <c r="AD229" s="279">
        <f t="shared" si="493"/>
        <v>22412.60276</v>
      </c>
      <c r="AE229" s="283">
        <f t="shared" si="174"/>
        <v>15143611.51</v>
      </c>
      <c r="AF229" s="273">
        <f t="shared" si="22"/>
        <v>0.1657105035</v>
      </c>
      <c r="AG229" s="274">
        <f t="shared" si="23"/>
        <v>4228509.797</v>
      </c>
    </row>
    <row r="230">
      <c r="A230" s="284">
        <f t="shared" si="3"/>
        <v>45872</v>
      </c>
      <c r="B230" s="269"/>
      <c r="C230" s="266"/>
      <c r="D230" s="266"/>
      <c r="E230" s="266">
        <f t="shared" si="446"/>
        <v>510491.84</v>
      </c>
      <c r="F230" s="281">
        <f>96*6380</f>
        <v>612480</v>
      </c>
      <c r="G230" s="259">
        <f t="shared" ref="G230:G232" si="514">78*11700</f>
        <v>912600</v>
      </c>
      <c r="H230" s="281">
        <f t="shared" ref="H230:H232" si="515">19*50000</f>
        <v>950000</v>
      </c>
      <c r="I230" s="259">
        <f t="shared" ref="I230:I232" si="516">27*45600</f>
        <v>1231200</v>
      </c>
      <c r="J230" s="259">
        <f t="shared" ref="J230:J232" si="517">54*37120</f>
        <v>2004480</v>
      </c>
      <c r="K230" s="279">
        <f t="shared" ref="K230:K232" si="518">45*22180</f>
        <v>998100</v>
      </c>
      <c r="L230" s="266"/>
      <c r="M230" s="266">
        <f t="shared" ref="M230:M232" si="519">87*17260</f>
        <v>1501620</v>
      </c>
      <c r="N230" s="266">
        <f t="shared" si="510"/>
        <v>592320</v>
      </c>
      <c r="O230" s="269"/>
      <c r="P230" s="279">
        <f>3*250140</f>
        <v>750420</v>
      </c>
      <c r="Q230" s="279">
        <f t="shared" ref="Q230:Q232" si="520">608*1720</f>
        <v>1045760</v>
      </c>
      <c r="R230" s="266">
        <f t="shared" si="511"/>
        <v>1230652</v>
      </c>
      <c r="S230" s="266">
        <f t="shared" si="490"/>
        <v>636729.3408</v>
      </c>
      <c r="T230" s="279">
        <f t="shared" si="436"/>
        <v>662340</v>
      </c>
      <c r="U230" s="266">
        <f t="shared" si="512"/>
        <v>627659.576</v>
      </c>
      <c r="V230" s="279">
        <f t="shared" si="435"/>
        <v>202920</v>
      </c>
      <c r="W230" s="266"/>
      <c r="X230" s="266"/>
      <c r="Y230" s="266"/>
      <c r="Z230" s="266"/>
      <c r="AA230" s="277">
        <f t="shared" si="513"/>
        <v>1808747</v>
      </c>
      <c r="AB230" s="280">
        <f t="shared" ref="AB230:AB236" si="521">IF((SUM(G230:AA230)-AC230-AD230)&lt;0,,SUM(G230:AA230)-AC230-AD230)</f>
        <v>10930218.84</v>
      </c>
      <c r="AC230" s="279">
        <f t="shared" si="450"/>
        <v>4203778.667</v>
      </c>
      <c r="AD230" s="279">
        <f t="shared" si="493"/>
        <v>21550.41098</v>
      </c>
      <c r="AE230" s="283">
        <f t="shared" si="174"/>
        <v>15155547.92</v>
      </c>
      <c r="AF230" s="273">
        <f t="shared" si="22"/>
        <v>0.1654813162</v>
      </c>
      <c r="AG230" s="274">
        <f t="shared" si="23"/>
        <v>4225329.078</v>
      </c>
    </row>
    <row r="231">
      <c r="A231" s="284">
        <f t="shared" si="3"/>
        <v>45871</v>
      </c>
      <c r="B231" s="269"/>
      <c r="C231" s="266"/>
      <c r="D231" s="266"/>
      <c r="E231" s="266">
        <f t="shared" si="446"/>
        <v>509180.36</v>
      </c>
      <c r="F231" s="281">
        <f>96*6140</f>
        <v>589440</v>
      </c>
      <c r="G231" s="259">
        <f t="shared" si="514"/>
        <v>912600</v>
      </c>
      <c r="H231" s="281">
        <f t="shared" si="515"/>
        <v>950000</v>
      </c>
      <c r="I231" s="259">
        <f t="shared" si="516"/>
        <v>1231200</v>
      </c>
      <c r="J231" s="259">
        <f t="shared" si="517"/>
        <v>2004480</v>
      </c>
      <c r="K231" s="279">
        <f t="shared" si="518"/>
        <v>998100</v>
      </c>
      <c r="L231" s="266"/>
      <c r="M231" s="266">
        <f t="shared" si="519"/>
        <v>1501620</v>
      </c>
      <c r="N231" s="266">
        <f t="shared" si="510"/>
        <v>592320</v>
      </c>
      <c r="O231" s="269"/>
      <c r="P231" s="279">
        <f>3*245880</f>
        <v>737640</v>
      </c>
      <c r="Q231" s="279">
        <f t="shared" si="520"/>
        <v>1045760</v>
      </c>
      <c r="R231" s="266">
        <f t="shared" si="511"/>
        <v>1230552</v>
      </c>
      <c r="S231" s="266">
        <f t="shared" si="490"/>
        <v>635301.4935</v>
      </c>
      <c r="T231" s="279">
        <f t="shared" si="436"/>
        <v>662160</v>
      </c>
      <c r="U231" s="266">
        <f t="shared" si="512"/>
        <v>626063.8313</v>
      </c>
      <c r="V231" s="279">
        <f t="shared" si="435"/>
        <v>202920</v>
      </c>
      <c r="W231" s="266"/>
      <c r="X231" s="266"/>
      <c r="Y231" s="266"/>
      <c r="Z231" s="266"/>
      <c r="AA231" s="277">
        <f t="shared" ref="AA231:AA232" si="522">415057+1000000-170000-505187-466000+80000+2000000-143000-154000-678300-84028-577997-214280+2000000-232118+698880-595680-614600</f>
        <v>1758747</v>
      </c>
      <c r="AB231" s="280">
        <f t="shared" si="521"/>
        <v>10867315.97</v>
      </c>
      <c r="AC231" s="279">
        <f t="shared" si="450"/>
        <v>4201460.139</v>
      </c>
      <c r="AD231" s="279">
        <f t="shared" si="493"/>
        <v>20688.2192</v>
      </c>
      <c r="AE231" s="283">
        <f t="shared" si="174"/>
        <v>15089464.32</v>
      </c>
      <c r="AF231" s="273">
        <f t="shared" si="22"/>
        <v>0.1618382134</v>
      </c>
      <c r="AG231" s="274">
        <f t="shared" si="23"/>
        <v>4222148.358</v>
      </c>
    </row>
    <row r="232">
      <c r="A232" s="264">
        <f t="shared" si="3"/>
        <v>45870</v>
      </c>
      <c r="B232" s="269"/>
      <c r="C232" s="266"/>
      <c r="D232" s="266"/>
      <c r="E232" s="266">
        <f t="shared" si="446"/>
        <v>507868.88</v>
      </c>
      <c r="F232" s="281">
        <f>96*5910</f>
        <v>567360</v>
      </c>
      <c r="G232" s="259">
        <f t="shared" si="514"/>
        <v>912600</v>
      </c>
      <c r="H232" s="281">
        <f t="shared" si="515"/>
        <v>950000</v>
      </c>
      <c r="I232" s="259">
        <f t="shared" si="516"/>
        <v>1231200</v>
      </c>
      <c r="J232" s="259">
        <f t="shared" si="517"/>
        <v>2004480</v>
      </c>
      <c r="K232" s="279">
        <f t="shared" si="518"/>
        <v>998100</v>
      </c>
      <c r="L232" s="266"/>
      <c r="M232" s="266">
        <f t="shared" si="519"/>
        <v>1501620</v>
      </c>
      <c r="N232" s="266">
        <f t="shared" si="510"/>
        <v>592320</v>
      </c>
      <c r="O232" s="269"/>
      <c r="P232" s="279">
        <f>3*248900</f>
        <v>746700</v>
      </c>
      <c r="Q232" s="279">
        <f t="shared" si="520"/>
        <v>1045760</v>
      </c>
      <c r="R232" s="266">
        <f>R233+100+141000+91118</f>
        <v>1230452</v>
      </c>
      <c r="S232" s="266">
        <f t="shared" si="490"/>
        <v>633873.6462</v>
      </c>
      <c r="T232" s="279">
        <f t="shared" si="436"/>
        <v>661980</v>
      </c>
      <c r="U232" s="266">
        <f t="shared" si="512"/>
        <v>624468.0866</v>
      </c>
      <c r="V232" s="279">
        <f t="shared" si="435"/>
        <v>202920</v>
      </c>
      <c r="W232" s="266"/>
      <c r="X232" s="266"/>
      <c r="Y232" s="266"/>
      <c r="Z232" s="266"/>
      <c r="AA232" s="277">
        <f t="shared" si="522"/>
        <v>1758747</v>
      </c>
      <c r="AB232" s="280">
        <f t="shared" si="521"/>
        <v>10876253.09</v>
      </c>
      <c r="AC232" s="279">
        <f t="shared" si="450"/>
        <v>4199141.611</v>
      </c>
      <c r="AD232" s="279">
        <f t="shared" ref="AD232:AD244" si="523">AD233+382.191781+300</f>
        <v>19826.02741</v>
      </c>
      <c r="AE232" s="283">
        <f t="shared" si="174"/>
        <v>15095220.73</v>
      </c>
      <c r="AF232" s="273">
        <f t="shared" si="22"/>
        <v>0.1617052293</v>
      </c>
      <c r="AG232" s="274">
        <f t="shared" si="23"/>
        <v>4218967.639</v>
      </c>
    </row>
    <row r="233">
      <c r="A233" s="264">
        <f t="shared" si="3"/>
        <v>45869</v>
      </c>
      <c r="B233" s="269"/>
      <c r="C233" s="266"/>
      <c r="D233" s="266"/>
      <c r="E233" s="266">
        <f t="shared" si="446"/>
        <v>506557.4</v>
      </c>
      <c r="F233" s="281">
        <f t="shared" ref="F233:F235" si="524">96*5980</f>
        <v>574080</v>
      </c>
      <c r="G233" s="259">
        <f>27*11700</f>
        <v>315900</v>
      </c>
      <c r="H233" s="281">
        <f>19*51240</f>
        <v>973560</v>
      </c>
      <c r="I233" s="259">
        <f>27*45800</f>
        <v>1236600</v>
      </c>
      <c r="J233" s="259">
        <f>54*37760</f>
        <v>2039040</v>
      </c>
      <c r="K233" s="279">
        <f>45*22260</f>
        <v>1001700</v>
      </c>
      <c r="L233" s="266"/>
      <c r="M233" s="266">
        <f>52*17540</f>
        <v>912080</v>
      </c>
      <c r="N233" s="266">
        <f t="shared" si="510"/>
        <v>592320</v>
      </c>
      <c r="O233" s="269"/>
      <c r="P233" s="279">
        <f t="shared" ref="P233:P235" si="525">3*246940</f>
        <v>740820</v>
      </c>
      <c r="Q233" s="279">
        <f>608*1755</f>
        <v>1067040</v>
      </c>
      <c r="R233" s="266">
        <f>R234+100+214280</f>
        <v>998234</v>
      </c>
      <c r="S233" s="266">
        <f t="shared" si="490"/>
        <v>632445.7989</v>
      </c>
      <c r="T233" s="279">
        <f t="shared" si="436"/>
        <v>661800</v>
      </c>
      <c r="U233" s="266">
        <f t="shared" si="512"/>
        <v>622872.3419</v>
      </c>
      <c r="V233" s="279">
        <f t="shared" si="435"/>
        <v>202920</v>
      </c>
      <c r="W233" s="266"/>
      <c r="X233" s="266"/>
      <c r="Y233" s="266"/>
      <c r="Z233" s="266"/>
      <c r="AA233" s="277">
        <f>415057+1000000-170000-505187-466000+80000+2000000-143000-154000-678300-84028-577997-214280+2000000</f>
        <v>2502265</v>
      </c>
      <c r="AB233" s="280">
        <f t="shared" si="521"/>
        <v>10283630.22</v>
      </c>
      <c r="AC233" s="279">
        <f t="shared" ref="AC233:AC319" si="526">AC234+4318.527778</f>
        <v>4196823.083</v>
      </c>
      <c r="AD233" s="279">
        <f t="shared" si="523"/>
        <v>19143.83563</v>
      </c>
      <c r="AE233" s="283">
        <f t="shared" si="174"/>
        <v>14499597.14</v>
      </c>
      <c r="AF233" s="273">
        <f t="shared" si="22"/>
        <v>0.2433250658</v>
      </c>
      <c r="AG233" s="274">
        <f t="shared" si="23"/>
        <v>4215966.919</v>
      </c>
    </row>
    <row r="234">
      <c r="A234" s="264">
        <f t="shared" si="3"/>
        <v>45868</v>
      </c>
      <c r="B234" s="269"/>
      <c r="C234" s="266"/>
      <c r="D234" s="266"/>
      <c r="E234" s="266">
        <f t="shared" si="446"/>
        <v>505245.92</v>
      </c>
      <c r="F234" s="281">
        <f t="shared" si="524"/>
        <v>574080</v>
      </c>
      <c r="G234" s="259">
        <f>27*11320</f>
        <v>305640</v>
      </c>
      <c r="H234" s="281">
        <f>19*52740</f>
        <v>1002060</v>
      </c>
      <c r="I234" s="259">
        <f>27*45500</f>
        <v>1228500</v>
      </c>
      <c r="J234" s="259">
        <f>54*37700</f>
        <v>2035800</v>
      </c>
      <c r="K234" s="279">
        <f>45*21740</f>
        <v>978300</v>
      </c>
      <c r="L234" s="266"/>
      <c r="M234" s="266">
        <f t="shared" ref="M234:M235" si="527">52*17500</f>
        <v>910000</v>
      </c>
      <c r="N234" s="266">
        <f t="shared" ref="N234:N236" si="528">48*12320</f>
        <v>591360</v>
      </c>
      <c r="O234" s="269"/>
      <c r="P234" s="279">
        <f t="shared" si="525"/>
        <v>740820</v>
      </c>
      <c r="Q234" s="279">
        <f>608*1775</f>
        <v>1079200</v>
      </c>
      <c r="R234" s="266">
        <f t="shared" ref="R234:R236" si="529">R235+100</f>
        <v>783854</v>
      </c>
      <c r="S234" s="266">
        <f t="shared" si="490"/>
        <v>631017.9516</v>
      </c>
      <c r="T234" s="279">
        <f t="shared" si="436"/>
        <v>661620</v>
      </c>
      <c r="U234" s="266">
        <f t="shared" si="512"/>
        <v>621276.5972</v>
      </c>
      <c r="V234" s="279">
        <f t="shared" si="435"/>
        <v>202920</v>
      </c>
      <c r="W234" s="266"/>
      <c r="X234" s="266"/>
      <c r="Y234" s="266"/>
      <c r="Z234" s="266"/>
      <c r="AA234" s="277">
        <f t="shared" ref="AA234:AA235" si="530">415057+1000000-170000-505187-466000+80000+2000000-143000-154000-678300-84028-577997+2000000</f>
        <v>2716545</v>
      </c>
      <c r="AB234" s="280">
        <f t="shared" si="521"/>
        <v>10277947.35</v>
      </c>
      <c r="AC234" s="279">
        <f t="shared" si="526"/>
        <v>4192504.556</v>
      </c>
      <c r="AD234" s="279">
        <f t="shared" si="523"/>
        <v>18461.64385</v>
      </c>
      <c r="AE234" s="283">
        <f t="shared" si="174"/>
        <v>14488913.55</v>
      </c>
      <c r="AF234" s="273">
        <f t="shared" si="22"/>
        <v>0.2643081257</v>
      </c>
      <c r="AG234" s="274">
        <f t="shared" si="23"/>
        <v>4210966.199</v>
      </c>
    </row>
    <row r="235">
      <c r="A235" s="264">
        <f t="shared" si="3"/>
        <v>45867</v>
      </c>
      <c r="B235" s="269"/>
      <c r="C235" s="266"/>
      <c r="D235" s="266"/>
      <c r="E235" s="266">
        <f t="shared" si="446"/>
        <v>503934.44</v>
      </c>
      <c r="F235" s="281">
        <f t="shared" si="524"/>
        <v>574080</v>
      </c>
      <c r="G235" s="259">
        <f>27*12040</f>
        <v>325080</v>
      </c>
      <c r="H235" s="281">
        <f>19*52240</f>
        <v>992560</v>
      </c>
      <c r="I235" s="259">
        <f>27*45700</f>
        <v>1233900</v>
      </c>
      <c r="J235" s="259">
        <f>54*35240</f>
        <v>1902960</v>
      </c>
      <c r="K235" s="279">
        <f>45*22400</f>
        <v>1008000</v>
      </c>
      <c r="L235" s="266"/>
      <c r="M235" s="266">
        <f t="shared" si="527"/>
        <v>910000</v>
      </c>
      <c r="N235" s="266">
        <f t="shared" si="528"/>
        <v>591360</v>
      </c>
      <c r="O235" s="269"/>
      <c r="P235" s="279">
        <f t="shared" si="525"/>
        <v>740820</v>
      </c>
      <c r="Q235" s="279">
        <f>608*1805</f>
        <v>1097440</v>
      </c>
      <c r="R235" s="266">
        <f t="shared" si="529"/>
        <v>783754</v>
      </c>
      <c r="S235" s="266">
        <f t="shared" si="490"/>
        <v>629590.1043</v>
      </c>
      <c r="T235" s="279">
        <f t="shared" si="436"/>
        <v>661440</v>
      </c>
      <c r="U235" s="266">
        <f t="shared" si="512"/>
        <v>619680.8525</v>
      </c>
      <c r="V235" s="279">
        <f t="shared" si="435"/>
        <v>202920</v>
      </c>
      <c r="W235" s="266"/>
      <c r="X235" s="266"/>
      <c r="Y235" s="266"/>
      <c r="Z235" s="266"/>
      <c r="AA235" s="277">
        <f t="shared" si="530"/>
        <v>2716545</v>
      </c>
      <c r="AB235" s="280">
        <f t="shared" si="521"/>
        <v>10210084.48</v>
      </c>
      <c r="AC235" s="279">
        <f t="shared" si="526"/>
        <v>4188186.028</v>
      </c>
      <c r="AD235" s="279">
        <f t="shared" si="523"/>
        <v>17779.45207</v>
      </c>
      <c r="AE235" s="283">
        <f t="shared" si="174"/>
        <v>14416049.96</v>
      </c>
      <c r="AF235" s="273">
        <f t="shared" si="22"/>
        <v>0.2660648897</v>
      </c>
      <c r="AG235" s="274">
        <f t="shared" si="23"/>
        <v>4205965.48</v>
      </c>
    </row>
    <row r="236">
      <c r="A236" s="264">
        <f t="shared" si="3"/>
        <v>45866</v>
      </c>
      <c r="B236" s="269"/>
      <c r="C236" s="266"/>
      <c r="D236" s="266"/>
      <c r="E236" s="266">
        <f t="shared" si="446"/>
        <v>502622.96</v>
      </c>
      <c r="F236" s="281">
        <f t="shared" ref="F236:F238" si="531">96*6030</f>
        <v>578880</v>
      </c>
      <c r="G236" s="259">
        <f>27*12000</f>
        <v>324000</v>
      </c>
      <c r="H236" s="281">
        <f>19*52600</f>
        <v>999400</v>
      </c>
      <c r="I236" s="259">
        <f>27*46000</f>
        <v>1242000</v>
      </c>
      <c r="J236" s="259">
        <f>38*35200</f>
        <v>1337600</v>
      </c>
      <c r="K236" s="279">
        <f>45*21500</f>
        <v>967500</v>
      </c>
      <c r="L236" s="266"/>
      <c r="M236" s="266">
        <f>52*17620</f>
        <v>916240</v>
      </c>
      <c r="N236" s="266">
        <f t="shared" si="528"/>
        <v>591360</v>
      </c>
      <c r="O236" s="269"/>
      <c r="P236" s="279">
        <f t="shared" ref="P236:P238" si="532">3*238300</f>
        <v>714900</v>
      </c>
      <c r="Q236" s="279">
        <f>608*1795</f>
        <v>1091360</v>
      </c>
      <c r="R236" s="266">
        <f t="shared" si="529"/>
        <v>783654</v>
      </c>
      <c r="S236" s="266">
        <f t="shared" si="490"/>
        <v>628162.257</v>
      </c>
      <c r="T236" s="279">
        <f t="shared" si="436"/>
        <v>661260</v>
      </c>
      <c r="U236" s="266">
        <f t="shared" si="512"/>
        <v>618085.1078</v>
      </c>
      <c r="V236" s="279">
        <f t="shared" si="435"/>
        <v>202920</v>
      </c>
      <c r="W236" s="266"/>
      <c r="X236" s="266"/>
      <c r="Y236" s="266"/>
      <c r="Z236" s="266"/>
      <c r="AA236" s="277">
        <f t="shared" ref="AA236:AA237" si="533">415057+1000000-170000-505187-466000+80000+2000000-143000-154000-678300-84028+2000000</f>
        <v>3294542</v>
      </c>
      <c r="AB236" s="280">
        <f t="shared" si="521"/>
        <v>10172018.6</v>
      </c>
      <c r="AC236" s="279">
        <f t="shared" si="526"/>
        <v>4183867.5</v>
      </c>
      <c r="AD236" s="279">
        <f t="shared" si="523"/>
        <v>17097.26029</v>
      </c>
      <c r="AE236" s="283">
        <f t="shared" si="174"/>
        <v>14372983.36</v>
      </c>
      <c r="AF236" s="273">
        <f t="shared" si="22"/>
        <v>0.323882813</v>
      </c>
      <c r="AG236" s="274">
        <f t="shared" si="23"/>
        <v>4200964.76</v>
      </c>
    </row>
    <row r="237">
      <c r="A237" s="284">
        <f t="shared" si="3"/>
        <v>45865</v>
      </c>
      <c r="B237" s="269"/>
      <c r="C237" s="266"/>
      <c r="D237" s="279">
        <f t="shared" ref="D237:D309" si="534">D238+677.966</f>
        <v>299491.518</v>
      </c>
      <c r="E237" s="266">
        <f t="shared" si="446"/>
        <v>501311.48</v>
      </c>
      <c r="F237" s="281">
        <f t="shared" si="531"/>
        <v>578880</v>
      </c>
      <c r="G237" s="259"/>
      <c r="H237" s="281">
        <f t="shared" ref="H237:H239" si="535">19*52900</f>
        <v>1005100</v>
      </c>
      <c r="I237" s="259">
        <f>27*45560</f>
        <v>1230120</v>
      </c>
      <c r="J237" s="259">
        <f t="shared" ref="J237:J246" si="536">38*42140</f>
        <v>1601320</v>
      </c>
      <c r="K237" s="279">
        <f t="shared" ref="K237:K239" si="537">45*21420</f>
        <v>963900</v>
      </c>
      <c r="L237" s="266"/>
      <c r="M237" s="266">
        <f t="shared" ref="M237:M239" si="538">52*17400</f>
        <v>904800</v>
      </c>
      <c r="N237" s="266">
        <f>48*12200</f>
        <v>585600</v>
      </c>
      <c r="O237" s="269"/>
      <c r="P237" s="279">
        <f t="shared" si="532"/>
        <v>714900</v>
      </c>
      <c r="Q237" s="279">
        <f t="shared" ref="Q237:Q239" si="539">608*1765</f>
        <v>1073120</v>
      </c>
      <c r="R237" s="266">
        <f>R238+100+143000+84028</f>
        <v>783554</v>
      </c>
      <c r="S237" s="266">
        <f t="shared" si="490"/>
        <v>626734.4097</v>
      </c>
      <c r="T237" s="279">
        <f>T238+180+154000</f>
        <v>661080</v>
      </c>
      <c r="U237" s="266">
        <f t="shared" si="512"/>
        <v>616489.3631</v>
      </c>
      <c r="V237" s="279">
        <f t="shared" si="435"/>
        <v>202920</v>
      </c>
      <c r="W237" s="266"/>
      <c r="X237" s="266"/>
      <c r="Y237" s="266"/>
      <c r="Z237" s="266"/>
      <c r="AA237" s="277">
        <f t="shared" si="533"/>
        <v>3294542</v>
      </c>
      <c r="AB237" s="280">
        <f t="shared" ref="AB237:AB326" si="540">SUM(G237:AA237)-AC237-AD237</f>
        <v>10068215.73</v>
      </c>
      <c r="AC237" s="279">
        <f t="shared" si="526"/>
        <v>4179548.972</v>
      </c>
      <c r="AD237" s="279">
        <f t="shared" si="523"/>
        <v>16415.06851</v>
      </c>
      <c r="AE237" s="283">
        <f t="shared" si="174"/>
        <v>14264179.77</v>
      </c>
      <c r="AF237" s="273">
        <f t="shared" si="22"/>
        <v>0.327222031</v>
      </c>
      <c r="AG237" s="274">
        <f t="shared" si="23"/>
        <v>4195964.041</v>
      </c>
    </row>
    <row r="238">
      <c r="A238" s="284">
        <f t="shared" si="3"/>
        <v>45864</v>
      </c>
      <c r="B238" s="269"/>
      <c r="C238" s="266"/>
      <c r="D238" s="279">
        <f t="shared" si="534"/>
        <v>298813.552</v>
      </c>
      <c r="E238" s="279">
        <f>500000</f>
        <v>500000</v>
      </c>
      <c r="F238" s="281">
        <f t="shared" si="531"/>
        <v>578880</v>
      </c>
      <c r="G238" s="259"/>
      <c r="H238" s="281">
        <f t="shared" si="535"/>
        <v>1005100</v>
      </c>
      <c r="I238" s="259">
        <f t="shared" ref="I238:I239" si="541">12*45560</f>
        <v>546720</v>
      </c>
      <c r="J238" s="259">
        <f t="shared" si="536"/>
        <v>1601320</v>
      </c>
      <c r="K238" s="279">
        <f t="shared" si="537"/>
        <v>963900</v>
      </c>
      <c r="L238" s="266"/>
      <c r="M238" s="266">
        <f t="shared" si="538"/>
        <v>904800</v>
      </c>
      <c r="N238" s="266">
        <f t="shared" ref="N238:N253" si="542">48*12300</f>
        <v>590400</v>
      </c>
      <c r="O238" s="269"/>
      <c r="P238" s="279">
        <f t="shared" si="532"/>
        <v>714900</v>
      </c>
      <c r="Q238" s="279">
        <f t="shared" si="539"/>
        <v>1073120</v>
      </c>
      <c r="R238" s="266">
        <f t="shared" ref="R238:R244" si="543">R239+100</f>
        <v>556426</v>
      </c>
      <c r="S238" s="266">
        <f t="shared" si="490"/>
        <v>625306.5624</v>
      </c>
      <c r="T238" s="279">
        <f t="shared" ref="T238:T245" si="544">T239+180</f>
        <v>506900</v>
      </c>
      <c r="U238" s="266">
        <f t="shared" si="512"/>
        <v>614893.6184</v>
      </c>
      <c r="V238" s="279">
        <f t="shared" si="435"/>
        <v>202920</v>
      </c>
      <c r="W238" s="266"/>
      <c r="X238" s="266"/>
      <c r="Y238" s="266"/>
      <c r="Z238" s="266"/>
      <c r="AA238" s="277">
        <f t="shared" ref="AA238:AA245" si="545">415057+1000000-170000-505187-466000+80000</f>
        <v>353870</v>
      </c>
      <c r="AB238" s="280">
        <f t="shared" si="540"/>
        <v>6069612.86</v>
      </c>
      <c r="AC238" s="279">
        <f t="shared" si="526"/>
        <v>4175230.444</v>
      </c>
      <c r="AD238" s="279">
        <f t="shared" si="523"/>
        <v>15732.87673</v>
      </c>
      <c r="AE238" s="283">
        <f t="shared" ref="AE238:AE399" si="546">AB238+AC238+AD238</f>
        <v>10260576.18</v>
      </c>
      <c r="AF238" s="273">
        <f t="shared" si="22"/>
        <v>0.05830190626</v>
      </c>
      <c r="AG238" s="274">
        <f t="shared" si="23"/>
        <v>4190963.321</v>
      </c>
    </row>
    <row r="239">
      <c r="A239" s="264">
        <f t="shared" si="3"/>
        <v>45863</v>
      </c>
      <c r="B239" s="269"/>
      <c r="C239" s="266"/>
      <c r="D239" s="279">
        <f t="shared" si="534"/>
        <v>298135.586</v>
      </c>
      <c r="E239" s="279"/>
      <c r="F239" s="281">
        <f>96*6050</f>
        <v>580800</v>
      </c>
      <c r="G239" s="259"/>
      <c r="H239" s="281">
        <f t="shared" si="535"/>
        <v>1005100</v>
      </c>
      <c r="I239" s="259">
        <f t="shared" si="541"/>
        <v>546720</v>
      </c>
      <c r="J239" s="259">
        <f t="shared" si="536"/>
        <v>1601320</v>
      </c>
      <c r="K239" s="279">
        <f t="shared" si="537"/>
        <v>963900</v>
      </c>
      <c r="L239" s="266"/>
      <c r="M239" s="266">
        <f t="shared" si="538"/>
        <v>904800</v>
      </c>
      <c r="N239" s="266">
        <f t="shared" si="542"/>
        <v>590400</v>
      </c>
      <c r="O239" s="269"/>
      <c r="P239" s="269"/>
      <c r="Q239" s="269">
        <f t="shared" si="539"/>
        <v>1073120</v>
      </c>
      <c r="R239" s="266">
        <f t="shared" si="543"/>
        <v>556326</v>
      </c>
      <c r="S239" s="266">
        <f t="shared" si="490"/>
        <v>623878.7151</v>
      </c>
      <c r="T239" s="279">
        <f t="shared" si="544"/>
        <v>506720</v>
      </c>
      <c r="U239" s="266">
        <f t="shared" si="512"/>
        <v>613297.8737</v>
      </c>
      <c r="V239" s="279">
        <f t="shared" si="435"/>
        <v>202920</v>
      </c>
      <c r="W239" s="266"/>
      <c r="X239" s="266"/>
      <c r="Y239" s="266"/>
      <c r="Z239" s="266"/>
      <c r="AA239" s="277">
        <f t="shared" si="545"/>
        <v>353870</v>
      </c>
      <c r="AB239" s="280">
        <f t="shared" si="540"/>
        <v>5356409.987</v>
      </c>
      <c r="AC239" s="279">
        <f t="shared" si="526"/>
        <v>4170911.917</v>
      </c>
      <c r="AD239" s="279">
        <f t="shared" si="523"/>
        <v>15050.68495</v>
      </c>
      <c r="AE239" s="283">
        <f t="shared" si="546"/>
        <v>9542372.589</v>
      </c>
      <c r="AF239" s="273">
        <f t="shared" si="22"/>
        <v>0.06606477115</v>
      </c>
      <c r="AG239" s="274">
        <f t="shared" si="23"/>
        <v>4185962.602</v>
      </c>
    </row>
    <row r="240">
      <c r="A240" s="264">
        <f t="shared" si="3"/>
        <v>45862</v>
      </c>
      <c r="B240" s="269"/>
      <c r="C240" s="266"/>
      <c r="D240" s="279">
        <f t="shared" si="534"/>
        <v>297457.62</v>
      </c>
      <c r="E240" s="279"/>
      <c r="F240" s="281">
        <f t="shared" ref="F240:F242" si="547">96*6180</f>
        <v>593280</v>
      </c>
      <c r="G240" s="259"/>
      <c r="H240" s="281">
        <f>19*52320</f>
        <v>994080</v>
      </c>
      <c r="I240" s="259">
        <f t="shared" ref="I240:I241" si="548">12*45300</f>
        <v>543600</v>
      </c>
      <c r="J240" s="259">
        <f t="shared" si="536"/>
        <v>1601320</v>
      </c>
      <c r="K240" s="279">
        <f t="shared" ref="K240:K241" si="549">45*22000</f>
        <v>990000</v>
      </c>
      <c r="L240" s="266"/>
      <c r="M240" s="266">
        <f>52*17620</f>
        <v>916240</v>
      </c>
      <c r="N240" s="266">
        <f t="shared" si="542"/>
        <v>590400</v>
      </c>
      <c r="O240" s="269"/>
      <c r="P240" s="269"/>
      <c r="Q240" s="269">
        <f t="shared" ref="Q240:Q243" si="550">608*1785</f>
        <v>1085280</v>
      </c>
      <c r="R240" s="266">
        <f t="shared" si="543"/>
        <v>556226</v>
      </c>
      <c r="S240" s="266">
        <f t="shared" si="490"/>
        <v>622450.8678</v>
      </c>
      <c r="T240" s="279">
        <f t="shared" si="544"/>
        <v>506540</v>
      </c>
      <c r="U240" s="266">
        <f t="shared" si="512"/>
        <v>611702.129</v>
      </c>
      <c r="V240" s="279">
        <f t="shared" si="435"/>
        <v>202920</v>
      </c>
      <c r="W240" s="266"/>
      <c r="X240" s="266"/>
      <c r="Y240" s="266"/>
      <c r="Z240" s="266"/>
      <c r="AA240" s="277">
        <f t="shared" si="545"/>
        <v>353870</v>
      </c>
      <c r="AB240" s="280">
        <f t="shared" si="540"/>
        <v>5393667.115</v>
      </c>
      <c r="AC240" s="279">
        <f t="shared" si="526"/>
        <v>4166593.389</v>
      </c>
      <c r="AD240" s="279">
        <f t="shared" si="523"/>
        <v>14368.49317</v>
      </c>
      <c r="AE240" s="283">
        <f t="shared" si="546"/>
        <v>9574628.997</v>
      </c>
      <c r="AF240" s="273">
        <f t="shared" si="22"/>
        <v>0.06560842419</v>
      </c>
      <c r="AG240" s="274">
        <f t="shared" si="23"/>
        <v>4180961.882</v>
      </c>
    </row>
    <row r="241">
      <c r="A241" s="264">
        <f t="shared" si="3"/>
        <v>45861</v>
      </c>
      <c r="B241" s="269"/>
      <c r="C241" s="266"/>
      <c r="D241" s="279">
        <f t="shared" si="534"/>
        <v>296779.654</v>
      </c>
      <c r="E241" s="279"/>
      <c r="F241" s="281">
        <f t="shared" si="547"/>
        <v>593280</v>
      </c>
      <c r="G241" s="259"/>
      <c r="H241" s="281">
        <f>19*52500</f>
        <v>997500</v>
      </c>
      <c r="I241" s="259">
        <f t="shared" si="548"/>
        <v>543600</v>
      </c>
      <c r="J241" s="259">
        <f t="shared" si="536"/>
        <v>1601320</v>
      </c>
      <c r="K241" s="279">
        <f t="shared" si="549"/>
        <v>990000</v>
      </c>
      <c r="L241" s="266"/>
      <c r="M241" s="266">
        <f>52*17500</f>
        <v>910000</v>
      </c>
      <c r="N241" s="266">
        <f t="shared" si="542"/>
        <v>590400</v>
      </c>
      <c r="O241" s="269"/>
      <c r="P241" s="269"/>
      <c r="Q241" s="269">
        <f t="shared" si="550"/>
        <v>1085280</v>
      </c>
      <c r="R241" s="266">
        <f t="shared" si="543"/>
        <v>556126</v>
      </c>
      <c r="S241" s="266">
        <f t="shared" si="490"/>
        <v>621023.0205</v>
      </c>
      <c r="T241" s="279">
        <f t="shared" si="544"/>
        <v>506360</v>
      </c>
      <c r="U241" s="266">
        <f t="shared" si="512"/>
        <v>610106.3843</v>
      </c>
      <c r="V241" s="279">
        <f t="shared" si="435"/>
        <v>202920</v>
      </c>
      <c r="W241" s="266"/>
      <c r="X241" s="266"/>
      <c r="Y241" s="266"/>
      <c r="Z241" s="266"/>
      <c r="AA241" s="277">
        <f t="shared" si="545"/>
        <v>353870</v>
      </c>
      <c r="AB241" s="280">
        <f t="shared" si="540"/>
        <v>5392544.242</v>
      </c>
      <c r="AC241" s="279">
        <f t="shared" si="526"/>
        <v>4162274.861</v>
      </c>
      <c r="AD241" s="279">
        <f t="shared" si="523"/>
        <v>13686.30139</v>
      </c>
      <c r="AE241" s="283">
        <f t="shared" si="546"/>
        <v>9568505.405</v>
      </c>
      <c r="AF241" s="273">
        <f t="shared" si="22"/>
        <v>0.06562208562</v>
      </c>
      <c r="AG241" s="274">
        <f t="shared" si="23"/>
        <v>4175961.163</v>
      </c>
    </row>
    <row r="242">
      <c r="A242" s="264">
        <f t="shared" si="3"/>
        <v>45860</v>
      </c>
      <c r="B242" s="269"/>
      <c r="C242" s="266"/>
      <c r="D242" s="279">
        <f t="shared" si="534"/>
        <v>296101.688</v>
      </c>
      <c r="E242" s="279"/>
      <c r="F242" s="281">
        <f t="shared" si="547"/>
        <v>593280</v>
      </c>
      <c r="G242" s="259"/>
      <c r="H242" s="281">
        <f>19*52200</f>
        <v>991800</v>
      </c>
      <c r="I242" s="259">
        <f>12*45560</f>
        <v>546720</v>
      </c>
      <c r="J242" s="259">
        <f t="shared" si="536"/>
        <v>1601320</v>
      </c>
      <c r="K242" s="279">
        <f t="shared" ref="K242:K243" si="551">45*22140</f>
        <v>996300</v>
      </c>
      <c r="L242" s="266"/>
      <c r="M242" s="266">
        <f>52*17360</f>
        <v>902720</v>
      </c>
      <c r="N242" s="266">
        <f t="shared" si="542"/>
        <v>590400</v>
      </c>
      <c r="O242" s="269"/>
      <c r="P242" s="269"/>
      <c r="Q242" s="269">
        <f t="shared" si="550"/>
        <v>1085280</v>
      </c>
      <c r="R242" s="266">
        <f t="shared" si="543"/>
        <v>556026</v>
      </c>
      <c r="S242" s="266">
        <f t="shared" si="490"/>
        <v>619595.1732</v>
      </c>
      <c r="T242" s="279">
        <f t="shared" si="544"/>
        <v>506180</v>
      </c>
      <c r="U242" s="266">
        <f t="shared" si="512"/>
        <v>608510.6396</v>
      </c>
      <c r="V242" s="279">
        <f t="shared" si="435"/>
        <v>202920</v>
      </c>
      <c r="W242" s="266"/>
      <c r="X242" s="266"/>
      <c r="Y242" s="266"/>
      <c r="Z242" s="266"/>
      <c r="AA242" s="277">
        <f t="shared" si="545"/>
        <v>353870</v>
      </c>
      <c r="AB242" s="280">
        <f t="shared" si="540"/>
        <v>5390681.37</v>
      </c>
      <c r="AC242" s="279">
        <f t="shared" si="526"/>
        <v>4157956.333</v>
      </c>
      <c r="AD242" s="279">
        <f t="shared" si="523"/>
        <v>13004.1096</v>
      </c>
      <c r="AE242" s="283">
        <f t="shared" si="546"/>
        <v>9561641.813</v>
      </c>
      <c r="AF242" s="273">
        <f t="shared" si="22"/>
        <v>0.06564476283</v>
      </c>
      <c r="AG242" s="274">
        <f t="shared" si="23"/>
        <v>4170960.443</v>
      </c>
    </row>
    <row r="243">
      <c r="A243" s="264">
        <f t="shared" si="3"/>
        <v>45859</v>
      </c>
      <c r="B243" s="269"/>
      <c r="C243" s="266"/>
      <c r="D243" s="279">
        <f t="shared" si="534"/>
        <v>295423.722</v>
      </c>
      <c r="E243" s="279"/>
      <c r="F243" s="281">
        <f>96*6200</f>
        <v>595200</v>
      </c>
      <c r="G243" s="259"/>
      <c r="H243" s="281">
        <f>19*52300</f>
        <v>993700</v>
      </c>
      <c r="I243" s="259">
        <f>12*46200</f>
        <v>554400</v>
      </c>
      <c r="J243" s="259">
        <f t="shared" si="536"/>
        <v>1601320</v>
      </c>
      <c r="K243" s="279">
        <f t="shared" si="551"/>
        <v>996300</v>
      </c>
      <c r="L243" s="266"/>
      <c r="M243" s="266">
        <f>52*17540</f>
        <v>912080</v>
      </c>
      <c r="N243" s="266">
        <f t="shared" si="542"/>
        <v>590400</v>
      </c>
      <c r="O243" s="269"/>
      <c r="P243" s="269"/>
      <c r="Q243" s="269">
        <f t="shared" si="550"/>
        <v>1085280</v>
      </c>
      <c r="R243" s="266">
        <f t="shared" si="543"/>
        <v>555926</v>
      </c>
      <c r="S243" s="266">
        <f t="shared" si="490"/>
        <v>618167.3259</v>
      </c>
      <c r="T243" s="279">
        <f t="shared" si="544"/>
        <v>506000</v>
      </c>
      <c r="U243" s="266">
        <f t="shared" si="512"/>
        <v>606914.8949</v>
      </c>
      <c r="V243" s="279">
        <f t="shared" si="435"/>
        <v>202920</v>
      </c>
      <c r="W243" s="266"/>
      <c r="X243" s="266"/>
      <c r="Y243" s="266"/>
      <c r="Z243" s="266"/>
      <c r="AA243" s="277">
        <f t="shared" si="545"/>
        <v>353870</v>
      </c>
      <c r="AB243" s="280">
        <f t="shared" si="540"/>
        <v>5411318.497</v>
      </c>
      <c r="AC243" s="279">
        <f t="shared" si="526"/>
        <v>4153637.806</v>
      </c>
      <c r="AD243" s="279">
        <f t="shared" si="523"/>
        <v>12321.91782</v>
      </c>
      <c r="AE243" s="283">
        <f t="shared" si="546"/>
        <v>9577278.221</v>
      </c>
      <c r="AF243" s="273">
        <f t="shared" si="22"/>
        <v>0.06539441361</v>
      </c>
      <c r="AG243" s="274">
        <f t="shared" si="23"/>
        <v>4165959.723</v>
      </c>
    </row>
    <row r="244">
      <c r="A244" s="284">
        <f t="shared" si="3"/>
        <v>45858</v>
      </c>
      <c r="B244" s="269"/>
      <c r="C244" s="266"/>
      <c r="D244" s="279">
        <f t="shared" si="534"/>
        <v>294745.756</v>
      </c>
      <c r="E244" s="279"/>
      <c r="F244" s="281">
        <f>96*6000</f>
        <v>576000</v>
      </c>
      <c r="G244" s="259"/>
      <c r="H244" s="281">
        <f t="shared" ref="H244:H246" si="552">19*52820</f>
        <v>1003580</v>
      </c>
      <c r="I244" s="259">
        <f t="shared" ref="I244:I246" si="553">12*46040</f>
        <v>552480</v>
      </c>
      <c r="J244" s="259">
        <f t="shared" si="536"/>
        <v>1601320</v>
      </c>
      <c r="K244" s="279">
        <f t="shared" ref="K244:K246" si="554">45*22320</f>
        <v>1004400</v>
      </c>
      <c r="L244" s="266"/>
      <c r="M244" s="266">
        <f t="shared" ref="M244:M246" si="555">52*17860</f>
        <v>928720</v>
      </c>
      <c r="N244" s="266">
        <f t="shared" si="542"/>
        <v>590400</v>
      </c>
      <c r="O244" s="269"/>
      <c r="P244" s="269"/>
      <c r="Q244" s="269">
        <f t="shared" ref="Q244:Q246" si="556">608*1775</f>
        <v>1079200</v>
      </c>
      <c r="R244" s="266">
        <f t="shared" si="543"/>
        <v>555826</v>
      </c>
      <c r="S244" s="266">
        <f t="shared" si="490"/>
        <v>616739.4786</v>
      </c>
      <c r="T244" s="279">
        <f t="shared" si="544"/>
        <v>505820</v>
      </c>
      <c r="U244" s="266">
        <f t="shared" si="512"/>
        <v>605319.1502</v>
      </c>
      <c r="V244" s="279">
        <f t="shared" si="435"/>
        <v>202920</v>
      </c>
      <c r="W244" s="266"/>
      <c r="X244" s="266"/>
      <c r="Y244" s="266"/>
      <c r="Z244" s="266"/>
      <c r="AA244" s="277">
        <f t="shared" si="545"/>
        <v>353870</v>
      </c>
      <c r="AB244" s="280">
        <f t="shared" si="540"/>
        <v>5439635.625</v>
      </c>
      <c r="AC244" s="279">
        <f t="shared" si="526"/>
        <v>4149319.278</v>
      </c>
      <c r="AD244" s="279">
        <f t="shared" si="523"/>
        <v>11639.72604</v>
      </c>
      <c r="AE244" s="283">
        <f t="shared" si="546"/>
        <v>9600594.629</v>
      </c>
      <c r="AF244" s="273">
        <f t="shared" si="22"/>
        <v>0.06505398972</v>
      </c>
      <c r="AG244" s="274">
        <f t="shared" si="23"/>
        <v>4160959.004</v>
      </c>
    </row>
    <row r="245">
      <c r="A245" s="284">
        <f t="shared" si="3"/>
        <v>45857</v>
      </c>
      <c r="B245" s="269"/>
      <c r="C245" s="266"/>
      <c r="D245" s="279">
        <f t="shared" si="534"/>
        <v>294067.79</v>
      </c>
      <c r="E245" s="279"/>
      <c r="F245" s="281">
        <f>96*6160</f>
        <v>591360</v>
      </c>
      <c r="G245" s="259"/>
      <c r="H245" s="281">
        <f t="shared" si="552"/>
        <v>1003580</v>
      </c>
      <c r="I245" s="259">
        <f t="shared" si="553"/>
        <v>552480</v>
      </c>
      <c r="J245" s="259">
        <f t="shared" si="536"/>
        <v>1601320</v>
      </c>
      <c r="K245" s="279">
        <f t="shared" si="554"/>
        <v>1004400</v>
      </c>
      <c r="L245" s="266"/>
      <c r="M245" s="266">
        <f t="shared" si="555"/>
        <v>928720</v>
      </c>
      <c r="N245" s="266">
        <f t="shared" si="542"/>
        <v>590400</v>
      </c>
      <c r="O245" s="269"/>
      <c r="P245" s="269"/>
      <c r="Q245" s="269">
        <f t="shared" si="556"/>
        <v>1079200</v>
      </c>
      <c r="R245" s="266">
        <f>210000+85726+70000+15000+170000+5000</f>
        <v>555726</v>
      </c>
      <c r="S245" s="266">
        <f>S246+1197.8473+230-80000</f>
        <v>615311.6313</v>
      </c>
      <c r="T245" s="279">
        <f t="shared" si="544"/>
        <v>505640</v>
      </c>
      <c r="U245" s="266">
        <f t="shared" si="512"/>
        <v>603723.4055</v>
      </c>
      <c r="V245" s="279">
        <f t="shared" si="435"/>
        <v>202920</v>
      </c>
      <c r="W245" s="266"/>
      <c r="X245" s="266"/>
      <c r="Y245" s="266"/>
      <c r="Z245" s="266"/>
      <c r="AA245" s="277">
        <f t="shared" si="545"/>
        <v>353870</v>
      </c>
      <c r="AB245" s="280">
        <f t="shared" si="540"/>
        <v>5441332.753</v>
      </c>
      <c r="AC245" s="279">
        <f t="shared" si="526"/>
        <v>4145000.75</v>
      </c>
      <c r="AD245" s="279">
        <f t="shared" ref="AD245:AD271" si="557">AD246+382.191781</f>
        <v>10957.53426</v>
      </c>
      <c r="AE245" s="283">
        <f t="shared" si="546"/>
        <v>9597291.037</v>
      </c>
      <c r="AF245" s="273">
        <f t="shared" si="22"/>
        <v>0.06503369966</v>
      </c>
      <c r="AG245" s="274">
        <f t="shared" si="23"/>
        <v>4155958.284</v>
      </c>
    </row>
    <row r="246">
      <c r="A246" s="264">
        <f t="shared" si="3"/>
        <v>45856</v>
      </c>
      <c r="B246" s="269"/>
      <c r="C246" s="266"/>
      <c r="D246" s="279">
        <f t="shared" si="534"/>
        <v>293389.824</v>
      </c>
      <c r="E246" s="279"/>
      <c r="F246" s="281">
        <f>96*6060</f>
        <v>581760</v>
      </c>
      <c r="G246" s="259"/>
      <c r="H246" s="281">
        <f t="shared" si="552"/>
        <v>1003580</v>
      </c>
      <c r="I246" s="259">
        <f t="shared" si="553"/>
        <v>552480</v>
      </c>
      <c r="J246" s="259">
        <f t="shared" si="536"/>
        <v>1601320</v>
      </c>
      <c r="K246" s="279">
        <f t="shared" si="554"/>
        <v>1004400</v>
      </c>
      <c r="L246" s="266"/>
      <c r="M246" s="266">
        <f t="shared" si="555"/>
        <v>928720</v>
      </c>
      <c r="N246" s="266">
        <f t="shared" si="542"/>
        <v>590400</v>
      </c>
      <c r="O246" s="269"/>
      <c r="P246" s="269"/>
      <c r="Q246" s="269">
        <f t="shared" si="556"/>
        <v>1079200</v>
      </c>
      <c r="R246" s="266">
        <f>210000+85726+70000+15000+170000</f>
        <v>550726</v>
      </c>
      <c r="S246" s="266">
        <f t="shared" ref="S246:S266" si="558">S247+1197.8473+230+50</f>
        <v>693883.784</v>
      </c>
      <c r="T246" s="279">
        <f t="shared" ref="T246:T323" si="559">T247+70</f>
        <v>505460</v>
      </c>
      <c r="U246" s="266">
        <f t="shared" si="512"/>
        <v>602127.6608</v>
      </c>
      <c r="V246" s="279">
        <f t="shared" si="435"/>
        <v>202920</v>
      </c>
      <c r="W246" s="266"/>
      <c r="X246" s="266"/>
      <c r="Y246" s="266"/>
      <c r="Z246" s="266"/>
      <c r="AA246" s="277">
        <f>415057+1000000-170000-505187-466000</f>
        <v>273870</v>
      </c>
      <c r="AB246" s="280">
        <f t="shared" si="540"/>
        <v>5437829.88</v>
      </c>
      <c r="AC246" s="279">
        <f t="shared" si="526"/>
        <v>4140682.222</v>
      </c>
      <c r="AD246" s="279">
        <f t="shared" si="557"/>
        <v>10575.34248</v>
      </c>
      <c r="AE246" s="283">
        <f t="shared" si="546"/>
        <v>9589087.445</v>
      </c>
      <c r="AF246" s="273">
        <f t="shared" si="22"/>
        <v>0.0503638411</v>
      </c>
      <c r="AG246" s="274">
        <f t="shared" si="23"/>
        <v>4151257.565</v>
      </c>
    </row>
    <row r="247">
      <c r="A247" s="264">
        <f t="shared" si="3"/>
        <v>45855</v>
      </c>
      <c r="B247" s="269"/>
      <c r="C247" s="266"/>
      <c r="D247" s="279">
        <f t="shared" si="534"/>
        <v>292711.858</v>
      </c>
      <c r="E247" s="279"/>
      <c r="F247" s="281">
        <f t="shared" ref="F247:F253" si="560">96*6000</f>
        <v>576000</v>
      </c>
      <c r="G247" s="259"/>
      <c r="H247" s="281">
        <f>19*56360</f>
        <v>1070840</v>
      </c>
      <c r="I247" s="259">
        <f>2*46600</f>
        <v>93200</v>
      </c>
      <c r="J247" s="259">
        <f>38*42620</f>
        <v>1619560</v>
      </c>
      <c r="K247" s="279">
        <f>45*22140</f>
        <v>996300</v>
      </c>
      <c r="L247" s="266"/>
      <c r="M247" s="266">
        <f>52*17900</f>
        <v>930800</v>
      </c>
      <c r="N247" s="266">
        <f t="shared" si="542"/>
        <v>590400</v>
      </c>
      <c r="O247" s="269"/>
      <c r="P247" s="269"/>
      <c r="Q247" s="269">
        <f>333*1790</f>
        <v>596070</v>
      </c>
      <c r="R247" s="266">
        <f t="shared" ref="R247:R250" si="561">210000+85726+70000+15000</f>
        <v>380726</v>
      </c>
      <c r="S247" s="266">
        <f t="shared" si="558"/>
        <v>692405.9367</v>
      </c>
      <c r="T247" s="279">
        <f t="shared" si="559"/>
        <v>505390</v>
      </c>
      <c r="U247" s="266">
        <f t="shared" si="512"/>
        <v>600531.9161</v>
      </c>
      <c r="V247" s="279">
        <f t="shared" si="435"/>
        <v>202920</v>
      </c>
      <c r="W247" s="266"/>
      <c r="X247" s="266"/>
      <c r="Y247" s="266"/>
      <c r="Z247" s="266"/>
      <c r="AA247" s="277">
        <f>415057+1000000</f>
        <v>1415057</v>
      </c>
      <c r="AB247" s="280">
        <f t="shared" si="540"/>
        <v>5547644.008</v>
      </c>
      <c r="AC247" s="279">
        <f t="shared" si="526"/>
        <v>4136363.694</v>
      </c>
      <c r="AD247" s="279">
        <f t="shared" si="557"/>
        <v>10193.1507</v>
      </c>
      <c r="AE247" s="283">
        <f t="shared" si="546"/>
        <v>9694200.853</v>
      </c>
      <c r="AF247" s="273">
        <f t="shared" si="22"/>
        <v>0.2550735047</v>
      </c>
      <c r="AG247" s="274">
        <f t="shared" si="23"/>
        <v>4146556.845</v>
      </c>
    </row>
    <row r="248">
      <c r="A248" s="264">
        <f t="shared" si="3"/>
        <v>45854</v>
      </c>
      <c r="B248" s="269"/>
      <c r="C248" s="266"/>
      <c r="D248" s="279">
        <f t="shared" si="534"/>
        <v>292033.892</v>
      </c>
      <c r="E248" s="279"/>
      <c r="F248" s="281">
        <f t="shared" si="560"/>
        <v>576000</v>
      </c>
      <c r="G248" s="259"/>
      <c r="H248" s="281">
        <f>19*55100</f>
        <v>1046900</v>
      </c>
      <c r="I248" s="259">
        <f>2*44460</f>
        <v>88920</v>
      </c>
      <c r="J248" s="259">
        <f>38*42400</f>
        <v>1611200</v>
      </c>
      <c r="K248" s="279">
        <f>45*22000</f>
        <v>990000</v>
      </c>
      <c r="L248" s="266"/>
      <c r="M248" s="266">
        <f>52*17780</f>
        <v>924560</v>
      </c>
      <c r="N248" s="266">
        <f t="shared" si="542"/>
        <v>590400</v>
      </c>
      <c r="O248" s="269"/>
      <c r="P248" s="269"/>
      <c r="Q248" s="269">
        <f t="shared" ref="Q248:Q250" si="562">333*1795</f>
        <v>597735</v>
      </c>
      <c r="R248" s="266">
        <f t="shared" si="561"/>
        <v>380726</v>
      </c>
      <c r="S248" s="266">
        <f t="shared" si="558"/>
        <v>690928.0894</v>
      </c>
      <c r="T248" s="279">
        <f t="shared" si="559"/>
        <v>505320</v>
      </c>
      <c r="U248" s="266">
        <f t="shared" si="512"/>
        <v>598936.1714</v>
      </c>
      <c r="V248" s="279">
        <f t="shared" si="435"/>
        <v>202920</v>
      </c>
      <c r="W248" s="266"/>
      <c r="X248" s="266"/>
      <c r="Y248" s="266"/>
      <c r="Z248" s="266"/>
      <c r="AA248" s="277">
        <f>426961+702262-150000+38000+299492-150000-210000-866320+215520+856000-200000-400000-552000+65000+290000-70000-20000+876180-440000+290000-883200-89160+20000+100000+500000-628138+500000-505540+400000</f>
        <v>415057</v>
      </c>
      <c r="AB248" s="280">
        <f t="shared" si="540"/>
        <v>4501746.135</v>
      </c>
      <c r="AC248" s="279">
        <f t="shared" si="526"/>
        <v>4132045.167</v>
      </c>
      <c r="AD248" s="279">
        <f t="shared" si="557"/>
        <v>9810.958918</v>
      </c>
      <c r="AE248" s="283">
        <f t="shared" si="546"/>
        <v>8643602.261</v>
      </c>
      <c r="AF248" s="273">
        <f t="shared" si="22"/>
        <v>0.09219911286</v>
      </c>
      <c r="AG248" s="274">
        <f t="shared" si="23"/>
        <v>4141856.126</v>
      </c>
    </row>
    <row r="249">
      <c r="A249" s="264">
        <f t="shared" si="3"/>
        <v>45853</v>
      </c>
      <c r="B249" s="269"/>
      <c r="C249" s="266"/>
      <c r="D249" s="279">
        <f t="shared" si="534"/>
        <v>291355.926</v>
      </c>
      <c r="E249" s="279"/>
      <c r="F249" s="281">
        <f t="shared" si="560"/>
        <v>576000</v>
      </c>
      <c r="G249" s="259"/>
      <c r="H249" s="281">
        <f>19*54380</f>
        <v>1033220</v>
      </c>
      <c r="I249" s="259">
        <f>2*45000</f>
        <v>90000</v>
      </c>
      <c r="J249" s="259">
        <f>38*41900</f>
        <v>1592200</v>
      </c>
      <c r="K249" s="279">
        <f t="shared" ref="K249:K250" si="563">22*22000</f>
        <v>484000</v>
      </c>
      <c r="L249" s="266"/>
      <c r="M249" s="266">
        <f>52*17920</f>
        <v>931840</v>
      </c>
      <c r="N249" s="266">
        <f t="shared" si="542"/>
        <v>590400</v>
      </c>
      <c r="O249" s="269"/>
      <c r="P249" s="269"/>
      <c r="Q249" s="269">
        <f t="shared" si="562"/>
        <v>597735</v>
      </c>
      <c r="R249" s="266">
        <f t="shared" si="561"/>
        <v>380726</v>
      </c>
      <c r="S249" s="266">
        <f t="shared" si="558"/>
        <v>689450.2421</v>
      </c>
      <c r="T249" s="279">
        <f t="shared" si="559"/>
        <v>505250</v>
      </c>
      <c r="U249" s="266">
        <f t="shared" si="512"/>
        <v>597340.4267</v>
      </c>
      <c r="V249" s="279">
        <f t="shared" si="435"/>
        <v>202920</v>
      </c>
      <c r="W249" s="266"/>
      <c r="X249" s="266"/>
      <c r="Y249" s="266"/>
      <c r="Z249" s="266"/>
      <c r="AA249" s="277">
        <f t="shared" ref="AA249:AA250" si="564">426961+702262-150000+38000+299492-150000-210000-866320+215520+856000-200000-400000-552000+65000+290000-70000-20000+876180-440000+290000-883200-89160+20000+100000+500000-628138+500000+400000</f>
        <v>920597</v>
      </c>
      <c r="AB249" s="280">
        <f t="shared" si="540"/>
        <v>4478523.263</v>
      </c>
      <c r="AC249" s="279">
        <f t="shared" si="526"/>
        <v>4127726.639</v>
      </c>
      <c r="AD249" s="279">
        <f t="shared" si="557"/>
        <v>9428.767137</v>
      </c>
      <c r="AE249" s="283">
        <f t="shared" si="546"/>
        <v>8615678.669</v>
      </c>
      <c r="AF249" s="273">
        <f t="shared" si="22"/>
        <v>0.2055581597</v>
      </c>
      <c r="AG249" s="274">
        <f t="shared" si="23"/>
        <v>4137155.406</v>
      </c>
    </row>
    <row r="250">
      <c r="A250" s="264">
        <f t="shared" si="3"/>
        <v>45852</v>
      </c>
      <c r="B250" s="269"/>
      <c r="C250" s="266"/>
      <c r="D250" s="279">
        <f t="shared" si="534"/>
        <v>290677.96</v>
      </c>
      <c r="E250" s="279"/>
      <c r="F250" s="281">
        <f t="shared" si="560"/>
        <v>576000</v>
      </c>
      <c r="G250" s="259"/>
      <c r="H250" s="281">
        <f>19*52760</f>
        <v>1002440</v>
      </c>
      <c r="I250" s="259">
        <f>2*44800</f>
        <v>89600</v>
      </c>
      <c r="J250" s="259">
        <f>38*41000</f>
        <v>1558000</v>
      </c>
      <c r="K250" s="279">
        <f t="shared" si="563"/>
        <v>484000</v>
      </c>
      <c r="L250" s="266"/>
      <c r="M250" s="266">
        <f>52*17780</f>
        <v>924560</v>
      </c>
      <c r="N250" s="266">
        <f t="shared" si="542"/>
        <v>590400</v>
      </c>
      <c r="O250" s="269"/>
      <c r="P250" s="269"/>
      <c r="Q250" s="269">
        <f t="shared" si="562"/>
        <v>597735</v>
      </c>
      <c r="R250" s="266">
        <f t="shared" si="561"/>
        <v>380726</v>
      </c>
      <c r="S250" s="266">
        <f t="shared" si="558"/>
        <v>687972.3948</v>
      </c>
      <c r="T250" s="279">
        <f t="shared" si="559"/>
        <v>505180</v>
      </c>
      <c r="U250" s="266">
        <f t="shared" si="512"/>
        <v>595744.682</v>
      </c>
      <c r="V250" s="279">
        <f t="shared" si="435"/>
        <v>202920</v>
      </c>
      <c r="W250" s="266"/>
      <c r="X250" s="266"/>
      <c r="Y250" s="266"/>
      <c r="Z250" s="266"/>
      <c r="AA250" s="277">
        <f t="shared" si="564"/>
        <v>920597</v>
      </c>
      <c r="AB250" s="280">
        <f t="shared" si="540"/>
        <v>4407420.39</v>
      </c>
      <c r="AC250" s="279">
        <f t="shared" si="526"/>
        <v>4123408.111</v>
      </c>
      <c r="AD250" s="279">
        <f t="shared" si="557"/>
        <v>9046.575356</v>
      </c>
      <c r="AE250" s="283">
        <f t="shared" si="546"/>
        <v>8539875.077</v>
      </c>
      <c r="AF250" s="273">
        <f t="shared" si="22"/>
        <v>0.2088743343</v>
      </c>
      <c r="AG250" s="274">
        <f t="shared" si="23"/>
        <v>4132454.686</v>
      </c>
    </row>
    <row r="251">
      <c r="A251" s="284">
        <f t="shared" si="3"/>
        <v>45851</v>
      </c>
      <c r="B251" s="269"/>
      <c r="C251" s="266"/>
      <c r="D251" s="279">
        <f t="shared" si="534"/>
        <v>289999.994</v>
      </c>
      <c r="E251" s="279"/>
      <c r="F251" s="281">
        <f t="shared" si="560"/>
        <v>576000</v>
      </c>
      <c r="G251" s="259"/>
      <c r="H251" s="281">
        <f t="shared" ref="H251:H253" si="565">19*51500</f>
        <v>978500</v>
      </c>
      <c r="I251" s="259">
        <f t="shared" ref="I251:I253" si="566">2*44480</f>
        <v>88960</v>
      </c>
      <c r="J251" s="259">
        <f t="shared" ref="J251:J253" si="567">38*41380</f>
        <v>1572440</v>
      </c>
      <c r="K251" s="279">
        <f t="shared" ref="K251:K253" si="568">22*22140</f>
        <v>487080</v>
      </c>
      <c r="L251" s="266"/>
      <c r="M251" s="266">
        <f t="shared" ref="M251:M253" si="569">52*17760</f>
        <v>923520</v>
      </c>
      <c r="N251" s="266">
        <f t="shared" si="542"/>
        <v>590400</v>
      </c>
      <c r="O251" s="269"/>
      <c r="P251" s="269"/>
      <c r="Q251" s="269">
        <f t="shared" ref="Q251:Q253" si="570">333*1800</f>
        <v>599400</v>
      </c>
      <c r="R251" s="266">
        <f>210000+85726+70000+10000</f>
        <v>375726</v>
      </c>
      <c r="S251" s="266">
        <f t="shared" si="558"/>
        <v>686494.5475</v>
      </c>
      <c r="T251" s="279">
        <f t="shared" si="559"/>
        <v>505110</v>
      </c>
      <c r="U251" s="266">
        <f t="shared" si="512"/>
        <v>594148.9373</v>
      </c>
      <c r="V251" s="279">
        <f t="shared" si="435"/>
        <v>202920</v>
      </c>
      <c r="W251" s="266"/>
      <c r="X251" s="266"/>
      <c r="Y251" s="266"/>
      <c r="Z251" s="266"/>
      <c r="AA251" s="277">
        <f t="shared" ref="AA251:AA253" si="571">426961+702262-150000+38000+299492-150000-210000-866320+215520+856000-200000-400000-552000+65000+290000-70000-20000+876180-440000+290000-883200-89160+20000+100000+500000-628138</f>
        <v>20597</v>
      </c>
      <c r="AB251" s="280">
        <f t="shared" si="540"/>
        <v>3497542.518</v>
      </c>
      <c r="AC251" s="279">
        <f t="shared" si="526"/>
        <v>4119089.583</v>
      </c>
      <c r="AD251" s="279">
        <f t="shared" si="557"/>
        <v>8664.383575</v>
      </c>
      <c r="AE251" s="283">
        <f t="shared" si="546"/>
        <v>7625296.485</v>
      </c>
      <c r="AF251" s="273">
        <f t="shared" si="22"/>
        <v>0.005888992026</v>
      </c>
      <c r="AG251" s="274">
        <f t="shared" si="23"/>
        <v>4127753.967</v>
      </c>
    </row>
    <row r="252">
      <c r="A252" s="284">
        <f t="shared" si="3"/>
        <v>45850</v>
      </c>
      <c r="B252" s="269"/>
      <c r="C252" s="266"/>
      <c r="D252" s="279">
        <f t="shared" si="534"/>
        <v>289322.028</v>
      </c>
      <c r="E252" s="279"/>
      <c r="F252" s="281">
        <f t="shared" si="560"/>
        <v>576000</v>
      </c>
      <c r="G252" s="259"/>
      <c r="H252" s="281">
        <f t="shared" si="565"/>
        <v>978500</v>
      </c>
      <c r="I252" s="259">
        <f t="shared" si="566"/>
        <v>88960</v>
      </c>
      <c r="J252" s="259">
        <f t="shared" si="567"/>
        <v>1572440</v>
      </c>
      <c r="K252" s="279">
        <f t="shared" si="568"/>
        <v>487080</v>
      </c>
      <c r="L252" s="266"/>
      <c r="M252" s="266">
        <f t="shared" si="569"/>
        <v>923520</v>
      </c>
      <c r="N252" s="266">
        <f t="shared" si="542"/>
        <v>590400</v>
      </c>
      <c r="O252" s="269"/>
      <c r="P252" s="269"/>
      <c r="Q252" s="269">
        <f t="shared" si="570"/>
        <v>599400</v>
      </c>
      <c r="R252" s="266">
        <f>210000+85726+70000+5000</f>
        <v>370726</v>
      </c>
      <c r="S252" s="266">
        <f t="shared" si="558"/>
        <v>685016.7002</v>
      </c>
      <c r="T252" s="279">
        <f t="shared" si="559"/>
        <v>505040</v>
      </c>
      <c r="U252" s="266">
        <f t="shared" si="512"/>
        <v>592553.1926</v>
      </c>
      <c r="V252" s="279">
        <f t="shared" si="435"/>
        <v>202920</v>
      </c>
      <c r="W252" s="266"/>
      <c r="X252" s="266"/>
      <c r="Y252" s="266"/>
      <c r="Z252" s="266"/>
      <c r="AA252" s="277">
        <f t="shared" si="571"/>
        <v>20597</v>
      </c>
      <c r="AB252" s="280">
        <f t="shared" si="540"/>
        <v>3494099.645</v>
      </c>
      <c r="AC252" s="279">
        <f t="shared" si="526"/>
        <v>4114771.056</v>
      </c>
      <c r="AD252" s="279">
        <f t="shared" si="557"/>
        <v>8282.191794</v>
      </c>
      <c r="AE252" s="283">
        <f t="shared" si="546"/>
        <v>7617152.893</v>
      </c>
      <c r="AF252" s="273">
        <f t="shared" si="22"/>
        <v>0.00589479468</v>
      </c>
      <c r="AG252" s="274">
        <f t="shared" si="23"/>
        <v>4123053.247</v>
      </c>
    </row>
    <row r="253">
      <c r="A253" s="264">
        <f t="shared" si="3"/>
        <v>45849</v>
      </c>
      <c r="B253" s="269"/>
      <c r="C253" s="266"/>
      <c r="D253" s="279">
        <f t="shared" si="534"/>
        <v>288644.062</v>
      </c>
      <c r="E253" s="279"/>
      <c r="F253" s="281">
        <f t="shared" si="560"/>
        <v>576000</v>
      </c>
      <c r="G253" s="259"/>
      <c r="H253" s="281">
        <f t="shared" si="565"/>
        <v>978500</v>
      </c>
      <c r="I253" s="259">
        <f t="shared" si="566"/>
        <v>88960</v>
      </c>
      <c r="J253" s="259">
        <f t="shared" si="567"/>
        <v>1572440</v>
      </c>
      <c r="K253" s="279">
        <f t="shared" si="568"/>
        <v>487080</v>
      </c>
      <c r="L253" s="266"/>
      <c r="M253" s="266">
        <f t="shared" si="569"/>
        <v>923520</v>
      </c>
      <c r="N253" s="266">
        <f t="shared" si="542"/>
        <v>590400</v>
      </c>
      <c r="O253" s="269"/>
      <c r="P253" s="269"/>
      <c r="Q253" s="269">
        <f t="shared" si="570"/>
        <v>599400</v>
      </c>
      <c r="R253" s="266">
        <f t="shared" ref="R253:R272" si="572">210000+85726+70000</f>
        <v>365726</v>
      </c>
      <c r="S253" s="266">
        <f t="shared" si="558"/>
        <v>683538.8529</v>
      </c>
      <c r="T253" s="279">
        <f t="shared" si="559"/>
        <v>504970</v>
      </c>
      <c r="U253" s="266">
        <f t="shared" si="512"/>
        <v>590957.4479</v>
      </c>
      <c r="V253" s="279">
        <f t="shared" si="435"/>
        <v>202920</v>
      </c>
      <c r="W253" s="266"/>
      <c r="X253" s="266"/>
      <c r="Y253" s="266"/>
      <c r="Z253" s="266"/>
      <c r="AA253" s="277">
        <f t="shared" si="571"/>
        <v>20597</v>
      </c>
      <c r="AB253" s="280">
        <f t="shared" si="540"/>
        <v>3490656.773</v>
      </c>
      <c r="AC253" s="279">
        <f t="shared" si="526"/>
        <v>4110452.528</v>
      </c>
      <c r="AD253" s="279">
        <f t="shared" si="557"/>
        <v>7900.000013</v>
      </c>
      <c r="AE253" s="283">
        <f t="shared" si="546"/>
        <v>7609009.301</v>
      </c>
      <c r="AF253" s="273">
        <f t="shared" si="22"/>
        <v>0.005900608779</v>
      </c>
      <c r="AG253" s="274">
        <f t="shared" si="23"/>
        <v>4118352.528</v>
      </c>
    </row>
    <row r="254">
      <c r="A254" s="264">
        <f t="shared" si="3"/>
        <v>45848</v>
      </c>
      <c r="B254" s="269"/>
      <c r="C254" s="266"/>
      <c r="D254" s="279">
        <f t="shared" si="534"/>
        <v>287966.096</v>
      </c>
      <c r="E254" s="279"/>
      <c r="F254" s="281">
        <f t="shared" ref="F254:F256" si="573">96*5910</f>
        <v>567360</v>
      </c>
      <c r="G254" s="259"/>
      <c r="H254" s="281">
        <f>19*52620</f>
        <v>999780</v>
      </c>
      <c r="I254" s="259">
        <f>2*45060</f>
        <v>90120</v>
      </c>
      <c r="J254" s="259">
        <f>23*40000</f>
        <v>920000</v>
      </c>
      <c r="K254" s="279">
        <f>22*22200</f>
        <v>488400</v>
      </c>
      <c r="L254" s="266"/>
      <c r="M254" s="266">
        <f>52*17580</f>
        <v>914160</v>
      </c>
      <c r="N254" s="266">
        <f t="shared" ref="N254:N277" si="574">48*12400</f>
        <v>595200</v>
      </c>
      <c r="O254" s="269"/>
      <c r="P254" s="269"/>
      <c r="Q254" s="269">
        <f>333*1810</f>
        <v>602730</v>
      </c>
      <c r="R254" s="266">
        <f t="shared" si="572"/>
        <v>365726</v>
      </c>
      <c r="S254" s="266">
        <f t="shared" si="558"/>
        <v>682061.0056</v>
      </c>
      <c r="T254" s="279">
        <f t="shared" si="559"/>
        <v>504900</v>
      </c>
      <c r="U254" s="266">
        <f>U255+1595.7447-100000</f>
        <v>589361.7032</v>
      </c>
      <c r="V254" s="279">
        <f t="shared" si="435"/>
        <v>202920</v>
      </c>
      <c r="W254" s="266"/>
      <c r="X254" s="266"/>
      <c r="Y254" s="266"/>
      <c r="Z254" s="266"/>
      <c r="AA254" s="277">
        <f>426961+702262-150000+38000+299492-150000-210000-866320+215520+856000-200000-400000-552000+65000+290000-70000-20000+876180-440000+290000-883200-89160+20000+100000</f>
        <v>148735</v>
      </c>
      <c r="AB254" s="280">
        <f t="shared" si="540"/>
        <v>2990441.901</v>
      </c>
      <c r="AC254" s="279">
        <f t="shared" si="526"/>
        <v>4106134</v>
      </c>
      <c r="AD254" s="279">
        <f t="shared" si="557"/>
        <v>7517.808232</v>
      </c>
      <c r="AE254" s="283">
        <f t="shared" si="546"/>
        <v>7104093.709</v>
      </c>
      <c r="AF254" s="273">
        <f t="shared" si="22"/>
        <v>0.04973679642</v>
      </c>
      <c r="AG254" s="274">
        <f t="shared" si="23"/>
        <v>4113651.808</v>
      </c>
    </row>
    <row r="255">
      <c r="A255" s="264">
        <f t="shared" si="3"/>
        <v>45847</v>
      </c>
      <c r="B255" s="269"/>
      <c r="C255" s="266"/>
      <c r="D255" s="279">
        <f t="shared" si="534"/>
        <v>287288.13</v>
      </c>
      <c r="E255" s="279"/>
      <c r="F255" s="281">
        <f t="shared" si="573"/>
        <v>567360</v>
      </c>
      <c r="G255" s="259"/>
      <c r="H255" s="281">
        <f>19*54780</f>
        <v>1040820</v>
      </c>
      <c r="I255" s="259">
        <f>2*44800</f>
        <v>89600</v>
      </c>
      <c r="J255" s="259">
        <f>23*39100</f>
        <v>899300</v>
      </c>
      <c r="K255" s="279">
        <f>22*22060</f>
        <v>485320</v>
      </c>
      <c r="L255" s="266"/>
      <c r="M255" s="266">
        <f>52*17120</f>
        <v>890240</v>
      </c>
      <c r="N255" s="266">
        <f t="shared" si="574"/>
        <v>595200</v>
      </c>
      <c r="O255" s="269"/>
      <c r="P255" s="269"/>
      <c r="Q255" s="269">
        <f>333*1805</f>
        <v>601065</v>
      </c>
      <c r="R255" s="266">
        <f t="shared" si="572"/>
        <v>365726</v>
      </c>
      <c r="S255" s="266">
        <f t="shared" si="558"/>
        <v>680583.1583</v>
      </c>
      <c r="T255" s="279">
        <f t="shared" si="559"/>
        <v>504830</v>
      </c>
      <c r="U255" s="266">
        <f t="shared" ref="U255:U309" si="575">U256+1595.7447</f>
        <v>687765.9585</v>
      </c>
      <c r="V255" s="279">
        <f t="shared" si="435"/>
        <v>202920</v>
      </c>
      <c r="W255" s="266"/>
      <c r="X255" s="266"/>
      <c r="Y255" s="266"/>
      <c r="Z255" s="266"/>
      <c r="AA255" s="277">
        <f t="shared" ref="AA255:AA263" si="576">426961+702262-150000+38000+299492-150000-210000-866320+215520+856000-200000-400000-552000+65000+290000-70000-20000+876180-440000+290000-883200-89160+20000</f>
        <v>48735</v>
      </c>
      <c r="AB255" s="280">
        <f t="shared" si="540"/>
        <v>2983154.028</v>
      </c>
      <c r="AC255" s="279">
        <f t="shared" si="526"/>
        <v>4101815.472</v>
      </c>
      <c r="AD255" s="279">
        <f t="shared" si="557"/>
        <v>7135.616451</v>
      </c>
      <c r="AE255" s="283">
        <f t="shared" si="546"/>
        <v>7092105.117</v>
      </c>
      <c r="AF255" s="273">
        <f t="shared" si="22"/>
        <v>0.01633673607</v>
      </c>
      <c r="AG255" s="274">
        <f t="shared" si="23"/>
        <v>4108951.089</v>
      </c>
    </row>
    <row r="256">
      <c r="A256" s="264">
        <f t="shared" si="3"/>
        <v>45846</v>
      </c>
      <c r="B256" s="269"/>
      <c r="C256" s="290">
        <v>0.0</v>
      </c>
      <c r="D256" s="279">
        <f t="shared" si="534"/>
        <v>286610.164</v>
      </c>
      <c r="E256" s="279"/>
      <c r="F256" s="281">
        <f t="shared" si="573"/>
        <v>567360</v>
      </c>
      <c r="G256" s="259"/>
      <c r="H256" s="281">
        <f>19*54800</f>
        <v>1041200</v>
      </c>
      <c r="I256" s="259">
        <f>2*45320</f>
        <v>90640</v>
      </c>
      <c r="J256" s="259">
        <f>23*39400</f>
        <v>906200</v>
      </c>
      <c r="K256" s="279">
        <f>22*22160</f>
        <v>487520</v>
      </c>
      <c r="L256" s="266"/>
      <c r="M256" s="266">
        <f>52*17820</f>
        <v>926640</v>
      </c>
      <c r="N256" s="266">
        <f t="shared" si="574"/>
        <v>595200</v>
      </c>
      <c r="O256" s="269"/>
      <c r="P256" s="269"/>
      <c r="Q256" s="269">
        <f>333*1845</f>
        <v>614385</v>
      </c>
      <c r="R256" s="266">
        <f t="shared" si="572"/>
        <v>365726</v>
      </c>
      <c r="S256" s="266">
        <f t="shared" si="558"/>
        <v>679105.311</v>
      </c>
      <c r="T256" s="279">
        <f t="shared" si="559"/>
        <v>504760</v>
      </c>
      <c r="U256" s="266">
        <f t="shared" si="575"/>
        <v>686170.2138</v>
      </c>
      <c r="V256" s="279">
        <f t="shared" si="435"/>
        <v>202920</v>
      </c>
      <c r="W256" s="266"/>
      <c r="X256" s="266"/>
      <c r="Y256" s="266"/>
      <c r="Z256" s="266"/>
      <c r="AA256" s="277">
        <f t="shared" si="576"/>
        <v>48735</v>
      </c>
      <c r="AB256" s="280">
        <f t="shared" si="540"/>
        <v>3044951.156</v>
      </c>
      <c r="AC256" s="279">
        <f t="shared" si="526"/>
        <v>4097496.944</v>
      </c>
      <c r="AD256" s="279">
        <f t="shared" si="557"/>
        <v>6753.42467</v>
      </c>
      <c r="AE256" s="283">
        <f t="shared" si="546"/>
        <v>7149201.525</v>
      </c>
      <c r="AF256" s="273">
        <f t="shared" si="22"/>
        <v>0.01600518284</v>
      </c>
      <c r="AG256" s="274">
        <f t="shared" si="23"/>
        <v>4104250.369</v>
      </c>
    </row>
    <row r="257">
      <c r="A257" s="264">
        <f t="shared" si="3"/>
        <v>45845</v>
      </c>
      <c r="B257" s="269"/>
      <c r="C257" s="279">
        <f>15200*45</f>
        <v>684000</v>
      </c>
      <c r="D257" s="279">
        <f t="shared" si="534"/>
        <v>285932.198</v>
      </c>
      <c r="E257" s="279"/>
      <c r="F257" s="281">
        <f>96*5920</f>
        <v>568320</v>
      </c>
      <c r="G257" s="259"/>
      <c r="H257" s="281">
        <f>19*53920</f>
        <v>1024480</v>
      </c>
      <c r="I257" s="259">
        <f t="shared" ref="I257:I260" si="577">2*44500</f>
        <v>89000</v>
      </c>
      <c r="J257" s="259">
        <f>23*39180</f>
        <v>901140</v>
      </c>
      <c r="K257" s="279">
        <f>22*22300</f>
        <v>490600</v>
      </c>
      <c r="L257" s="266"/>
      <c r="M257" s="266">
        <f>52*17900</f>
        <v>930800</v>
      </c>
      <c r="N257" s="266">
        <f t="shared" si="574"/>
        <v>595200</v>
      </c>
      <c r="O257" s="269"/>
      <c r="P257" s="269"/>
      <c r="Q257" s="269">
        <f>333*1800</f>
        <v>599400</v>
      </c>
      <c r="R257" s="266">
        <f t="shared" si="572"/>
        <v>365726</v>
      </c>
      <c r="S257" s="266">
        <f t="shared" si="558"/>
        <v>677627.4637</v>
      </c>
      <c r="T257" s="279">
        <f t="shared" si="559"/>
        <v>504690</v>
      </c>
      <c r="U257" s="266">
        <f t="shared" si="575"/>
        <v>684574.4691</v>
      </c>
      <c r="V257" s="279">
        <f t="shared" si="435"/>
        <v>202920</v>
      </c>
      <c r="W257" s="266"/>
      <c r="X257" s="266"/>
      <c r="Y257" s="266"/>
      <c r="Z257" s="266"/>
      <c r="AA257" s="277">
        <f t="shared" si="576"/>
        <v>48735</v>
      </c>
      <c r="AB257" s="280">
        <f t="shared" si="540"/>
        <v>3015343.283</v>
      </c>
      <c r="AC257" s="279">
        <f t="shared" si="526"/>
        <v>4093178.417</v>
      </c>
      <c r="AD257" s="279">
        <f t="shared" si="557"/>
        <v>6371.232889</v>
      </c>
      <c r="AE257" s="283">
        <f t="shared" si="546"/>
        <v>7114892.933</v>
      </c>
      <c r="AF257" s="273">
        <f t="shared" si="22"/>
        <v>0.01616233889</v>
      </c>
      <c r="AG257" s="274">
        <f t="shared" si="23"/>
        <v>4099549.65</v>
      </c>
    </row>
    <row r="258">
      <c r="A258" s="284">
        <f t="shared" si="3"/>
        <v>45844</v>
      </c>
      <c r="B258" s="269"/>
      <c r="C258" s="279">
        <f t="shared" ref="C258:C259" si="578">14500*45</f>
        <v>652500</v>
      </c>
      <c r="D258" s="279">
        <f t="shared" si="534"/>
        <v>285254.232</v>
      </c>
      <c r="E258" s="279"/>
      <c r="F258" s="281">
        <f t="shared" ref="F258:F259" si="579">96*5700</f>
        <v>547200</v>
      </c>
      <c r="G258" s="259"/>
      <c r="H258" s="281">
        <f t="shared" ref="H258:H260" si="580">19*53420</f>
        <v>1014980</v>
      </c>
      <c r="I258" s="259">
        <f t="shared" si="577"/>
        <v>89000</v>
      </c>
      <c r="J258" s="259">
        <f t="shared" ref="J258:J260" si="581">23*38740</f>
        <v>891020</v>
      </c>
      <c r="K258" s="279">
        <f t="shared" ref="K258:K260" si="582">22*22580</f>
        <v>496760</v>
      </c>
      <c r="L258" s="266"/>
      <c r="M258" s="266">
        <f t="shared" ref="M258:M261" si="583">52*17800</f>
        <v>925600</v>
      </c>
      <c r="N258" s="266">
        <f t="shared" si="574"/>
        <v>595200</v>
      </c>
      <c r="O258" s="269"/>
      <c r="P258" s="269"/>
      <c r="Q258" s="269">
        <f t="shared" ref="Q258:Q260" si="584">333*1835</f>
        <v>611055</v>
      </c>
      <c r="R258" s="266">
        <f t="shared" si="572"/>
        <v>365726</v>
      </c>
      <c r="S258" s="266">
        <f t="shared" si="558"/>
        <v>676149.6164</v>
      </c>
      <c r="T258" s="279">
        <f t="shared" si="559"/>
        <v>504620</v>
      </c>
      <c r="U258" s="266">
        <f t="shared" si="575"/>
        <v>682978.7244</v>
      </c>
      <c r="V258" s="279">
        <f t="shared" si="435"/>
        <v>202920</v>
      </c>
      <c r="W258" s="266"/>
      <c r="X258" s="266"/>
      <c r="Y258" s="266"/>
      <c r="Z258" s="266"/>
      <c r="AA258" s="277">
        <f t="shared" si="576"/>
        <v>48735</v>
      </c>
      <c r="AB258" s="280">
        <f t="shared" si="540"/>
        <v>3009895.411</v>
      </c>
      <c r="AC258" s="279">
        <f t="shared" si="526"/>
        <v>4088859.889</v>
      </c>
      <c r="AD258" s="279">
        <f t="shared" si="557"/>
        <v>5989.041108</v>
      </c>
      <c r="AE258" s="283">
        <f t="shared" si="546"/>
        <v>7104744.341</v>
      </c>
      <c r="AF258" s="273">
        <f t="shared" si="22"/>
        <v>0.01619159251</v>
      </c>
      <c r="AG258" s="274">
        <f t="shared" si="23"/>
        <v>4094848.93</v>
      </c>
    </row>
    <row r="259">
      <c r="A259" s="284">
        <f t="shared" si="3"/>
        <v>45843</v>
      </c>
      <c r="B259" s="269"/>
      <c r="C259" s="279">
        <f t="shared" si="578"/>
        <v>652500</v>
      </c>
      <c r="D259" s="279">
        <f t="shared" si="534"/>
        <v>284576.266</v>
      </c>
      <c r="E259" s="279"/>
      <c r="F259" s="281">
        <f t="shared" si="579"/>
        <v>547200</v>
      </c>
      <c r="G259" s="259"/>
      <c r="H259" s="281">
        <f t="shared" si="580"/>
        <v>1014980</v>
      </c>
      <c r="I259" s="259">
        <f t="shared" si="577"/>
        <v>89000</v>
      </c>
      <c r="J259" s="259">
        <f t="shared" si="581"/>
        <v>891020</v>
      </c>
      <c r="K259" s="279">
        <f t="shared" si="582"/>
        <v>496760</v>
      </c>
      <c r="L259" s="266"/>
      <c r="M259" s="266">
        <f t="shared" si="583"/>
        <v>925600</v>
      </c>
      <c r="N259" s="266">
        <f t="shared" si="574"/>
        <v>595200</v>
      </c>
      <c r="O259" s="269"/>
      <c r="P259" s="269"/>
      <c r="Q259" s="269">
        <f t="shared" si="584"/>
        <v>611055</v>
      </c>
      <c r="R259" s="266">
        <f t="shared" si="572"/>
        <v>365726</v>
      </c>
      <c r="S259" s="266">
        <f t="shared" si="558"/>
        <v>674671.7691</v>
      </c>
      <c r="T259" s="279">
        <f t="shared" si="559"/>
        <v>504550</v>
      </c>
      <c r="U259" s="266">
        <f t="shared" si="575"/>
        <v>681382.9797</v>
      </c>
      <c r="V259" s="279">
        <f t="shared" si="435"/>
        <v>202920</v>
      </c>
      <c r="W259" s="266"/>
      <c r="X259" s="266"/>
      <c r="Y259" s="266"/>
      <c r="Z259" s="266"/>
      <c r="AA259" s="277">
        <f t="shared" si="576"/>
        <v>48735</v>
      </c>
      <c r="AB259" s="280">
        <f t="shared" si="540"/>
        <v>3011452.538</v>
      </c>
      <c r="AC259" s="279">
        <f t="shared" si="526"/>
        <v>4084541.361</v>
      </c>
      <c r="AD259" s="279">
        <f t="shared" si="557"/>
        <v>5606.849327</v>
      </c>
      <c r="AE259" s="283">
        <f t="shared" si="546"/>
        <v>7101600.749</v>
      </c>
      <c r="AF259" s="273">
        <f t="shared" si="22"/>
        <v>0.01618322035</v>
      </c>
      <c r="AG259" s="274">
        <f t="shared" si="23"/>
        <v>4090148.21</v>
      </c>
    </row>
    <row r="260">
      <c r="A260" s="264">
        <f t="shared" si="3"/>
        <v>45842</v>
      </c>
      <c r="B260" s="269"/>
      <c r="C260" s="279"/>
      <c r="D260" s="279">
        <f t="shared" si="534"/>
        <v>283898.3</v>
      </c>
      <c r="E260" s="279"/>
      <c r="F260" s="281">
        <f>96*5780</f>
        <v>554880</v>
      </c>
      <c r="G260" s="259"/>
      <c r="H260" s="281">
        <f t="shared" si="580"/>
        <v>1014980</v>
      </c>
      <c r="I260" s="259">
        <f t="shared" si="577"/>
        <v>89000</v>
      </c>
      <c r="J260" s="259">
        <f t="shared" si="581"/>
        <v>891020</v>
      </c>
      <c r="K260" s="279">
        <f t="shared" si="582"/>
        <v>496760</v>
      </c>
      <c r="L260" s="266"/>
      <c r="M260" s="266">
        <f t="shared" si="583"/>
        <v>925600</v>
      </c>
      <c r="N260" s="266">
        <f t="shared" si="574"/>
        <v>595200</v>
      </c>
      <c r="O260" s="269"/>
      <c r="P260" s="269"/>
      <c r="Q260" s="269">
        <f t="shared" si="584"/>
        <v>611055</v>
      </c>
      <c r="R260" s="266">
        <f t="shared" si="572"/>
        <v>365726</v>
      </c>
      <c r="S260" s="266">
        <f t="shared" si="558"/>
        <v>673193.9218</v>
      </c>
      <c r="T260" s="279">
        <f t="shared" si="559"/>
        <v>504480</v>
      </c>
      <c r="U260" s="266">
        <f t="shared" si="575"/>
        <v>679787.235</v>
      </c>
      <c r="V260" s="279">
        <f t="shared" si="435"/>
        <v>202920</v>
      </c>
      <c r="W260" s="266"/>
      <c r="X260" s="266"/>
      <c r="Y260" s="266"/>
      <c r="Z260" s="266"/>
      <c r="AA260" s="277">
        <f t="shared" si="576"/>
        <v>48735</v>
      </c>
      <c r="AB260" s="280">
        <f t="shared" si="540"/>
        <v>3013009.666</v>
      </c>
      <c r="AC260" s="279">
        <f t="shared" si="526"/>
        <v>4080222.833</v>
      </c>
      <c r="AD260" s="279">
        <f t="shared" si="557"/>
        <v>5224.657546</v>
      </c>
      <c r="AE260" s="283">
        <f t="shared" si="546"/>
        <v>7098457.157</v>
      </c>
      <c r="AF260" s="273">
        <f t="shared" si="22"/>
        <v>0.01617485684</v>
      </c>
      <c r="AG260" s="274">
        <f t="shared" si="23"/>
        <v>4085447.491</v>
      </c>
    </row>
    <row r="261">
      <c r="A261" s="264">
        <f t="shared" si="3"/>
        <v>45841</v>
      </c>
      <c r="B261" s="269"/>
      <c r="C261" s="279"/>
      <c r="D261" s="279">
        <f t="shared" si="534"/>
        <v>283220.334</v>
      </c>
      <c r="E261" s="279"/>
      <c r="F261" s="281">
        <f t="shared" ref="F261:F263" si="585">96*5700</f>
        <v>547200</v>
      </c>
      <c r="G261" s="259"/>
      <c r="H261" s="281">
        <f>19*53980</f>
        <v>1025620</v>
      </c>
      <c r="I261" s="259">
        <f>2*45540</f>
        <v>91080</v>
      </c>
      <c r="J261" s="259">
        <f>23*38680</f>
        <v>889640</v>
      </c>
      <c r="K261" s="279">
        <f>22*22440</f>
        <v>493680</v>
      </c>
      <c r="L261" s="266"/>
      <c r="M261" s="266">
        <f t="shared" si="583"/>
        <v>925600</v>
      </c>
      <c r="N261" s="266">
        <f t="shared" si="574"/>
        <v>595200</v>
      </c>
      <c r="O261" s="269"/>
      <c r="P261" s="269"/>
      <c r="Q261" s="269">
        <f>333*1820</f>
        <v>606060</v>
      </c>
      <c r="R261" s="266">
        <f t="shared" si="572"/>
        <v>365726</v>
      </c>
      <c r="S261" s="266">
        <f t="shared" si="558"/>
        <v>671716.0745</v>
      </c>
      <c r="T261" s="279">
        <f t="shared" si="559"/>
        <v>504410</v>
      </c>
      <c r="U261" s="266">
        <f t="shared" si="575"/>
        <v>678191.4903</v>
      </c>
      <c r="V261" s="279">
        <f t="shared" si="435"/>
        <v>202920</v>
      </c>
      <c r="W261" s="266"/>
      <c r="X261" s="266"/>
      <c r="Y261" s="266"/>
      <c r="Z261" s="266"/>
      <c r="AA261" s="277">
        <f t="shared" si="576"/>
        <v>48735</v>
      </c>
      <c r="AB261" s="280">
        <f t="shared" si="540"/>
        <v>3017831.793</v>
      </c>
      <c r="AC261" s="279">
        <f t="shared" si="526"/>
        <v>4075904.306</v>
      </c>
      <c r="AD261" s="279">
        <f t="shared" si="557"/>
        <v>4842.465765</v>
      </c>
      <c r="AE261" s="283">
        <f t="shared" si="546"/>
        <v>7098578.565</v>
      </c>
      <c r="AF261" s="273">
        <f t="shared" si="22"/>
        <v>0.01614901139</v>
      </c>
      <c r="AG261" s="274">
        <f t="shared" si="23"/>
        <v>4080746.771</v>
      </c>
    </row>
    <row r="262">
      <c r="A262" s="264">
        <f t="shared" si="3"/>
        <v>45840</v>
      </c>
      <c r="B262" s="269"/>
      <c r="C262" s="279"/>
      <c r="D262" s="279">
        <f t="shared" si="534"/>
        <v>282542.368</v>
      </c>
      <c r="E262" s="279"/>
      <c r="F262" s="281">
        <f t="shared" si="585"/>
        <v>547200</v>
      </c>
      <c r="G262" s="259"/>
      <c r="H262" s="281">
        <f>19*53760</f>
        <v>1021440</v>
      </c>
      <c r="I262" s="259">
        <f>2*46680</f>
        <v>93360</v>
      </c>
      <c r="J262" s="259">
        <f t="shared" ref="J262:J263" si="586">23*38400</f>
        <v>883200</v>
      </c>
      <c r="K262" s="279">
        <f>22*22760</f>
        <v>500720</v>
      </c>
      <c r="L262" s="266"/>
      <c r="M262" s="266">
        <f>52*18000</f>
        <v>936000</v>
      </c>
      <c r="N262" s="266">
        <f t="shared" si="574"/>
        <v>595200</v>
      </c>
      <c r="O262" s="269"/>
      <c r="P262" s="269"/>
      <c r="Q262" s="269">
        <f>333*1855</f>
        <v>617715</v>
      </c>
      <c r="R262" s="266">
        <f t="shared" si="572"/>
        <v>365726</v>
      </c>
      <c r="S262" s="266">
        <f t="shared" si="558"/>
        <v>670238.2272</v>
      </c>
      <c r="T262" s="279">
        <f t="shared" si="559"/>
        <v>504340</v>
      </c>
      <c r="U262" s="266">
        <f t="shared" si="575"/>
        <v>676595.7456</v>
      </c>
      <c r="V262" s="279">
        <f t="shared" si="435"/>
        <v>202920</v>
      </c>
      <c r="W262" s="266"/>
      <c r="X262" s="266"/>
      <c r="Y262" s="266"/>
      <c r="Z262" s="266"/>
      <c r="AA262" s="277">
        <f t="shared" si="576"/>
        <v>48735</v>
      </c>
      <c r="AB262" s="280">
        <f t="shared" si="540"/>
        <v>3040143.921</v>
      </c>
      <c r="AC262" s="279">
        <f t="shared" si="526"/>
        <v>4071585.778</v>
      </c>
      <c r="AD262" s="279">
        <f t="shared" si="557"/>
        <v>4460.273984</v>
      </c>
      <c r="AE262" s="283">
        <f t="shared" si="546"/>
        <v>7116189.973</v>
      </c>
      <c r="AF262" s="273">
        <f t="shared" si="22"/>
        <v>0.01603049108</v>
      </c>
      <c r="AG262" s="274">
        <f t="shared" si="23"/>
        <v>4076046.052</v>
      </c>
    </row>
    <row r="263">
      <c r="A263" s="264">
        <f t="shared" si="3"/>
        <v>45839</v>
      </c>
      <c r="B263" s="269"/>
      <c r="C263" s="279"/>
      <c r="D263" s="279">
        <f t="shared" si="534"/>
        <v>281864.402</v>
      </c>
      <c r="E263" s="279"/>
      <c r="F263" s="281">
        <f t="shared" si="585"/>
        <v>547200</v>
      </c>
      <c r="G263" s="259"/>
      <c r="H263" s="281">
        <f>19*54720</f>
        <v>1039680</v>
      </c>
      <c r="I263" s="259">
        <f>2*44580</f>
        <v>89160</v>
      </c>
      <c r="J263" s="259">
        <f t="shared" si="586"/>
        <v>883200</v>
      </c>
      <c r="K263" s="279">
        <f>22*22860</f>
        <v>502920</v>
      </c>
      <c r="L263" s="266"/>
      <c r="M263" s="266">
        <f t="shared" ref="M263:M268" si="587">52*17760</f>
        <v>923520</v>
      </c>
      <c r="N263" s="266">
        <f t="shared" si="574"/>
        <v>595200</v>
      </c>
      <c r="O263" s="269"/>
      <c r="P263" s="269"/>
      <c r="Q263" s="269">
        <f>333*1795</f>
        <v>597735</v>
      </c>
      <c r="R263" s="266">
        <f t="shared" si="572"/>
        <v>365726</v>
      </c>
      <c r="S263" s="266">
        <f t="shared" si="558"/>
        <v>668760.3799</v>
      </c>
      <c r="T263" s="279">
        <f t="shared" si="559"/>
        <v>504270</v>
      </c>
      <c r="U263" s="266">
        <f t="shared" si="575"/>
        <v>675000.0009</v>
      </c>
      <c r="V263" s="279">
        <f t="shared" si="435"/>
        <v>202920</v>
      </c>
      <c r="W263" s="266"/>
      <c r="X263" s="266"/>
      <c r="Y263" s="266"/>
      <c r="Z263" s="266"/>
      <c r="AA263" s="277">
        <f t="shared" si="576"/>
        <v>48735</v>
      </c>
      <c r="AB263" s="280">
        <f t="shared" si="540"/>
        <v>3025481.049</v>
      </c>
      <c r="AC263" s="279">
        <f t="shared" si="526"/>
        <v>4067267.25</v>
      </c>
      <c r="AD263" s="279">
        <f t="shared" si="557"/>
        <v>4078.082203</v>
      </c>
      <c r="AE263" s="283">
        <f t="shared" si="546"/>
        <v>7096826.381</v>
      </c>
      <c r="AF263" s="273">
        <f t="shared" si="22"/>
        <v>0.01610818221</v>
      </c>
      <c r="AG263" s="274">
        <f t="shared" si="23"/>
        <v>4071345.332</v>
      </c>
    </row>
    <row r="264">
      <c r="A264" s="275">
        <f t="shared" si="3"/>
        <v>45838</v>
      </c>
      <c r="B264" s="269"/>
      <c r="C264" s="279"/>
      <c r="D264" s="279">
        <f t="shared" si="534"/>
        <v>281186.436</v>
      </c>
      <c r="E264" s="279"/>
      <c r="F264" s="281">
        <f>96*5900</f>
        <v>566400</v>
      </c>
      <c r="G264" s="259"/>
      <c r="H264" s="281">
        <f t="shared" ref="H264:H267" si="588">19*54420</f>
        <v>1033980</v>
      </c>
      <c r="I264" s="259"/>
      <c r="J264" s="259"/>
      <c r="K264" s="279">
        <f t="shared" ref="K264:K267" si="589">22*22980</f>
        <v>505560</v>
      </c>
      <c r="L264" s="266"/>
      <c r="M264" s="266">
        <f t="shared" si="587"/>
        <v>923520</v>
      </c>
      <c r="N264" s="266">
        <f t="shared" si="574"/>
        <v>595200</v>
      </c>
      <c r="O264" s="269"/>
      <c r="P264" s="269"/>
      <c r="Q264" s="269">
        <f t="shared" ref="Q264:Q267" si="590">333*1820</f>
        <v>606060</v>
      </c>
      <c r="R264" s="266">
        <f t="shared" si="572"/>
        <v>365726</v>
      </c>
      <c r="S264" s="266">
        <f t="shared" si="558"/>
        <v>667282.5326</v>
      </c>
      <c r="T264" s="279">
        <f t="shared" si="559"/>
        <v>504200</v>
      </c>
      <c r="U264" s="266">
        <f t="shared" si="575"/>
        <v>673404.2562</v>
      </c>
      <c r="V264" s="279">
        <f t="shared" si="435"/>
        <v>202920</v>
      </c>
      <c r="W264" s="266"/>
      <c r="X264" s="266"/>
      <c r="Y264" s="266"/>
      <c r="Z264" s="266"/>
      <c r="AA264" s="277">
        <f>426961+702262-150000+38000+299492-150000-210000-866320+215520+856000-200000-400000-552000+65000+290000-70000-20000+876180-440000+290000</f>
        <v>1001095</v>
      </c>
      <c r="AB264" s="280">
        <f t="shared" si="540"/>
        <v>3012303.176</v>
      </c>
      <c r="AC264" s="279">
        <f t="shared" si="526"/>
        <v>4062948.722</v>
      </c>
      <c r="AD264" s="279">
        <f t="shared" si="557"/>
        <v>3695.890422</v>
      </c>
      <c r="AE264" s="283">
        <f t="shared" si="546"/>
        <v>7078947.789</v>
      </c>
      <c r="AF264" s="273">
        <f t="shared" si="22"/>
        <v>0.3323354063</v>
      </c>
      <c r="AG264" s="274">
        <f t="shared" si="23"/>
        <v>4066644.613</v>
      </c>
    </row>
    <row r="265">
      <c r="A265" s="284">
        <f t="shared" si="3"/>
        <v>45837</v>
      </c>
      <c r="B265" s="269"/>
      <c r="C265" s="279"/>
      <c r="D265" s="279">
        <f t="shared" si="534"/>
        <v>280508.47</v>
      </c>
      <c r="E265" s="279"/>
      <c r="F265" s="281">
        <f>96*5800</f>
        <v>556800</v>
      </c>
      <c r="G265" s="259"/>
      <c r="H265" s="281">
        <f t="shared" si="588"/>
        <v>1033980</v>
      </c>
      <c r="I265" s="259"/>
      <c r="J265" s="259"/>
      <c r="K265" s="279">
        <f t="shared" si="589"/>
        <v>505560</v>
      </c>
      <c r="L265" s="266"/>
      <c r="M265" s="266">
        <f t="shared" si="587"/>
        <v>923520</v>
      </c>
      <c r="N265" s="266">
        <f t="shared" si="574"/>
        <v>595200</v>
      </c>
      <c r="O265" s="269"/>
      <c r="P265" s="269"/>
      <c r="Q265" s="269">
        <f t="shared" si="590"/>
        <v>606060</v>
      </c>
      <c r="R265" s="266">
        <f t="shared" si="572"/>
        <v>365726</v>
      </c>
      <c r="S265" s="266">
        <f t="shared" si="558"/>
        <v>665804.6853</v>
      </c>
      <c r="T265" s="279">
        <f t="shared" si="559"/>
        <v>504130</v>
      </c>
      <c r="U265" s="266">
        <f t="shared" si="575"/>
        <v>671808.5115</v>
      </c>
      <c r="V265" s="279">
        <f t="shared" si="435"/>
        <v>202920</v>
      </c>
      <c r="W265" s="266"/>
      <c r="X265" s="266"/>
      <c r="Y265" s="266"/>
      <c r="Z265" s="266"/>
      <c r="AA265" s="277">
        <f t="shared" ref="AA265:AA267" si="591">426961+702262-150000+38000+299492-150000-210000-866320+215520+856000-200000-400000-552000+65000+290000-70000-20000+876180-440000</f>
        <v>711095</v>
      </c>
      <c r="AB265" s="280">
        <f t="shared" si="540"/>
        <v>2723860.304</v>
      </c>
      <c r="AC265" s="279">
        <f t="shared" si="526"/>
        <v>4058630.194</v>
      </c>
      <c r="AD265" s="279">
        <f t="shared" si="557"/>
        <v>3313.698641</v>
      </c>
      <c r="AE265" s="283">
        <f t="shared" si="546"/>
        <v>6785804.197</v>
      </c>
      <c r="AF265" s="273">
        <f t="shared" si="22"/>
        <v>0.2610614792</v>
      </c>
      <c r="AG265" s="274">
        <f t="shared" si="23"/>
        <v>4061943.893</v>
      </c>
    </row>
    <row r="266">
      <c r="A266" s="284">
        <f t="shared" si="3"/>
        <v>45836</v>
      </c>
      <c r="B266" s="269"/>
      <c r="C266" s="279"/>
      <c r="D266" s="279">
        <f t="shared" si="534"/>
        <v>279830.504</v>
      </c>
      <c r="E266" s="279"/>
      <c r="F266" s="281">
        <f>96*5900</f>
        <v>566400</v>
      </c>
      <c r="G266" s="259"/>
      <c r="H266" s="281">
        <f t="shared" si="588"/>
        <v>1033980</v>
      </c>
      <c r="I266" s="259"/>
      <c r="J266" s="259"/>
      <c r="K266" s="279">
        <f t="shared" si="589"/>
        <v>505560</v>
      </c>
      <c r="L266" s="266"/>
      <c r="M266" s="266">
        <f t="shared" si="587"/>
        <v>923520</v>
      </c>
      <c r="N266" s="266">
        <f t="shared" si="574"/>
        <v>595200</v>
      </c>
      <c r="O266" s="269"/>
      <c r="P266" s="269"/>
      <c r="Q266" s="269">
        <f t="shared" si="590"/>
        <v>606060</v>
      </c>
      <c r="R266" s="266">
        <f t="shared" si="572"/>
        <v>365726</v>
      </c>
      <c r="S266" s="266">
        <f t="shared" si="558"/>
        <v>664326.838</v>
      </c>
      <c r="T266" s="279">
        <f t="shared" si="559"/>
        <v>504060</v>
      </c>
      <c r="U266" s="266">
        <f t="shared" si="575"/>
        <v>670212.7668</v>
      </c>
      <c r="V266" s="279">
        <f t="shared" si="435"/>
        <v>202920</v>
      </c>
      <c r="W266" s="266"/>
      <c r="X266" s="266"/>
      <c r="Y266" s="266"/>
      <c r="Z266" s="266"/>
      <c r="AA266" s="277">
        <f t="shared" si="591"/>
        <v>711095</v>
      </c>
      <c r="AB266" s="280">
        <f t="shared" si="540"/>
        <v>2725417.431</v>
      </c>
      <c r="AC266" s="279">
        <f t="shared" si="526"/>
        <v>4054311.667</v>
      </c>
      <c r="AD266" s="279">
        <f t="shared" si="557"/>
        <v>2931.50686</v>
      </c>
      <c r="AE266" s="283">
        <f t="shared" si="546"/>
        <v>6782660.605</v>
      </c>
      <c r="AF266" s="273">
        <f t="shared" si="22"/>
        <v>0.2609123255</v>
      </c>
      <c r="AG266" s="274">
        <f t="shared" si="23"/>
        <v>4057243.174</v>
      </c>
    </row>
    <row r="267">
      <c r="A267" s="264">
        <f t="shared" si="3"/>
        <v>45835</v>
      </c>
      <c r="B267" s="269"/>
      <c r="C267" s="279"/>
      <c r="D267" s="279">
        <f t="shared" si="534"/>
        <v>279152.538</v>
      </c>
      <c r="E267" s="279"/>
      <c r="F267" s="281">
        <f>96*5650</f>
        <v>542400</v>
      </c>
      <c r="G267" s="259"/>
      <c r="H267" s="281">
        <f t="shared" si="588"/>
        <v>1033980</v>
      </c>
      <c r="I267" s="259"/>
      <c r="J267" s="259"/>
      <c r="K267" s="279">
        <f t="shared" si="589"/>
        <v>505560</v>
      </c>
      <c r="L267" s="266"/>
      <c r="M267" s="266">
        <f t="shared" si="587"/>
        <v>923520</v>
      </c>
      <c r="N267" s="266">
        <f t="shared" si="574"/>
        <v>595200</v>
      </c>
      <c r="O267" s="269"/>
      <c r="P267" s="269"/>
      <c r="Q267" s="269">
        <f t="shared" si="590"/>
        <v>606060</v>
      </c>
      <c r="R267" s="266">
        <f t="shared" si="572"/>
        <v>365726</v>
      </c>
      <c r="S267" s="266">
        <f t="shared" ref="S267:S286" si="592">S268+1197.8473+230+112</f>
        <v>662848.9907</v>
      </c>
      <c r="T267" s="279">
        <f t="shared" si="559"/>
        <v>503990</v>
      </c>
      <c r="U267" s="266">
        <f t="shared" si="575"/>
        <v>668617.0221</v>
      </c>
      <c r="V267" s="279">
        <f t="shared" si="435"/>
        <v>202920</v>
      </c>
      <c r="W267" s="266"/>
      <c r="X267" s="266"/>
      <c r="Y267" s="266"/>
      <c r="Z267" s="266"/>
      <c r="AA267" s="277">
        <f t="shared" si="591"/>
        <v>711095</v>
      </c>
      <c r="AB267" s="280">
        <f t="shared" si="540"/>
        <v>2726974.559</v>
      </c>
      <c r="AC267" s="279">
        <f t="shared" si="526"/>
        <v>4049993.139</v>
      </c>
      <c r="AD267" s="279">
        <f t="shared" si="557"/>
        <v>2549.315079</v>
      </c>
      <c r="AE267" s="283">
        <f t="shared" si="546"/>
        <v>6779517.013</v>
      </c>
      <c r="AF267" s="273">
        <f t="shared" si="22"/>
        <v>0.2607633422</v>
      </c>
      <c r="AG267" s="274">
        <f t="shared" si="23"/>
        <v>4052542.454</v>
      </c>
    </row>
    <row r="268">
      <c r="A268" s="264">
        <f t="shared" si="3"/>
        <v>45834</v>
      </c>
      <c r="B268" s="269"/>
      <c r="C268" s="279"/>
      <c r="D268" s="279">
        <f t="shared" si="534"/>
        <v>278474.572</v>
      </c>
      <c r="E268" s="279"/>
      <c r="F268" s="281">
        <f t="shared" ref="F268:F270" si="593">96*5500</f>
        <v>528000</v>
      </c>
      <c r="G268" s="259"/>
      <c r="H268" s="281">
        <f>19*54000</f>
        <v>1026000</v>
      </c>
      <c r="I268" s="259"/>
      <c r="J268" s="259"/>
      <c r="K268" s="279">
        <f>22*22900</f>
        <v>503800</v>
      </c>
      <c r="L268" s="266"/>
      <c r="M268" s="266">
        <f t="shared" si="587"/>
        <v>923520</v>
      </c>
      <c r="N268" s="266">
        <f t="shared" si="574"/>
        <v>595200</v>
      </c>
      <c r="O268" s="269"/>
      <c r="P268" s="269"/>
      <c r="Q268" s="269">
        <f>333*1880</f>
        <v>626040</v>
      </c>
      <c r="R268" s="266">
        <f t="shared" si="572"/>
        <v>365726</v>
      </c>
      <c r="S268" s="266">
        <f t="shared" si="592"/>
        <v>661309.1434</v>
      </c>
      <c r="T268" s="279">
        <f t="shared" si="559"/>
        <v>503920</v>
      </c>
      <c r="U268" s="266">
        <f t="shared" si="575"/>
        <v>667021.2774</v>
      </c>
      <c r="V268" s="279">
        <f t="shared" si="435"/>
        <v>202920</v>
      </c>
      <c r="W268" s="266"/>
      <c r="X268" s="266"/>
      <c r="Y268" s="266"/>
      <c r="Z268" s="266"/>
      <c r="AA268" s="277">
        <f t="shared" ref="AA268:AA272" si="594">426961+702262-150000+38000+299492-150000-210000-866320+215520+856000-200000-400000-552000+65000+290000-70000-20000</f>
        <v>274915</v>
      </c>
      <c r="AB268" s="280">
        <f t="shared" si="540"/>
        <v>2302529.686</v>
      </c>
      <c r="AC268" s="279">
        <f t="shared" si="526"/>
        <v>4045674.611</v>
      </c>
      <c r="AD268" s="279">
        <f t="shared" si="557"/>
        <v>2167.123298</v>
      </c>
      <c r="AE268" s="283">
        <f t="shared" si="546"/>
        <v>6350371.421</v>
      </c>
      <c r="AF268" s="273">
        <f t="shared" si="22"/>
        <v>0.1193969405</v>
      </c>
      <c r="AG268" s="274">
        <f t="shared" si="23"/>
        <v>4047841.734</v>
      </c>
    </row>
    <row r="269">
      <c r="A269" s="264">
        <f t="shared" si="3"/>
        <v>45833</v>
      </c>
      <c r="B269" s="269"/>
      <c r="C269" s="279"/>
      <c r="D269" s="279">
        <f t="shared" si="534"/>
        <v>277796.606</v>
      </c>
      <c r="E269" s="279"/>
      <c r="F269" s="281">
        <f t="shared" si="593"/>
        <v>528000</v>
      </c>
      <c r="G269" s="259"/>
      <c r="H269" s="281">
        <f>19*53000</f>
        <v>1007000</v>
      </c>
      <c r="I269" s="259"/>
      <c r="J269" s="259"/>
      <c r="K269" s="279">
        <f>22*22520</f>
        <v>495440</v>
      </c>
      <c r="L269" s="266"/>
      <c r="M269" s="266">
        <f>52*17780</f>
        <v>924560</v>
      </c>
      <c r="N269" s="266">
        <f t="shared" si="574"/>
        <v>595200</v>
      </c>
      <c r="O269" s="269"/>
      <c r="P269" s="269"/>
      <c r="Q269" s="269">
        <f>333*1900</f>
        <v>632700</v>
      </c>
      <c r="R269" s="266">
        <f t="shared" si="572"/>
        <v>365726</v>
      </c>
      <c r="S269" s="266">
        <f t="shared" si="592"/>
        <v>659769.2961</v>
      </c>
      <c r="T269" s="279">
        <f t="shared" si="559"/>
        <v>503850</v>
      </c>
      <c r="U269" s="266">
        <f t="shared" si="575"/>
        <v>665425.5327</v>
      </c>
      <c r="V269" s="279">
        <f t="shared" si="435"/>
        <v>202920</v>
      </c>
      <c r="W269" s="266"/>
      <c r="X269" s="266"/>
      <c r="Y269" s="266"/>
      <c r="Z269" s="266"/>
      <c r="AA269" s="277">
        <f t="shared" si="594"/>
        <v>274915</v>
      </c>
      <c r="AB269" s="280">
        <f t="shared" si="540"/>
        <v>2284364.814</v>
      </c>
      <c r="AC269" s="279">
        <f t="shared" si="526"/>
        <v>4041356.083</v>
      </c>
      <c r="AD269" s="279">
        <f t="shared" si="557"/>
        <v>1784.931517</v>
      </c>
      <c r="AE269" s="283">
        <f t="shared" si="546"/>
        <v>6327505.829</v>
      </c>
      <c r="AF269" s="273">
        <f t="shared" si="22"/>
        <v>0.1203463643</v>
      </c>
      <c r="AG269" s="274">
        <f t="shared" si="23"/>
        <v>4043141.015</v>
      </c>
    </row>
    <row r="270">
      <c r="A270" s="264">
        <f t="shared" si="3"/>
        <v>45832</v>
      </c>
      <c r="B270" s="269"/>
      <c r="C270" s="279"/>
      <c r="D270" s="279">
        <f t="shared" si="534"/>
        <v>277118.64</v>
      </c>
      <c r="E270" s="279"/>
      <c r="F270" s="281">
        <f t="shared" si="593"/>
        <v>528000</v>
      </c>
      <c r="G270" s="259"/>
      <c r="H270" s="281">
        <f>19*53960</f>
        <v>1025240</v>
      </c>
      <c r="I270" s="259"/>
      <c r="J270" s="259"/>
      <c r="K270" s="279">
        <f>22*22140</f>
        <v>487080</v>
      </c>
      <c r="L270" s="266"/>
      <c r="M270" s="266">
        <f t="shared" ref="M270:M275" si="595">52*17700</f>
        <v>920400</v>
      </c>
      <c r="N270" s="266">
        <f t="shared" si="574"/>
        <v>595200</v>
      </c>
      <c r="O270" s="269"/>
      <c r="P270" s="269"/>
      <c r="Q270" s="269">
        <f>333*1920</f>
        <v>639360</v>
      </c>
      <c r="R270" s="266">
        <f t="shared" si="572"/>
        <v>365726</v>
      </c>
      <c r="S270" s="266">
        <f t="shared" si="592"/>
        <v>658229.4488</v>
      </c>
      <c r="T270" s="279">
        <f t="shared" si="559"/>
        <v>503780</v>
      </c>
      <c r="U270" s="266">
        <f t="shared" si="575"/>
        <v>663829.788</v>
      </c>
      <c r="V270" s="279">
        <f t="shared" si="435"/>
        <v>202920</v>
      </c>
      <c r="W270" s="266"/>
      <c r="X270" s="266"/>
      <c r="Y270" s="266"/>
      <c r="Z270" s="266"/>
      <c r="AA270" s="277">
        <f t="shared" si="594"/>
        <v>274915</v>
      </c>
      <c r="AB270" s="280">
        <f t="shared" si="540"/>
        <v>2298239.941</v>
      </c>
      <c r="AC270" s="279">
        <f t="shared" si="526"/>
        <v>4037037.556</v>
      </c>
      <c r="AD270" s="279">
        <f t="shared" si="557"/>
        <v>1402.739736</v>
      </c>
      <c r="AE270" s="283">
        <f t="shared" si="546"/>
        <v>6336680.237</v>
      </c>
      <c r="AF270" s="273">
        <f t="shared" si="22"/>
        <v>0.1196197991</v>
      </c>
      <c r="AG270" s="274">
        <f t="shared" si="23"/>
        <v>4038440.295</v>
      </c>
    </row>
    <row r="271">
      <c r="A271" s="275">
        <f t="shared" si="3"/>
        <v>45831</v>
      </c>
      <c r="B271" s="269"/>
      <c r="C271" s="279"/>
      <c r="D271" s="279">
        <f t="shared" si="534"/>
        <v>276440.674</v>
      </c>
      <c r="E271" s="279"/>
      <c r="F271" s="281">
        <f>96*5470</f>
        <v>525120</v>
      </c>
      <c r="G271" s="259"/>
      <c r="H271" s="281">
        <f t="shared" ref="H271:H276" si="596">19*49900</f>
        <v>948100</v>
      </c>
      <c r="I271" s="259"/>
      <c r="J271" s="259"/>
      <c r="K271" s="279">
        <f t="shared" ref="K271:K273" si="597">22*22920</f>
        <v>504240</v>
      </c>
      <c r="L271" s="266"/>
      <c r="M271" s="266">
        <f t="shared" si="595"/>
        <v>920400</v>
      </c>
      <c r="N271" s="266">
        <f t="shared" si="574"/>
        <v>595200</v>
      </c>
      <c r="O271" s="269"/>
      <c r="P271" s="269"/>
      <c r="Q271" s="269">
        <f t="shared" ref="Q271:Q274" si="598">333*2000</f>
        <v>666000</v>
      </c>
      <c r="R271" s="266">
        <f t="shared" si="572"/>
        <v>365726</v>
      </c>
      <c r="S271" s="266">
        <f t="shared" si="592"/>
        <v>656689.6015</v>
      </c>
      <c r="T271" s="279">
        <f t="shared" si="559"/>
        <v>503710</v>
      </c>
      <c r="U271" s="266">
        <f t="shared" si="575"/>
        <v>662234.0433</v>
      </c>
      <c r="V271" s="279">
        <f t="shared" si="435"/>
        <v>202920</v>
      </c>
      <c r="W271" s="266"/>
      <c r="X271" s="266"/>
      <c r="Y271" s="266"/>
      <c r="Z271" s="266"/>
      <c r="AA271" s="277">
        <f t="shared" si="594"/>
        <v>274915</v>
      </c>
      <c r="AB271" s="280">
        <f t="shared" si="540"/>
        <v>2266395.069</v>
      </c>
      <c r="AC271" s="279">
        <f t="shared" si="526"/>
        <v>4032719.028</v>
      </c>
      <c r="AD271" s="279">
        <f t="shared" si="557"/>
        <v>1020.547955</v>
      </c>
      <c r="AE271" s="283">
        <f t="shared" si="546"/>
        <v>6300134.645</v>
      </c>
      <c r="AF271" s="273">
        <f t="shared" si="22"/>
        <v>0.1213005639</v>
      </c>
      <c r="AG271" s="274">
        <f t="shared" si="23"/>
        <v>4033739.576</v>
      </c>
    </row>
    <row r="272">
      <c r="A272" s="284">
        <f t="shared" si="3"/>
        <v>45830</v>
      </c>
      <c r="B272" s="269"/>
      <c r="C272" s="279"/>
      <c r="D272" s="279">
        <f t="shared" si="534"/>
        <v>275762.708</v>
      </c>
      <c r="E272" s="279"/>
      <c r="F272" s="281">
        <f>96*5330</f>
        <v>511680</v>
      </c>
      <c r="G272" s="259"/>
      <c r="H272" s="281">
        <f t="shared" si="596"/>
        <v>948100</v>
      </c>
      <c r="I272" s="259"/>
      <c r="J272" s="259"/>
      <c r="K272" s="279">
        <f t="shared" si="597"/>
        <v>504240</v>
      </c>
      <c r="L272" s="266"/>
      <c r="M272" s="266">
        <f t="shared" si="595"/>
        <v>920400</v>
      </c>
      <c r="N272" s="266">
        <f t="shared" si="574"/>
        <v>595200</v>
      </c>
      <c r="O272" s="269"/>
      <c r="P272" s="269"/>
      <c r="Q272" s="269">
        <f t="shared" si="598"/>
        <v>666000</v>
      </c>
      <c r="R272" s="266">
        <f t="shared" si="572"/>
        <v>365726</v>
      </c>
      <c r="S272" s="266">
        <f t="shared" si="592"/>
        <v>655149.7542</v>
      </c>
      <c r="T272" s="279">
        <f t="shared" si="559"/>
        <v>503640</v>
      </c>
      <c r="U272" s="266">
        <f t="shared" si="575"/>
        <v>660638.2986</v>
      </c>
      <c r="V272" s="279">
        <f t="shared" si="435"/>
        <v>202920</v>
      </c>
      <c r="W272" s="266"/>
      <c r="X272" s="266"/>
      <c r="Y272" s="266"/>
      <c r="Z272" s="266"/>
      <c r="AA272" s="277">
        <f t="shared" si="594"/>
        <v>274915</v>
      </c>
      <c r="AB272" s="280">
        <f t="shared" si="540"/>
        <v>2267890.197</v>
      </c>
      <c r="AC272" s="279">
        <f t="shared" si="526"/>
        <v>4028400.5</v>
      </c>
      <c r="AD272" s="279">
        <f>AD273+382.191781-20000</f>
        <v>638.356174</v>
      </c>
      <c r="AE272" s="283">
        <f t="shared" si="546"/>
        <v>6296929.053</v>
      </c>
      <c r="AF272" s="273">
        <f t="shared" si="22"/>
        <v>0.1212205954</v>
      </c>
      <c r="AG272" s="274">
        <f t="shared" si="23"/>
        <v>4029038.856</v>
      </c>
    </row>
    <row r="273">
      <c r="A273" s="284">
        <f t="shared" si="3"/>
        <v>45829</v>
      </c>
      <c r="B273" s="269"/>
      <c r="C273" s="279"/>
      <c r="D273" s="279">
        <f t="shared" si="534"/>
        <v>275084.742</v>
      </c>
      <c r="E273" s="279"/>
      <c r="F273" s="281">
        <f>96*5260</f>
        <v>504960</v>
      </c>
      <c r="G273" s="259"/>
      <c r="H273" s="281">
        <f t="shared" si="596"/>
        <v>948100</v>
      </c>
      <c r="I273" s="259"/>
      <c r="J273" s="259"/>
      <c r="K273" s="279">
        <f t="shared" si="597"/>
        <v>504240</v>
      </c>
      <c r="L273" s="266"/>
      <c r="M273" s="266">
        <f t="shared" si="595"/>
        <v>920400</v>
      </c>
      <c r="N273" s="266">
        <f t="shared" si="574"/>
        <v>595200</v>
      </c>
      <c r="O273" s="269"/>
      <c r="P273" s="269"/>
      <c r="Q273" s="269">
        <f t="shared" si="598"/>
        <v>666000</v>
      </c>
      <c r="R273" s="266">
        <f t="shared" ref="R273:R317" si="599">210000+85726</f>
        <v>295726</v>
      </c>
      <c r="S273" s="266">
        <f t="shared" si="592"/>
        <v>653609.9069</v>
      </c>
      <c r="T273" s="279">
        <f t="shared" si="559"/>
        <v>503570</v>
      </c>
      <c r="U273" s="266">
        <f t="shared" si="575"/>
        <v>659042.5539</v>
      </c>
      <c r="V273" s="279">
        <f t="shared" si="435"/>
        <v>202920</v>
      </c>
      <c r="W273" s="266"/>
      <c r="X273" s="266"/>
      <c r="Y273" s="266"/>
      <c r="Z273" s="266"/>
      <c r="AA273" s="277">
        <f t="shared" ref="AA273:AA291" si="600">426961+702262-150000+38000+299492-150000-210000-866320+215520+856000-200000-400000-552000+65000+290000</f>
        <v>364915</v>
      </c>
      <c r="AB273" s="280">
        <f t="shared" si="540"/>
        <v>2269385.324</v>
      </c>
      <c r="AC273" s="279">
        <f t="shared" si="526"/>
        <v>4024081.972</v>
      </c>
      <c r="AD273" s="279">
        <f t="shared" ref="AD273:AD325" si="601">AD274+382.191781</f>
        <v>20256.16439</v>
      </c>
      <c r="AE273" s="283">
        <f t="shared" si="546"/>
        <v>6313723.461</v>
      </c>
      <c r="AF273" s="273">
        <f t="shared" si="22"/>
        <v>0.1607990481</v>
      </c>
      <c r="AG273" s="274">
        <f t="shared" si="23"/>
        <v>4044338.137</v>
      </c>
    </row>
    <row r="274">
      <c r="A274" s="264">
        <f t="shared" si="3"/>
        <v>45828</v>
      </c>
      <c r="B274" s="269"/>
      <c r="C274" s="279"/>
      <c r="D274" s="279">
        <f t="shared" si="534"/>
        <v>274406.776</v>
      </c>
      <c r="E274" s="279"/>
      <c r="F274" s="281">
        <f t="shared" ref="F274:F277" si="602">96*4900</f>
        <v>470400</v>
      </c>
      <c r="G274" s="259"/>
      <c r="H274" s="281">
        <f t="shared" si="596"/>
        <v>948100</v>
      </c>
      <c r="I274" s="259"/>
      <c r="J274" s="259"/>
      <c r="K274" s="279">
        <f>22*22520</f>
        <v>495440</v>
      </c>
      <c r="L274" s="266"/>
      <c r="M274" s="266">
        <f t="shared" si="595"/>
        <v>920400</v>
      </c>
      <c r="N274" s="266">
        <f t="shared" si="574"/>
        <v>595200</v>
      </c>
      <c r="O274" s="269"/>
      <c r="P274" s="269"/>
      <c r="Q274" s="269">
        <f t="shared" si="598"/>
        <v>666000</v>
      </c>
      <c r="R274" s="266">
        <f t="shared" si="599"/>
        <v>295726</v>
      </c>
      <c r="S274" s="266">
        <f t="shared" si="592"/>
        <v>652070.0596</v>
      </c>
      <c r="T274" s="279">
        <f t="shared" si="559"/>
        <v>503500</v>
      </c>
      <c r="U274" s="266">
        <f t="shared" si="575"/>
        <v>657446.8092</v>
      </c>
      <c r="V274" s="279">
        <f t="shared" si="435"/>
        <v>202920</v>
      </c>
      <c r="W274" s="266"/>
      <c r="X274" s="266"/>
      <c r="Y274" s="266"/>
      <c r="Z274" s="266"/>
      <c r="AA274" s="277">
        <f t="shared" si="600"/>
        <v>364915</v>
      </c>
      <c r="AB274" s="280">
        <f t="shared" si="540"/>
        <v>2262080.452</v>
      </c>
      <c r="AC274" s="279">
        <f t="shared" si="526"/>
        <v>4019763.444</v>
      </c>
      <c r="AD274" s="279">
        <f t="shared" si="601"/>
        <v>19873.97261</v>
      </c>
      <c r="AE274" s="283">
        <f t="shared" si="546"/>
        <v>6301717.869</v>
      </c>
      <c r="AF274" s="273">
        <f t="shared" si="22"/>
        <v>0.161318312</v>
      </c>
      <c r="AG274" s="274">
        <f t="shared" si="23"/>
        <v>4039637.417</v>
      </c>
    </row>
    <row r="275">
      <c r="A275" s="264">
        <f t="shared" si="3"/>
        <v>45827</v>
      </c>
      <c r="B275" s="269"/>
      <c r="C275" s="279"/>
      <c r="D275" s="279">
        <f t="shared" si="534"/>
        <v>273728.81</v>
      </c>
      <c r="E275" s="279"/>
      <c r="F275" s="281">
        <f t="shared" si="602"/>
        <v>470400</v>
      </c>
      <c r="G275" s="259"/>
      <c r="H275" s="281">
        <f t="shared" si="596"/>
        <v>948100</v>
      </c>
      <c r="I275" s="259"/>
      <c r="J275" s="259"/>
      <c r="K275" s="279">
        <f t="shared" ref="K275:K281" si="603">22*22920</f>
        <v>504240</v>
      </c>
      <c r="L275" s="266"/>
      <c r="M275" s="266">
        <f t="shared" si="595"/>
        <v>920400</v>
      </c>
      <c r="N275" s="266">
        <f t="shared" si="574"/>
        <v>595200</v>
      </c>
      <c r="O275" s="269"/>
      <c r="P275" s="269"/>
      <c r="Q275" s="269">
        <f>333*1995</f>
        <v>664335</v>
      </c>
      <c r="R275" s="266">
        <f t="shared" si="599"/>
        <v>295726</v>
      </c>
      <c r="S275" s="266">
        <f t="shared" si="592"/>
        <v>650530.2123</v>
      </c>
      <c r="T275" s="279">
        <f t="shared" si="559"/>
        <v>503430</v>
      </c>
      <c r="U275" s="266">
        <f t="shared" si="575"/>
        <v>655851.0645</v>
      </c>
      <c r="V275" s="279">
        <f t="shared" si="435"/>
        <v>202920</v>
      </c>
      <c r="W275" s="266"/>
      <c r="X275" s="266"/>
      <c r="Y275" s="266"/>
      <c r="Z275" s="266"/>
      <c r="AA275" s="277">
        <f t="shared" si="600"/>
        <v>364915</v>
      </c>
      <c r="AB275" s="280">
        <f t="shared" si="540"/>
        <v>2270710.579</v>
      </c>
      <c r="AC275" s="279">
        <f t="shared" si="526"/>
        <v>4015444.917</v>
      </c>
      <c r="AD275" s="279">
        <f t="shared" si="601"/>
        <v>19491.78083</v>
      </c>
      <c r="AE275" s="283">
        <f t="shared" si="546"/>
        <v>6305647.277</v>
      </c>
      <c r="AF275" s="273">
        <f t="shared" si="22"/>
        <v>0.160705201</v>
      </c>
      <c r="AG275" s="274">
        <f t="shared" si="23"/>
        <v>4034936.698</v>
      </c>
    </row>
    <row r="276">
      <c r="A276" s="264">
        <f t="shared" si="3"/>
        <v>45826</v>
      </c>
      <c r="B276" s="269"/>
      <c r="C276" s="279"/>
      <c r="D276" s="279">
        <f t="shared" si="534"/>
        <v>273050.844</v>
      </c>
      <c r="E276" s="279"/>
      <c r="F276" s="281">
        <f t="shared" si="602"/>
        <v>470400</v>
      </c>
      <c r="G276" s="259"/>
      <c r="H276" s="281">
        <f t="shared" si="596"/>
        <v>948100</v>
      </c>
      <c r="I276" s="259"/>
      <c r="J276" s="259"/>
      <c r="K276" s="279">
        <f t="shared" si="603"/>
        <v>504240</v>
      </c>
      <c r="L276" s="266"/>
      <c r="M276" s="266">
        <f>52*17200</f>
        <v>894400</v>
      </c>
      <c r="N276" s="266">
        <f t="shared" si="574"/>
        <v>595200</v>
      </c>
      <c r="O276" s="269"/>
      <c r="P276" s="269"/>
      <c r="Q276" s="269">
        <f>333*1970</f>
        <v>656010</v>
      </c>
      <c r="R276" s="266">
        <f t="shared" si="599"/>
        <v>295726</v>
      </c>
      <c r="S276" s="266">
        <f t="shared" si="592"/>
        <v>648990.365</v>
      </c>
      <c r="T276" s="279">
        <f t="shared" si="559"/>
        <v>503360</v>
      </c>
      <c r="U276" s="266">
        <f t="shared" si="575"/>
        <v>654255.3198</v>
      </c>
      <c r="V276" s="279">
        <f t="shared" si="435"/>
        <v>202920</v>
      </c>
      <c r="W276" s="266"/>
      <c r="X276" s="266"/>
      <c r="Y276" s="266"/>
      <c r="Z276" s="266"/>
      <c r="AA276" s="277">
        <f t="shared" si="600"/>
        <v>364915</v>
      </c>
      <c r="AB276" s="280">
        <f t="shared" si="540"/>
        <v>2237880.707</v>
      </c>
      <c r="AC276" s="279">
        <f t="shared" si="526"/>
        <v>4011126.389</v>
      </c>
      <c r="AD276" s="279">
        <f t="shared" si="601"/>
        <v>19109.58905</v>
      </c>
      <c r="AE276" s="283">
        <f t="shared" si="546"/>
        <v>6268116.685</v>
      </c>
      <c r="AF276" s="273">
        <f t="shared" si="22"/>
        <v>0.1630627579</v>
      </c>
      <c r="AG276" s="274">
        <f t="shared" si="23"/>
        <v>4030235.978</v>
      </c>
    </row>
    <row r="277">
      <c r="A277" s="264">
        <f t="shared" si="3"/>
        <v>45825</v>
      </c>
      <c r="B277" s="269"/>
      <c r="C277" s="279"/>
      <c r="D277" s="279">
        <f t="shared" si="534"/>
        <v>272372.878</v>
      </c>
      <c r="E277" s="279"/>
      <c r="F277" s="281">
        <f t="shared" si="602"/>
        <v>470400</v>
      </c>
      <c r="G277" s="259"/>
      <c r="H277" s="281">
        <f>19*49800</f>
        <v>946200</v>
      </c>
      <c r="I277" s="259"/>
      <c r="J277" s="259"/>
      <c r="K277" s="279">
        <f t="shared" si="603"/>
        <v>504240</v>
      </c>
      <c r="L277" s="266"/>
      <c r="M277" s="266">
        <f>52*17000</f>
        <v>884000</v>
      </c>
      <c r="N277" s="266">
        <f t="shared" si="574"/>
        <v>595200</v>
      </c>
      <c r="O277" s="269"/>
      <c r="P277" s="269"/>
      <c r="Q277" s="269">
        <f>333*1965</f>
        <v>654345</v>
      </c>
      <c r="R277" s="266">
        <f t="shared" si="599"/>
        <v>295726</v>
      </c>
      <c r="S277" s="266">
        <f t="shared" si="592"/>
        <v>647450.5177</v>
      </c>
      <c r="T277" s="279">
        <f t="shared" si="559"/>
        <v>503290</v>
      </c>
      <c r="U277" s="266">
        <f t="shared" si="575"/>
        <v>652659.5751</v>
      </c>
      <c r="V277" s="279">
        <f t="shared" si="435"/>
        <v>202920</v>
      </c>
      <c r="W277" s="266"/>
      <c r="X277" s="266"/>
      <c r="Y277" s="266"/>
      <c r="Z277" s="266"/>
      <c r="AA277" s="277">
        <f t="shared" si="600"/>
        <v>364915</v>
      </c>
      <c r="AB277" s="280">
        <f t="shared" si="540"/>
        <v>2225410.834</v>
      </c>
      <c r="AC277" s="279">
        <f t="shared" si="526"/>
        <v>4006807.861</v>
      </c>
      <c r="AD277" s="279">
        <f t="shared" si="601"/>
        <v>18727.39727</v>
      </c>
      <c r="AE277" s="283">
        <f t="shared" si="546"/>
        <v>6250946.093</v>
      </c>
      <c r="AF277" s="273">
        <f t="shared" si="22"/>
        <v>0.1639764642</v>
      </c>
      <c r="AG277" s="274">
        <f t="shared" si="23"/>
        <v>4025535.258</v>
      </c>
    </row>
    <row r="278">
      <c r="A278" s="264">
        <f t="shared" si="3"/>
        <v>45824</v>
      </c>
      <c r="B278" s="269"/>
      <c r="C278" s="279"/>
      <c r="D278" s="279">
        <f t="shared" si="534"/>
        <v>271694.912</v>
      </c>
      <c r="E278" s="279"/>
      <c r="F278" s="281">
        <f>96*5070</f>
        <v>486720</v>
      </c>
      <c r="G278" s="259"/>
      <c r="H278" s="281">
        <f>19*51000</f>
        <v>969000</v>
      </c>
      <c r="I278" s="259"/>
      <c r="J278" s="259"/>
      <c r="K278" s="279">
        <f t="shared" si="603"/>
        <v>504240</v>
      </c>
      <c r="L278" s="266"/>
      <c r="M278" s="266">
        <f>52*17200</f>
        <v>894400</v>
      </c>
      <c r="N278" s="266">
        <f t="shared" ref="N278:N285" si="604">48*12280</f>
        <v>589440</v>
      </c>
      <c r="O278" s="269"/>
      <c r="P278" s="269"/>
      <c r="Q278" s="269">
        <f>333*1945</f>
        <v>647685</v>
      </c>
      <c r="R278" s="266">
        <f t="shared" si="599"/>
        <v>295726</v>
      </c>
      <c r="S278" s="266">
        <f t="shared" si="592"/>
        <v>645910.6704</v>
      </c>
      <c r="T278" s="279">
        <f t="shared" si="559"/>
        <v>503220</v>
      </c>
      <c r="U278" s="266">
        <f t="shared" si="575"/>
        <v>651063.8304</v>
      </c>
      <c r="V278" s="279">
        <f t="shared" si="435"/>
        <v>202920</v>
      </c>
      <c r="W278" s="266"/>
      <c r="X278" s="266"/>
      <c r="Y278" s="266"/>
      <c r="Z278" s="266"/>
      <c r="AA278" s="277">
        <f t="shared" si="600"/>
        <v>364915</v>
      </c>
      <c r="AB278" s="280">
        <f t="shared" si="540"/>
        <v>2247685.962</v>
      </c>
      <c r="AC278" s="279">
        <f t="shared" si="526"/>
        <v>4002489.333</v>
      </c>
      <c r="AD278" s="279">
        <f t="shared" si="601"/>
        <v>18345.20549</v>
      </c>
      <c r="AE278" s="283">
        <f t="shared" si="546"/>
        <v>6268520.501</v>
      </c>
      <c r="AF278" s="273">
        <f t="shared" si="22"/>
        <v>0.1623514166</v>
      </c>
      <c r="AG278" s="274">
        <f t="shared" si="23"/>
        <v>4020834.539</v>
      </c>
    </row>
    <row r="279">
      <c r="A279" s="284">
        <f t="shared" si="3"/>
        <v>45823</v>
      </c>
      <c r="B279" s="269"/>
      <c r="C279" s="279"/>
      <c r="D279" s="279">
        <f t="shared" si="534"/>
        <v>271016.946</v>
      </c>
      <c r="E279" s="279"/>
      <c r="F279" s="281">
        <f>96*5180</f>
        <v>497280</v>
      </c>
      <c r="G279" s="259"/>
      <c r="H279" s="281">
        <f t="shared" ref="H279:H281" si="605">19*49460</f>
        <v>939740</v>
      </c>
      <c r="I279" s="259"/>
      <c r="J279" s="259"/>
      <c r="K279" s="279">
        <f t="shared" si="603"/>
        <v>504240</v>
      </c>
      <c r="L279" s="266"/>
      <c r="M279" s="266">
        <f t="shared" ref="M279:M282" si="606">52*18000</f>
        <v>936000</v>
      </c>
      <c r="N279" s="266">
        <f t="shared" si="604"/>
        <v>589440</v>
      </c>
      <c r="O279" s="269"/>
      <c r="P279" s="269"/>
      <c r="Q279" s="269">
        <f t="shared" ref="Q279:Q281" si="607">333*1985</f>
        <v>661005</v>
      </c>
      <c r="R279" s="266">
        <f t="shared" si="599"/>
        <v>295726</v>
      </c>
      <c r="S279" s="266">
        <f t="shared" si="592"/>
        <v>644370.8231</v>
      </c>
      <c r="T279" s="279">
        <f t="shared" si="559"/>
        <v>503150</v>
      </c>
      <c r="U279" s="266">
        <f t="shared" si="575"/>
        <v>649468.0857</v>
      </c>
      <c r="V279" s="279">
        <f t="shared" si="435"/>
        <v>202920</v>
      </c>
      <c r="W279" s="266"/>
      <c r="X279" s="266"/>
      <c r="Y279" s="266"/>
      <c r="Z279" s="266"/>
      <c r="AA279" s="277">
        <f t="shared" si="600"/>
        <v>364915</v>
      </c>
      <c r="AB279" s="280">
        <f t="shared" si="540"/>
        <v>2274841.09</v>
      </c>
      <c r="AC279" s="279">
        <f t="shared" si="526"/>
        <v>3998170.806</v>
      </c>
      <c r="AD279" s="279">
        <f t="shared" si="601"/>
        <v>17963.01371</v>
      </c>
      <c r="AE279" s="283">
        <f t="shared" si="546"/>
        <v>6290974.909</v>
      </c>
      <c r="AF279" s="273">
        <f t="shared" si="22"/>
        <v>0.1604134028</v>
      </c>
      <c r="AG279" s="274">
        <f t="shared" si="23"/>
        <v>4016133.819</v>
      </c>
    </row>
    <row r="280">
      <c r="A280" s="284">
        <f t="shared" si="3"/>
        <v>45822</v>
      </c>
      <c r="B280" s="269"/>
      <c r="C280" s="279"/>
      <c r="D280" s="279">
        <f t="shared" si="534"/>
        <v>270338.98</v>
      </c>
      <c r="E280" s="279"/>
      <c r="F280" s="281">
        <f>96*5500</f>
        <v>528000</v>
      </c>
      <c r="G280" s="259"/>
      <c r="H280" s="281">
        <f t="shared" si="605"/>
        <v>939740</v>
      </c>
      <c r="I280" s="259"/>
      <c r="J280" s="259"/>
      <c r="K280" s="279">
        <f t="shared" si="603"/>
        <v>504240</v>
      </c>
      <c r="L280" s="266"/>
      <c r="M280" s="266">
        <f t="shared" si="606"/>
        <v>936000</v>
      </c>
      <c r="N280" s="266">
        <f t="shared" si="604"/>
        <v>589440</v>
      </c>
      <c r="O280" s="269"/>
      <c r="P280" s="269"/>
      <c r="Q280" s="269">
        <f t="shared" si="607"/>
        <v>661005</v>
      </c>
      <c r="R280" s="266">
        <f t="shared" si="599"/>
        <v>295726</v>
      </c>
      <c r="S280" s="266">
        <f t="shared" si="592"/>
        <v>642830.9758</v>
      </c>
      <c r="T280" s="279">
        <f t="shared" si="559"/>
        <v>503080</v>
      </c>
      <c r="U280" s="266">
        <f t="shared" si="575"/>
        <v>647872.341</v>
      </c>
      <c r="V280" s="279">
        <f t="shared" si="435"/>
        <v>202920</v>
      </c>
      <c r="W280" s="266"/>
      <c r="X280" s="266"/>
      <c r="Y280" s="266"/>
      <c r="Z280" s="266"/>
      <c r="AA280" s="277">
        <f t="shared" si="600"/>
        <v>364915</v>
      </c>
      <c r="AB280" s="280">
        <f t="shared" si="540"/>
        <v>2276336.217</v>
      </c>
      <c r="AC280" s="279">
        <f t="shared" si="526"/>
        <v>3993852.278</v>
      </c>
      <c r="AD280" s="279">
        <f t="shared" si="601"/>
        <v>17580.82193</v>
      </c>
      <c r="AE280" s="283">
        <f t="shared" si="546"/>
        <v>6287769.317</v>
      </c>
      <c r="AF280" s="273">
        <f t="shared" si="22"/>
        <v>0.1603080412</v>
      </c>
      <c r="AG280" s="274">
        <f t="shared" si="23"/>
        <v>4011433.1</v>
      </c>
    </row>
    <row r="281">
      <c r="A281" s="264">
        <f t="shared" si="3"/>
        <v>45821</v>
      </c>
      <c r="B281" s="269"/>
      <c r="C281" s="279"/>
      <c r="D281" s="279">
        <f t="shared" si="534"/>
        <v>269661.014</v>
      </c>
      <c r="E281" s="279"/>
      <c r="F281" s="281">
        <f t="shared" ref="F281:F283" si="608">96*5400</f>
        <v>518400</v>
      </c>
      <c r="G281" s="259"/>
      <c r="H281" s="281">
        <f t="shared" si="605"/>
        <v>939740</v>
      </c>
      <c r="I281" s="259"/>
      <c r="J281" s="259"/>
      <c r="K281" s="279">
        <f t="shared" si="603"/>
        <v>504240</v>
      </c>
      <c r="L281" s="266"/>
      <c r="M281" s="266">
        <f t="shared" si="606"/>
        <v>936000</v>
      </c>
      <c r="N281" s="266">
        <f t="shared" si="604"/>
        <v>589440</v>
      </c>
      <c r="O281" s="269"/>
      <c r="P281" s="269"/>
      <c r="Q281" s="269">
        <f t="shared" si="607"/>
        <v>661005</v>
      </c>
      <c r="R281" s="266">
        <f t="shared" si="599"/>
        <v>295726</v>
      </c>
      <c r="S281" s="266">
        <f t="shared" si="592"/>
        <v>641291.1285</v>
      </c>
      <c r="T281" s="279">
        <f t="shared" si="559"/>
        <v>503010</v>
      </c>
      <c r="U281" s="266">
        <f t="shared" si="575"/>
        <v>646276.5963</v>
      </c>
      <c r="V281" s="279">
        <f t="shared" si="435"/>
        <v>202920</v>
      </c>
      <c r="W281" s="266"/>
      <c r="X281" s="266"/>
      <c r="Y281" s="266"/>
      <c r="Z281" s="266"/>
      <c r="AA281" s="277">
        <f t="shared" si="600"/>
        <v>364915</v>
      </c>
      <c r="AB281" s="280">
        <f t="shared" si="540"/>
        <v>2277831.345</v>
      </c>
      <c r="AC281" s="279">
        <f t="shared" si="526"/>
        <v>3989533.75</v>
      </c>
      <c r="AD281" s="279">
        <f t="shared" si="601"/>
        <v>17198.63015</v>
      </c>
      <c r="AE281" s="283">
        <f t="shared" si="546"/>
        <v>6284563.725</v>
      </c>
      <c r="AF281" s="273">
        <f t="shared" si="22"/>
        <v>0.1602028179</v>
      </c>
      <c r="AG281" s="274">
        <f t="shared" si="23"/>
        <v>4006732.38</v>
      </c>
    </row>
    <row r="282">
      <c r="A282" s="264">
        <f t="shared" si="3"/>
        <v>45820</v>
      </c>
      <c r="B282" s="269"/>
      <c r="C282" s="279"/>
      <c r="D282" s="279">
        <f t="shared" si="534"/>
        <v>268983.048</v>
      </c>
      <c r="E282" s="279"/>
      <c r="F282" s="281">
        <f t="shared" si="608"/>
        <v>518400</v>
      </c>
      <c r="G282" s="259"/>
      <c r="H282" s="281">
        <f>19*50100</f>
        <v>951900</v>
      </c>
      <c r="I282" s="259"/>
      <c r="J282" s="259"/>
      <c r="K282" s="279">
        <f>22*23030</f>
        <v>506660</v>
      </c>
      <c r="L282" s="266"/>
      <c r="M282" s="266">
        <f t="shared" si="606"/>
        <v>936000</v>
      </c>
      <c r="N282" s="266">
        <f t="shared" si="604"/>
        <v>589440</v>
      </c>
      <c r="O282" s="269"/>
      <c r="P282" s="269"/>
      <c r="Q282" s="269">
        <f>333*1925</f>
        <v>641025</v>
      </c>
      <c r="R282" s="266">
        <f t="shared" si="599"/>
        <v>295726</v>
      </c>
      <c r="S282" s="266">
        <f t="shared" si="592"/>
        <v>639751.2812</v>
      </c>
      <c r="T282" s="279">
        <f t="shared" si="559"/>
        <v>502940</v>
      </c>
      <c r="U282" s="266">
        <f t="shared" si="575"/>
        <v>644680.8516</v>
      </c>
      <c r="V282" s="279">
        <f t="shared" si="435"/>
        <v>202920</v>
      </c>
      <c r="W282" s="266"/>
      <c r="X282" s="266"/>
      <c r="Y282" s="266"/>
      <c r="Z282" s="266"/>
      <c r="AA282" s="277">
        <f t="shared" si="600"/>
        <v>364915</v>
      </c>
      <c r="AB282" s="280">
        <f t="shared" si="540"/>
        <v>2273926.472</v>
      </c>
      <c r="AC282" s="279">
        <f t="shared" si="526"/>
        <v>3985215.222</v>
      </c>
      <c r="AD282" s="279">
        <f t="shared" si="601"/>
        <v>16816.43836</v>
      </c>
      <c r="AE282" s="283">
        <f t="shared" si="546"/>
        <v>6275958.133</v>
      </c>
      <c r="AF282" s="273">
        <f t="shared" si="22"/>
        <v>0.1604779242</v>
      </c>
      <c r="AG282" s="274">
        <f t="shared" si="23"/>
        <v>4002031.661</v>
      </c>
    </row>
    <row r="283">
      <c r="A283" s="264">
        <f t="shared" si="3"/>
        <v>45819</v>
      </c>
      <c r="B283" s="269"/>
      <c r="C283" s="279"/>
      <c r="D283" s="279">
        <f t="shared" si="534"/>
        <v>268305.082</v>
      </c>
      <c r="E283" s="279"/>
      <c r="F283" s="281">
        <f t="shared" si="608"/>
        <v>518400</v>
      </c>
      <c r="G283" s="259"/>
      <c r="H283" s="281">
        <f>19*53100</f>
        <v>1008900</v>
      </c>
      <c r="I283" s="259"/>
      <c r="J283" s="259"/>
      <c r="K283" s="279">
        <f>22*23140</f>
        <v>509080</v>
      </c>
      <c r="L283" s="266"/>
      <c r="M283" s="266">
        <f t="shared" ref="M283:M295" si="609">52*18500</f>
        <v>962000</v>
      </c>
      <c r="N283" s="266">
        <f t="shared" si="604"/>
        <v>589440</v>
      </c>
      <c r="O283" s="269"/>
      <c r="P283" s="269"/>
      <c r="Q283" s="269">
        <f>333*1930</f>
        <v>642690</v>
      </c>
      <c r="R283" s="266">
        <f t="shared" si="599"/>
        <v>295726</v>
      </c>
      <c r="S283" s="266">
        <f t="shared" si="592"/>
        <v>638211.4339</v>
      </c>
      <c r="T283" s="279">
        <f t="shared" si="559"/>
        <v>502870</v>
      </c>
      <c r="U283" s="266">
        <f t="shared" si="575"/>
        <v>643085.1069</v>
      </c>
      <c r="V283" s="279">
        <f t="shared" si="435"/>
        <v>202920</v>
      </c>
      <c r="W283" s="266"/>
      <c r="X283" s="266"/>
      <c r="Y283" s="266"/>
      <c r="Z283" s="266"/>
      <c r="AA283" s="277">
        <f t="shared" si="600"/>
        <v>364915</v>
      </c>
      <c r="AB283" s="280">
        <f t="shared" si="540"/>
        <v>2362506.6</v>
      </c>
      <c r="AC283" s="279">
        <f t="shared" si="526"/>
        <v>3980896.694</v>
      </c>
      <c r="AD283" s="279">
        <f t="shared" si="601"/>
        <v>16434.24658</v>
      </c>
      <c r="AE283" s="283">
        <f t="shared" si="546"/>
        <v>6359837.541</v>
      </c>
      <c r="AF283" s="273">
        <f t="shared" si="22"/>
        <v>0.1544609442</v>
      </c>
      <c r="AG283" s="274">
        <f t="shared" si="23"/>
        <v>3997330.941</v>
      </c>
    </row>
    <row r="284">
      <c r="A284" s="264">
        <f t="shared" si="3"/>
        <v>45818</v>
      </c>
      <c r="B284" s="269"/>
      <c r="C284" s="279"/>
      <c r="D284" s="279">
        <f t="shared" si="534"/>
        <v>267627.116</v>
      </c>
      <c r="E284" s="279"/>
      <c r="F284" s="281">
        <f t="shared" ref="F284:F285" si="610">96*5380</f>
        <v>516480</v>
      </c>
      <c r="G284" s="259"/>
      <c r="H284" s="281">
        <f>19*50100</f>
        <v>951900</v>
      </c>
      <c r="I284" s="259"/>
      <c r="J284" s="259"/>
      <c r="K284" s="279">
        <f>22*23250</f>
        <v>511500</v>
      </c>
      <c r="L284" s="266"/>
      <c r="M284" s="266">
        <f t="shared" si="609"/>
        <v>962000</v>
      </c>
      <c r="N284" s="266">
        <f t="shared" si="604"/>
        <v>589440</v>
      </c>
      <c r="O284" s="269"/>
      <c r="P284" s="269"/>
      <c r="Q284" s="269">
        <f>333*1895</f>
        <v>631035</v>
      </c>
      <c r="R284" s="266">
        <f t="shared" si="599"/>
        <v>295726</v>
      </c>
      <c r="S284" s="266">
        <f t="shared" si="592"/>
        <v>636671.5866</v>
      </c>
      <c r="T284" s="279">
        <f t="shared" si="559"/>
        <v>502800</v>
      </c>
      <c r="U284" s="266">
        <f t="shared" si="575"/>
        <v>641489.3622</v>
      </c>
      <c r="V284" s="279">
        <f t="shared" si="435"/>
        <v>202920</v>
      </c>
      <c r="W284" s="266"/>
      <c r="X284" s="266"/>
      <c r="Y284" s="266"/>
      <c r="Z284" s="266"/>
      <c r="AA284" s="277">
        <f t="shared" si="600"/>
        <v>364915</v>
      </c>
      <c r="AB284" s="280">
        <f t="shared" si="540"/>
        <v>2297766.727</v>
      </c>
      <c r="AC284" s="279">
        <f t="shared" si="526"/>
        <v>3976578.167</v>
      </c>
      <c r="AD284" s="279">
        <f t="shared" si="601"/>
        <v>16052.0548</v>
      </c>
      <c r="AE284" s="283">
        <f t="shared" si="546"/>
        <v>6290396.949</v>
      </c>
      <c r="AF284" s="273">
        <f t="shared" si="22"/>
        <v>0.1588129011</v>
      </c>
      <c r="AG284" s="274">
        <f t="shared" si="23"/>
        <v>3992630.221</v>
      </c>
    </row>
    <row r="285">
      <c r="A285" s="264">
        <f t="shared" si="3"/>
        <v>45817</v>
      </c>
      <c r="B285" s="269"/>
      <c r="C285" s="279"/>
      <c r="D285" s="279">
        <f t="shared" si="534"/>
        <v>266949.15</v>
      </c>
      <c r="E285" s="279"/>
      <c r="F285" s="281">
        <f t="shared" si="610"/>
        <v>516480</v>
      </c>
      <c r="G285" s="259"/>
      <c r="H285" s="281">
        <f>19*49500</f>
        <v>940500</v>
      </c>
      <c r="I285" s="259"/>
      <c r="J285" s="259"/>
      <c r="K285" s="279">
        <f>22*23360</f>
        <v>513920</v>
      </c>
      <c r="L285" s="266"/>
      <c r="M285" s="266">
        <f t="shared" si="609"/>
        <v>962000</v>
      </c>
      <c r="N285" s="266">
        <f t="shared" si="604"/>
        <v>589440</v>
      </c>
      <c r="O285" s="269"/>
      <c r="P285" s="269"/>
      <c r="Q285" s="269">
        <f>333*1850</f>
        <v>616050</v>
      </c>
      <c r="R285" s="266">
        <f t="shared" si="599"/>
        <v>295726</v>
      </c>
      <c r="S285" s="266">
        <f t="shared" si="592"/>
        <v>635131.7393</v>
      </c>
      <c r="T285" s="279">
        <f t="shared" si="559"/>
        <v>502730</v>
      </c>
      <c r="U285" s="266">
        <f t="shared" si="575"/>
        <v>639893.6175</v>
      </c>
      <c r="V285" s="279">
        <f t="shared" si="435"/>
        <v>202920</v>
      </c>
      <c r="W285" s="266"/>
      <c r="X285" s="266"/>
      <c r="Y285" s="266"/>
      <c r="Z285" s="266"/>
      <c r="AA285" s="277">
        <f t="shared" si="600"/>
        <v>364915</v>
      </c>
      <c r="AB285" s="280">
        <f t="shared" si="540"/>
        <v>2275296.855</v>
      </c>
      <c r="AC285" s="279">
        <f t="shared" si="526"/>
        <v>3972259.639</v>
      </c>
      <c r="AD285" s="279">
        <f t="shared" si="601"/>
        <v>15669.86302</v>
      </c>
      <c r="AE285" s="283">
        <f t="shared" si="546"/>
        <v>6263226.357</v>
      </c>
      <c r="AF285" s="273">
        <f t="shared" si="22"/>
        <v>0.1603812703</v>
      </c>
      <c r="AG285" s="274">
        <f t="shared" si="23"/>
        <v>3987929.502</v>
      </c>
    </row>
    <row r="286">
      <c r="A286" s="284">
        <f t="shared" si="3"/>
        <v>45816</v>
      </c>
      <c r="B286" s="269"/>
      <c r="C286" s="286"/>
      <c r="D286" s="286">
        <f t="shared" si="534"/>
        <v>266271.184</v>
      </c>
      <c r="E286" s="286"/>
      <c r="F286" s="281">
        <f>96*5320</f>
        <v>510720</v>
      </c>
      <c r="G286" s="259"/>
      <c r="H286" s="281">
        <f t="shared" ref="H286:H288" si="611">19*50100</f>
        <v>951900</v>
      </c>
      <c r="I286" s="259"/>
      <c r="J286" s="259"/>
      <c r="K286" s="279">
        <f t="shared" ref="K286:K288" si="612">22*23470</f>
        <v>516340</v>
      </c>
      <c r="L286" s="266"/>
      <c r="M286" s="266">
        <f t="shared" si="609"/>
        <v>962000</v>
      </c>
      <c r="N286" s="266">
        <f>48*12300</f>
        <v>590400</v>
      </c>
      <c r="O286" s="269"/>
      <c r="P286" s="269"/>
      <c r="Q286" s="269">
        <f t="shared" ref="Q286:Q288" si="613">333*1845</f>
        <v>614385</v>
      </c>
      <c r="R286" s="266">
        <f t="shared" si="599"/>
        <v>295726</v>
      </c>
      <c r="S286" s="266">
        <f t="shared" si="592"/>
        <v>633591.892</v>
      </c>
      <c r="T286" s="279">
        <f t="shared" si="559"/>
        <v>502660</v>
      </c>
      <c r="U286" s="266">
        <f t="shared" si="575"/>
        <v>638297.8728</v>
      </c>
      <c r="V286" s="279">
        <f t="shared" si="435"/>
        <v>202920</v>
      </c>
      <c r="W286" s="266"/>
      <c r="X286" s="266"/>
      <c r="Y286" s="266"/>
      <c r="Z286" s="266"/>
      <c r="AA286" s="277">
        <f t="shared" si="600"/>
        <v>364915</v>
      </c>
      <c r="AB286" s="280">
        <f t="shared" si="540"/>
        <v>2289906.982</v>
      </c>
      <c r="AC286" s="279">
        <f t="shared" si="526"/>
        <v>3967941.111</v>
      </c>
      <c r="AD286" s="279">
        <f t="shared" si="601"/>
        <v>15287.67124</v>
      </c>
      <c r="AE286" s="283">
        <f t="shared" si="546"/>
        <v>6273135.765</v>
      </c>
      <c r="AF286" s="273">
        <f t="shared" si="22"/>
        <v>0.1593580014</v>
      </c>
      <c r="AG286" s="274">
        <f t="shared" si="23"/>
        <v>3983228.782</v>
      </c>
    </row>
    <row r="287">
      <c r="A287" s="284">
        <f t="shared" si="3"/>
        <v>45815</v>
      </c>
      <c r="B287" s="269"/>
      <c r="C287" s="286"/>
      <c r="D287" s="286">
        <f t="shared" si="534"/>
        <v>265593.218</v>
      </c>
      <c r="E287" s="286"/>
      <c r="F287" s="281">
        <f>96*5290</f>
        <v>507840</v>
      </c>
      <c r="G287" s="259"/>
      <c r="H287" s="281">
        <f t="shared" si="611"/>
        <v>951900</v>
      </c>
      <c r="I287" s="259"/>
      <c r="J287" s="259"/>
      <c r="K287" s="279">
        <f t="shared" si="612"/>
        <v>516340</v>
      </c>
      <c r="L287" s="266"/>
      <c r="M287" s="266">
        <f t="shared" si="609"/>
        <v>962000</v>
      </c>
      <c r="N287" s="266">
        <f>48*12180</f>
        <v>584640</v>
      </c>
      <c r="O287" s="269"/>
      <c r="P287" s="269"/>
      <c r="Q287" s="269">
        <f t="shared" si="613"/>
        <v>614385</v>
      </c>
      <c r="R287" s="266">
        <f t="shared" si="599"/>
        <v>295726</v>
      </c>
      <c r="S287" s="266">
        <f t="shared" ref="S287:S292" si="614">S288+1197.8473+230</f>
        <v>632052.0447</v>
      </c>
      <c r="T287" s="279">
        <f t="shared" si="559"/>
        <v>502590</v>
      </c>
      <c r="U287" s="266">
        <f t="shared" si="575"/>
        <v>636702.1281</v>
      </c>
      <c r="V287" s="279">
        <f t="shared" si="435"/>
        <v>202920</v>
      </c>
      <c r="W287" s="266"/>
      <c r="X287" s="266"/>
      <c r="Y287" s="266"/>
      <c r="Z287" s="266"/>
      <c r="AA287" s="277">
        <f t="shared" si="600"/>
        <v>364915</v>
      </c>
      <c r="AB287" s="280">
        <f t="shared" si="540"/>
        <v>2285642.11</v>
      </c>
      <c r="AC287" s="279">
        <f t="shared" si="526"/>
        <v>3963622.583</v>
      </c>
      <c r="AD287" s="279">
        <f t="shared" si="601"/>
        <v>14905.47946</v>
      </c>
      <c r="AE287" s="283">
        <f t="shared" si="546"/>
        <v>6264170.173</v>
      </c>
      <c r="AF287" s="273">
        <f t="shared" si="22"/>
        <v>0.1596553539</v>
      </c>
      <c r="AG287" s="274">
        <f t="shared" si="23"/>
        <v>3978528.063</v>
      </c>
    </row>
    <row r="288">
      <c r="A288" s="264">
        <f t="shared" si="3"/>
        <v>45814</v>
      </c>
      <c r="B288" s="269"/>
      <c r="C288" s="286"/>
      <c r="D288" s="286">
        <f t="shared" si="534"/>
        <v>264915.252</v>
      </c>
      <c r="E288" s="286"/>
      <c r="F288" s="281">
        <f t="shared" ref="F288:F291" si="615">96*5300</f>
        <v>508800</v>
      </c>
      <c r="G288" s="259"/>
      <c r="H288" s="281">
        <f t="shared" si="611"/>
        <v>951900</v>
      </c>
      <c r="I288" s="259"/>
      <c r="J288" s="259"/>
      <c r="K288" s="279">
        <f t="shared" si="612"/>
        <v>516340</v>
      </c>
      <c r="L288" s="266"/>
      <c r="M288" s="266">
        <f t="shared" si="609"/>
        <v>962000</v>
      </c>
      <c r="N288" s="266">
        <f>48*12280</f>
        <v>589440</v>
      </c>
      <c r="O288" s="269"/>
      <c r="P288" s="269"/>
      <c r="Q288" s="269">
        <f t="shared" si="613"/>
        <v>614385</v>
      </c>
      <c r="R288" s="266">
        <f t="shared" si="599"/>
        <v>295726</v>
      </c>
      <c r="S288" s="266">
        <f t="shared" si="614"/>
        <v>630624.1974</v>
      </c>
      <c r="T288" s="279">
        <f t="shared" si="559"/>
        <v>502520</v>
      </c>
      <c r="U288" s="266">
        <f t="shared" si="575"/>
        <v>635106.3834</v>
      </c>
      <c r="V288" s="279">
        <f t="shared" si="435"/>
        <v>202920</v>
      </c>
      <c r="W288" s="266"/>
      <c r="X288" s="266"/>
      <c r="Y288" s="266"/>
      <c r="Z288" s="266"/>
      <c r="AA288" s="277">
        <f t="shared" si="600"/>
        <v>364915</v>
      </c>
      <c r="AB288" s="280">
        <f t="shared" si="540"/>
        <v>2292049.238</v>
      </c>
      <c r="AC288" s="279">
        <f t="shared" si="526"/>
        <v>3959304.056</v>
      </c>
      <c r="AD288" s="279">
        <f t="shared" si="601"/>
        <v>14523.28768</v>
      </c>
      <c r="AE288" s="283">
        <f t="shared" si="546"/>
        <v>6265876.581</v>
      </c>
      <c r="AF288" s="273">
        <f t="shared" si="22"/>
        <v>0.159209058</v>
      </c>
      <c r="AG288" s="274">
        <f t="shared" si="23"/>
        <v>3973827.343</v>
      </c>
    </row>
    <row r="289">
      <c r="A289" s="264">
        <f t="shared" si="3"/>
        <v>45813</v>
      </c>
      <c r="B289" s="269"/>
      <c r="C289" s="286"/>
      <c r="D289" s="286">
        <f t="shared" si="534"/>
        <v>264237.286</v>
      </c>
      <c r="E289" s="286"/>
      <c r="F289" s="281">
        <f t="shared" si="615"/>
        <v>508800</v>
      </c>
      <c r="G289" s="259"/>
      <c r="H289" s="281">
        <f>19*49450</f>
        <v>939550</v>
      </c>
      <c r="I289" s="259"/>
      <c r="J289" s="259"/>
      <c r="K289" s="279">
        <f>22*23580</f>
        <v>518760</v>
      </c>
      <c r="L289" s="266"/>
      <c r="M289" s="266">
        <f t="shared" si="609"/>
        <v>962000</v>
      </c>
      <c r="N289" s="266">
        <f>48*12220</f>
        <v>586560</v>
      </c>
      <c r="O289" s="269"/>
      <c r="P289" s="269"/>
      <c r="Q289" s="269">
        <f>333*1780</f>
        <v>592740</v>
      </c>
      <c r="R289" s="266">
        <f t="shared" si="599"/>
        <v>295726</v>
      </c>
      <c r="S289" s="266">
        <f t="shared" si="614"/>
        <v>629196.3501</v>
      </c>
      <c r="T289" s="279">
        <f t="shared" si="559"/>
        <v>502450</v>
      </c>
      <c r="U289" s="266">
        <f t="shared" si="575"/>
        <v>633510.6387</v>
      </c>
      <c r="V289" s="279">
        <f t="shared" si="435"/>
        <v>202920</v>
      </c>
      <c r="W289" s="266"/>
      <c r="X289" s="266"/>
      <c r="Y289" s="266"/>
      <c r="Z289" s="266"/>
      <c r="AA289" s="277">
        <f t="shared" si="600"/>
        <v>364915</v>
      </c>
      <c r="AB289" s="280">
        <f t="shared" si="540"/>
        <v>2259201.365</v>
      </c>
      <c r="AC289" s="279">
        <f t="shared" si="526"/>
        <v>3954985.528</v>
      </c>
      <c r="AD289" s="279">
        <f t="shared" si="601"/>
        <v>14141.0959</v>
      </c>
      <c r="AE289" s="283">
        <f t="shared" si="546"/>
        <v>6228327.989</v>
      </c>
      <c r="AF289" s="273">
        <f t="shared" si="22"/>
        <v>0.1615238932</v>
      </c>
      <c r="AG289" s="274">
        <f t="shared" si="23"/>
        <v>3969126.624</v>
      </c>
    </row>
    <row r="290">
      <c r="A290" s="264">
        <f t="shared" si="3"/>
        <v>45812</v>
      </c>
      <c r="B290" s="269"/>
      <c r="C290" s="286"/>
      <c r="D290" s="286">
        <f t="shared" si="534"/>
        <v>263559.32</v>
      </c>
      <c r="E290" s="286"/>
      <c r="F290" s="281">
        <f t="shared" si="615"/>
        <v>508800</v>
      </c>
      <c r="G290" s="259"/>
      <c r="H290" s="281">
        <f>19*49180</f>
        <v>934420</v>
      </c>
      <c r="I290" s="259"/>
      <c r="J290" s="259"/>
      <c r="K290" s="279">
        <f>22*23690</f>
        <v>521180</v>
      </c>
      <c r="L290" s="266"/>
      <c r="M290" s="266">
        <f t="shared" si="609"/>
        <v>962000</v>
      </c>
      <c r="N290" s="266">
        <f t="shared" ref="N290:N292" si="616">48*12380</f>
        <v>594240</v>
      </c>
      <c r="O290" s="269"/>
      <c r="P290" s="269"/>
      <c r="Q290" s="269">
        <f>333*1765</f>
        <v>587745</v>
      </c>
      <c r="R290" s="266">
        <f t="shared" si="599"/>
        <v>295726</v>
      </c>
      <c r="S290" s="266">
        <f t="shared" si="614"/>
        <v>627768.5028</v>
      </c>
      <c r="T290" s="279">
        <f t="shared" si="559"/>
        <v>502380</v>
      </c>
      <c r="U290" s="266">
        <f t="shared" si="575"/>
        <v>631914.894</v>
      </c>
      <c r="V290" s="279">
        <f t="shared" si="435"/>
        <v>202920</v>
      </c>
      <c r="W290" s="266"/>
      <c r="X290" s="266"/>
      <c r="Y290" s="266"/>
      <c r="Z290" s="266"/>
      <c r="AA290" s="277">
        <f t="shared" si="600"/>
        <v>364915</v>
      </c>
      <c r="AB290" s="280">
        <f t="shared" si="540"/>
        <v>2260783.493</v>
      </c>
      <c r="AC290" s="279">
        <f t="shared" si="526"/>
        <v>3950667</v>
      </c>
      <c r="AD290" s="279">
        <f t="shared" si="601"/>
        <v>13758.90412</v>
      </c>
      <c r="AE290" s="283">
        <f t="shared" si="546"/>
        <v>6225209.397</v>
      </c>
      <c r="AF290" s="273">
        <f t="shared" si="22"/>
        <v>0.1614108565</v>
      </c>
      <c r="AG290" s="274">
        <f t="shared" si="23"/>
        <v>3964425.904</v>
      </c>
    </row>
    <row r="291">
      <c r="A291" s="264">
        <f t="shared" si="3"/>
        <v>45811</v>
      </c>
      <c r="B291" s="269"/>
      <c r="C291" s="286"/>
      <c r="D291" s="286">
        <f t="shared" si="534"/>
        <v>262881.354</v>
      </c>
      <c r="E291" s="286"/>
      <c r="F291" s="281">
        <f t="shared" si="615"/>
        <v>508800</v>
      </c>
      <c r="G291" s="259"/>
      <c r="H291" s="281">
        <f t="shared" ref="H291:H295" si="617">19*50000</f>
        <v>950000</v>
      </c>
      <c r="I291" s="259"/>
      <c r="J291" s="259"/>
      <c r="K291" s="279">
        <f>22*23800</f>
        <v>523600</v>
      </c>
      <c r="L291" s="266"/>
      <c r="M291" s="266">
        <f t="shared" si="609"/>
        <v>962000</v>
      </c>
      <c r="N291" s="266">
        <f t="shared" si="616"/>
        <v>594240</v>
      </c>
      <c r="O291" s="269"/>
      <c r="P291" s="269"/>
      <c r="Q291" s="269">
        <f>333*1775</f>
        <v>591075</v>
      </c>
      <c r="R291" s="266">
        <f t="shared" si="599"/>
        <v>295726</v>
      </c>
      <c r="S291" s="266">
        <f t="shared" si="614"/>
        <v>626340.6555</v>
      </c>
      <c r="T291" s="279">
        <f t="shared" si="559"/>
        <v>502310</v>
      </c>
      <c r="U291" s="266">
        <f t="shared" si="575"/>
        <v>630319.1493</v>
      </c>
      <c r="V291" s="279">
        <f t="shared" si="435"/>
        <v>202920</v>
      </c>
      <c r="W291" s="266"/>
      <c r="X291" s="266"/>
      <c r="Y291" s="266"/>
      <c r="Z291" s="266"/>
      <c r="AA291" s="277">
        <f t="shared" si="600"/>
        <v>364915</v>
      </c>
      <c r="AB291" s="280">
        <f t="shared" si="540"/>
        <v>2283720.62</v>
      </c>
      <c r="AC291" s="279">
        <f t="shared" si="526"/>
        <v>3946348.472</v>
      </c>
      <c r="AD291" s="279">
        <f t="shared" si="601"/>
        <v>13376.71234</v>
      </c>
      <c r="AE291" s="283">
        <f t="shared" si="546"/>
        <v>6243445.805</v>
      </c>
      <c r="AF291" s="273">
        <f t="shared" si="22"/>
        <v>0.1597896856</v>
      </c>
      <c r="AG291" s="274">
        <f t="shared" si="23"/>
        <v>3959725.185</v>
      </c>
    </row>
    <row r="292">
      <c r="A292" s="284">
        <f t="shared" si="3"/>
        <v>45810</v>
      </c>
      <c r="B292" s="269"/>
      <c r="C292" s="286"/>
      <c r="D292" s="286">
        <f t="shared" si="534"/>
        <v>262203.388</v>
      </c>
      <c r="E292" s="286"/>
      <c r="F292" s="281">
        <f>96*5310</f>
        <v>509760</v>
      </c>
      <c r="G292" s="259"/>
      <c r="H292" s="281">
        <f t="shared" si="617"/>
        <v>950000</v>
      </c>
      <c r="I292" s="259"/>
      <c r="J292" s="259"/>
      <c r="K292" s="279">
        <f t="shared" ref="K292:K295" si="618">22*22720</f>
        <v>499840</v>
      </c>
      <c r="L292" s="266"/>
      <c r="M292" s="266">
        <f t="shared" si="609"/>
        <v>962000</v>
      </c>
      <c r="N292" s="266">
        <f t="shared" si="616"/>
        <v>594240</v>
      </c>
      <c r="O292" s="269"/>
      <c r="P292" s="269"/>
      <c r="Q292" s="269">
        <f t="shared" ref="Q292:Q295" si="619">333*1740</f>
        <v>579420</v>
      </c>
      <c r="R292" s="266">
        <f t="shared" si="599"/>
        <v>295726</v>
      </c>
      <c r="S292" s="266">
        <f t="shared" si="614"/>
        <v>624912.8082</v>
      </c>
      <c r="T292" s="279">
        <f t="shared" si="559"/>
        <v>502240</v>
      </c>
      <c r="U292" s="266">
        <f t="shared" si="575"/>
        <v>628723.4046</v>
      </c>
      <c r="V292" s="279">
        <f t="shared" si="435"/>
        <v>202920</v>
      </c>
      <c r="W292" s="266"/>
      <c r="X292" s="266"/>
      <c r="Y292" s="266"/>
      <c r="Z292" s="266"/>
      <c r="AA292" s="277">
        <f t="shared" ref="AA292:AA296" si="620">426961+702262-150000+38000+299492-150000-210000-866320+215520+856000-200000-400000-552000+65000</f>
        <v>74915</v>
      </c>
      <c r="AB292" s="280">
        <f t="shared" si="540"/>
        <v>1959912.748</v>
      </c>
      <c r="AC292" s="279">
        <f t="shared" si="526"/>
        <v>3942029.944</v>
      </c>
      <c r="AD292" s="279">
        <f t="shared" si="601"/>
        <v>12994.52055</v>
      </c>
      <c r="AE292" s="283">
        <f t="shared" si="546"/>
        <v>5914937.213</v>
      </c>
      <c r="AF292" s="273">
        <f t="shared" si="22"/>
        <v>0.03822364036</v>
      </c>
      <c r="AG292" s="274">
        <f t="shared" si="23"/>
        <v>3955024.465</v>
      </c>
    </row>
    <row r="293">
      <c r="A293" s="284">
        <f t="shared" si="3"/>
        <v>45809</v>
      </c>
      <c r="B293" s="269"/>
      <c r="C293" s="286"/>
      <c r="D293" s="286">
        <f t="shared" si="534"/>
        <v>261525.422</v>
      </c>
      <c r="E293" s="286"/>
      <c r="F293" s="281">
        <f>96*5400</f>
        <v>518400</v>
      </c>
      <c r="G293" s="259"/>
      <c r="H293" s="281">
        <f t="shared" si="617"/>
        <v>950000</v>
      </c>
      <c r="I293" s="259"/>
      <c r="J293" s="259"/>
      <c r="K293" s="279">
        <f t="shared" si="618"/>
        <v>499840</v>
      </c>
      <c r="L293" s="266"/>
      <c r="M293" s="266">
        <f t="shared" si="609"/>
        <v>962000</v>
      </c>
      <c r="N293" s="266">
        <f t="shared" ref="N293:N294" si="621">48*12220</f>
        <v>586560</v>
      </c>
      <c r="O293" s="269"/>
      <c r="P293" s="269"/>
      <c r="Q293" s="269">
        <f t="shared" si="619"/>
        <v>579420</v>
      </c>
      <c r="R293" s="266">
        <f t="shared" si="599"/>
        <v>295726</v>
      </c>
      <c r="S293" s="266">
        <f t="shared" ref="S293:S295" si="622">S294+1197.8473</f>
        <v>623484.9609</v>
      </c>
      <c r="T293" s="279">
        <f t="shared" si="559"/>
        <v>502170</v>
      </c>
      <c r="U293" s="266">
        <f t="shared" si="575"/>
        <v>627127.6599</v>
      </c>
      <c r="V293" s="279">
        <f t="shared" si="435"/>
        <v>202920</v>
      </c>
      <c r="W293" s="266"/>
      <c r="X293" s="266"/>
      <c r="Y293" s="266"/>
      <c r="Z293" s="266"/>
      <c r="AA293" s="277">
        <f t="shared" si="620"/>
        <v>74915</v>
      </c>
      <c r="AB293" s="280">
        <f t="shared" si="540"/>
        <v>1953839.875</v>
      </c>
      <c r="AC293" s="279">
        <f t="shared" si="526"/>
        <v>3937711.417</v>
      </c>
      <c r="AD293" s="279">
        <f t="shared" si="601"/>
        <v>12612.32877</v>
      </c>
      <c r="AE293" s="283">
        <f t="shared" si="546"/>
        <v>5904163.621</v>
      </c>
      <c r="AF293" s="273">
        <f t="shared" si="22"/>
        <v>0.03834244604</v>
      </c>
      <c r="AG293" s="274">
        <f t="shared" si="23"/>
        <v>3950323.745</v>
      </c>
    </row>
    <row r="294">
      <c r="A294" s="284">
        <f t="shared" si="3"/>
        <v>45808</v>
      </c>
      <c r="B294" s="269"/>
      <c r="C294" s="286"/>
      <c r="D294" s="286">
        <f t="shared" si="534"/>
        <v>260847.456</v>
      </c>
      <c r="E294" s="286"/>
      <c r="F294" s="281">
        <f>96*5480</f>
        <v>526080</v>
      </c>
      <c r="G294" s="259"/>
      <c r="H294" s="281">
        <f t="shared" si="617"/>
        <v>950000</v>
      </c>
      <c r="I294" s="259"/>
      <c r="J294" s="259"/>
      <c r="K294" s="279">
        <f t="shared" si="618"/>
        <v>499840</v>
      </c>
      <c r="L294" s="266"/>
      <c r="M294" s="266">
        <f t="shared" si="609"/>
        <v>962000</v>
      </c>
      <c r="N294" s="266">
        <f t="shared" si="621"/>
        <v>586560</v>
      </c>
      <c r="O294" s="269"/>
      <c r="P294" s="269"/>
      <c r="Q294" s="269">
        <f t="shared" si="619"/>
        <v>579420</v>
      </c>
      <c r="R294" s="266">
        <f t="shared" si="599"/>
        <v>295726</v>
      </c>
      <c r="S294" s="266">
        <f t="shared" si="622"/>
        <v>622287.1136</v>
      </c>
      <c r="T294" s="279">
        <f t="shared" si="559"/>
        <v>502100</v>
      </c>
      <c r="U294" s="266">
        <f t="shared" si="575"/>
        <v>625531.9152</v>
      </c>
      <c r="V294" s="279">
        <f t="shared" si="435"/>
        <v>202920</v>
      </c>
      <c r="W294" s="266"/>
      <c r="X294" s="266"/>
      <c r="Y294" s="266"/>
      <c r="Z294" s="266"/>
      <c r="AA294" s="277">
        <f t="shared" si="620"/>
        <v>74915</v>
      </c>
      <c r="AB294" s="280">
        <f t="shared" si="540"/>
        <v>1955677.003</v>
      </c>
      <c r="AC294" s="279">
        <f t="shared" si="526"/>
        <v>3933392.889</v>
      </c>
      <c r="AD294" s="279">
        <f t="shared" si="601"/>
        <v>12230.13699</v>
      </c>
      <c r="AE294" s="283">
        <f t="shared" si="546"/>
        <v>5901300.029</v>
      </c>
      <c r="AF294" s="273">
        <f t="shared" si="22"/>
        <v>0.03830642784</v>
      </c>
      <c r="AG294" s="274">
        <f t="shared" si="23"/>
        <v>3945623.026</v>
      </c>
    </row>
    <row r="295">
      <c r="A295" s="264">
        <f t="shared" si="3"/>
        <v>45807</v>
      </c>
      <c r="B295" s="269"/>
      <c r="C295" s="286"/>
      <c r="D295" s="286">
        <f t="shared" si="534"/>
        <v>260169.49</v>
      </c>
      <c r="E295" s="286"/>
      <c r="F295" s="281">
        <f>96*5530</f>
        <v>530880</v>
      </c>
      <c r="G295" s="259"/>
      <c r="H295" s="281">
        <f t="shared" si="617"/>
        <v>950000</v>
      </c>
      <c r="I295" s="259"/>
      <c r="J295" s="259"/>
      <c r="K295" s="279">
        <f t="shared" si="618"/>
        <v>499840</v>
      </c>
      <c r="L295" s="266"/>
      <c r="M295" s="266">
        <f t="shared" si="609"/>
        <v>962000</v>
      </c>
      <c r="N295" s="266">
        <f>48*12080</f>
        <v>579840</v>
      </c>
      <c r="O295" s="269"/>
      <c r="P295" s="269"/>
      <c r="Q295" s="269">
        <f t="shared" si="619"/>
        <v>579420</v>
      </c>
      <c r="R295" s="266">
        <f t="shared" si="599"/>
        <v>295726</v>
      </c>
      <c r="S295" s="266">
        <f t="shared" si="622"/>
        <v>621089.2663</v>
      </c>
      <c r="T295" s="279">
        <f t="shared" si="559"/>
        <v>502030</v>
      </c>
      <c r="U295" s="266">
        <f t="shared" si="575"/>
        <v>623936.1705</v>
      </c>
      <c r="V295" s="279">
        <f t="shared" si="435"/>
        <v>202920</v>
      </c>
      <c r="W295" s="266"/>
      <c r="X295" s="266"/>
      <c r="Y295" s="266"/>
      <c r="Z295" s="266"/>
      <c r="AA295" s="277">
        <f t="shared" si="620"/>
        <v>74915</v>
      </c>
      <c r="AB295" s="280">
        <f t="shared" si="540"/>
        <v>1950794.13</v>
      </c>
      <c r="AC295" s="279">
        <f t="shared" si="526"/>
        <v>3929074.361</v>
      </c>
      <c r="AD295" s="279">
        <f t="shared" si="601"/>
        <v>11847.94521</v>
      </c>
      <c r="AE295" s="283">
        <f t="shared" si="546"/>
        <v>5891716.437</v>
      </c>
      <c r="AF295" s="273">
        <f t="shared" si="22"/>
        <v>0.03840230952</v>
      </c>
      <c r="AG295" s="274">
        <f t="shared" si="23"/>
        <v>3940922.306</v>
      </c>
    </row>
    <row r="296">
      <c r="A296" s="264">
        <f t="shared" si="3"/>
        <v>45806</v>
      </c>
      <c r="B296" s="269"/>
      <c r="C296" s="286"/>
      <c r="D296" s="286">
        <f t="shared" si="534"/>
        <v>259491.524</v>
      </c>
      <c r="E296" s="286"/>
      <c r="F296" s="281">
        <f t="shared" ref="F296:F304" si="623">96*5360</f>
        <v>514560</v>
      </c>
      <c r="G296" s="259"/>
      <c r="H296" s="281">
        <f>19*49700</f>
        <v>944300</v>
      </c>
      <c r="I296" s="259"/>
      <c r="J296" s="259"/>
      <c r="K296" s="279">
        <f>22*22800</f>
        <v>501600</v>
      </c>
      <c r="L296" s="266"/>
      <c r="M296" s="266">
        <f>52*18420</f>
        <v>957840</v>
      </c>
      <c r="N296" s="266">
        <f>48*12200</f>
        <v>585600</v>
      </c>
      <c r="O296" s="269"/>
      <c r="P296" s="269"/>
      <c r="Q296" s="269">
        <f t="shared" ref="Q296:Q298" si="624">333*1780</f>
        <v>592740</v>
      </c>
      <c r="R296" s="266">
        <f t="shared" si="599"/>
        <v>295726</v>
      </c>
      <c r="S296" s="266">
        <f>S297+1197.8473-65000</f>
        <v>619891.419</v>
      </c>
      <c r="T296" s="279">
        <f t="shared" si="559"/>
        <v>501960</v>
      </c>
      <c r="U296" s="266">
        <f t="shared" si="575"/>
        <v>622340.4258</v>
      </c>
      <c r="V296" s="279">
        <f t="shared" si="435"/>
        <v>202920</v>
      </c>
      <c r="W296" s="266"/>
      <c r="X296" s="266"/>
      <c r="Y296" s="266"/>
      <c r="Z296" s="266"/>
      <c r="AA296" s="277">
        <f t="shared" si="620"/>
        <v>74915</v>
      </c>
      <c r="AB296" s="280">
        <f t="shared" si="540"/>
        <v>1963611.258</v>
      </c>
      <c r="AC296" s="279">
        <f t="shared" si="526"/>
        <v>3924755.833</v>
      </c>
      <c r="AD296" s="279">
        <f t="shared" si="601"/>
        <v>11465.75343</v>
      </c>
      <c r="AE296" s="283">
        <f t="shared" si="546"/>
        <v>5899832.845</v>
      </c>
      <c r="AF296" s="273">
        <f t="shared" si="22"/>
        <v>0.03815164519</v>
      </c>
      <c r="AG296" s="274">
        <f t="shared" si="23"/>
        <v>3936221.587</v>
      </c>
    </row>
    <row r="297">
      <c r="A297" s="264">
        <f t="shared" si="3"/>
        <v>45805</v>
      </c>
      <c r="B297" s="269"/>
      <c r="C297" s="286"/>
      <c r="D297" s="286">
        <f t="shared" si="534"/>
        <v>258813.558</v>
      </c>
      <c r="E297" s="286"/>
      <c r="F297" s="281">
        <f t="shared" si="623"/>
        <v>514560</v>
      </c>
      <c r="G297" s="259"/>
      <c r="H297" s="281">
        <f>19*50240</f>
        <v>954560</v>
      </c>
      <c r="I297" s="259"/>
      <c r="J297" s="259"/>
      <c r="K297" s="279">
        <f>22*23000</f>
        <v>506000</v>
      </c>
      <c r="L297" s="266"/>
      <c r="M297" s="266">
        <f>52*18400</f>
        <v>956800</v>
      </c>
      <c r="N297" s="266">
        <f t="shared" ref="N297:N299" si="625">48*12000</f>
        <v>576000</v>
      </c>
      <c r="O297" s="269"/>
      <c r="P297" s="269"/>
      <c r="Q297" s="269">
        <f t="shared" si="624"/>
        <v>592740</v>
      </c>
      <c r="R297" s="266">
        <f t="shared" si="599"/>
        <v>295726</v>
      </c>
      <c r="S297" s="266">
        <f t="shared" ref="S297:S320" si="626">S298+1197.8473</f>
        <v>683693.5717</v>
      </c>
      <c r="T297" s="279">
        <f t="shared" si="559"/>
        <v>501890</v>
      </c>
      <c r="U297" s="266">
        <f t="shared" si="575"/>
        <v>620744.6811</v>
      </c>
      <c r="V297" s="279">
        <f t="shared" si="435"/>
        <v>202920</v>
      </c>
      <c r="W297" s="266"/>
      <c r="X297" s="266"/>
      <c r="Y297" s="266"/>
      <c r="Z297" s="266"/>
      <c r="AA297" s="277">
        <f t="shared" ref="AA297:AA310" si="627">426961+702262-150000+38000+299492-150000-210000-866320+215520+856000-200000-400000-552000</f>
        <v>9915</v>
      </c>
      <c r="AB297" s="280">
        <f t="shared" si="540"/>
        <v>1969468.386</v>
      </c>
      <c r="AC297" s="279">
        <f t="shared" si="526"/>
        <v>3920437.306</v>
      </c>
      <c r="AD297" s="279">
        <f t="shared" si="601"/>
        <v>11083.56165</v>
      </c>
      <c r="AE297" s="283">
        <f t="shared" si="546"/>
        <v>5900989.253</v>
      </c>
      <c r="AF297" s="273">
        <f t="shared" si="22"/>
        <v>0.005034353469</v>
      </c>
      <c r="AG297" s="274">
        <f t="shared" si="23"/>
        <v>3931520.867</v>
      </c>
    </row>
    <row r="298">
      <c r="A298" s="264">
        <f t="shared" si="3"/>
        <v>45804</v>
      </c>
      <c r="B298" s="269"/>
      <c r="C298" s="286"/>
      <c r="D298" s="286">
        <f t="shared" si="534"/>
        <v>258135.592</v>
      </c>
      <c r="E298" s="286"/>
      <c r="F298" s="281">
        <f t="shared" si="623"/>
        <v>514560</v>
      </c>
      <c r="G298" s="259"/>
      <c r="H298" s="281">
        <f>19*49300</f>
        <v>936700</v>
      </c>
      <c r="I298" s="259"/>
      <c r="J298" s="259"/>
      <c r="K298" s="279">
        <f t="shared" ref="K298:K299" si="628">22*23100</f>
        <v>508200</v>
      </c>
      <c r="L298" s="266"/>
      <c r="M298" s="266">
        <f>52*17700</f>
        <v>920400</v>
      </c>
      <c r="N298" s="266">
        <f t="shared" si="625"/>
        <v>576000</v>
      </c>
      <c r="O298" s="269"/>
      <c r="P298" s="269"/>
      <c r="Q298" s="269">
        <f t="shared" si="624"/>
        <v>592740</v>
      </c>
      <c r="R298" s="266">
        <f t="shared" si="599"/>
        <v>295726</v>
      </c>
      <c r="S298" s="266">
        <f t="shared" si="626"/>
        <v>682495.7244</v>
      </c>
      <c r="T298" s="279">
        <f t="shared" si="559"/>
        <v>501820</v>
      </c>
      <c r="U298" s="266">
        <f t="shared" si="575"/>
        <v>619148.9364</v>
      </c>
      <c r="V298" s="279">
        <f t="shared" si="435"/>
        <v>202920</v>
      </c>
      <c r="W298" s="266"/>
      <c r="X298" s="266"/>
      <c r="Y298" s="266"/>
      <c r="Z298" s="266"/>
      <c r="AA298" s="277">
        <f t="shared" si="627"/>
        <v>9915</v>
      </c>
      <c r="AB298" s="280">
        <f t="shared" si="540"/>
        <v>1919245.513</v>
      </c>
      <c r="AC298" s="279">
        <f t="shared" si="526"/>
        <v>3916118.778</v>
      </c>
      <c r="AD298" s="279">
        <f t="shared" si="601"/>
        <v>10701.36987</v>
      </c>
      <c r="AE298" s="283">
        <f t="shared" si="546"/>
        <v>5846065.661</v>
      </c>
      <c r="AF298" s="273">
        <f t="shared" si="22"/>
        <v>0.005166092578</v>
      </c>
      <c r="AG298" s="274">
        <f t="shared" si="23"/>
        <v>3926820.148</v>
      </c>
    </row>
    <row r="299">
      <c r="A299" s="264">
        <f t="shared" si="3"/>
        <v>45803</v>
      </c>
      <c r="B299" s="269"/>
      <c r="C299" s="286"/>
      <c r="D299" s="286">
        <f t="shared" si="534"/>
        <v>257457.626</v>
      </c>
      <c r="E299" s="286"/>
      <c r="F299" s="281">
        <f t="shared" si="623"/>
        <v>514560</v>
      </c>
      <c r="G299" s="259"/>
      <c r="H299" s="281">
        <f>19*50100</f>
        <v>951900</v>
      </c>
      <c r="I299" s="259"/>
      <c r="J299" s="259"/>
      <c r="K299" s="279">
        <f t="shared" si="628"/>
        <v>508200</v>
      </c>
      <c r="L299" s="266"/>
      <c r="M299" s="266">
        <f>52*17980</f>
        <v>934960</v>
      </c>
      <c r="N299" s="266">
        <f t="shared" si="625"/>
        <v>576000</v>
      </c>
      <c r="O299" s="269"/>
      <c r="P299" s="269"/>
      <c r="Q299" s="269">
        <f>333*1760</f>
        <v>586080</v>
      </c>
      <c r="R299" s="266">
        <f t="shared" si="599"/>
        <v>295726</v>
      </c>
      <c r="S299" s="266">
        <f t="shared" si="626"/>
        <v>681297.8771</v>
      </c>
      <c r="T299" s="279">
        <f t="shared" si="559"/>
        <v>501750</v>
      </c>
      <c r="U299" s="266">
        <f t="shared" si="575"/>
        <v>617553.1917</v>
      </c>
      <c r="V299" s="279">
        <f t="shared" si="435"/>
        <v>202920</v>
      </c>
      <c r="W299" s="266"/>
      <c r="X299" s="266"/>
      <c r="Y299" s="266"/>
      <c r="Z299" s="266"/>
      <c r="AA299" s="277">
        <f t="shared" si="627"/>
        <v>9915</v>
      </c>
      <c r="AB299" s="280">
        <f t="shared" si="540"/>
        <v>1944182.641</v>
      </c>
      <c r="AC299" s="279">
        <f t="shared" si="526"/>
        <v>3911800.25</v>
      </c>
      <c r="AD299" s="279">
        <f t="shared" si="601"/>
        <v>10319.17809</v>
      </c>
      <c r="AE299" s="283">
        <f t="shared" si="546"/>
        <v>5866302.069</v>
      </c>
      <c r="AF299" s="273">
        <f t="shared" si="22"/>
        <v>0.005099829508</v>
      </c>
      <c r="AG299" s="274">
        <f t="shared" si="23"/>
        <v>3922119.428</v>
      </c>
    </row>
    <row r="300">
      <c r="A300" s="284">
        <f t="shared" si="3"/>
        <v>45802</v>
      </c>
      <c r="B300" s="269"/>
      <c r="C300" s="286"/>
      <c r="D300" s="286">
        <f t="shared" si="534"/>
        <v>256779.66</v>
      </c>
      <c r="E300" s="286"/>
      <c r="F300" s="281">
        <f t="shared" si="623"/>
        <v>514560</v>
      </c>
      <c r="G300" s="259"/>
      <c r="H300" s="281">
        <f t="shared" ref="H300:H302" si="629">19*49780</f>
        <v>945820</v>
      </c>
      <c r="I300" s="259"/>
      <c r="J300" s="259"/>
      <c r="K300" s="279">
        <f t="shared" ref="K300:K302" si="630">22*23400</f>
        <v>514800</v>
      </c>
      <c r="L300" s="266"/>
      <c r="M300" s="266">
        <f t="shared" ref="M300:M302" si="631">52*18140</f>
        <v>943280</v>
      </c>
      <c r="N300" s="266">
        <f>48*11500</f>
        <v>552000</v>
      </c>
      <c r="O300" s="269"/>
      <c r="P300" s="269"/>
      <c r="Q300" s="269">
        <f t="shared" ref="Q300:Q303" si="632">333*1780</f>
        <v>592740</v>
      </c>
      <c r="R300" s="266">
        <f t="shared" si="599"/>
        <v>295726</v>
      </c>
      <c r="S300" s="266">
        <f t="shared" si="626"/>
        <v>680100.0298</v>
      </c>
      <c r="T300" s="279">
        <f t="shared" si="559"/>
        <v>501680</v>
      </c>
      <c r="U300" s="266">
        <f t="shared" si="575"/>
        <v>615957.447</v>
      </c>
      <c r="V300" s="279">
        <f t="shared" si="435"/>
        <v>202920</v>
      </c>
      <c r="W300" s="266"/>
      <c r="X300" s="266"/>
      <c r="Y300" s="266"/>
      <c r="Z300" s="266"/>
      <c r="AA300" s="277">
        <f t="shared" si="627"/>
        <v>9915</v>
      </c>
      <c r="AB300" s="280">
        <f t="shared" si="540"/>
        <v>1937519.768</v>
      </c>
      <c r="AC300" s="279">
        <f t="shared" si="526"/>
        <v>3907481.722</v>
      </c>
      <c r="AD300" s="279">
        <f t="shared" si="601"/>
        <v>9936.986306</v>
      </c>
      <c r="AE300" s="283">
        <f t="shared" si="546"/>
        <v>5854938.477</v>
      </c>
      <c r="AF300" s="273">
        <f t="shared" si="22"/>
        <v>0.005117367142</v>
      </c>
      <c r="AG300" s="274">
        <f t="shared" si="23"/>
        <v>3917418.709</v>
      </c>
    </row>
    <row r="301">
      <c r="A301" s="284">
        <f t="shared" si="3"/>
        <v>45801</v>
      </c>
      <c r="B301" s="269"/>
      <c r="C301" s="286"/>
      <c r="D301" s="286">
        <f t="shared" si="534"/>
        <v>256101.694</v>
      </c>
      <c r="E301" s="286"/>
      <c r="F301" s="281">
        <f t="shared" si="623"/>
        <v>514560</v>
      </c>
      <c r="G301" s="259"/>
      <c r="H301" s="281">
        <f t="shared" si="629"/>
        <v>945820</v>
      </c>
      <c r="I301" s="259"/>
      <c r="J301" s="259"/>
      <c r="K301" s="279">
        <f t="shared" si="630"/>
        <v>514800</v>
      </c>
      <c r="L301" s="266"/>
      <c r="M301" s="266">
        <f t="shared" si="631"/>
        <v>943280</v>
      </c>
      <c r="N301" s="266"/>
      <c r="O301" s="269"/>
      <c r="P301" s="269"/>
      <c r="Q301" s="269">
        <f t="shared" si="632"/>
        <v>592740</v>
      </c>
      <c r="R301" s="266">
        <f t="shared" si="599"/>
        <v>295726</v>
      </c>
      <c r="S301" s="266">
        <f t="shared" si="626"/>
        <v>678902.1825</v>
      </c>
      <c r="T301" s="279">
        <f t="shared" si="559"/>
        <v>501610</v>
      </c>
      <c r="U301" s="266">
        <f t="shared" si="575"/>
        <v>614361.7023</v>
      </c>
      <c r="V301" s="279">
        <f t="shared" si="435"/>
        <v>202920</v>
      </c>
      <c r="W301" s="266"/>
      <c r="X301" s="266"/>
      <c r="Y301" s="266"/>
      <c r="Z301" s="266"/>
      <c r="AA301" s="277">
        <f t="shared" si="627"/>
        <v>9915</v>
      </c>
      <c r="AB301" s="280">
        <f t="shared" si="540"/>
        <v>1387356.896</v>
      </c>
      <c r="AC301" s="279">
        <f t="shared" si="526"/>
        <v>3903163.194</v>
      </c>
      <c r="AD301" s="279">
        <f t="shared" si="601"/>
        <v>9554.794525</v>
      </c>
      <c r="AE301" s="283">
        <f t="shared" si="546"/>
        <v>5300074.885</v>
      </c>
      <c r="AF301" s="273">
        <f t="shared" si="22"/>
        <v>0.007146683042</v>
      </c>
      <c r="AG301" s="274">
        <f t="shared" si="23"/>
        <v>3912717.989</v>
      </c>
    </row>
    <row r="302">
      <c r="A302" s="264">
        <f t="shared" si="3"/>
        <v>45800</v>
      </c>
      <c r="B302" s="269"/>
      <c r="C302" s="286"/>
      <c r="D302" s="286">
        <f t="shared" si="534"/>
        <v>255423.728</v>
      </c>
      <c r="E302" s="286"/>
      <c r="F302" s="281">
        <f t="shared" si="623"/>
        <v>514560</v>
      </c>
      <c r="G302" s="259"/>
      <c r="H302" s="281">
        <f t="shared" si="629"/>
        <v>945820</v>
      </c>
      <c r="I302" s="259"/>
      <c r="J302" s="259"/>
      <c r="K302" s="279">
        <f t="shared" si="630"/>
        <v>514800</v>
      </c>
      <c r="L302" s="266"/>
      <c r="M302" s="266">
        <f t="shared" si="631"/>
        <v>943280</v>
      </c>
      <c r="N302" s="266"/>
      <c r="O302" s="269"/>
      <c r="P302" s="269"/>
      <c r="Q302" s="269">
        <f t="shared" si="632"/>
        <v>592740</v>
      </c>
      <c r="R302" s="266">
        <f t="shared" si="599"/>
        <v>295726</v>
      </c>
      <c r="S302" s="266">
        <f t="shared" si="626"/>
        <v>677704.3352</v>
      </c>
      <c r="T302" s="279">
        <f t="shared" si="559"/>
        <v>501540</v>
      </c>
      <c r="U302" s="266">
        <f t="shared" si="575"/>
        <v>612765.9576</v>
      </c>
      <c r="V302" s="279">
        <f t="shared" si="435"/>
        <v>202920</v>
      </c>
      <c r="W302" s="266"/>
      <c r="X302" s="266"/>
      <c r="Y302" s="266"/>
      <c r="Z302" s="266"/>
      <c r="AA302" s="277">
        <f t="shared" si="627"/>
        <v>9915</v>
      </c>
      <c r="AB302" s="280">
        <f t="shared" si="540"/>
        <v>1389194.023</v>
      </c>
      <c r="AC302" s="279">
        <f t="shared" si="526"/>
        <v>3898844.667</v>
      </c>
      <c r="AD302" s="279">
        <f t="shared" si="601"/>
        <v>9172.602744</v>
      </c>
      <c r="AE302" s="283">
        <f t="shared" si="546"/>
        <v>5297211.293</v>
      </c>
      <c r="AF302" s="273">
        <f t="shared" si="22"/>
        <v>0.007137231973</v>
      </c>
      <c r="AG302" s="274">
        <f t="shared" si="23"/>
        <v>3908017.269</v>
      </c>
    </row>
    <row r="303">
      <c r="A303" s="264">
        <f t="shared" si="3"/>
        <v>45799</v>
      </c>
      <c r="B303" s="269"/>
      <c r="C303" s="286"/>
      <c r="D303" s="286">
        <f t="shared" si="534"/>
        <v>254745.762</v>
      </c>
      <c r="E303" s="286"/>
      <c r="F303" s="281">
        <f t="shared" si="623"/>
        <v>514560</v>
      </c>
      <c r="G303" s="259"/>
      <c r="H303" s="281">
        <f>19*51560</f>
        <v>979640</v>
      </c>
      <c r="I303" s="259"/>
      <c r="J303" s="259"/>
      <c r="K303" s="279">
        <f>22*23640</f>
        <v>520080</v>
      </c>
      <c r="L303" s="266"/>
      <c r="M303" s="266">
        <f t="shared" ref="M303:M304" si="633">52*18100</f>
        <v>941200</v>
      </c>
      <c r="N303" s="266"/>
      <c r="O303" s="269"/>
      <c r="P303" s="269"/>
      <c r="Q303" s="269">
        <f t="shared" si="632"/>
        <v>592740</v>
      </c>
      <c r="R303" s="266">
        <f t="shared" si="599"/>
        <v>295726</v>
      </c>
      <c r="S303" s="266">
        <f t="shared" si="626"/>
        <v>676506.4879</v>
      </c>
      <c r="T303" s="279">
        <f t="shared" si="559"/>
        <v>501470</v>
      </c>
      <c r="U303" s="266">
        <f t="shared" si="575"/>
        <v>611170.2129</v>
      </c>
      <c r="V303" s="279">
        <f t="shared" si="435"/>
        <v>202920</v>
      </c>
      <c r="W303" s="266"/>
      <c r="X303" s="266"/>
      <c r="Y303" s="266"/>
      <c r="Z303" s="266"/>
      <c r="AA303" s="277">
        <f t="shared" si="627"/>
        <v>9915</v>
      </c>
      <c r="AB303" s="280">
        <f t="shared" si="540"/>
        <v>1428051.151</v>
      </c>
      <c r="AC303" s="279">
        <f t="shared" si="526"/>
        <v>3894526.139</v>
      </c>
      <c r="AD303" s="279">
        <f t="shared" si="601"/>
        <v>8790.410963</v>
      </c>
      <c r="AE303" s="283">
        <f t="shared" si="546"/>
        <v>5331367.701</v>
      </c>
      <c r="AF303" s="273">
        <f t="shared" si="22"/>
        <v>0.006943028612</v>
      </c>
      <c r="AG303" s="274">
        <f t="shared" si="23"/>
        <v>3903316.55</v>
      </c>
    </row>
    <row r="304">
      <c r="A304" s="264">
        <f t="shared" si="3"/>
        <v>45798</v>
      </c>
      <c r="B304" s="269"/>
      <c r="C304" s="286"/>
      <c r="D304" s="286">
        <f t="shared" si="534"/>
        <v>254067.796</v>
      </c>
      <c r="E304" s="286"/>
      <c r="F304" s="281">
        <f t="shared" si="623"/>
        <v>514560</v>
      </c>
      <c r="G304" s="259"/>
      <c r="H304" s="281">
        <f>19*50280</f>
        <v>955320</v>
      </c>
      <c r="I304" s="259"/>
      <c r="J304" s="259"/>
      <c r="K304" s="279">
        <f>22*23520</f>
        <v>517440</v>
      </c>
      <c r="L304" s="266"/>
      <c r="M304" s="266">
        <f t="shared" si="633"/>
        <v>941200</v>
      </c>
      <c r="N304" s="266"/>
      <c r="O304" s="269"/>
      <c r="P304" s="269"/>
      <c r="Q304" s="269">
        <f>333*1775</f>
        <v>591075</v>
      </c>
      <c r="R304" s="266">
        <f t="shared" si="599"/>
        <v>295726</v>
      </c>
      <c r="S304" s="266">
        <f t="shared" si="626"/>
        <v>675308.6406</v>
      </c>
      <c r="T304" s="279">
        <f t="shared" si="559"/>
        <v>501400</v>
      </c>
      <c r="U304" s="266">
        <f t="shared" si="575"/>
        <v>609574.4682</v>
      </c>
      <c r="V304" s="279">
        <f t="shared" si="435"/>
        <v>202920</v>
      </c>
      <c r="W304" s="266"/>
      <c r="X304" s="266"/>
      <c r="Y304" s="266"/>
      <c r="Z304" s="266"/>
      <c r="AA304" s="277">
        <f t="shared" si="627"/>
        <v>9915</v>
      </c>
      <c r="AB304" s="280">
        <f t="shared" si="540"/>
        <v>1401263.279</v>
      </c>
      <c r="AC304" s="279">
        <f t="shared" si="526"/>
        <v>3890207.611</v>
      </c>
      <c r="AD304" s="279">
        <f t="shared" si="601"/>
        <v>8408.219182</v>
      </c>
      <c r="AE304" s="283">
        <f t="shared" si="546"/>
        <v>5299879.109</v>
      </c>
      <c r="AF304" s="273">
        <f t="shared" si="22"/>
        <v>0.007075758105</v>
      </c>
      <c r="AG304" s="274">
        <f t="shared" si="23"/>
        <v>3898615.83</v>
      </c>
    </row>
    <row r="305">
      <c r="A305" s="264">
        <f t="shared" si="3"/>
        <v>45797</v>
      </c>
      <c r="B305" s="269"/>
      <c r="C305" s="286"/>
      <c r="D305" s="286">
        <f t="shared" si="534"/>
        <v>253389.83</v>
      </c>
      <c r="E305" s="286"/>
      <c r="F305" s="281">
        <f>96*5500</f>
        <v>528000</v>
      </c>
      <c r="G305" s="259"/>
      <c r="H305" s="281">
        <f>19*52780</f>
        <v>1002820</v>
      </c>
      <c r="I305" s="259"/>
      <c r="J305" s="259"/>
      <c r="K305" s="279">
        <f t="shared" ref="K305:K306" si="634">22*23720</f>
        <v>521840</v>
      </c>
      <c r="L305" s="266"/>
      <c r="M305" s="266">
        <f>52*18080</f>
        <v>940160</v>
      </c>
      <c r="N305" s="266"/>
      <c r="O305" s="269"/>
      <c r="P305" s="269"/>
      <c r="Q305" s="269">
        <f>333*1785</f>
        <v>594405</v>
      </c>
      <c r="R305" s="266">
        <f t="shared" si="599"/>
        <v>295726</v>
      </c>
      <c r="S305" s="266">
        <f t="shared" si="626"/>
        <v>674110.7933</v>
      </c>
      <c r="T305" s="279">
        <f t="shared" si="559"/>
        <v>501330</v>
      </c>
      <c r="U305" s="266">
        <f t="shared" si="575"/>
        <v>607978.7235</v>
      </c>
      <c r="V305" s="279">
        <f t="shared" si="435"/>
        <v>202920</v>
      </c>
      <c r="W305" s="266"/>
      <c r="X305" s="266"/>
      <c r="Y305" s="266"/>
      <c r="Z305" s="266"/>
      <c r="AA305" s="277">
        <f t="shared" si="627"/>
        <v>9915</v>
      </c>
      <c r="AB305" s="280">
        <f t="shared" si="540"/>
        <v>1457290.406</v>
      </c>
      <c r="AC305" s="279">
        <f t="shared" si="526"/>
        <v>3885889.083</v>
      </c>
      <c r="AD305" s="279">
        <f t="shared" si="601"/>
        <v>8026.027401</v>
      </c>
      <c r="AE305" s="283">
        <f t="shared" si="546"/>
        <v>5351205.517</v>
      </c>
      <c r="AF305" s="273">
        <f t="shared" si="22"/>
        <v>0.006803722826</v>
      </c>
      <c r="AG305" s="274">
        <f t="shared" si="23"/>
        <v>3893915.111</v>
      </c>
    </row>
    <row r="306">
      <c r="A306" s="264">
        <f t="shared" si="3"/>
        <v>45796</v>
      </c>
      <c r="B306" s="269"/>
      <c r="C306" s="286"/>
      <c r="D306" s="286">
        <f t="shared" si="534"/>
        <v>252711.864</v>
      </c>
      <c r="E306" s="286"/>
      <c r="F306" s="291"/>
      <c r="G306" s="259"/>
      <c r="H306" s="281">
        <f>19*54440</f>
        <v>1034360</v>
      </c>
      <c r="I306" s="259"/>
      <c r="J306" s="259"/>
      <c r="K306" s="279">
        <f t="shared" si="634"/>
        <v>521840</v>
      </c>
      <c r="L306" s="266"/>
      <c r="M306" s="266">
        <f>52*18000</f>
        <v>936000</v>
      </c>
      <c r="N306" s="266"/>
      <c r="O306" s="269"/>
      <c r="P306" s="269"/>
      <c r="Q306" s="269">
        <f>333*1805</f>
        <v>601065</v>
      </c>
      <c r="R306" s="266">
        <f t="shared" si="599"/>
        <v>295726</v>
      </c>
      <c r="S306" s="266">
        <f t="shared" si="626"/>
        <v>672912.946</v>
      </c>
      <c r="T306" s="279">
        <f t="shared" si="559"/>
        <v>501260</v>
      </c>
      <c r="U306" s="266">
        <f t="shared" si="575"/>
        <v>606382.9788</v>
      </c>
      <c r="V306" s="279">
        <f t="shared" si="435"/>
        <v>202920</v>
      </c>
      <c r="W306" s="266"/>
      <c r="X306" s="266"/>
      <c r="Y306" s="266"/>
      <c r="Z306" s="266"/>
      <c r="AA306" s="277">
        <f t="shared" si="627"/>
        <v>9915</v>
      </c>
      <c r="AB306" s="280">
        <f t="shared" si="540"/>
        <v>1493167.534</v>
      </c>
      <c r="AC306" s="279">
        <f t="shared" si="526"/>
        <v>3881570.556</v>
      </c>
      <c r="AD306" s="279">
        <f t="shared" si="601"/>
        <v>7643.83562</v>
      </c>
      <c r="AE306" s="283">
        <f t="shared" si="546"/>
        <v>5382381.925</v>
      </c>
      <c r="AF306" s="273">
        <f t="shared" si="22"/>
        <v>0.006640246172</v>
      </c>
      <c r="AG306" s="274">
        <f t="shared" si="23"/>
        <v>3889214.391</v>
      </c>
    </row>
    <row r="307">
      <c r="A307" s="284">
        <f t="shared" si="3"/>
        <v>45795</v>
      </c>
      <c r="B307" s="269"/>
      <c r="C307" s="286"/>
      <c r="D307" s="286">
        <f t="shared" si="534"/>
        <v>252033.898</v>
      </c>
      <c r="E307" s="286"/>
      <c r="F307" s="291"/>
      <c r="G307" s="259"/>
      <c r="H307" s="281">
        <f t="shared" ref="H307:H309" si="635">19*54800</f>
        <v>1041200</v>
      </c>
      <c r="I307" s="259"/>
      <c r="J307" s="259"/>
      <c r="K307" s="279">
        <f t="shared" ref="K307:K309" si="636">22*23680</f>
        <v>520960</v>
      </c>
      <c r="L307" s="266"/>
      <c r="M307" s="266">
        <f t="shared" ref="M307:M309" si="637">52*18320</f>
        <v>952640</v>
      </c>
      <c r="N307" s="266"/>
      <c r="O307" s="269"/>
      <c r="P307" s="269"/>
      <c r="Q307" s="269">
        <f t="shared" ref="Q307:Q309" si="638">333*1810</f>
        <v>602730</v>
      </c>
      <c r="R307" s="266">
        <f t="shared" si="599"/>
        <v>295726</v>
      </c>
      <c r="S307" s="266">
        <f t="shared" si="626"/>
        <v>671715.0987</v>
      </c>
      <c r="T307" s="279">
        <f t="shared" si="559"/>
        <v>501190</v>
      </c>
      <c r="U307" s="266">
        <f t="shared" si="575"/>
        <v>604787.2341</v>
      </c>
      <c r="V307" s="279">
        <f t="shared" si="435"/>
        <v>202920</v>
      </c>
      <c r="W307" s="266"/>
      <c r="X307" s="266"/>
      <c r="Y307" s="266"/>
      <c r="Z307" s="266"/>
      <c r="AA307" s="277">
        <f t="shared" si="627"/>
        <v>9915</v>
      </c>
      <c r="AB307" s="280">
        <f t="shared" si="540"/>
        <v>1519269.661</v>
      </c>
      <c r="AC307" s="279">
        <f t="shared" si="526"/>
        <v>3877252.028</v>
      </c>
      <c r="AD307" s="279">
        <f t="shared" si="601"/>
        <v>7261.643839</v>
      </c>
      <c r="AE307" s="283">
        <f t="shared" si="546"/>
        <v>5403783.333</v>
      </c>
      <c r="AF307" s="273">
        <f t="shared" si="22"/>
        <v>0.006526162046</v>
      </c>
      <c r="AG307" s="274">
        <f t="shared" si="23"/>
        <v>3884513.672</v>
      </c>
    </row>
    <row r="308">
      <c r="A308" s="284">
        <f t="shared" si="3"/>
        <v>45794</v>
      </c>
      <c r="B308" s="269"/>
      <c r="C308" s="286"/>
      <c r="D308" s="286">
        <f t="shared" si="534"/>
        <v>251355.932</v>
      </c>
      <c r="E308" s="286"/>
      <c r="F308" s="291"/>
      <c r="G308" s="259"/>
      <c r="H308" s="281">
        <f t="shared" si="635"/>
        <v>1041200</v>
      </c>
      <c r="I308" s="259"/>
      <c r="J308" s="259"/>
      <c r="K308" s="279">
        <f t="shared" si="636"/>
        <v>520960</v>
      </c>
      <c r="L308" s="266"/>
      <c r="M308" s="266">
        <f t="shared" si="637"/>
        <v>952640</v>
      </c>
      <c r="N308" s="266"/>
      <c r="O308" s="269"/>
      <c r="P308" s="269"/>
      <c r="Q308" s="269">
        <f t="shared" si="638"/>
        <v>602730</v>
      </c>
      <c r="R308" s="266">
        <f t="shared" si="599"/>
        <v>295726</v>
      </c>
      <c r="S308" s="266">
        <f t="shared" si="626"/>
        <v>670517.2514</v>
      </c>
      <c r="T308" s="279">
        <f t="shared" si="559"/>
        <v>501120</v>
      </c>
      <c r="U308" s="266">
        <f t="shared" si="575"/>
        <v>603191.4894</v>
      </c>
      <c r="V308" s="279">
        <f t="shared" si="435"/>
        <v>202920</v>
      </c>
      <c r="W308" s="266"/>
      <c r="X308" s="266"/>
      <c r="Y308" s="266"/>
      <c r="Z308" s="266"/>
      <c r="AA308" s="277">
        <f t="shared" si="627"/>
        <v>9915</v>
      </c>
      <c r="AB308" s="280">
        <f t="shared" si="540"/>
        <v>1521106.789</v>
      </c>
      <c r="AC308" s="279">
        <f t="shared" si="526"/>
        <v>3872933.5</v>
      </c>
      <c r="AD308" s="279">
        <f t="shared" si="601"/>
        <v>6879.452058</v>
      </c>
      <c r="AE308" s="283">
        <f t="shared" si="546"/>
        <v>5400919.741</v>
      </c>
      <c r="AF308" s="273">
        <f t="shared" si="22"/>
        <v>0.006518280027</v>
      </c>
      <c r="AG308" s="274">
        <f t="shared" si="23"/>
        <v>3879812.952</v>
      </c>
    </row>
    <row r="309">
      <c r="A309" s="264">
        <f t="shared" si="3"/>
        <v>45793</v>
      </c>
      <c r="B309" s="269"/>
      <c r="C309" s="286"/>
      <c r="D309" s="286">
        <f t="shared" si="534"/>
        <v>250677.966</v>
      </c>
      <c r="E309" s="286"/>
      <c r="F309" s="291"/>
      <c r="G309" s="259"/>
      <c r="H309" s="281">
        <f t="shared" si="635"/>
        <v>1041200</v>
      </c>
      <c r="I309" s="259"/>
      <c r="J309" s="259"/>
      <c r="K309" s="279">
        <f t="shared" si="636"/>
        <v>520960</v>
      </c>
      <c r="L309" s="266"/>
      <c r="M309" s="266">
        <f t="shared" si="637"/>
        <v>952640</v>
      </c>
      <c r="N309" s="266"/>
      <c r="O309" s="269"/>
      <c r="P309" s="269"/>
      <c r="Q309" s="269">
        <f t="shared" si="638"/>
        <v>602730</v>
      </c>
      <c r="R309" s="266">
        <f t="shared" si="599"/>
        <v>295726</v>
      </c>
      <c r="S309" s="266">
        <f t="shared" si="626"/>
        <v>669319.4041</v>
      </c>
      <c r="T309" s="279">
        <f t="shared" si="559"/>
        <v>501050</v>
      </c>
      <c r="U309" s="266">
        <f t="shared" si="575"/>
        <v>601595.7447</v>
      </c>
      <c r="V309" s="279">
        <f t="shared" si="435"/>
        <v>202920</v>
      </c>
      <c r="W309" s="266"/>
      <c r="X309" s="266"/>
      <c r="Y309" s="266"/>
      <c r="Z309" s="266"/>
      <c r="AA309" s="277">
        <f t="shared" si="627"/>
        <v>9915</v>
      </c>
      <c r="AB309" s="280">
        <f t="shared" si="540"/>
        <v>1522943.916</v>
      </c>
      <c r="AC309" s="279">
        <f t="shared" si="526"/>
        <v>3868614.972</v>
      </c>
      <c r="AD309" s="279">
        <f t="shared" si="601"/>
        <v>6497.260277</v>
      </c>
      <c r="AE309" s="283">
        <f t="shared" si="546"/>
        <v>5398056.149</v>
      </c>
      <c r="AF309" s="273">
        <f t="shared" si="22"/>
        <v>0.006510417024</v>
      </c>
      <c r="AG309" s="274">
        <f t="shared" si="23"/>
        <v>3875112.233</v>
      </c>
    </row>
    <row r="310">
      <c r="A310" s="264">
        <f t="shared" si="3"/>
        <v>45792</v>
      </c>
      <c r="B310" s="269"/>
      <c r="C310" s="286"/>
      <c r="D310" s="286">
        <f>250000</f>
        <v>250000</v>
      </c>
      <c r="E310" s="286"/>
      <c r="F310" s="291"/>
      <c r="G310" s="259"/>
      <c r="H310" s="281">
        <f>19*55380</f>
        <v>1052220</v>
      </c>
      <c r="I310" s="259"/>
      <c r="J310" s="259"/>
      <c r="K310" s="279">
        <f>22*23560</f>
        <v>518320</v>
      </c>
      <c r="L310" s="266"/>
      <c r="M310" s="266">
        <f>52*18400</f>
        <v>956800</v>
      </c>
      <c r="N310" s="266"/>
      <c r="O310" s="269"/>
      <c r="P310" s="269"/>
      <c r="Q310" s="269">
        <f>333*1800</f>
        <v>599400</v>
      </c>
      <c r="R310" s="266">
        <f t="shared" si="599"/>
        <v>295726</v>
      </c>
      <c r="S310" s="266">
        <f t="shared" si="626"/>
        <v>668121.5568</v>
      </c>
      <c r="T310" s="279">
        <f t="shared" si="559"/>
        <v>500980</v>
      </c>
      <c r="U310" s="266">
        <f t="shared" ref="U310:U312" si="639">U311</f>
        <v>600000</v>
      </c>
      <c r="V310" s="279">
        <f t="shared" si="435"/>
        <v>202920</v>
      </c>
      <c r="W310" s="266"/>
      <c r="X310" s="266"/>
      <c r="Y310" s="266"/>
      <c r="Z310" s="266"/>
      <c r="AA310" s="277">
        <f t="shared" si="627"/>
        <v>9915</v>
      </c>
      <c r="AB310" s="280">
        <f t="shared" si="540"/>
        <v>1533991.044</v>
      </c>
      <c r="AC310" s="279">
        <f t="shared" si="526"/>
        <v>3864296.444</v>
      </c>
      <c r="AD310" s="279">
        <f t="shared" si="601"/>
        <v>6115.068496</v>
      </c>
      <c r="AE310" s="283">
        <f t="shared" si="546"/>
        <v>5404402.557</v>
      </c>
      <c r="AF310" s="273">
        <f t="shared" si="22"/>
        <v>0.00646353187</v>
      </c>
      <c r="AG310" s="274">
        <f t="shared" si="23"/>
        <v>3870411.513</v>
      </c>
    </row>
    <row r="311">
      <c r="A311" s="264">
        <f t="shared" si="3"/>
        <v>45791</v>
      </c>
      <c r="B311" s="269"/>
      <c r="C311" s="292"/>
      <c r="D311" s="293"/>
      <c r="E311" s="292"/>
      <c r="F311" s="294"/>
      <c r="G311" s="259"/>
      <c r="H311" s="281">
        <f>19*56600</f>
        <v>1075400</v>
      </c>
      <c r="I311" s="259"/>
      <c r="J311" s="259"/>
      <c r="K311" s="279">
        <f>22*24260</f>
        <v>533720</v>
      </c>
      <c r="L311" s="266"/>
      <c r="M311" s="266">
        <f>52*18380</f>
        <v>955760</v>
      </c>
      <c r="N311" s="266"/>
      <c r="O311" s="269"/>
      <c r="P311" s="269"/>
      <c r="Q311" s="269">
        <f t="shared" ref="Q311:Q312" si="640">333*1820</f>
        <v>606060</v>
      </c>
      <c r="R311" s="266">
        <f t="shared" si="599"/>
        <v>295726</v>
      </c>
      <c r="S311" s="266">
        <f t="shared" si="626"/>
        <v>666923.7095</v>
      </c>
      <c r="T311" s="279">
        <f t="shared" si="559"/>
        <v>500910</v>
      </c>
      <c r="U311" s="266">
        <f t="shared" si="639"/>
        <v>600000</v>
      </c>
      <c r="V311" s="279">
        <f t="shared" si="435"/>
        <v>202920</v>
      </c>
      <c r="W311" s="266"/>
      <c r="X311" s="266"/>
      <c r="Y311" s="266"/>
      <c r="Z311" s="266"/>
      <c r="AA311" s="277">
        <f t="shared" ref="AA311:AA313" si="641">426961+702262-150000+38000+299492-150000-210000-866320+215520+856000-200000-400000</f>
        <v>561915</v>
      </c>
      <c r="AB311" s="280">
        <f t="shared" si="540"/>
        <v>2133623.916</v>
      </c>
      <c r="AC311" s="279">
        <f t="shared" si="526"/>
        <v>3859977.917</v>
      </c>
      <c r="AD311" s="279">
        <f t="shared" si="601"/>
        <v>5732.876715</v>
      </c>
      <c r="AE311" s="283">
        <f t="shared" si="546"/>
        <v>5999334.71</v>
      </c>
      <c r="AF311" s="273">
        <f t="shared" si="22"/>
        <v>0.2633617836</v>
      </c>
      <c r="AG311" s="274">
        <f t="shared" si="23"/>
        <v>3865710.793</v>
      </c>
    </row>
    <row r="312">
      <c r="A312" s="264">
        <f t="shared" si="3"/>
        <v>45790</v>
      </c>
      <c r="B312" s="269"/>
      <c r="C312" s="295"/>
      <c r="D312" s="295"/>
      <c r="E312" s="295"/>
      <c r="F312" s="295"/>
      <c r="G312" s="259"/>
      <c r="H312" s="281">
        <f>19*55800</f>
        <v>1060200</v>
      </c>
      <c r="I312" s="259"/>
      <c r="J312" s="259"/>
      <c r="K312" s="279">
        <f>22*24280</f>
        <v>534160</v>
      </c>
      <c r="L312" s="266"/>
      <c r="M312" s="266">
        <f>52*18200</f>
        <v>946400</v>
      </c>
      <c r="N312" s="266"/>
      <c r="O312" s="269"/>
      <c r="P312" s="269"/>
      <c r="Q312" s="269">
        <f t="shared" si="640"/>
        <v>606060</v>
      </c>
      <c r="R312" s="266">
        <f t="shared" si="599"/>
        <v>295726</v>
      </c>
      <c r="S312" s="266">
        <f t="shared" si="626"/>
        <v>665725.8622</v>
      </c>
      <c r="T312" s="279">
        <f t="shared" si="559"/>
        <v>500840</v>
      </c>
      <c r="U312" s="266">
        <f t="shared" si="639"/>
        <v>600000</v>
      </c>
      <c r="V312" s="279">
        <f t="shared" si="435"/>
        <v>202920</v>
      </c>
      <c r="W312" s="266"/>
      <c r="X312" s="266"/>
      <c r="Y312" s="266"/>
      <c r="Z312" s="266"/>
      <c r="AA312" s="277">
        <f t="shared" si="641"/>
        <v>561915</v>
      </c>
      <c r="AB312" s="280">
        <f t="shared" si="540"/>
        <v>2112936.788</v>
      </c>
      <c r="AC312" s="279">
        <f t="shared" si="526"/>
        <v>3855659.389</v>
      </c>
      <c r="AD312" s="279">
        <f t="shared" si="601"/>
        <v>5350.684934</v>
      </c>
      <c r="AE312" s="283">
        <f t="shared" si="546"/>
        <v>5973946.862</v>
      </c>
      <c r="AF312" s="273">
        <f t="shared" si="22"/>
        <v>0.2659402795</v>
      </c>
      <c r="AG312" s="274">
        <f t="shared" si="23"/>
        <v>3861010.074</v>
      </c>
    </row>
    <row r="313">
      <c r="A313" s="264">
        <f t="shared" si="3"/>
        <v>45789</v>
      </c>
      <c r="B313" s="269"/>
      <c r="C313" s="296"/>
      <c r="D313" s="296"/>
      <c r="E313" s="296"/>
      <c r="F313" s="296"/>
      <c r="G313" s="259"/>
      <c r="H313" s="281">
        <f>19*54800</f>
        <v>1041200</v>
      </c>
      <c r="I313" s="259"/>
      <c r="J313" s="259"/>
      <c r="K313" s="279">
        <f>22*23260</f>
        <v>511720</v>
      </c>
      <c r="L313" s="266"/>
      <c r="M313" s="266">
        <f>17600*52</f>
        <v>915200</v>
      </c>
      <c r="N313" s="266"/>
      <c r="O313" s="269"/>
      <c r="P313" s="269"/>
      <c r="Q313" s="269">
        <f>333*1750</f>
        <v>582750</v>
      </c>
      <c r="R313" s="266">
        <f t="shared" si="599"/>
        <v>295726</v>
      </c>
      <c r="S313" s="266">
        <f t="shared" si="626"/>
        <v>664528.0149</v>
      </c>
      <c r="T313" s="279">
        <f t="shared" si="559"/>
        <v>500770</v>
      </c>
      <c r="U313" s="266">
        <f>200000+400000</f>
        <v>600000</v>
      </c>
      <c r="V313" s="279">
        <f t="shared" si="435"/>
        <v>202920</v>
      </c>
      <c r="W313" s="266"/>
      <c r="X313" s="266"/>
      <c r="Y313" s="266"/>
      <c r="Z313" s="266"/>
      <c r="AA313" s="277">
        <f t="shared" si="641"/>
        <v>561915</v>
      </c>
      <c r="AB313" s="280">
        <f t="shared" si="540"/>
        <v>2020419.661</v>
      </c>
      <c r="AC313" s="279">
        <f t="shared" si="526"/>
        <v>3851340.861</v>
      </c>
      <c r="AD313" s="279">
        <f t="shared" si="601"/>
        <v>4968.493153</v>
      </c>
      <c r="AE313" s="283">
        <f t="shared" si="546"/>
        <v>5876729.015</v>
      </c>
      <c r="AF313" s="273">
        <f t="shared" si="22"/>
        <v>0.2781179628</v>
      </c>
      <c r="AG313" s="274">
        <f t="shared" si="23"/>
        <v>3856309.354</v>
      </c>
    </row>
    <row r="314">
      <c r="A314" s="284">
        <f t="shared" si="3"/>
        <v>45788</v>
      </c>
      <c r="B314" s="269"/>
      <c r="C314" s="296"/>
      <c r="D314" s="296"/>
      <c r="E314" s="296"/>
      <c r="F314" s="296"/>
      <c r="G314" s="259"/>
      <c r="H314" s="281">
        <f t="shared" ref="H314:H316" si="642">19*54000</f>
        <v>1026000</v>
      </c>
      <c r="I314" s="259"/>
      <c r="J314" s="259"/>
      <c r="K314" s="279">
        <f t="shared" ref="K314:K316" si="643">22*23220</f>
        <v>510840</v>
      </c>
      <c r="L314" s="266"/>
      <c r="M314" s="266">
        <f t="shared" ref="M314:M316" si="644">17220*52</f>
        <v>895440</v>
      </c>
      <c r="N314" s="266"/>
      <c r="O314" s="269"/>
      <c r="P314" s="269"/>
      <c r="Q314" s="269">
        <f t="shared" ref="Q314:Q317" si="645">333*1720</f>
        <v>572760</v>
      </c>
      <c r="R314" s="266">
        <f t="shared" si="599"/>
        <v>295726</v>
      </c>
      <c r="S314" s="266">
        <f t="shared" si="626"/>
        <v>663330.1676</v>
      </c>
      <c r="T314" s="279">
        <f t="shared" si="559"/>
        <v>500700</v>
      </c>
      <c r="U314" s="266">
        <f t="shared" ref="U314:U316" si="646">200000</f>
        <v>200000</v>
      </c>
      <c r="V314" s="279">
        <f t="shared" si="435"/>
        <v>202920</v>
      </c>
      <c r="W314" s="266"/>
      <c r="X314" s="266"/>
      <c r="Y314" s="266"/>
      <c r="Z314" s="266"/>
      <c r="AA314" s="277">
        <f t="shared" ref="AA314:AA316" si="647">426961+702262-150000+38000+299492-150000-210000-866320+215520+856000-200000</f>
        <v>961915</v>
      </c>
      <c r="AB314" s="280">
        <f t="shared" si="540"/>
        <v>1978022.533</v>
      </c>
      <c r="AC314" s="279">
        <f t="shared" si="526"/>
        <v>3847022.333</v>
      </c>
      <c r="AD314" s="279">
        <f t="shared" si="601"/>
        <v>4586.301372</v>
      </c>
      <c r="AE314" s="283">
        <f t="shared" si="546"/>
        <v>5829631.168</v>
      </c>
      <c r="AF314" s="273">
        <f t="shared" si="22"/>
        <v>0.4863013358</v>
      </c>
      <c r="AG314" s="274">
        <f t="shared" si="23"/>
        <v>3851608.635</v>
      </c>
    </row>
    <row r="315">
      <c r="A315" s="284">
        <f t="shared" si="3"/>
        <v>45787</v>
      </c>
      <c r="B315" s="269"/>
      <c r="C315" s="296"/>
      <c r="D315" s="296"/>
      <c r="E315" s="296"/>
      <c r="F315" s="296"/>
      <c r="G315" s="259"/>
      <c r="H315" s="281">
        <f t="shared" si="642"/>
        <v>1026000</v>
      </c>
      <c r="I315" s="259"/>
      <c r="J315" s="259"/>
      <c r="K315" s="279">
        <f t="shared" si="643"/>
        <v>510840</v>
      </c>
      <c r="L315" s="266"/>
      <c r="M315" s="266">
        <f t="shared" si="644"/>
        <v>895440</v>
      </c>
      <c r="N315" s="266"/>
      <c r="O315" s="269"/>
      <c r="P315" s="269"/>
      <c r="Q315" s="269">
        <f t="shared" si="645"/>
        <v>572760</v>
      </c>
      <c r="R315" s="266">
        <f t="shared" si="599"/>
        <v>295726</v>
      </c>
      <c r="S315" s="266">
        <f t="shared" si="626"/>
        <v>662132.3203</v>
      </c>
      <c r="T315" s="279">
        <f t="shared" si="559"/>
        <v>500630</v>
      </c>
      <c r="U315" s="266">
        <f t="shared" si="646"/>
        <v>200000</v>
      </c>
      <c r="V315" s="279">
        <f t="shared" si="435"/>
        <v>202920</v>
      </c>
      <c r="W315" s="266"/>
      <c r="X315" s="266"/>
      <c r="Y315" s="266"/>
      <c r="Z315" s="266"/>
      <c r="AA315" s="277">
        <f t="shared" si="647"/>
        <v>961915</v>
      </c>
      <c r="AB315" s="280">
        <f t="shared" si="540"/>
        <v>1981455.405</v>
      </c>
      <c r="AC315" s="279">
        <f t="shared" si="526"/>
        <v>3842703.806</v>
      </c>
      <c r="AD315" s="279">
        <f t="shared" si="601"/>
        <v>4204.109591</v>
      </c>
      <c r="AE315" s="283">
        <f t="shared" si="546"/>
        <v>5828363.32</v>
      </c>
      <c r="AF315" s="273">
        <f t="shared" si="22"/>
        <v>0.4854588186</v>
      </c>
      <c r="AG315" s="274">
        <f t="shared" si="23"/>
        <v>3846907.915</v>
      </c>
    </row>
    <row r="316">
      <c r="A316" s="264">
        <f t="shared" si="3"/>
        <v>45786</v>
      </c>
      <c r="B316" s="269"/>
      <c r="C316" s="296"/>
      <c r="D316" s="296"/>
      <c r="E316" s="296"/>
      <c r="F316" s="296"/>
      <c r="G316" s="259"/>
      <c r="H316" s="281">
        <f t="shared" si="642"/>
        <v>1026000</v>
      </c>
      <c r="I316" s="259"/>
      <c r="J316" s="259"/>
      <c r="K316" s="279">
        <f t="shared" si="643"/>
        <v>510840</v>
      </c>
      <c r="L316" s="266"/>
      <c r="M316" s="266">
        <f t="shared" si="644"/>
        <v>895440</v>
      </c>
      <c r="N316" s="279"/>
      <c r="O316" s="269"/>
      <c r="P316" s="269"/>
      <c r="Q316" s="269">
        <f t="shared" si="645"/>
        <v>572760</v>
      </c>
      <c r="R316" s="266">
        <f t="shared" si="599"/>
        <v>295726</v>
      </c>
      <c r="S316" s="266">
        <f t="shared" si="626"/>
        <v>660934.473</v>
      </c>
      <c r="T316" s="279">
        <f t="shared" si="559"/>
        <v>500560</v>
      </c>
      <c r="U316" s="266">
        <f t="shared" si="646"/>
        <v>200000</v>
      </c>
      <c r="V316" s="279">
        <f t="shared" si="435"/>
        <v>202920</v>
      </c>
      <c r="W316" s="266"/>
      <c r="X316" s="266"/>
      <c r="Y316" s="266"/>
      <c r="Z316" s="266"/>
      <c r="AA316" s="277">
        <f t="shared" si="647"/>
        <v>961915</v>
      </c>
      <c r="AB316" s="280">
        <f t="shared" si="540"/>
        <v>1984888.277</v>
      </c>
      <c r="AC316" s="279">
        <f t="shared" si="526"/>
        <v>3838385.278</v>
      </c>
      <c r="AD316" s="279">
        <f t="shared" si="601"/>
        <v>3821.91781</v>
      </c>
      <c r="AE316" s="283">
        <f t="shared" si="546"/>
        <v>5827095.473</v>
      </c>
      <c r="AF316" s="273">
        <f t="shared" si="22"/>
        <v>0.4846192156</v>
      </c>
      <c r="AG316" s="274">
        <f t="shared" si="23"/>
        <v>3842207.196</v>
      </c>
    </row>
    <row r="317">
      <c r="A317" s="264">
        <f t="shared" si="3"/>
        <v>45785</v>
      </c>
      <c r="B317" s="269"/>
      <c r="C317" s="296"/>
      <c r="D317" s="296"/>
      <c r="E317" s="296"/>
      <c r="F317" s="296"/>
      <c r="G317" s="259"/>
      <c r="H317" s="281">
        <f>19*54620</f>
        <v>1037780</v>
      </c>
      <c r="I317" s="259"/>
      <c r="J317" s="259"/>
      <c r="K317" s="279">
        <f>22*23700</f>
        <v>521400</v>
      </c>
      <c r="L317" s="266"/>
      <c r="M317" s="266">
        <f>17320*52</f>
        <v>900640</v>
      </c>
      <c r="N317" s="279"/>
      <c r="O317" s="269"/>
      <c r="P317" s="269"/>
      <c r="Q317" s="269">
        <f t="shared" si="645"/>
        <v>572760</v>
      </c>
      <c r="R317" s="266">
        <f t="shared" si="599"/>
        <v>295726</v>
      </c>
      <c r="S317" s="266">
        <f t="shared" si="626"/>
        <v>659736.6257</v>
      </c>
      <c r="T317" s="279">
        <f t="shared" si="559"/>
        <v>500490</v>
      </c>
      <c r="U317" s="266"/>
      <c r="V317" s="279">
        <f t="shared" si="435"/>
        <v>202920</v>
      </c>
      <c r="W317" s="266"/>
      <c r="X317" s="266"/>
      <c r="Y317" s="266"/>
      <c r="Z317" s="266"/>
      <c r="AA317" s="277">
        <f t="shared" ref="AA317:AA318" si="648">426961+702262-150000+38000+299492-150000-210000-866320+215520+856000</f>
        <v>1161915</v>
      </c>
      <c r="AB317" s="280">
        <f t="shared" si="540"/>
        <v>2015861.15</v>
      </c>
      <c r="AC317" s="279">
        <f t="shared" si="526"/>
        <v>3834066.75</v>
      </c>
      <c r="AD317" s="279">
        <f t="shared" si="601"/>
        <v>3439.726029</v>
      </c>
      <c r="AE317" s="283">
        <f t="shared" si="546"/>
        <v>5853367.626</v>
      </c>
      <c r="AF317" s="273">
        <f t="shared" si="22"/>
        <v>0.5763864243</v>
      </c>
      <c r="AG317" s="274">
        <f t="shared" si="23"/>
        <v>3837506.476</v>
      </c>
    </row>
    <row r="318">
      <c r="A318" s="264">
        <f t="shared" si="3"/>
        <v>45784</v>
      </c>
      <c r="B318" s="269"/>
      <c r="C318" s="296"/>
      <c r="D318" s="296"/>
      <c r="E318" s="296"/>
      <c r="F318" s="296"/>
      <c r="G318" s="259"/>
      <c r="H318" s="281">
        <f>19*53500</f>
        <v>1016500</v>
      </c>
      <c r="I318" s="259"/>
      <c r="J318" s="259"/>
      <c r="K318" s="279">
        <f>22*22600</f>
        <v>497200</v>
      </c>
      <c r="L318" s="266"/>
      <c r="M318" s="266">
        <f>17280*52</f>
        <v>898560</v>
      </c>
      <c r="N318" s="279"/>
      <c r="O318" s="269"/>
      <c r="P318" s="269"/>
      <c r="Q318" s="269">
        <f t="shared" ref="Q318:Q319" si="649">333*1690</f>
        <v>562770</v>
      </c>
      <c r="R318" s="266">
        <f t="shared" ref="R318:R322" si="650">210000</f>
        <v>210000</v>
      </c>
      <c r="S318" s="266">
        <f t="shared" si="626"/>
        <v>658538.7784</v>
      </c>
      <c r="T318" s="279">
        <f t="shared" si="559"/>
        <v>500420</v>
      </c>
      <c r="U318" s="279"/>
      <c r="V318" s="279">
        <f t="shared" si="435"/>
        <v>202920</v>
      </c>
      <c r="W318" s="266"/>
      <c r="X318" s="266"/>
      <c r="Y318" s="266"/>
      <c r="Z318" s="266"/>
      <c r="AA318" s="277">
        <f t="shared" si="648"/>
        <v>1161915</v>
      </c>
      <c r="AB318" s="280">
        <f t="shared" si="540"/>
        <v>1876018.022</v>
      </c>
      <c r="AC318" s="279">
        <f t="shared" si="526"/>
        <v>3829748.222</v>
      </c>
      <c r="AD318" s="279">
        <f t="shared" si="601"/>
        <v>3057.534248</v>
      </c>
      <c r="AE318" s="283">
        <f t="shared" si="546"/>
        <v>5708823.778</v>
      </c>
      <c r="AF318" s="273">
        <f t="shared" si="22"/>
        <v>0.6193517261</v>
      </c>
      <c r="AG318" s="274">
        <f t="shared" si="23"/>
        <v>3832805.756</v>
      </c>
    </row>
    <row r="319">
      <c r="A319" s="264">
        <f t="shared" si="3"/>
        <v>45783</v>
      </c>
      <c r="B319" s="269"/>
      <c r="C319" s="296"/>
      <c r="D319" s="296"/>
      <c r="E319" s="296"/>
      <c r="F319" s="296"/>
      <c r="G319" s="259"/>
      <c r="H319" s="281">
        <f>34*53880</f>
        <v>1831920</v>
      </c>
      <c r="I319" s="259"/>
      <c r="J319" s="259"/>
      <c r="K319" s="279">
        <f>22*21900</f>
        <v>481800</v>
      </c>
      <c r="L319" s="266"/>
      <c r="M319" s="266">
        <f>16960*52</f>
        <v>881920</v>
      </c>
      <c r="N319" s="279"/>
      <c r="O319" s="269"/>
      <c r="P319" s="269"/>
      <c r="Q319" s="269">
        <f t="shared" si="649"/>
        <v>562770</v>
      </c>
      <c r="R319" s="266">
        <f t="shared" si="650"/>
        <v>210000</v>
      </c>
      <c r="S319" s="266">
        <f t="shared" si="626"/>
        <v>657340.9311</v>
      </c>
      <c r="T319" s="279">
        <f t="shared" si="559"/>
        <v>500350</v>
      </c>
      <c r="U319" s="279"/>
      <c r="V319" s="279">
        <f t="shared" si="435"/>
        <v>202920</v>
      </c>
      <c r="W319" s="266"/>
      <c r="X319" s="266"/>
      <c r="Y319" s="266"/>
      <c r="Z319" s="266"/>
      <c r="AA319" s="277">
        <f>426961+702262-150000+38000+299492-150000-210000-866320+215520</f>
        <v>305915</v>
      </c>
      <c r="AB319" s="280">
        <f t="shared" si="540"/>
        <v>1806830.894</v>
      </c>
      <c r="AC319" s="279">
        <f t="shared" si="526"/>
        <v>3825429.694</v>
      </c>
      <c r="AD319" s="279">
        <f t="shared" si="601"/>
        <v>2675.342467</v>
      </c>
      <c r="AE319" s="283">
        <f t="shared" si="546"/>
        <v>5634935.931</v>
      </c>
      <c r="AF319" s="273">
        <f t="shared" si="22"/>
        <v>0.1693102553</v>
      </c>
      <c r="AG319" s="274">
        <f t="shared" si="23"/>
        <v>3828105.037</v>
      </c>
    </row>
    <row r="320">
      <c r="A320" s="264">
        <f t="shared" si="3"/>
        <v>45782</v>
      </c>
      <c r="B320" s="269"/>
      <c r="C320" s="296"/>
      <c r="D320" s="296"/>
      <c r="E320" s="296"/>
      <c r="F320" s="296"/>
      <c r="G320" s="259"/>
      <c r="H320" s="281">
        <f>38*53840</f>
        <v>2045920</v>
      </c>
      <c r="I320" s="259"/>
      <c r="J320" s="259"/>
      <c r="K320" s="279">
        <f>22*21740</f>
        <v>478280</v>
      </c>
      <c r="L320" s="266"/>
      <c r="M320" s="266">
        <f>16660*52</f>
        <v>866320</v>
      </c>
      <c r="N320" s="279"/>
      <c r="O320" s="269"/>
      <c r="P320" s="269"/>
      <c r="Q320" s="269">
        <f>333*1695</f>
        <v>564435</v>
      </c>
      <c r="R320" s="266">
        <f t="shared" si="650"/>
        <v>210000</v>
      </c>
      <c r="S320" s="266">
        <f t="shared" si="626"/>
        <v>656143.0838</v>
      </c>
      <c r="T320" s="279">
        <f t="shared" si="559"/>
        <v>500280</v>
      </c>
      <c r="U320" s="279"/>
      <c r="V320" s="279">
        <f t="shared" si="435"/>
        <v>202920</v>
      </c>
      <c r="W320" s="266"/>
      <c r="X320" s="266"/>
      <c r="Y320" s="266"/>
      <c r="Z320" s="266"/>
      <c r="AA320" s="277">
        <f>426961+702262-150000+38000+299492-150000-210000-866320</f>
        <v>90395</v>
      </c>
      <c r="AB320" s="280">
        <f t="shared" si="540"/>
        <v>1791288.766</v>
      </c>
      <c r="AC320" s="279">
        <f t="shared" ref="AC320:AC325" si="651">AC321+3518.527778</f>
        <v>3821111.167</v>
      </c>
      <c r="AD320" s="279">
        <f t="shared" si="601"/>
        <v>2293.150686</v>
      </c>
      <c r="AE320" s="283">
        <f t="shared" si="546"/>
        <v>5614693.084</v>
      </c>
      <c r="AF320" s="273">
        <f t="shared" si="22"/>
        <v>0.05046366711</v>
      </c>
      <c r="AG320" s="274">
        <f t="shared" si="23"/>
        <v>3823404.317</v>
      </c>
    </row>
    <row r="321">
      <c r="A321" s="284">
        <f t="shared" si="3"/>
        <v>45781</v>
      </c>
      <c r="B321" s="269"/>
      <c r="C321" s="296"/>
      <c r="D321" s="296"/>
      <c r="E321" s="296"/>
      <c r="F321" s="296"/>
      <c r="G321" s="259"/>
      <c r="H321" s="281">
        <f t="shared" ref="H321:H325" si="652">38*52800</f>
        <v>2006400</v>
      </c>
      <c r="I321" s="259"/>
      <c r="J321" s="259"/>
      <c r="K321" s="279">
        <f t="shared" ref="K321:K325" si="653">22*21900</f>
        <v>481800</v>
      </c>
      <c r="L321" s="266"/>
      <c r="M321" s="266"/>
      <c r="N321" s="279"/>
      <c r="O321" s="269"/>
      <c r="P321" s="269"/>
      <c r="Q321" s="269">
        <f t="shared" ref="Q321:Q323" si="654">333*1735</f>
        <v>577755</v>
      </c>
      <c r="R321" s="266">
        <f t="shared" si="650"/>
        <v>210000</v>
      </c>
      <c r="S321" s="266">
        <f t="shared" ref="S321:S322" si="655">S322+1097.8473</f>
        <v>654945.2365</v>
      </c>
      <c r="T321" s="279">
        <f t="shared" si="559"/>
        <v>500210</v>
      </c>
      <c r="U321" s="279"/>
      <c r="V321" s="279">
        <f t="shared" si="435"/>
        <v>202920</v>
      </c>
      <c r="W321" s="266"/>
      <c r="X321" s="266"/>
      <c r="Y321" s="266"/>
      <c r="Z321" s="266"/>
      <c r="AA321" s="277">
        <f t="shared" ref="AA321:AA322" si="656">426961+702262-150000+38000+299492-150000-210000</f>
        <v>956715</v>
      </c>
      <c r="AB321" s="280">
        <f t="shared" si="540"/>
        <v>1771241.639</v>
      </c>
      <c r="AC321" s="279">
        <f t="shared" si="651"/>
        <v>3817592.639</v>
      </c>
      <c r="AD321" s="279">
        <f t="shared" si="601"/>
        <v>1910.958905</v>
      </c>
      <c r="AE321" s="283">
        <f t="shared" si="546"/>
        <v>5590745.237</v>
      </c>
      <c r="AF321" s="273">
        <f t="shared" si="22"/>
        <v>0.5401380473</v>
      </c>
      <c r="AG321" s="274">
        <f t="shared" si="23"/>
        <v>3819503.598</v>
      </c>
    </row>
    <row r="322">
      <c r="A322" s="284">
        <f t="shared" si="3"/>
        <v>45780</v>
      </c>
      <c r="B322" s="269"/>
      <c r="C322" s="296"/>
      <c r="D322" s="296"/>
      <c r="E322" s="296"/>
      <c r="F322" s="296"/>
      <c r="G322" s="259"/>
      <c r="H322" s="281">
        <f t="shared" si="652"/>
        <v>2006400</v>
      </c>
      <c r="I322" s="259"/>
      <c r="J322" s="259"/>
      <c r="K322" s="279">
        <f t="shared" si="653"/>
        <v>481800</v>
      </c>
      <c r="L322" s="266"/>
      <c r="M322" s="266"/>
      <c r="N322" s="279"/>
      <c r="O322" s="269"/>
      <c r="P322" s="269"/>
      <c r="Q322" s="269">
        <f t="shared" si="654"/>
        <v>577755</v>
      </c>
      <c r="R322" s="266">
        <f t="shared" si="650"/>
        <v>210000</v>
      </c>
      <c r="S322" s="266">
        <f t="shared" si="655"/>
        <v>653847.3892</v>
      </c>
      <c r="T322" s="279">
        <f t="shared" si="559"/>
        <v>500140</v>
      </c>
      <c r="U322" s="279"/>
      <c r="V322" s="279">
        <f t="shared" si="435"/>
        <v>202920</v>
      </c>
      <c r="W322" s="266"/>
      <c r="X322" s="266"/>
      <c r="Y322" s="266"/>
      <c r="Z322" s="266"/>
      <c r="AA322" s="277">
        <f t="shared" si="656"/>
        <v>956715</v>
      </c>
      <c r="AB322" s="280">
        <f t="shared" si="540"/>
        <v>1773974.511</v>
      </c>
      <c r="AC322" s="279">
        <f t="shared" si="651"/>
        <v>3814074.111</v>
      </c>
      <c r="AD322" s="279">
        <f t="shared" si="601"/>
        <v>1528.767124</v>
      </c>
      <c r="AE322" s="283">
        <f t="shared" si="546"/>
        <v>5589577.389</v>
      </c>
      <c r="AF322" s="273">
        <f t="shared" si="22"/>
        <v>0.539305945</v>
      </c>
      <c r="AG322" s="274">
        <f t="shared" si="23"/>
        <v>3815602.878</v>
      </c>
    </row>
    <row r="323">
      <c r="A323" s="264">
        <f t="shared" si="3"/>
        <v>45779</v>
      </c>
      <c r="B323" s="269"/>
      <c r="C323" s="296"/>
      <c r="D323" s="296"/>
      <c r="E323" s="296"/>
      <c r="F323" s="296"/>
      <c r="G323" s="259"/>
      <c r="H323" s="281">
        <f t="shared" si="652"/>
        <v>2006400</v>
      </c>
      <c r="I323" s="259"/>
      <c r="J323" s="259"/>
      <c r="K323" s="279">
        <f t="shared" si="653"/>
        <v>481800</v>
      </c>
      <c r="L323" s="266"/>
      <c r="M323" s="266"/>
      <c r="N323" s="279"/>
      <c r="O323" s="269"/>
      <c r="P323" s="269"/>
      <c r="Q323" s="269">
        <f t="shared" si="654"/>
        <v>577755</v>
      </c>
      <c r="R323" s="270">
        <v>0.0</v>
      </c>
      <c r="S323" s="266">
        <f>S324+150000+825.8473+122+150</f>
        <v>652749.5419</v>
      </c>
      <c r="T323" s="279">
        <f t="shared" si="559"/>
        <v>500070</v>
      </c>
      <c r="U323" s="279"/>
      <c r="V323" s="279">
        <f t="shared" si="435"/>
        <v>202920</v>
      </c>
      <c r="W323" s="266"/>
      <c r="X323" s="266"/>
      <c r="Y323" s="266"/>
      <c r="Z323" s="266"/>
      <c r="AA323" s="277">
        <f>426961+702262-150000+38000+299492-150000</f>
        <v>1166715</v>
      </c>
      <c r="AB323" s="280">
        <f t="shared" si="540"/>
        <v>1776707.383</v>
      </c>
      <c r="AC323" s="279">
        <f t="shared" si="651"/>
        <v>3810555.583</v>
      </c>
      <c r="AD323" s="279">
        <f t="shared" si="601"/>
        <v>1146.575343</v>
      </c>
      <c r="AE323" s="283">
        <f t="shared" si="546"/>
        <v>5588409.542</v>
      </c>
      <c r="AF323" s="273">
        <f t="shared" si="22"/>
        <v>0.656672568</v>
      </c>
      <c r="AG323" s="274">
        <f t="shared" si="23"/>
        <v>3811702.159</v>
      </c>
    </row>
    <row r="324">
      <c r="A324" s="264">
        <f t="shared" si="3"/>
        <v>45778</v>
      </c>
      <c r="B324" s="269"/>
      <c r="C324" s="296"/>
      <c r="D324" s="296"/>
      <c r="E324" s="296"/>
      <c r="F324" s="296"/>
      <c r="G324" s="259"/>
      <c r="H324" s="281">
        <f t="shared" si="652"/>
        <v>2006400</v>
      </c>
      <c r="I324" s="259"/>
      <c r="J324" s="259"/>
      <c r="K324" s="279">
        <f t="shared" si="653"/>
        <v>481800</v>
      </c>
      <c r="L324" s="266"/>
      <c r="M324" s="266"/>
      <c r="N324" s="279"/>
      <c r="O324" s="269"/>
      <c r="P324" s="269"/>
      <c r="Q324" s="269">
        <f t="shared" ref="Q324:Q325" si="657">333*1725</f>
        <v>574425</v>
      </c>
      <c r="R324" s="270">
        <v>0.0</v>
      </c>
      <c r="S324" s="266">
        <f t="shared" ref="S324:S325" si="658">S325+825.8473</f>
        <v>501651.6946</v>
      </c>
      <c r="T324" s="279">
        <f t="shared" ref="T324:T325" si="659">500000</f>
        <v>500000</v>
      </c>
      <c r="U324" s="279"/>
      <c r="V324" s="279">
        <f t="shared" si="435"/>
        <v>202920</v>
      </c>
      <c r="W324" s="266"/>
      <c r="X324" s="266"/>
      <c r="Y324" s="266"/>
      <c r="Z324" s="266"/>
      <c r="AA324" s="277">
        <f>426961+702262-150000+38000+299492</f>
        <v>1316715</v>
      </c>
      <c r="AB324" s="280">
        <f t="shared" si="540"/>
        <v>1776110.255</v>
      </c>
      <c r="AC324" s="279">
        <f t="shared" si="651"/>
        <v>3807037.056</v>
      </c>
      <c r="AD324" s="279">
        <f t="shared" si="601"/>
        <v>764.383562</v>
      </c>
      <c r="AE324" s="283">
        <f t="shared" si="546"/>
        <v>5583911.695</v>
      </c>
      <c r="AF324" s="273">
        <f t="shared" si="22"/>
        <v>0.7413475576</v>
      </c>
      <c r="AG324" s="274">
        <f t="shared" si="23"/>
        <v>3807801.439</v>
      </c>
    </row>
    <row r="325">
      <c r="A325" s="264">
        <f t="shared" si="3"/>
        <v>45777</v>
      </c>
      <c r="B325" s="269"/>
      <c r="C325" s="296"/>
      <c r="D325" s="296"/>
      <c r="E325" s="296"/>
      <c r="F325" s="296"/>
      <c r="G325" s="259"/>
      <c r="H325" s="281">
        <f t="shared" si="652"/>
        <v>2006400</v>
      </c>
      <c r="I325" s="259"/>
      <c r="J325" s="259"/>
      <c r="K325" s="279">
        <f t="shared" si="653"/>
        <v>481800</v>
      </c>
      <c r="L325" s="266"/>
      <c r="M325" s="266"/>
      <c r="N325" s="279"/>
      <c r="O325" s="269"/>
      <c r="P325" s="269"/>
      <c r="Q325" s="269">
        <f t="shared" si="657"/>
        <v>574425</v>
      </c>
      <c r="R325" s="270">
        <v>0.0</v>
      </c>
      <c r="S325" s="266">
        <f t="shared" si="658"/>
        <v>500825.8473</v>
      </c>
      <c r="T325" s="279">
        <f t="shared" si="659"/>
        <v>500000</v>
      </c>
      <c r="U325" s="279"/>
      <c r="V325" s="279">
        <f t="shared" si="435"/>
        <v>202920</v>
      </c>
      <c r="W325" s="266"/>
      <c r="X325" s="266"/>
      <c r="Y325" s="266"/>
      <c r="Z325" s="266"/>
      <c r="AA325" s="277">
        <f>426961+702262-150000+38000</f>
        <v>1017223</v>
      </c>
      <c r="AB325" s="280">
        <f t="shared" si="540"/>
        <v>1479693.128</v>
      </c>
      <c r="AC325" s="279">
        <f t="shared" si="651"/>
        <v>3803518.528</v>
      </c>
      <c r="AD325" s="279">
        <f t="shared" si="601"/>
        <v>382.191781</v>
      </c>
      <c r="AE325" s="283">
        <f t="shared" si="546"/>
        <v>5283593.847</v>
      </c>
      <c r="AF325" s="273">
        <f t="shared" si="22"/>
        <v>0.687455379</v>
      </c>
      <c r="AG325" s="274">
        <f t="shared" si="23"/>
        <v>3803900.72</v>
      </c>
    </row>
    <row r="326">
      <c r="A326" s="264">
        <f t="shared" si="3"/>
        <v>45776</v>
      </c>
      <c r="B326" s="269"/>
      <c r="C326" s="296"/>
      <c r="D326" s="296"/>
      <c r="E326" s="296"/>
      <c r="F326" s="296"/>
      <c r="G326" s="259"/>
      <c r="H326" s="281">
        <f>38*52000</f>
        <v>1976000</v>
      </c>
      <c r="I326" s="259"/>
      <c r="J326" s="259"/>
      <c r="K326" s="279">
        <f>22*21763</f>
        <v>478786</v>
      </c>
      <c r="L326" s="279"/>
      <c r="M326" s="279"/>
      <c r="N326" s="279"/>
      <c r="O326" s="269"/>
      <c r="P326" s="269"/>
      <c r="Q326" s="269">
        <f>333*1745</f>
        <v>581085</v>
      </c>
      <c r="R326" s="270">
        <v>0.0</v>
      </c>
      <c r="S326" s="279">
        <f t="shared" ref="S326:T326" si="660">500000</f>
        <v>500000</v>
      </c>
      <c r="T326" s="279">
        <f t="shared" si="660"/>
        <v>500000</v>
      </c>
      <c r="U326" s="279"/>
      <c r="V326" s="279">
        <f t="shared" si="435"/>
        <v>202920</v>
      </c>
      <c r="W326" s="266"/>
      <c r="X326" s="266"/>
      <c r="Y326" s="266"/>
      <c r="Z326" s="266"/>
      <c r="AA326" s="277">
        <f>426961+702262-150000+38000+80000</f>
        <v>1097223</v>
      </c>
      <c r="AB326" s="280">
        <f t="shared" si="540"/>
        <v>1536014</v>
      </c>
      <c r="AC326" s="279">
        <f>3800000</f>
        <v>3800000</v>
      </c>
      <c r="AD326" s="279"/>
      <c r="AE326" s="283">
        <f t="shared" si="546"/>
        <v>5336014</v>
      </c>
      <c r="AF326" s="273">
        <f t="shared" si="22"/>
        <v>0.7143313798</v>
      </c>
      <c r="AG326" s="274">
        <f t="shared" si="23"/>
        <v>3800000</v>
      </c>
    </row>
    <row r="327">
      <c r="A327" s="264">
        <f t="shared" si="3"/>
        <v>45775</v>
      </c>
      <c r="B327" s="269"/>
      <c r="C327" s="296"/>
      <c r="D327" s="296"/>
      <c r="E327" s="296"/>
      <c r="F327" s="296"/>
      <c r="G327" s="297"/>
      <c r="H327" s="281">
        <f>51200*38</f>
        <v>1945600</v>
      </c>
      <c r="I327" s="281">
        <f>49620</f>
        <v>49620</v>
      </c>
      <c r="J327" s="281">
        <f>37800*3</f>
        <v>113400</v>
      </c>
      <c r="K327" s="279"/>
      <c r="L327" s="279"/>
      <c r="M327" s="279"/>
      <c r="N327" s="279"/>
      <c r="O327" s="269"/>
      <c r="P327" s="269"/>
      <c r="Q327" s="269">
        <f>1750*9</f>
        <v>15750</v>
      </c>
      <c r="R327" s="279">
        <f>698658+55106-676904+8000-4860</f>
        <v>80000</v>
      </c>
      <c r="S327" s="279"/>
      <c r="T327" s="279"/>
      <c r="U327" s="279"/>
      <c r="V327" s="279">
        <f t="shared" si="435"/>
        <v>202920</v>
      </c>
      <c r="W327" s="298"/>
      <c r="X327" s="298"/>
      <c r="Y327" s="298"/>
      <c r="Z327" s="298"/>
      <c r="AA327" s="277">
        <f t="shared" ref="AA327:AA332" si="661">50000+70000+50000+20000+477375-652500+11000+542275-316733+73500</f>
        <v>324917</v>
      </c>
      <c r="AB327" s="280">
        <f t="shared" ref="AB327:AB399" si="662">SUM(G327:AA327)</f>
        <v>2732207</v>
      </c>
      <c r="AC327" s="279"/>
      <c r="AD327" s="279"/>
      <c r="AE327" s="283">
        <f t="shared" si="546"/>
        <v>2732207</v>
      </c>
      <c r="AF327" s="273">
        <f t="shared" si="22"/>
        <v>0.1189210774</v>
      </c>
      <c r="AG327" s="274">
        <f t="shared" si="23"/>
        <v>0</v>
      </c>
    </row>
    <row r="328">
      <c r="A328" s="284">
        <f t="shared" si="3"/>
        <v>45774</v>
      </c>
      <c r="B328" s="269"/>
      <c r="C328" s="296"/>
      <c r="D328" s="296"/>
      <c r="E328" s="296"/>
      <c r="F328" s="296"/>
      <c r="G328" s="297"/>
      <c r="H328" s="281">
        <f t="shared" ref="H328:H330" si="663">50400*38</f>
        <v>1915200</v>
      </c>
      <c r="I328" s="281">
        <f t="shared" ref="I328:I330" si="664">52880</f>
        <v>52880</v>
      </c>
      <c r="J328" s="281">
        <f t="shared" ref="J328:J330" si="665">37900*3</f>
        <v>113700</v>
      </c>
      <c r="K328" s="279"/>
      <c r="L328" s="279"/>
      <c r="M328" s="279"/>
      <c r="N328" s="279"/>
      <c r="O328" s="269"/>
      <c r="P328" s="269"/>
      <c r="Q328" s="269">
        <f t="shared" ref="Q328:Q330" si="666">1830*9</f>
        <v>16470</v>
      </c>
      <c r="R328" s="279">
        <f t="shared" ref="R328:R346" si="667">698658+55106-676904+8000</f>
        <v>84860</v>
      </c>
      <c r="S328" s="279"/>
      <c r="T328" s="279"/>
      <c r="U328" s="279"/>
      <c r="V328" s="279">
        <f t="shared" si="435"/>
        <v>202920</v>
      </c>
      <c r="W328" s="298"/>
      <c r="X328" s="298"/>
      <c r="Y328" s="298"/>
      <c r="Z328" s="298"/>
      <c r="AA328" s="277">
        <f t="shared" si="661"/>
        <v>324917</v>
      </c>
      <c r="AB328" s="280">
        <f t="shared" si="662"/>
        <v>2710947</v>
      </c>
      <c r="AC328" s="279"/>
      <c r="AD328" s="279"/>
      <c r="AE328" s="283">
        <f t="shared" si="546"/>
        <v>2710947</v>
      </c>
      <c r="AF328" s="273">
        <f t="shared" si="22"/>
        <v>0.1198536895</v>
      </c>
      <c r="AG328" s="274">
        <f t="shared" si="23"/>
        <v>0</v>
      </c>
    </row>
    <row r="329">
      <c r="A329" s="284">
        <f t="shared" si="3"/>
        <v>45773</v>
      </c>
      <c r="B329" s="269"/>
      <c r="C329" s="296"/>
      <c r="D329" s="296"/>
      <c r="E329" s="296"/>
      <c r="F329" s="296"/>
      <c r="G329" s="297"/>
      <c r="H329" s="281">
        <f t="shared" si="663"/>
        <v>1915200</v>
      </c>
      <c r="I329" s="281">
        <f t="shared" si="664"/>
        <v>52880</v>
      </c>
      <c r="J329" s="281">
        <f t="shared" si="665"/>
        <v>113700</v>
      </c>
      <c r="K329" s="279"/>
      <c r="L329" s="279"/>
      <c r="M329" s="279"/>
      <c r="N329" s="279"/>
      <c r="O329" s="269"/>
      <c r="P329" s="269"/>
      <c r="Q329" s="269">
        <f t="shared" si="666"/>
        <v>16470</v>
      </c>
      <c r="R329" s="279">
        <f t="shared" si="667"/>
        <v>84860</v>
      </c>
      <c r="S329" s="279"/>
      <c r="T329" s="279"/>
      <c r="U329" s="279"/>
      <c r="V329" s="279">
        <f t="shared" si="435"/>
        <v>202920</v>
      </c>
      <c r="W329" s="298"/>
      <c r="X329" s="298"/>
      <c r="Y329" s="298"/>
      <c r="Z329" s="298"/>
      <c r="AA329" s="277">
        <f t="shared" si="661"/>
        <v>324917</v>
      </c>
      <c r="AB329" s="280">
        <f t="shared" si="662"/>
        <v>2710947</v>
      </c>
      <c r="AC329" s="279"/>
      <c r="AD329" s="279"/>
      <c r="AE329" s="283">
        <f t="shared" si="546"/>
        <v>2710947</v>
      </c>
      <c r="AF329" s="273">
        <f t="shared" si="22"/>
        <v>0.1198536895</v>
      </c>
      <c r="AG329" s="274">
        <f t="shared" si="23"/>
        <v>0</v>
      </c>
    </row>
    <row r="330">
      <c r="A330" s="264">
        <f t="shared" si="3"/>
        <v>45772</v>
      </c>
      <c r="B330" s="269"/>
      <c r="C330" s="296"/>
      <c r="D330" s="296"/>
      <c r="E330" s="296"/>
      <c r="F330" s="296"/>
      <c r="G330" s="297"/>
      <c r="H330" s="281">
        <f t="shared" si="663"/>
        <v>1915200</v>
      </c>
      <c r="I330" s="281">
        <f t="shared" si="664"/>
        <v>52880</v>
      </c>
      <c r="J330" s="281">
        <f t="shared" si="665"/>
        <v>113700</v>
      </c>
      <c r="K330" s="279"/>
      <c r="L330" s="279"/>
      <c r="M330" s="279"/>
      <c r="N330" s="279"/>
      <c r="O330" s="269"/>
      <c r="P330" s="269"/>
      <c r="Q330" s="269">
        <f t="shared" si="666"/>
        <v>16470</v>
      </c>
      <c r="R330" s="279">
        <f t="shared" si="667"/>
        <v>84860</v>
      </c>
      <c r="S330" s="279"/>
      <c r="T330" s="279"/>
      <c r="U330" s="279"/>
      <c r="V330" s="279">
        <f t="shared" si="435"/>
        <v>202920</v>
      </c>
      <c r="W330" s="298"/>
      <c r="X330" s="298"/>
      <c r="Y330" s="298"/>
      <c r="Z330" s="298"/>
      <c r="AA330" s="277">
        <f t="shared" si="661"/>
        <v>324917</v>
      </c>
      <c r="AB330" s="280">
        <f t="shared" si="662"/>
        <v>2710947</v>
      </c>
      <c r="AC330" s="279"/>
      <c r="AD330" s="279"/>
      <c r="AE330" s="283">
        <f t="shared" si="546"/>
        <v>2710947</v>
      </c>
      <c r="AF330" s="273">
        <f t="shared" si="22"/>
        <v>0.1198536895</v>
      </c>
      <c r="AG330" s="274">
        <f t="shared" si="23"/>
        <v>0</v>
      </c>
    </row>
    <row r="331">
      <c r="A331" s="264">
        <f t="shared" si="3"/>
        <v>45771</v>
      </c>
      <c r="B331" s="269"/>
      <c r="C331" s="296"/>
      <c r="D331" s="296"/>
      <c r="E331" s="296"/>
      <c r="F331" s="296"/>
      <c r="G331" s="297"/>
      <c r="H331" s="281">
        <f>49980*38</f>
        <v>1899240</v>
      </c>
      <c r="I331" s="281">
        <f>51860</f>
        <v>51860</v>
      </c>
      <c r="J331" s="281">
        <f>38120*3</f>
        <v>114360</v>
      </c>
      <c r="K331" s="279"/>
      <c r="L331" s="279"/>
      <c r="M331" s="279"/>
      <c r="N331" s="279"/>
      <c r="O331" s="269"/>
      <c r="P331" s="269"/>
      <c r="Q331" s="269">
        <f>1840*9</f>
        <v>16560</v>
      </c>
      <c r="R331" s="279">
        <f t="shared" si="667"/>
        <v>84860</v>
      </c>
      <c r="S331" s="279"/>
      <c r="T331" s="279"/>
      <c r="U331" s="279"/>
      <c r="V331" s="279">
        <f t="shared" si="435"/>
        <v>202920</v>
      </c>
      <c r="W331" s="298"/>
      <c r="X331" s="298"/>
      <c r="Y331" s="298"/>
      <c r="Z331" s="298"/>
      <c r="AA331" s="277">
        <f t="shared" si="661"/>
        <v>324917</v>
      </c>
      <c r="AB331" s="280">
        <f t="shared" si="662"/>
        <v>2694717</v>
      </c>
      <c r="AC331" s="279"/>
      <c r="AD331" s="279"/>
      <c r="AE331" s="283">
        <f t="shared" si="546"/>
        <v>2694717</v>
      </c>
      <c r="AF331" s="273">
        <f t="shared" si="22"/>
        <v>0.1205755558</v>
      </c>
      <c r="AG331" s="274">
        <f t="shared" si="23"/>
        <v>0</v>
      </c>
    </row>
    <row r="332">
      <c r="A332" s="264">
        <f t="shared" si="3"/>
        <v>45770</v>
      </c>
      <c r="B332" s="269"/>
      <c r="C332" s="296"/>
      <c r="D332" s="296"/>
      <c r="E332" s="296"/>
      <c r="F332" s="296"/>
      <c r="G332" s="297"/>
      <c r="H332" s="281">
        <f>49400*38</f>
        <v>1877200</v>
      </c>
      <c r="I332" s="281">
        <f>52100</f>
        <v>52100</v>
      </c>
      <c r="J332" s="281">
        <f t="shared" ref="J332:J341" si="668">38360*3</f>
        <v>115080</v>
      </c>
      <c r="K332" s="279"/>
      <c r="L332" s="279"/>
      <c r="M332" s="279"/>
      <c r="N332" s="279"/>
      <c r="O332" s="269"/>
      <c r="P332" s="269"/>
      <c r="Q332" s="269">
        <f>1845*9</f>
        <v>16605</v>
      </c>
      <c r="R332" s="279">
        <f t="shared" si="667"/>
        <v>84860</v>
      </c>
      <c r="S332" s="279"/>
      <c r="T332" s="279"/>
      <c r="U332" s="279"/>
      <c r="V332" s="279">
        <f t="shared" si="435"/>
        <v>202920</v>
      </c>
      <c r="W332" s="298"/>
      <c r="X332" s="298"/>
      <c r="Y332" s="298"/>
      <c r="Z332" s="298"/>
      <c r="AA332" s="277">
        <f t="shared" si="661"/>
        <v>324917</v>
      </c>
      <c r="AB332" s="280">
        <f t="shared" si="662"/>
        <v>2673682</v>
      </c>
      <c r="AC332" s="279"/>
      <c r="AD332" s="279"/>
      <c r="AE332" s="283">
        <f t="shared" si="546"/>
        <v>2673682</v>
      </c>
      <c r="AF332" s="273">
        <f t="shared" si="22"/>
        <v>0.1215241753</v>
      </c>
      <c r="AG332" s="274">
        <f t="shared" si="23"/>
        <v>0</v>
      </c>
    </row>
    <row r="333">
      <c r="A333" s="264">
        <f t="shared" si="3"/>
        <v>45769</v>
      </c>
      <c r="B333" s="269"/>
      <c r="C333" s="296"/>
      <c r="D333" s="296"/>
      <c r="E333" s="296"/>
      <c r="F333" s="296"/>
      <c r="G333" s="297"/>
      <c r="H333" s="281">
        <f>47900*38</f>
        <v>1820200</v>
      </c>
      <c r="I333" s="281">
        <f t="shared" ref="I333:I334" si="669">50000</f>
        <v>50000</v>
      </c>
      <c r="J333" s="281">
        <f t="shared" si="668"/>
        <v>115080</v>
      </c>
      <c r="K333" s="279"/>
      <c r="L333" s="279"/>
      <c r="M333" s="279"/>
      <c r="N333" s="279"/>
      <c r="O333" s="269"/>
      <c r="P333" s="269"/>
      <c r="Q333" s="269">
        <f t="shared" ref="Q333:Q341" si="670">1920*9</f>
        <v>17280</v>
      </c>
      <c r="R333" s="279">
        <f t="shared" si="667"/>
        <v>84860</v>
      </c>
      <c r="S333" s="279"/>
      <c r="T333" s="279"/>
      <c r="U333" s="279"/>
      <c r="V333" s="279">
        <f t="shared" si="435"/>
        <v>202920</v>
      </c>
      <c r="W333" s="298"/>
      <c r="X333" s="298"/>
      <c r="Y333" s="298"/>
      <c r="Z333" s="298"/>
      <c r="AA333" s="277">
        <f t="shared" ref="AA333:AA334" si="671">50000+70000+50000+20000+477375-652500+11000+542275-316733</f>
        <v>251417</v>
      </c>
      <c r="AB333" s="280">
        <f t="shared" si="662"/>
        <v>2541757</v>
      </c>
      <c r="AC333" s="279"/>
      <c r="AD333" s="279"/>
      <c r="AE333" s="283">
        <f t="shared" si="546"/>
        <v>2541757</v>
      </c>
      <c r="AF333" s="273">
        <f t="shared" si="22"/>
        <v>0.09891464841</v>
      </c>
      <c r="AG333" s="274">
        <f t="shared" si="23"/>
        <v>0</v>
      </c>
    </row>
    <row r="334">
      <c r="A334" s="264">
        <f t="shared" si="3"/>
        <v>45768</v>
      </c>
      <c r="B334" s="269"/>
      <c r="C334" s="296"/>
      <c r="D334" s="296"/>
      <c r="E334" s="296"/>
      <c r="F334" s="296"/>
      <c r="G334" s="297"/>
      <c r="H334" s="281">
        <f>45420*38</f>
        <v>1725960</v>
      </c>
      <c r="I334" s="281">
        <f t="shared" si="669"/>
        <v>50000</v>
      </c>
      <c r="J334" s="281">
        <f t="shared" si="668"/>
        <v>115080</v>
      </c>
      <c r="K334" s="279"/>
      <c r="L334" s="279"/>
      <c r="M334" s="279"/>
      <c r="N334" s="279"/>
      <c r="O334" s="269"/>
      <c r="P334" s="269"/>
      <c r="Q334" s="269">
        <f t="shared" si="670"/>
        <v>17280</v>
      </c>
      <c r="R334" s="279">
        <f t="shared" si="667"/>
        <v>84860</v>
      </c>
      <c r="S334" s="279"/>
      <c r="T334" s="279"/>
      <c r="U334" s="279"/>
      <c r="V334" s="279">
        <f t="shared" si="435"/>
        <v>202920</v>
      </c>
      <c r="W334" s="298"/>
      <c r="X334" s="298"/>
      <c r="Y334" s="298"/>
      <c r="Z334" s="298"/>
      <c r="AA334" s="277">
        <f t="shared" si="671"/>
        <v>251417</v>
      </c>
      <c r="AB334" s="280">
        <f t="shared" si="662"/>
        <v>2447517</v>
      </c>
      <c r="AC334" s="279"/>
      <c r="AD334" s="279"/>
      <c r="AE334" s="283">
        <f t="shared" si="546"/>
        <v>2447517</v>
      </c>
      <c r="AF334" s="273">
        <f t="shared" si="22"/>
        <v>0.1027232906</v>
      </c>
      <c r="AG334" s="274">
        <f t="shared" si="23"/>
        <v>0</v>
      </c>
    </row>
    <row r="335">
      <c r="A335" s="284">
        <f t="shared" si="3"/>
        <v>45767</v>
      </c>
      <c r="B335" s="269"/>
      <c r="C335" s="296"/>
      <c r="D335" s="296"/>
      <c r="E335" s="296"/>
      <c r="F335" s="296"/>
      <c r="G335" s="297"/>
      <c r="H335" s="281">
        <f t="shared" ref="H335:H339" si="672">46380*38</f>
        <v>1762440</v>
      </c>
      <c r="I335" s="281">
        <f t="shared" ref="I335:I339" si="673">51060</f>
        <v>51060</v>
      </c>
      <c r="J335" s="281">
        <f t="shared" si="668"/>
        <v>115080</v>
      </c>
      <c r="K335" s="279"/>
      <c r="L335" s="279"/>
      <c r="M335" s="279"/>
      <c r="N335" s="279"/>
      <c r="O335" s="269"/>
      <c r="P335" s="269"/>
      <c r="Q335" s="269">
        <f t="shared" si="670"/>
        <v>17280</v>
      </c>
      <c r="R335" s="279">
        <f t="shared" si="667"/>
        <v>84860</v>
      </c>
      <c r="S335" s="279"/>
      <c r="T335" s="279"/>
      <c r="U335" s="279"/>
      <c r="V335" s="279">
        <f t="shared" si="435"/>
        <v>202920</v>
      </c>
      <c r="W335" s="298"/>
      <c r="X335" s="298"/>
      <c r="Y335" s="298"/>
      <c r="Z335" s="298"/>
      <c r="AA335" s="277">
        <f t="shared" ref="AA335:AA344" si="674">50000+70000+50000+20000+477375-652500+11000+542275</f>
        <v>568150</v>
      </c>
      <c r="AB335" s="280">
        <f t="shared" si="662"/>
        <v>2801790</v>
      </c>
      <c r="AC335" s="279"/>
      <c r="AD335" s="279"/>
      <c r="AE335" s="283">
        <f t="shared" si="546"/>
        <v>2801790</v>
      </c>
      <c r="AF335" s="273">
        <f t="shared" si="22"/>
        <v>0.2027810792</v>
      </c>
      <c r="AG335" s="274">
        <f t="shared" si="23"/>
        <v>0</v>
      </c>
    </row>
    <row r="336">
      <c r="A336" s="284">
        <f t="shared" si="3"/>
        <v>45766</v>
      </c>
      <c r="B336" s="269"/>
      <c r="C336" s="296"/>
      <c r="D336" s="296"/>
      <c r="E336" s="296"/>
      <c r="F336" s="296"/>
      <c r="G336" s="297"/>
      <c r="H336" s="281">
        <f t="shared" si="672"/>
        <v>1762440</v>
      </c>
      <c r="I336" s="281">
        <f t="shared" si="673"/>
        <v>51060</v>
      </c>
      <c r="J336" s="281">
        <f t="shared" si="668"/>
        <v>115080</v>
      </c>
      <c r="K336" s="279"/>
      <c r="L336" s="279"/>
      <c r="M336" s="279"/>
      <c r="N336" s="279"/>
      <c r="O336" s="269"/>
      <c r="P336" s="269"/>
      <c r="Q336" s="269">
        <f t="shared" si="670"/>
        <v>17280</v>
      </c>
      <c r="R336" s="279">
        <f t="shared" si="667"/>
        <v>84860</v>
      </c>
      <c r="S336" s="279"/>
      <c r="T336" s="279"/>
      <c r="U336" s="279"/>
      <c r="V336" s="279">
        <f t="shared" si="435"/>
        <v>202920</v>
      </c>
      <c r="W336" s="298"/>
      <c r="X336" s="298"/>
      <c r="Y336" s="298"/>
      <c r="Z336" s="298"/>
      <c r="AA336" s="277">
        <f t="shared" si="674"/>
        <v>568150</v>
      </c>
      <c r="AB336" s="280">
        <f t="shared" si="662"/>
        <v>2801790</v>
      </c>
      <c r="AC336" s="279"/>
      <c r="AD336" s="279"/>
      <c r="AE336" s="283">
        <f t="shared" si="546"/>
        <v>2801790</v>
      </c>
      <c r="AF336" s="273">
        <f t="shared" si="22"/>
        <v>0.2027810792</v>
      </c>
      <c r="AG336" s="274">
        <f t="shared" si="23"/>
        <v>0</v>
      </c>
    </row>
    <row r="337">
      <c r="A337" s="275">
        <f t="shared" si="3"/>
        <v>45765</v>
      </c>
      <c r="B337" s="269"/>
      <c r="C337" s="296"/>
      <c r="D337" s="296"/>
      <c r="E337" s="296"/>
      <c r="F337" s="296"/>
      <c r="G337" s="297"/>
      <c r="H337" s="281">
        <f t="shared" si="672"/>
        <v>1762440</v>
      </c>
      <c r="I337" s="281">
        <f t="shared" si="673"/>
        <v>51060</v>
      </c>
      <c r="J337" s="281">
        <f t="shared" si="668"/>
        <v>115080</v>
      </c>
      <c r="K337" s="279"/>
      <c r="L337" s="279"/>
      <c r="M337" s="279"/>
      <c r="N337" s="279"/>
      <c r="O337" s="269"/>
      <c r="P337" s="269"/>
      <c r="Q337" s="269">
        <f t="shared" si="670"/>
        <v>17280</v>
      </c>
      <c r="R337" s="279">
        <f t="shared" si="667"/>
        <v>84860</v>
      </c>
      <c r="S337" s="279"/>
      <c r="T337" s="279"/>
      <c r="U337" s="279"/>
      <c r="V337" s="279">
        <f t="shared" si="435"/>
        <v>202920</v>
      </c>
      <c r="W337" s="298"/>
      <c r="X337" s="298"/>
      <c r="Y337" s="298"/>
      <c r="Z337" s="298"/>
      <c r="AA337" s="277">
        <f t="shared" si="674"/>
        <v>568150</v>
      </c>
      <c r="AB337" s="280">
        <f t="shared" si="662"/>
        <v>2801790</v>
      </c>
      <c r="AC337" s="279"/>
      <c r="AD337" s="279"/>
      <c r="AE337" s="283">
        <f t="shared" si="546"/>
        <v>2801790</v>
      </c>
      <c r="AF337" s="273">
        <f t="shared" si="22"/>
        <v>0.2027810792</v>
      </c>
      <c r="AG337" s="274">
        <f t="shared" si="23"/>
        <v>0</v>
      </c>
    </row>
    <row r="338">
      <c r="A338" s="275">
        <f t="shared" si="3"/>
        <v>45764</v>
      </c>
      <c r="B338" s="269"/>
      <c r="C338" s="296"/>
      <c r="D338" s="296"/>
      <c r="E338" s="296"/>
      <c r="F338" s="296"/>
      <c r="G338" s="297"/>
      <c r="H338" s="281">
        <f t="shared" si="672"/>
        <v>1762440</v>
      </c>
      <c r="I338" s="281">
        <f t="shared" si="673"/>
        <v>51060</v>
      </c>
      <c r="J338" s="281">
        <f t="shared" si="668"/>
        <v>115080</v>
      </c>
      <c r="K338" s="279"/>
      <c r="L338" s="279"/>
      <c r="M338" s="279"/>
      <c r="N338" s="279"/>
      <c r="O338" s="269"/>
      <c r="P338" s="269"/>
      <c r="Q338" s="269">
        <f t="shared" si="670"/>
        <v>17280</v>
      </c>
      <c r="R338" s="279">
        <f t="shared" si="667"/>
        <v>84860</v>
      </c>
      <c r="S338" s="279"/>
      <c r="T338" s="279"/>
      <c r="U338" s="279"/>
      <c r="V338" s="279">
        <f t="shared" si="435"/>
        <v>202920</v>
      </c>
      <c r="W338" s="298"/>
      <c r="X338" s="298"/>
      <c r="Y338" s="298"/>
      <c r="Z338" s="298"/>
      <c r="AA338" s="277">
        <f t="shared" si="674"/>
        <v>568150</v>
      </c>
      <c r="AB338" s="280">
        <f t="shared" si="662"/>
        <v>2801790</v>
      </c>
      <c r="AC338" s="279"/>
      <c r="AD338" s="279"/>
      <c r="AE338" s="283">
        <f t="shared" si="546"/>
        <v>2801790</v>
      </c>
      <c r="AF338" s="273">
        <f t="shared" si="22"/>
        <v>0.2027810792</v>
      </c>
      <c r="AG338" s="274">
        <f t="shared" si="23"/>
        <v>0</v>
      </c>
    </row>
    <row r="339">
      <c r="A339" s="264">
        <f t="shared" si="3"/>
        <v>45763</v>
      </c>
      <c r="B339" s="269"/>
      <c r="C339" s="296"/>
      <c r="D339" s="296"/>
      <c r="E339" s="296"/>
      <c r="F339" s="296"/>
      <c r="G339" s="297"/>
      <c r="H339" s="281">
        <f t="shared" si="672"/>
        <v>1762440</v>
      </c>
      <c r="I339" s="281">
        <f t="shared" si="673"/>
        <v>51060</v>
      </c>
      <c r="J339" s="281">
        <f t="shared" si="668"/>
        <v>115080</v>
      </c>
      <c r="K339" s="279"/>
      <c r="L339" s="279"/>
      <c r="M339" s="279"/>
      <c r="N339" s="279"/>
      <c r="O339" s="269"/>
      <c r="P339" s="269"/>
      <c r="Q339" s="269">
        <f t="shared" si="670"/>
        <v>17280</v>
      </c>
      <c r="R339" s="279">
        <f t="shared" si="667"/>
        <v>84860</v>
      </c>
      <c r="S339" s="279"/>
      <c r="T339" s="279"/>
      <c r="U339" s="279"/>
      <c r="V339" s="279">
        <f t="shared" si="435"/>
        <v>202920</v>
      </c>
      <c r="W339" s="298"/>
      <c r="X339" s="298"/>
      <c r="Y339" s="298"/>
      <c r="Z339" s="298"/>
      <c r="AA339" s="277">
        <f t="shared" si="674"/>
        <v>568150</v>
      </c>
      <c r="AB339" s="280">
        <f t="shared" si="662"/>
        <v>2801790</v>
      </c>
      <c r="AC339" s="279"/>
      <c r="AD339" s="279"/>
      <c r="AE339" s="283">
        <f t="shared" si="546"/>
        <v>2801790</v>
      </c>
      <c r="AF339" s="273">
        <f t="shared" si="22"/>
        <v>0.2027810792</v>
      </c>
      <c r="AG339" s="274">
        <f t="shared" si="23"/>
        <v>0</v>
      </c>
    </row>
    <row r="340">
      <c r="A340" s="264">
        <f t="shared" si="3"/>
        <v>45762</v>
      </c>
      <c r="B340" s="269"/>
      <c r="C340" s="296"/>
      <c r="D340" s="296"/>
      <c r="E340" s="296"/>
      <c r="F340" s="296"/>
      <c r="G340" s="297"/>
      <c r="H340" s="281">
        <f>47200*38</f>
        <v>1793600</v>
      </c>
      <c r="I340" s="281">
        <f>48000</f>
        <v>48000</v>
      </c>
      <c r="J340" s="281">
        <f t="shared" si="668"/>
        <v>115080</v>
      </c>
      <c r="K340" s="279"/>
      <c r="L340" s="279"/>
      <c r="M340" s="279"/>
      <c r="N340" s="279"/>
      <c r="O340" s="269"/>
      <c r="P340" s="269"/>
      <c r="Q340" s="269">
        <f t="shared" si="670"/>
        <v>17280</v>
      </c>
      <c r="R340" s="279">
        <f t="shared" si="667"/>
        <v>84860</v>
      </c>
      <c r="S340" s="279"/>
      <c r="T340" s="279"/>
      <c r="U340" s="279"/>
      <c r="V340" s="279">
        <f t="shared" si="435"/>
        <v>202920</v>
      </c>
      <c r="W340" s="298"/>
      <c r="X340" s="298"/>
      <c r="Y340" s="298"/>
      <c r="Z340" s="298"/>
      <c r="AA340" s="277">
        <f t="shared" si="674"/>
        <v>568150</v>
      </c>
      <c r="AB340" s="280">
        <f t="shared" si="662"/>
        <v>2829890</v>
      </c>
      <c r="AC340" s="279"/>
      <c r="AD340" s="279"/>
      <c r="AE340" s="283">
        <f t="shared" si="546"/>
        <v>2829890</v>
      </c>
      <c r="AF340" s="273">
        <f t="shared" si="22"/>
        <v>0.200767521</v>
      </c>
      <c r="AG340" s="274">
        <f t="shared" si="23"/>
        <v>0</v>
      </c>
    </row>
    <row r="341">
      <c r="A341" s="264">
        <f t="shared" si="3"/>
        <v>45761</v>
      </c>
      <c r="B341" s="269"/>
      <c r="C341" s="296"/>
      <c r="D341" s="296"/>
      <c r="E341" s="296"/>
      <c r="F341" s="296"/>
      <c r="G341" s="297"/>
      <c r="H341" s="281">
        <f>45680*38</f>
        <v>1735840</v>
      </c>
      <c r="I341" s="281">
        <f>46340</f>
        <v>46340</v>
      </c>
      <c r="J341" s="281">
        <f t="shared" si="668"/>
        <v>115080</v>
      </c>
      <c r="K341" s="279"/>
      <c r="L341" s="279"/>
      <c r="M341" s="279"/>
      <c r="N341" s="279"/>
      <c r="O341" s="269"/>
      <c r="P341" s="269"/>
      <c r="Q341" s="269">
        <f t="shared" si="670"/>
        <v>17280</v>
      </c>
      <c r="R341" s="279">
        <f t="shared" si="667"/>
        <v>84860</v>
      </c>
      <c r="S341" s="279"/>
      <c r="T341" s="279"/>
      <c r="U341" s="279"/>
      <c r="V341" s="279">
        <f t="shared" si="435"/>
        <v>202920</v>
      </c>
      <c r="W341" s="298"/>
      <c r="X341" s="298"/>
      <c r="Y341" s="298"/>
      <c r="Z341" s="298"/>
      <c r="AA341" s="277">
        <f t="shared" si="674"/>
        <v>568150</v>
      </c>
      <c r="AB341" s="280">
        <f t="shared" si="662"/>
        <v>2770470</v>
      </c>
      <c r="AC341" s="279"/>
      <c r="AD341" s="279"/>
      <c r="AE341" s="283">
        <f t="shared" si="546"/>
        <v>2770470</v>
      </c>
      <c r="AF341" s="273">
        <f t="shared" si="22"/>
        <v>0.2050735074</v>
      </c>
      <c r="AG341" s="274">
        <f t="shared" si="23"/>
        <v>0</v>
      </c>
    </row>
    <row r="342">
      <c r="A342" s="284">
        <f t="shared" si="3"/>
        <v>45760</v>
      </c>
      <c r="B342" s="269"/>
      <c r="C342" s="296"/>
      <c r="D342" s="296"/>
      <c r="E342" s="296"/>
      <c r="F342" s="296"/>
      <c r="G342" s="297"/>
      <c r="H342" s="281">
        <f t="shared" ref="H342:H344" si="675">44900*38</f>
        <v>1706200</v>
      </c>
      <c r="I342" s="281">
        <f t="shared" ref="I342:I344" si="676">45700</f>
        <v>45700</v>
      </c>
      <c r="J342" s="281">
        <f t="shared" ref="J342:J344" si="677">38560*3</f>
        <v>115680</v>
      </c>
      <c r="K342" s="279"/>
      <c r="L342" s="279"/>
      <c r="M342" s="279"/>
      <c r="N342" s="279"/>
      <c r="O342" s="269"/>
      <c r="P342" s="269"/>
      <c r="Q342" s="269">
        <f t="shared" ref="Q342:Q345" si="678">1875*9</f>
        <v>16875</v>
      </c>
      <c r="R342" s="279">
        <f t="shared" si="667"/>
        <v>84860</v>
      </c>
      <c r="S342" s="279"/>
      <c r="T342" s="279"/>
      <c r="U342" s="279"/>
      <c r="V342" s="279">
        <f t="shared" si="435"/>
        <v>202920</v>
      </c>
      <c r="W342" s="298"/>
      <c r="X342" s="298"/>
      <c r="Y342" s="298"/>
      <c r="Z342" s="298"/>
      <c r="AA342" s="277">
        <f t="shared" si="674"/>
        <v>568150</v>
      </c>
      <c r="AB342" s="280">
        <f t="shared" si="662"/>
        <v>2740385</v>
      </c>
      <c r="AC342" s="279"/>
      <c r="AD342" s="279"/>
      <c r="AE342" s="283">
        <f t="shared" si="546"/>
        <v>2740385</v>
      </c>
      <c r="AF342" s="273">
        <f t="shared" si="22"/>
        <v>0.2073248832</v>
      </c>
      <c r="AG342" s="274">
        <f t="shared" si="23"/>
        <v>0</v>
      </c>
    </row>
    <row r="343">
      <c r="A343" s="284">
        <f t="shared" si="3"/>
        <v>45759</v>
      </c>
      <c r="B343" s="269"/>
      <c r="C343" s="296"/>
      <c r="D343" s="296"/>
      <c r="E343" s="296"/>
      <c r="F343" s="296"/>
      <c r="G343" s="297"/>
      <c r="H343" s="281">
        <f t="shared" si="675"/>
        <v>1706200</v>
      </c>
      <c r="I343" s="281">
        <f t="shared" si="676"/>
        <v>45700</v>
      </c>
      <c r="J343" s="281">
        <f t="shared" si="677"/>
        <v>115680</v>
      </c>
      <c r="K343" s="279"/>
      <c r="L343" s="279"/>
      <c r="M343" s="279"/>
      <c r="N343" s="279"/>
      <c r="O343" s="269"/>
      <c r="P343" s="269"/>
      <c r="Q343" s="269">
        <f t="shared" si="678"/>
        <v>16875</v>
      </c>
      <c r="R343" s="279">
        <f t="shared" si="667"/>
        <v>84860</v>
      </c>
      <c r="S343" s="279"/>
      <c r="T343" s="279"/>
      <c r="U343" s="279"/>
      <c r="V343" s="279">
        <f t="shared" si="435"/>
        <v>202920</v>
      </c>
      <c r="W343" s="298"/>
      <c r="X343" s="298"/>
      <c r="Y343" s="298"/>
      <c r="Z343" s="298"/>
      <c r="AA343" s="277">
        <f t="shared" si="674"/>
        <v>568150</v>
      </c>
      <c r="AB343" s="280">
        <f t="shared" si="662"/>
        <v>2740385</v>
      </c>
      <c r="AC343" s="279"/>
      <c r="AD343" s="279"/>
      <c r="AE343" s="283">
        <f t="shared" si="546"/>
        <v>2740385</v>
      </c>
      <c r="AF343" s="273">
        <f t="shared" si="22"/>
        <v>0.2073248832</v>
      </c>
      <c r="AG343" s="274">
        <f t="shared" si="23"/>
        <v>0</v>
      </c>
    </row>
    <row r="344">
      <c r="A344" s="264">
        <f t="shared" si="3"/>
        <v>45758</v>
      </c>
      <c r="B344" s="269"/>
      <c r="C344" s="296"/>
      <c r="D344" s="296"/>
      <c r="E344" s="296"/>
      <c r="F344" s="296"/>
      <c r="G344" s="297"/>
      <c r="H344" s="281">
        <f t="shared" si="675"/>
        <v>1706200</v>
      </c>
      <c r="I344" s="281">
        <f t="shared" si="676"/>
        <v>45700</v>
      </c>
      <c r="J344" s="281">
        <f t="shared" si="677"/>
        <v>115680</v>
      </c>
      <c r="K344" s="279"/>
      <c r="L344" s="279"/>
      <c r="M344" s="279"/>
      <c r="N344" s="279"/>
      <c r="O344" s="269"/>
      <c r="P344" s="269"/>
      <c r="Q344" s="269">
        <f t="shared" si="678"/>
        <v>16875</v>
      </c>
      <c r="R344" s="279">
        <f t="shared" si="667"/>
        <v>84860</v>
      </c>
      <c r="S344" s="279"/>
      <c r="T344" s="279"/>
      <c r="U344" s="279"/>
      <c r="V344" s="279">
        <f t="shared" si="435"/>
        <v>202920</v>
      </c>
      <c r="W344" s="298"/>
      <c r="X344" s="298"/>
      <c r="Y344" s="298"/>
      <c r="Z344" s="298"/>
      <c r="AA344" s="277">
        <f t="shared" si="674"/>
        <v>568150</v>
      </c>
      <c r="AB344" s="280">
        <f t="shared" si="662"/>
        <v>2740385</v>
      </c>
      <c r="AC344" s="279"/>
      <c r="AD344" s="279"/>
      <c r="AE344" s="283">
        <f t="shared" si="546"/>
        <v>2740385</v>
      </c>
      <c r="AF344" s="273">
        <f t="shared" si="22"/>
        <v>0.2073248832</v>
      </c>
      <c r="AG344" s="274">
        <f t="shared" si="23"/>
        <v>0</v>
      </c>
    </row>
    <row r="345">
      <c r="A345" s="264">
        <f t="shared" si="3"/>
        <v>45757</v>
      </c>
      <c r="B345" s="269"/>
      <c r="C345" s="296"/>
      <c r="D345" s="296"/>
      <c r="E345" s="296"/>
      <c r="F345" s="296"/>
      <c r="G345" s="297"/>
      <c r="H345" s="281">
        <f>45000*38</f>
        <v>1710000</v>
      </c>
      <c r="I345" s="281">
        <f>46200</f>
        <v>46200</v>
      </c>
      <c r="J345" s="281">
        <f>38800*3</f>
        <v>116400</v>
      </c>
      <c r="K345" s="279"/>
      <c r="L345" s="279"/>
      <c r="M345" s="279"/>
      <c r="N345" s="279"/>
      <c r="O345" s="269"/>
      <c r="P345" s="269"/>
      <c r="Q345" s="269">
        <f t="shared" si="678"/>
        <v>16875</v>
      </c>
      <c r="R345" s="279">
        <f t="shared" si="667"/>
        <v>84860</v>
      </c>
      <c r="S345" s="279"/>
      <c r="T345" s="279"/>
      <c r="U345" s="279"/>
      <c r="V345" s="279">
        <f t="shared" si="435"/>
        <v>202920</v>
      </c>
      <c r="W345" s="298"/>
      <c r="X345" s="298"/>
      <c r="Y345" s="298"/>
      <c r="Z345" s="298"/>
      <c r="AA345" s="277">
        <f t="shared" ref="AA345:AA346" si="679">50000+70000+50000+20000+477375-652500+11000</f>
        <v>25875</v>
      </c>
      <c r="AB345" s="280">
        <f t="shared" si="662"/>
        <v>2203130</v>
      </c>
      <c r="AC345" s="279"/>
      <c r="AD345" s="279"/>
      <c r="AE345" s="283">
        <f t="shared" si="546"/>
        <v>2203130</v>
      </c>
      <c r="AF345" s="273">
        <f t="shared" si="22"/>
        <v>0.0117446542</v>
      </c>
      <c r="AG345" s="274">
        <f t="shared" si="23"/>
        <v>0</v>
      </c>
    </row>
    <row r="346">
      <c r="A346" s="264">
        <f t="shared" si="3"/>
        <v>45756</v>
      </c>
      <c r="B346" s="269"/>
      <c r="C346" s="296"/>
      <c r="D346" s="296"/>
      <c r="E346" s="296"/>
      <c r="F346" s="296"/>
      <c r="G346" s="297"/>
      <c r="H346" s="281">
        <f t="shared" ref="H346:H347" si="680">43500*38</f>
        <v>1653000</v>
      </c>
      <c r="I346" s="281">
        <f t="shared" ref="I346:I347" si="681">46180</f>
        <v>46180</v>
      </c>
      <c r="J346" s="281">
        <f t="shared" ref="J346:J347" si="682">38400*3</f>
        <v>115200</v>
      </c>
      <c r="K346" s="279"/>
      <c r="L346" s="279"/>
      <c r="M346" s="279"/>
      <c r="N346" s="279"/>
      <c r="O346" s="269"/>
      <c r="P346" s="269"/>
      <c r="Q346" s="269">
        <f t="shared" ref="Q346:Q347" si="683">1810*9</f>
        <v>16290</v>
      </c>
      <c r="R346" s="279">
        <f t="shared" si="667"/>
        <v>84860</v>
      </c>
      <c r="S346" s="279"/>
      <c r="T346" s="279"/>
      <c r="U346" s="279"/>
      <c r="V346" s="279">
        <f t="shared" si="435"/>
        <v>202920</v>
      </c>
      <c r="W346" s="298"/>
      <c r="X346" s="298"/>
      <c r="Y346" s="298"/>
      <c r="Z346" s="298"/>
      <c r="AA346" s="277">
        <f t="shared" si="679"/>
        <v>25875</v>
      </c>
      <c r="AB346" s="280">
        <f t="shared" si="662"/>
        <v>2144325</v>
      </c>
      <c r="AC346" s="279"/>
      <c r="AD346" s="279"/>
      <c r="AE346" s="283">
        <f t="shared" si="546"/>
        <v>2144325</v>
      </c>
      <c r="AF346" s="273">
        <f t="shared" si="22"/>
        <v>0.01206673429</v>
      </c>
      <c r="AG346" s="274">
        <f t="shared" si="23"/>
        <v>0</v>
      </c>
    </row>
    <row r="347">
      <c r="A347" s="264">
        <f t="shared" si="3"/>
        <v>45755</v>
      </c>
      <c r="B347" s="269"/>
      <c r="C347" s="296"/>
      <c r="D347" s="296"/>
      <c r="E347" s="296"/>
      <c r="F347" s="296"/>
      <c r="G347" s="297"/>
      <c r="H347" s="281">
        <f t="shared" si="680"/>
        <v>1653000</v>
      </c>
      <c r="I347" s="281">
        <f t="shared" si="681"/>
        <v>46180</v>
      </c>
      <c r="J347" s="281">
        <f t="shared" si="682"/>
        <v>115200</v>
      </c>
      <c r="K347" s="279"/>
      <c r="L347" s="279"/>
      <c r="M347" s="279"/>
      <c r="N347" s="279"/>
      <c r="O347" s="269"/>
      <c r="P347" s="269"/>
      <c r="Q347" s="269">
        <f t="shared" si="683"/>
        <v>16290</v>
      </c>
      <c r="R347" s="279">
        <f t="shared" ref="R347:R399" si="684">698658+55106-676904</f>
        <v>76860</v>
      </c>
      <c r="S347" s="279"/>
      <c r="T347" s="279"/>
      <c r="U347" s="279"/>
      <c r="V347" s="279">
        <f t="shared" si="435"/>
        <v>202920</v>
      </c>
      <c r="W347" s="298"/>
      <c r="X347" s="298"/>
      <c r="Y347" s="298"/>
      <c r="Z347" s="298"/>
      <c r="AA347" s="277">
        <f>50000+70000+50000+20000+477375-652500</f>
        <v>14875</v>
      </c>
      <c r="AB347" s="280">
        <f t="shared" si="662"/>
        <v>2125325</v>
      </c>
      <c r="AC347" s="279"/>
      <c r="AD347" s="279"/>
      <c r="AE347" s="283">
        <f t="shared" si="546"/>
        <v>2125325</v>
      </c>
      <c r="AF347" s="273">
        <f t="shared" si="22"/>
        <v>0.006998929575</v>
      </c>
      <c r="AG347" s="274">
        <f t="shared" si="23"/>
        <v>0</v>
      </c>
    </row>
    <row r="348">
      <c r="A348" s="264">
        <f t="shared" si="3"/>
        <v>45754</v>
      </c>
      <c r="B348" s="269"/>
      <c r="C348" s="296"/>
      <c r="D348" s="296"/>
      <c r="E348" s="296"/>
      <c r="F348" s="296"/>
      <c r="G348" s="297"/>
      <c r="H348" s="281">
        <f>42300*38</f>
        <v>1607400</v>
      </c>
      <c r="I348" s="281">
        <f>48400</f>
        <v>48400</v>
      </c>
      <c r="J348" s="281">
        <f>39600*3</f>
        <v>118800</v>
      </c>
      <c r="K348" s="279"/>
      <c r="L348" s="279"/>
      <c r="M348" s="279"/>
      <c r="N348" s="279"/>
      <c r="O348" s="269"/>
      <c r="P348" s="269"/>
      <c r="Q348" s="269">
        <f>1940*9</f>
        <v>17460</v>
      </c>
      <c r="R348" s="279">
        <f t="shared" si="684"/>
        <v>76860</v>
      </c>
      <c r="S348" s="279"/>
      <c r="T348" s="279"/>
      <c r="U348" s="279"/>
      <c r="V348" s="279">
        <f t="shared" si="435"/>
        <v>202920</v>
      </c>
      <c r="W348" s="298"/>
      <c r="X348" s="298"/>
      <c r="Y348" s="298"/>
      <c r="Z348" s="298"/>
      <c r="AA348" s="277">
        <f t="shared" ref="AA348:AA351" si="685">50000+70000+50000+20000+477375</f>
        <v>667375</v>
      </c>
      <c r="AB348" s="280">
        <f t="shared" si="662"/>
        <v>2739215</v>
      </c>
      <c r="AC348" s="279"/>
      <c r="AD348" s="279"/>
      <c r="AE348" s="283">
        <f t="shared" si="546"/>
        <v>2739215</v>
      </c>
      <c r="AF348" s="273">
        <f t="shared" si="22"/>
        <v>0.2436373195</v>
      </c>
      <c r="AG348" s="274">
        <f t="shared" si="23"/>
        <v>0</v>
      </c>
    </row>
    <row r="349">
      <c r="A349" s="284">
        <f t="shared" si="3"/>
        <v>45753</v>
      </c>
      <c r="B349" s="269"/>
      <c r="C349" s="296"/>
      <c r="D349" s="296"/>
      <c r="E349" s="296"/>
      <c r="F349" s="296"/>
      <c r="G349" s="297"/>
      <c r="H349" s="281">
        <f t="shared" ref="H349:H351" si="686">38000*38</f>
        <v>1444000</v>
      </c>
      <c r="I349" s="281">
        <f t="shared" ref="I349:I351" si="687">48600</f>
        <v>48600</v>
      </c>
      <c r="J349" s="281">
        <f t="shared" ref="J349:J351" si="688">39140*3</f>
        <v>117420</v>
      </c>
      <c r="K349" s="279"/>
      <c r="L349" s="279"/>
      <c r="M349" s="279"/>
      <c r="N349" s="279"/>
      <c r="O349" s="269"/>
      <c r="P349" s="269"/>
      <c r="Q349" s="269">
        <f t="shared" ref="Q349:Q351" si="689">1930*9</f>
        <v>17370</v>
      </c>
      <c r="R349" s="279">
        <f t="shared" si="684"/>
        <v>76860</v>
      </c>
      <c r="S349" s="279"/>
      <c r="T349" s="279"/>
      <c r="U349" s="279"/>
      <c r="V349" s="279">
        <f t="shared" si="435"/>
        <v>202920</v>
      </c>
      <c r="W349" s="298"/>
      <c r="X349" s="298"/>
      <c r="Y349" s="298"/>
      <c r="Z349" s="298"/>
      <c r="AA349" s="277">
        <f t="shared" si="685"/>
        <v>667375</v>
      </c>
      <c r="AB349" s="280">
        <f t="shared" si="662"/>
        <v>2574545</v>
      </c>
      <c r="AC349" s="279"/>
      <c r="AD349" s="279"/>
      <c r="AE349" s="283">
        <f t="shared" si="546"/>
        <v>2574545</v>
      </c>
      <c r="AF349" s="273">
        <f t="shared" si="22"/>
        <v>0.2592205613</v>
      </c>
      <c r="AG349" s="274">
        <f t="shared" si="23"/>
        <v>0</v>
      </c>
    </row>
    <row r="350">
      <c r="A350" s="284">
        <f t="shared" si="3"/>
        <v>45752</v>
      </c>
      <c r="B350" s="269"/>
      <c r="C350" s="296"/>
      <c r="D350" s="296"/>
      <c r="E350" s="296"/>
      <c r="F350" s="296"/>
      <c r="G350" s="297"/>
      <c r="H350" s="281">
        <f t="shared" si="686"/>
        <v>1444000</v>
      </c>
      <c r="I350" s="281">
        <f t="shared" si="687"/>
        <v>48600</v>
      </c>
      <c r="J350" s="281">
        <f t="shared" si="688"/>
        <v>117420</v>
      </c>
      <c r="K350" s="279"/>
      <c r="L350" s="279"/>
      <c r="M350" s="279"/>
      <c r="N350" s="279"/>
      <c r="O350" s="269"/>
      <c r="P350" s="269"/>
      <c r="Q350" s="269">
        <f t="shared" si="689"/>
        <v>17370</v>
      </c>
      <c r="R350" s="279">
        <f t="shared" si="684"/>
        <v>76860</v>
      </c>
      <c r="S350" s="279"/>
      <c r="T350" s="279"/>
      <c r="U350" s="279"/>
      <c r="V350" s="279">
        <f t="shared" si="435"/>
        <v>202920</v>
      </c>
      <c r="W350" s="298"/>
      <c r="X350" s="298"/>
      <c r="Y350" s="298"/>
      <c r="Z350" s="298"/>
      <c r="AA350" s="277">
        <f t="shared" si="685"/>
        <v>667375</v>
      </c>
      <c r="AB350" s="280">
        <f t="shared" si="662"/>
        <v>2574545</v>
      </c>
      <c r="AC350" s="279"/>
      <c r="AD350" s="279"/>
      <c r="AE350" s="283">
        <f t="shared" si="546"/>
        <v>2574545</v>
      </c>
      <c r="AF350" s="273">
        <f t="shared" si="22"/>
        <v>0.2592205613</v>
      </c>
      <c r="AG350" s="274">
        <f t="shared" si="23"/>
        <v>0</v>
      </c>
    </row>
    <row r="351">
      <c r="A351" s="264">
        <f t="shared" si="3"/>
        <v>45751</v>
      </c>
      <c r="B351" s="269"/>
      <c r="C351" s="296"/>
      <c r="D351" s="296"/>
      <c r="E351" s="296"/>
      <c r="F351" s="296"/>
      <c r="G351" s="297"/>
      <c r="H351" s="281">
        <f t="shared" si="686"/>
        <v>1444000</v>
      </c>
      <c r="I351" s="281">
        <f t="shared" si="687"/>
        <v>48600</v>
      </c>
      <c r="J351" s="281">
        <f t="shared" si="688"/>
        <v>117420</v>
      </c>
      <c r="K351" s="279"/>
      <c r="L351" s="279"/>
      <c r="M351" s="279"/>
      <c r="N351" s="279"/>
      <c r="O351" s="269"/>
      <c r="P351" s="269"/>
      <c r="Q351" s="269">
        <f t="shared" si="689"/>
        <v>17370</v>
      </c>
      <c r="R351" s="279">
        <f t="shared" si="684"/>
        <v>76860</v>
      </c>
      <c r="S351" s="279"/>
      <c r="T351" s="279"/>
      <c r="U351" s="279"/>
      <c r="V351" s="279">
        <f t="shared" si="435"/>
        <v>202920</v>
      </c>
      <c r="W351" s="298"/>
      <c r="X351" s="298"/>
      <c r="Y351" s="298"/>
      <c r="Z351" s="298"/>
      <c r="AA351" s="277">
        <f t="shared" si="685"/>
        <v>667375</v>
      </c>
      <c r="AB351" s="280">
        <f t="shared" si="662"/>
        <v>2574545</v>
      </c>
      <c r="AC351" s="279"/>
      <c r="AD351" s="279"/>
      <c r="AE351" s="283">
        <f t="shared" si="546"/>
        <v>2574545</v>
      </c>
      <c r="AF351" s="273">
        <f t="shared" si="22"/>
        <v>0.2592205613</v>
      </c>
      <c r="AG351" s="274">
        <f t="shared" si="23"/>
        <v>0</v>
      </c>
    </row>
    <row r="352">
      <c r="A352" s="264">
        <f t="shared" si="3"/>
        <v>45750</v>
      </c>
      <c r="B352" s="269"/>
      <c r="C352" s="296"/>
      <c r="D352" s="296"/>
      <c r="E352" s="296"/>
      <c r="F352" s="296"/>
      <c r="G352" s="297"/>
      <c r="H352" s="281">
        <f>42560*38</f>
        <v>1617280</v>
      </c>
      <c r="I352" s="281">
        <f>49600</f>
        <v>49600</v>
      </c>
      <c r="J352" s="281">
        <f>39000*3</f>
        <v>117000</v>
      </c>
      <c r="K352" s="279"/>
      <c r="L352" s="279"/>
      <c r="M352" s="279"/>
      <c r="N352" s="279"/>
      <c r="O352" s="269"/>
      <c r="P352" s="269"/>
      <c r="Q352" s="269">
        <f>2000*9</f>
        <v>18000</v>
      </c>
      <c r="R352" s="279">
        <f t="shared" si="684"/>
        <v>76860</v>
      </c>
      <c r="S352" s="279"/>
      <c r="T352" s="279"/>
      <c r="U352" s="279"/>
      <c r="V352" s="279">
        <f t="shared" si="435"/>
        <v>202920</v>
      </c>
      <c r="W352" s="298"/>
      <c r="X352" s="298"/>
      <c r="Y352" s="298"/>
      <c r="Z352" s="298"/>
      <c r="AA352" s="277">
        <f t="shared" ref="AA352:AA356" si="690">50000+70000+50000+20000</f>
        <v>190000</v>
      </c>
      <c r="AB352" s="280">
        <f t="shared" si="662"/>
        <v>2271660</v>
      </c>
      <c r="AC352" s="279"/>
      <c r="AD352" s="279"/>
      <c r="AE352" s="283">
        <f t="shared" si="546"/>
        <v>2271660</v>
      </c>
      <c r="AF352" s="273">
        <f t="shared" si="22"/>
        <v>0.083639277</v>
      </c>
      <c r="AG352" s="274">
        <f t="shared" si="23"/>
        <v>0</v>
      </c>
    </row>
    <row r="353">
      <c r="A353" s="264">
        <f t="shared" si="3"/>
        <v>45749</v>
      </c>
      <c r="B353" s="269"/>
      <c r="C353" s="296"/>
      <c r="D353" s="296"/>
      <c r="E353" s="296"/>
      <c r="F353" s="296"/>
      <c r="G353" s="297"/>
      <c r="H353" s="281">
        <f>43900*38</f>
        <v>1668200</v>
      </c>
      <c r="I353" s="281">
        <f>49500</f>
        <v>49500</v>
      </c>
      <c r="J353" s="281">
        <f>38860*3</f>
        <v>116580</v>
      </c>
      <c r="K353" s="279"/>
      <c r="L353" s="279"/>
      <c r="M353" s="279"/>
      <c r="N353" s="279"/>
      <c r="O353" s="269"/>
      <c r="P353" s="269"/>
      <c r="Q353" s="269">
        <f>2080*9</f>
        <v>18720</v>
      </c>
      <c r="R353" s="279">
        <f t="shared" si="684"/>
        <v>76860</v>
      </c>
      <c r="S353" s="279"/>
      <c r="T353" s="279"/>
      <c r="U353" s="279"/>
      <c r="V353" s="279">
        <f t="shared" si="435"/>
        <v>202920</v>
      </c>
      <c r="W353" s="298"/>
      <c r="X353" s="298"/>
      <c r="Y353" s="298"/>
      <c r="Z353" s="298"/>
      <c r="AA353" s="277">
        <f t="shared" si="690"/>
        <v>190000</v>
      </c>
      <c r="AB353" s="280">
        <f t="shared" si="662"/>
        <v>2322780</v>
      </c>
      <c r="AC353" s="279"/>
      <c r="AD353" s="279"/>
      <c r="AE353" s="283">
        <f t="shared" si="546"/>
        <v>2322780</v>
      </c>
      <c r="AF353" s="273">
        <f t="shared" si="22"/>
        <v>0.08179853451</v>
      </c>
      <c r="AG353" s="274">
        <f t="shared" si="23"/>
        <v>0</v>
      </c>
    </row>
    <row r="354">
      <c r="A354" s="264">
        <f t="shared" si="3"/>
        <v>45748</v>
      </c>
      <c r="B354" s="269"/>
      <c r="C354" s="296"/>
      <c r="D354" s="296"/>
      <c r="E354" s="296"/>
      <c r="F354" s="296"/>
      <c r="G354" s="297"/>
      <c r="H354" s="281">
        <f>43560*38</f>
        <v>1655280</v>
      </c>
      <c r="I354" s="281">
        <f>47260</f>
        <v>47260</v>
      </c>
      <c r="J354" s="281">
        <f t="shared" ref="J354:J355" si="691">38300*3</f>
        <v>114900</v>
      </c>
      <c r="K354" s="279"/>
      <c r="L354" s="279"/>
      <c r="M354" s="279"/>
      <c r="N354" s="279"/>
      <c r="O354" s="269"/>
      <c r="P354" s="269"/>
      <c r="Q354" s="269">
        <f>2085*9</f>
        <v>18765</v>
      </c>
      <c r="R354" s="279">
        <f t="shared" si="684"/>
        <v>76860</v>
      </c>
      <c r="S354" s="279"/>
      <c r="T354" s="279"/>
      <c r="U354" s="279"/>
      <c r="V354" s="279">
        <f t="shared" si="435"/>
        <v>202920</v>
      </c>
      <c r="W354" s="298"/>
      <c r="X354" s="298"/>
      <c r="Y354" s="298"/>
      <c r="Z354" s="298"/>
      <c r="AA354" s="277">
        <f t="shared" si="690"/>
        <v>190000</v>
      </c>
      <c r="AB354" s="280">
        <f t="shared" si="662"/>
        <v>2305985</v>
      </c>
      <c r="AC354" s="279"/>
      <c r="AD354" s="279"/>
      <c r="AE354" s="283">
        <f t="shared" si="546"/>
        <v>2305985</v>
      </c>
      <c r="AF354" s="273">
        <f t="shared" si="22"/>
        <v>0.08239429138</v>
      </c>
      <c r="AG354" s="274">
        <f t="shared" si="23"/>
        <v>0</v>
      </c>
    </row>
    <row r="355">
      <c r="A355" s="264">
        <f t="shared" si="3"/>
        <v>45747</v>
      </c>
      <c r="B355" s="269"/>
      <c r="C355" s="296"/>
      <c r="D355" s="296"/>
      <c r="E355" s="296"/>
      <c r="F355" s="296"/>
      <c r="G355" s="297"/>
      <c r="H355" s="281">
        <f>42740*38</f>
        <v>1624120</v>
      </c>
      <c r="I355" s="281">
        <f>47000</f>
        <v>47000</v>
      </c>
      <c r="J355" s="281">
        <f t="shared" si="691"/>
        <v>114900</v>
      </c>
      <c r="K355" s="279"/>
      <c r="L355" s="279"/>
      <c r="M355" s="279"/>
      <c r="N355" s="279"/>
      <c r="O355" s="269"/>
      <c r="P355" s="269"/>
      <c r="Q355" s="269">
        <f>2075*9</f>
        <v>18675</v>
      </c>
      <c r="R355" s="279">
        <f t="shared" si="684"/>
        <v>76860</v>
      </c>
      <c r="S355" s="279"/>
      <c r="T355" s="279"/>
      <c r="U355" s="279"/>
      <c r="V355" s="279">
        <f t="shared" si="435"/>
        <v>202920</v>
      </c>
      <c r="W355" s="298"/>
      <c r="X355" s="298"/>
      <c r="Y355" s="298"/>
      <c r="Z355" s="298"/>
      <c r="AA355" s="277">
        <f t="shared" si="690"/>
        <v>190000</v>
      </c>
      <c r="AB355" s="280">
        <f t="shared" si="662"/>
        <v>2274475</v>
      </c>
      <c r="AC355" s="279"/>
      <c r="AD355" s="279"/>
      <c r="AE355" s="283">
        <f t="shared" si="546"/>
        <v>2274475</v>
      </c>
      <c r="AF355" s="273">
        <f t="shared" si="22"/>
        <v>0.083535761</v>
      </c>
      <c r="AG355" s="274">
        <f t="shared" si="23"/>
        <v>0</v>
      </c>
    </row>
    <row r="356">
      <c r="A356" s="284">
        <f t="shared" si="3"/>
        <v>45746</v>
      </c>
      <c r="B356" s="269"/>
      <c r="C356" s="296"/>
      <c r="D356" s="296"/>
      <c r="E356" s="296"/>
      <c r="F356" s="296"/>
      <c r="G356" s="297"/>
      <c r="H356" s="281">
        <f t="shared" ref="H356:H358" si="692">43540*38</f>
        <v>1654520</v>
      </c>
      <c r="I356" s="281">
        <f t="shared" ref="I356:I358" si="693">46500</f>
        <v>46500</v>
      </c>
      <c r="J356" s="281">
        <f t="shared" ref="J356:J358" si="694">38620*3</f>
        <v>115860</v>
      </c>
      <c r="K356" s="279"/>
      <c r="L356" s="279"/>
      <c r="M356" s="279"/>
      <c r="N356" s="279"/>
      <c r="O356" s="269"/>
      <c r="P356" s="269"/>
      <c r="Q356" s="269">
        <f t="shared" ref="Q356:Q358" si="695">2140*9</f>
        <v>19260</v>
      </c>
      <c r="R356" s="279">
        <f t="shared" si="684"/>
        <v>76860</v>
      </c>
      <c r="S356" s="279"/>
      <c r="T356" s="279"/>
      <c r="U356" s="279"/>
      <c r="V356" s="279">
        <f t="shared" si="435"/>
        <v>202920</v>
      </c>
      <c r="W356" s="298"/>
      <c r="X356" s="298"/>
      <c r="Y356" s="298"/>
      <c r="Z356" s="298"/>
      <c r="AA356" s="277">
        <f t="shared" si="690"/>
        <v>190000</v>
      </c>
      <c r="AB356" s="280">
        <f t="shared" si="662"/>
        <v>2305920</v>
      </c>
      <c r="AC356" s="279"/>
      <c r="AD356" s="279"/>
      <c r="AE356" s="283">
        <f t="shared" si="546"/>
        <v>2305920</v>
      </c>
      <c r="AF356" s="273">
        <f t="shared" si="22"/>
        <v>0.08239661393</v>
      </c>
      <c r="AG356" s="274">
        <f t="shared" si="23"/>
        <v>0</v>
      </c>
    </row>
    <row r="357">
      <c r="A357" s="284">
        <f t="shared" si="3"/>
        <v>45745</v>
      </c>
      <c r="B357" s="269"/>
      <c r="C357" s="296"/>
      <c r="D357" s="296"/>
      <c r="E357" s="296"/>
      <c r="F357" s="296"/>
      <c r="G357" s="297"/>
      <c r="H357" s="281">
        <f t="shared" si="692"/>
        <v>1654520</v>
      </c>
      <c r="I357" s="281">
        <f t="shared" si="693"/>
        <v>46500</v>
      </c>
      <c r="J357" s="281">
        <f t="shared" si="694"/>
        <v>115860</v>
      </c>
      <c r="K357" s="279"/>
      <c r="L357" s="279"/>
      <c r="M357" s="279"/>
      <c r="N357" s="279"/>
      <c r="O357" s="269"/>
      <c r="P357" s="269"/>
      <c r="Q357" s="269">
        <f t="shared" si="695"/>
        <v>19260</v>
      </c>
      <c r="R357" s="279">
        <f t="shared" si="684"/>
        <v>76860</v>
      </c>
      <c r="S357" s="279"/>
      <c r="T357" s="279"/>
      <c r="U357" s="279"/>
      <c r="V357" s="279">
        <f t="shared" si="435"/>
        <v>202920</v>
      </c>
      <c r="W357" s="298"/>
      <c r="X357" s="298"/>
      <c r="Y357" s="298"/>
      <c r="Z357" s="298"/>
      <c r="AA357" s="277">
        <f t="shared" ref="AA357:AA358" si="696">50000+70000+50000</f>
        <v>170000</v>
      </c>
      <c r="AB357" s="280">
        <f t="shared" si="662"/>
        <v>2285920</v>
      </c>
      <c r="AC357" s="279"/>
      <c r="AD357" s="279"/>
      <c r="AE357" s="283">
        <f t="shared" si="546"/>
        <v>2285920</v>
      </c>
      <c r="AF357" s="273">
        <f t="shared" si="22"/>
        <v>0.07436830685</v>
      </c>
      <c r="AG357" s="274">
        <f t="shared" si="23"/>
        <v>0</v>
      </c>
    </row>
    <row r="358">
      <c r="A358" s="264">
        <f t="shared" si="3"/>
        <v>45744</v>
      </c>
      <c r="B358" s="269"/>
      <c r="C358" s="296"/>
      <c r="D358" s="296"/>
      <c r="E358" s="296"/>
      <c r="F358" s="296"/>
      <c r="G358" s="297"/>
      <c r="H358" s="281">
        <f t="shared" si="692"/>
        <v>1654520</v>
      </c>
      <c r="I358" s="281">
        <f t="shared" si="693"/>
        <v>46500</v>
      </c>
      <c r="J358" s="281">
        <f t="shared" si="694"/>
        <v>115860</v>
      </c>
      <c r="K358" s="279"/>
      <c r="L358" s="279"/>
      <c r="M358" s="279"/>
      <c r="N358" s="279"/>
      <c r="O358" s="269"/>
      <c r="P358" s="269"/>
      <c r="Q358" s="269">
        <f t="shared" si="695"/>
        <v>19260</v>
      </c>
      <c r="R358" s="279">
        <f t="shared" si="684"/>
        <v>76860</v>
      </c>
      <c r="S358" s="279"/>
      <c r="T358" s="279"/>
      <c r="U358" s="279"/>
      <c r="V358" s="279">
        <f t="shared" si="435"/>
        <v>202920</v>
      </c>
      <c r="W358" s="298"/>
      <c r="X358" s="298"/>
      <c r="Y358" s="298"/>
      <c r="Z358" s="298"/>
      <c r="AA358" s="277">
        <f t="shared" si="696"/>
        <v>170000</v>
      </c>
      <c r="AB358" s="280">
        <f t="shared" si="662"/>
        <v>2285920</v>
      </c>
      <c r="AC358" s="279"/>
      <c r="AD358" s="279"/>
      <c r="AE358" s="283">
        <f t="shared" si="546"/>
        <v>2285920</v>
      </c>
      <c r="AF358" s="273">
        <f t="shared" si="22"/>
        <v>0.07436830685</v>
      </c>
      <c r="AG358" s="274">
        <f t="shared" si="23"/>
        <v>0</v>
      </c>
    </row>
    <row r="359">
      <c r="A359" s="264">
        <f t="shared" si="3"/>
        <v>45743</v>
      </c>
      <c r="B359" s="269"/>
      <c r="C359" s="296"/>
      <c r="D359" s="296"/>
      <c r="E359" s="296"/>
      <c r="F359" s="296"/>
      <c r="G359" s="297"/>
      <c r="H359" s="281">
        <f t="shared" ref="H359:H360" si="697">45700*38</f>
        <v>1736600</v>
      </c>
      <c r="I359" s="281">
        <f>46100</f>
        <v>46100</v>
      </c>
      <c r="J359" s="281">
        <f>38700*3</f>
        <v>116100</v>
      </c>
      <c r="K359" s="279"/>
      <c r="L359" s="279"/>
      <c r="M359" s="279"/>
      <c r="N359" s="279"/>
      <c r="O359" s="269"/>
      <c r="P359" s="269"/>
      <c r="Q359" s="269">
        <f>2160*9</f>
        <v>19440</v>
      </c>
      <c r="R359" s="279">
        <f t="shared" si="684"/>
        <v>76860</v>
      </c>
      <c r="S359" s="279"/>
      <c r="T359" s="279"/>
      <c r="U359" s="279"/>
      <c r="V359" s="279">
        <f t="shared" si="435"/>
        <v>202920</v>
      </c>
      <c r="W359" s="298"/>
      <c r="X359" s="298"/>
      <c r="Y359" s="298"/>
      <c r="Z359" s="298"/>
      <c r="AA359" s="277">
        <f t="shared" ref="AA359:AA379" si="698">50000</f>
        <v>50000</v>
      </c>
      <c r="AB359" s="280">
        <f t="shared" si="662"/>
        <v>2248020</v>
      </c>
      <c r="AC359" s="279"/>
      <c r="AD359" s="279"/>
      <c r="AE359" s="283">
        <f t="shared" si="546"/>
        <v>2248020</v>
      </c>
      <c r="AF359" s="273">
        <f t="shared" si="22"/>
        <v>0.022241795</v>
      </c>
      <c r="AG359" s="274">
        <f t="shared" si="23"/>
        <v>0</v>
      </c>
    </row>
    <row r="360">
      <c r="A360" s="264">
        <f t="shared" si="3"/>
        <v>45742</v>
      </c>
      <c r="B360" s="269"/>
      <c r="C360" s="296"/>
      <c r="D360" s="296"/>
      <c r="E360" s="296"/>
      <c r="F360" s="296"/>
      <c r="G360" s="297"/>
      <c r="H360" s="281">
        <f t="shared" si="697"/>
        <v>1736600</v>
      </c>
      <c r="I360" s="281">
        <f>45780</f>
        <v>45780</v>
      </c>
      <c r="J360" s="281">
        <f>38500*3</f>
        <v>115500</v>
      </c>
      <c r="K360" s="279"/>
      <c r="L360" s="279"/>
      <c r="M360" s="279"/>
      <c r="N360" s="279"/>
      <c r="O360" s="269"/>
      <c r="P360" s="269"/>
      <c r="Q360" s="269">
        <f>2140*9</f>
        <v>19260</v>
      </c>
      <c r="R360" s="279">
        <f t="shared" si="684"/>
        <v>76860</v>
      </c>
      <c r="S360" s="279"/>
      <c r="T360" s="279"/>
      <c r="U360" s="279"/>
      <c r="V360" s="279">
        <f t="shared" si="435"/>
        <v>202920</v>
      </c>
      <c r="W360" s="298"/>
      <c r="X360" s="298"/>
      <c r="Y360" s="298"/>
      <c r="Z360" s="298"/>
      <c r="AA360" s="277">
        <f t="shared" si="698"/>
        <v>50000</v>
      </c>
      <c r="AB360" s="280">
        <f t="shared" si="662"/>
        <v>2246920</v>
      </c>
      <c r="AC360" s="279"/>
      <c r="AD360" s="279"/>
      <c r="AE360" s="283">
        <f t="shared" si="546"/>
        <v>2246920</v>
      </c>
      <c r="AF360" s="273">
        <f t="shared" si="22"/>
        <v>0.02225268367</v>
      </c>
      <c r="AG360" s="274">
        <f t="shared" si="23"/>
        <v>0</v>
      </c>
    </row>
    <row r="361">
      <c r="A361" s="264">
        <f t="shared" si="3"/>
        <v>45741</v>
      </c>
      <c r="B361" s="269"/>
      <c r="C361" s="296"/>
      <c r="D361" s="296"/>
      <c r="E361" s="296"/>
      <c r="F361" s="296"/>
      <c r="G361" s="297"/>
      <c r="H361" s="281">
        <f>46600*38</f>
        <v>1770800</v>
      </c>
      <c r="I361" s="281">
        <f t="shared" ref="I361:I365" si="699">48200</f>
        <v>48200</v>
      </c>
      <c r="J361" s="281">
        <f>37820*3</f>
        <v>113460</v>
      </c>
      <c r="K361" s="279"/>
      <c r="L361" s="279"/>
      <c r="M361" s="279"/>
      <c r="N361" s="279"/>
      <c r="O361" s="269"/>
      <c r="P361" s="269"/>
      <c r="Q361" s="269">
        <f>2120*9</f>
        <v>19080</v>
      </c>
      <c r="R361" s="279">
        <f t="shared" si="684"/>
        <v>76860</v>
      </c>
      <c r="S361" s="279"/>
      <c r="T361" s="279"/>
      <c r="U361" s="279"/>
      <c r="V361" s="279">
        <f t="shared" si="435"/>
        <v>202920</v>
      </c>
      <c r="W361" s="298"/>
      <c r="X361" s="298"/>
      <c r="Y361" s="298"/>
      <c r="Z361" s="298"/>
      <c r="AA361" s="277">
        <f t="shared" si="698"/>
        <v>50000</v>
      </c>
      <c r="AB361" s="280">
        <f t="shared" si="662"/>
        <v>2281320</v>
      </c>
      <c r="AC361" s="279"/>
      <c r="AD361" s="279"/>
      <c r="AE361" s="283">
        <f t="shared" si="546"/>
        <v>2281320</v>
      </c>
      <c r="AF361" s="273">
        <f t="shared" si="22"/>
        <v>0.02191713569</v>
      </c>
      <c r="AG361" s="274">
        <f t="shared" si="23"/>
        <v>0</v>
      </c>
    </row>
    <row r="362">
      <c r="A362" s="275">
        <f t="shared" si="3"/>
        <v>45740</v>
      </c>
      <c r="B362" s="269"/>
      <c r="C362" s="296"/>
      <c r="D362" s="296"/>
      <c r="E362" s="296"/>
      <c r="F362" s="296"/>
      <c r="G362" s="297"/>
      <c r="H362" s="281">
        <f t="shared" ref="H362:H365" si="700">48000*38</f>
        <v>1824000</v>
      </c>
      <c r="I362" s="281">
        <f t="shared" si="699"/>
        <v>48200</v>
      </c>
      <c r="J362" s="281">
        <f t="shared" ref="J362:J365" si="701">38500*3</f>
        <v>115500</v>
      </c>
      <c r="K362" s="279"/>
      <c r="L362" s="279"/>
      <c r="M362" s="279"/>
      <c r="N362" s="279"/>
      <c r="O362" s="269"/>
      <c r="P362" s="269"/>
      <c r="Q362" s="269">
        <f t="shared" ref="Q362:Q367" si="702">2130*9</f>
        <v>19170</v>
      </c>
      <c r="R362" s="279">
        <f t="shared" si="684"/>
        <v>76860</v>
      </c>
      <c r="S362" s="279"/>
      <c r="T362" s="279"/>
      <c r="U362" s="279"/>
      <c r="V362" s="279">
        <f t="shared" si="435"/>
        <v>202920</v>
      </c>
      <c r="W362" s="298"/>
      <c r="X362" s="298"/>
      <c r="Y362" s="298"/>
      <c r="Z362" s="298"/>
      <c r="AA362" s="277">
        <f t="shared" si="698"/>
        <v>50000</v>
      </c>
      <c r="AB362" s="280">
        <f t="shared" si="662"/>
        <v>2336650</v>
      </c>
      <c r="AC362" s="279"/>
      <c r="AD362" s="279"/>
      <c r="AE362" s="283">
        <f t="shared" si="546"/>
        <v>2336650</v>
      </c>
      <c r="AF362" s="273">
        <f t="shared" si="22"/>
        <v>0.02139815548</v>
      </c>
      <c r="AG362" s="274">
        <f t="shared" si="23"/>
        <v>0</v>
      </c>
    </row>
    <row r="363">
      <c r="A363" s="284">
        <f t="shared" si="3"/>
        <v>45739</v>
      </c>
      <c r="B363" s="269"/>
      <c r="C363" s="296"/>
      <c r="D363" s="296"/>
      <c r="E363" s="296"/>
      <c r="F363" s="296"/>
      <c r="G363" s="297"/>
      <c r="H363" s="281">
        <f t="shared" si="700"/>
        <v>1824000</v>
      </c>
      <c r="I363" s="281">
        <f t="shared" si="699"/>
        <v>48200</v>
      </c>
      <c r="J363" s="281">
        <f t="shared" si="701"/>
        <v>115500</v>
      </c>
      <c r="K363" s="279"/>
      <c r="L363" s="279"/>
      <c r="M363" s="279"/>
      <c r="N363" s="279"/>
      <c r="O363" s="269"/>
      <c r="P363" s="269"/>
      <c r="Q363" s="269">
        <f t="shared" si="702"/>
        <v>19170</v>
      </c>
      <c r="R363" s="279">
        <f t="shared" si="684"/>
        <v>76860</v>
      </c>
      <c r="S363" s="279"/>
      <c r="T363" s="279"/>
      <c r="U363" s="279"/>
      <c r="V363" s="279">
        <f t="shared" si="435"/>
        <v>202920</v>
      </c>
      <c r="W363" s="298"/>
      <c r="X363" s="298"/>
      <c r="Y363" s="298"/>
      <c r="Z363" s="298"/>
      <c r="AA363" s="277">
        <f t="shared" si="698"/>
        <v>50000</v>
      </c>
      <c r="AB363" s="280">
        <f t="shared" si="662"/>
        <v>2336650</v>
      </c>
      <c r="AC363" s="279"/>
      <c r="AD363" s="279"/>
      <c r="AE363" s="283">
        <f t="shared" si="546"/>
        <v>2336650</v>
      </c>
      <c r="AF363" s="273">
        <f t="shared" si="22"/>
        <v>0.02139815548</v>
      </c>
      <c r="AG363" s="274">
        <f t="shared" si="23"/>
        <v>0</v>
      </c>
    </row>
    <row r="364">
      <c r="A364" s="284">
        <f t="shared" si="3"/>
        <v>45738</v>
      </c>
      <c r="B364" s="269"/>
      <c r="C364" s="296"/>
      <c r="D364" s="296"/>
      <c r="E364" s="296"/>
      <c r="F364" s="296"/>
      <c r="G364" s="297"/>
      <c r="H364" s="281">
        <f t="shared" si="700"/>
        <v>1824000</v>
      </c>
      <c r="I364" s="281">
        <f t="shared" si="699"/>
        <v>48200</v>
      </c>
      <c r="J364" s="281">
        <f t="shared" si="701"/>
        <v>115500</v>
      </c>
      <c r="K364" s="279"/>
      <c r="L364" s="279"/>
      <c r="M364" s="279"/>
      <c r="N364" s="286"/>
      <c r="O364" s="269"/>
      <c r="P364" s="269"/>
      <c r="Q364" s="269">
        <f t="shared" si="702"/>
        <v>19170</v>
      </c>
      <c r="R364" s="279">
        <f t="shared" si="684"/>
        <v>76860</v>
      </c>
      <c r="S364" s="279"/>
      <c r="T364" s="279"/>
      <c r="U364" s="279"/>
      <c r="V364" s="279">
        <f t="shared" si="435"/>
        <v>202920</v>
      </c>
      <c r="W364" s="298"/>
      <c r="X364" s="298"/>
      <c r="Y364" s="298"/>
      <c r="Z364" s="298"/>
      <c r="AA364" s="277">
        <f t="shared" si="698"/>
        <v>50000</v>
      </c>
      <c r="AB364" s="280">
        <f t="shared" si="662"/>
        <v>2336650</v>
      </c>
      <c r="AC364" s="279"/>
      <c r="AD364" s="279"/>
      <c r="AE364" s="283">
        <f t="shared" si="546"/>
        <v>2336650</v>
      </c>
      <c r="AF364" s="273">
        <f t="shared" si="22"/>
        <v>0.02139815548</v>
      </c>
      <c r="AG364" s="274">
        <f t="shared" si="23"/>
        <v>0</v>
      </c>
    </row>
    <row r="365">
      <c r="A365" s="264">
        <f t="shared" si="3"/>
        <v>45737</v>
      </c>
      <c r="B365" s="269"/>
      <c r="C365" s="296"/>
      <c r="D365" s="296"/>
      <c r="E365" s="296"/>
      <c r="F365" s="296"/>
      <c r="G365" s="297"/>
      <c r="H365" s="281">
        <f t="shared" si="700"/>
        <v>1824000</v>
      </c>
      <c r="I365" s="281">
        <f t="shared" si="699"/>
        <v>48200</v>
      </c>
      <c r="J365" s="281">
        <f t="shared" si="701"/>
        <v>115500</v>
      </c>
      <c r="K365" s="279"/>
      <c r="L365" s="279"/>
      <c r="M365" s="279"/>
      <c r="N365" s="286"/>
      <c r="O365" s="269"/>
      <c r="P365" s="269"/>
      <c r="Q365" s="269">
        <f t="shared" si="702"/>
        <v>19170</v>
      </c>
      <c r="R365" s="279">
        <f t="shared" si="684"/>
        <v>76860</v>
      </c>
      <c r="S365" s="279"/>
      <c r="T365" s="279"/>
      <c r="U365" s="279"/>
      <c r="V365" s="279">
        <f t="shared" si="435"/>
        <v>202920</v>
      </c>
      <c r="W365" s="298"/>
      <c r="X365" s="298"/>
      <c r="Y365" s="298"/>
      <c r="Z365" s="298"/>
      <c r="AA365" s="277">
        <f t="shared" si="698"/>
        <v>50000</v>
      </c>
      <c r="AB365" s="280">
        <f t="shared" si="662"/>
        <v>2336650</v>
      </c>
      <c r="AC365" s="279"/>
      <c r="AD365" s="279"/>
      <c r="AE365" s="283">
        <f t="shared" si="546"/>
        <v>2336650</v>
      </c>
      <c r="AF365" s="273">
        <f t="shared" si="22"/>
        <v>0.02139815548</v>
      </c>
      <c r="AG365" s="274">
        <f t="shared" si="23"/>
        <v>0</v>
      </c>
    </row>
    <row r="366">
      <c r="A366" s="264">
        <f t="shared" si="3"/>
        <v>45736</v>
      </c>
      <c r="B366" s="269"/>
      <c r="C366" s="296"/>
      <c r="D366" s="296"/>
      <c r="E366" s="296"/>
      <c r="F366" s="296"/>
      <c r="G366" s="297"/>
      <c r="H366" s="281">
        <f>47700*38</f>
        <v>1812600</v>
      </c>
      <c r="I366" s="281">
        <f>46960</f>
        <v>46960</v>
      </c>
      <c r="J366" s="281">
        <f>37420*3</f>
        <v>112260</v>
      </c>
      <c r="K366" s="279"/>
      <c r="L366" s="279"/>
      <c r="M366" s="279"/>
      <c r="N366" s="286"/>
      <c r="O366" s="269"/>
      <c r="P366" s="269"/>
      <c r="Q366" s="269">
        <f t="shared" si="702"/>
        <v>19170</v>
      </c>
      <c r="R366" s="279">
        <f t="shared" si="684"/>
        <v>76860</v>
      </c>
      <c r="S366" s="279"/>
      <c r="T366" s="279"/>
      <c r="U366" s="279"/>
      <c r="V366" s="279">
        <f t="shared" si="435"/>
        <v>202920</v>
      </c>
      <c r="W366" s="298"/>
      <c r="X366" s="298"/>
      <c r="Y366" s="298"/>
      <c r="Z366" s="298"/>
      <c r="AA366" s="277">
        <f t="shared" si="698"/>
        <v>50000</v>
      </c>
      <c r="AB366" s="280">
        <f t="shared" si="662"/>
        <v>2320770</v>
      </c>
      <c r="AC366" s="279"/>
      <c r="AD366" s="279"/>
      <c r="AE366" s="283">
        <f t="shared" si="546"/>
        <v>2320770</v>
      </c>
      <c r="AF366" s="273">
        <f t="shared" si="22"/>
        <v>0.02154457357</v>
      </c>
      <c r="AG366" s="274">
        <f t="shared" si="23"/>
        <v>0</v>
      </c>
    </row>
    <row r="367">
      <c r="A367" s="264">
        <f t="shared" si="3"/>
        <v>45735</v>
      </c>
      <c r="B367" s="269"/>
      <c r="C367" s="296"/>
      <c r="D367" s="296"/>
      <c r="E367" s="296"/>
      <c r="F367" s="296"/>
      <c r="G367" s="297"/>
      <c r="H367" s="281">
        <f>49260*38</f>
        <v>1871880</v>
      </c>
      <c r="I367" s="281">
        <f>47100</f>
        <v>47100</v>
      </c>
      <c r="J367" s="281">
        <f>37280*3</f>
        <v>111840</v>
      </c>
      <c r="K367" s="279"/>
      <c r="L367" s="279"/>
      <c r="M367" s="279"/>
      <c r="N367" s="286"/>
      <c r="O367" s="269"/>
      <c r="P367" s="269"/>
      <c r="Q367" s="269">
        <f t="shared" si="702"/>
        <v>19170</v>
      </c>
      <c r="R367" s="279">
        <f t="shared" si="684"/>
        <v>76860</v>
      </c>
      <c r="S367" s="279"/>
      <c r="T367" s="279"/>
      <c r="U367" s="279"/>
      <c r="V367" s="279">
        <f t="shared" si="435"/>
        <v>202920</v>
      </c>
      <c r="W367" s="298"/>
      <c r="X367" s="298"/>
      <c r="Y367" s="298"/>
      <c r="Z367" s="298"/>
      <c r="AA367" s="277">
        <f t="shared" si="698"/>
        <v>50000</v>
      </c>
      <c r="AB367" s="280">
        <f t="shared" si="662"/>
        <v>2379770</v>
      </c>
      <c r="AC367" s="279"/>
      <c r="AD367" s="279"/>
      <c r="AE367" s="283">
        <f t="shared" si="546"/>
        <v>2379770</v>
      </c>
      <c r="AF367" s="273">
        <f t="shared" si="22"/>
        <v>0.02101043378</v>
      </c>
      <c r="AG367" s="274">
        <f t="shared" si="23"/>
        <v>0</v>
      </c>
    </row>
    <row r="368">
      <c r="A368" s="264">
        <f t="shared" si="3"/>
        <v>45734</v>
      </c>
      <c r="B368" s="269"/>
      <c r="C368" s="296"/>
      <c r="D368" s="296"/>
      <c r="E368" s="296"/>
      <c r="F368" s="296"/>
      <c r="G368" s="297"/>
      <c r="H368" s="281">
        <f>47120*38</f>
        <v>1790560</v>
      </c>
      <c r="I368" s="281">
        <f>48520</f>
        <v>48520</v>
      </c>
      <c r="J368" s="281">
        <f>37380*3</f>
        <v>112140</v>
      </c>
      <c r="K368" s="279"/>
      <c r="L368" s="279"/>
      <c r="M368" s="279"/>
      <c r="N368" s="286"/>
      <c r="O368" s="269"/>
      <c r="P368" s="269"/>
      <c r="Q368" s="269">
        <f>2110*9</f>
        <v>18990</v>
      </c>
      <c r="R368" s="279">
        <f t="shared" si="684"/>
        <v>76860</v>
      </c>
      <c r="S368" s="279"/>
      <c r="T368" s="279"/>
      <c r="U368" s="279"/>
      <c r="V368" s="279">
        <f t="shared" si="435"/>
        <v>202920</v>
      </c>
      <c r="W368" s="298"/>
      <c r="X368" s="298"/>
      <c r="Y368" s="298"/>
      <c r="Z368" s="298"/>
      <c r="AA368" s="277">
        <f t="shared" si="698"/>
        <v>50000</v>
      </c>
      <c r="AB368" s="280">
        <f t="shared" si="662"/>
        <v>2299990</v>
      </c>
      <c r="AC368" s="279"/>
      <c r="AD368" s="279"/>
      <c r="AE368" s="283">
        <f t="shared" si="546"/>
        <v>2299990</v>
      </c>
      <c r="AF368" s="273">
        <f t="shared" si="22"/>
        <v>0.02173922495</v>
      </c>
      <c r="AG368" s="274">
        <f t="shared" si="23"/>
        <v>0</v>
      </c>
    </row>
    <row r="369">
      <c r="A369" s="264">
        <f t="shared" si="3"/>
        <v>45733</v>
      </c>
      <c r="B369" s="269"/>
      <c r="C369" s="296"/>
      <c r="D369" s="296"/>
      <c r="E369" s="296"/>
      <c r="F369" s="296"/>
      <c r="G369" s="297"/>
      <c r="H369" s="281">
        <f>47960*38</f>
        <v>1822480</v>
      </c>
      <c r="I369" s="281">
        <f>48360</f>
        <v>48360</v>
      </c>
      <c r="J369" s="281">
        <f>37500*3</f>
        <v>112500</v>
      </c>
      <c r="K369" s="279"/>
      <c r="L369" s="279"/>
      <c r="M369" s="279"/>
      <c r="N369" s="286"/>
      <c r="O369" s="269"/>
      <c r="P369" s="269"/>
      <c r="Q369" s="269">
        <f>2085*9</f>
        <v>18765</v>
      </c>
      <c r="R369" s="279">
        <f t="shared" si="684"/>
        <v>76860</v>
      </c>
      <c r="S369" s="279"/>
      <c r="T369" s="279"/>
      <c r="U369" s="279"/>
      <c r="V369" s="279">
        <f t="shared" si="435"/>
        <v>202920</v>
      </c>
      <c r="W369" s="298"/>
      <c r="X369" s="298"/>
      <c r="Y369" s="298"/>
      <c r="Z369" s="298"/>
      <c r="AA369" s="277">
        <f t="shared" si="698"/>
        <v>50000</v>
      </c>
      <c r="AB369" s="280">
        <f t="shared" si="662"/>
        <v>2331885</v>
      </c>
      <c r="AC369" s="279"/>
      <c r="AD369" s="279"/>
      <c r="AE369" s="283">
        <f t="shared" si="546"/>
        <v>2331885</v>
      </c>
      <c r="AF369" s="273">
        <f t="shared" si="22"/>
        <v>0.02144188071</v>
      </c>
      <c r="AG369" s="274">
        <f t="shared" si="23"/>
        <v>0</v>
      </c>
    </row>
    <row r="370">
      <c r="A370" s="284">
        <f t="shared" si="3"/>
        <v>45732</v>
      </c>
      <c r="B370" s="269"/>
      <c r="C370" s="296"/>
      <c r="D370" s="296"/>
      <c r="E370" s="296"/>
      <c r="F370" s="296"/>
      <c r="G370" s="297"/>
      <c r="H370" s="281">
        <f t="shared" ref="H370:H372" si="703">45060*38</f>
        <v>1712280</v>
      </c>
      <c r="I370" s="281">
        <f>47820</f>
        <v>47820</v>
      </c>
      <c r="J370" s="281">
        <f t="shared" ref="J370:J372" si="704">37440*3</f>
        <v>112320</v>
      </c>
      <c r="K370" s="279"/>
      <c r="L370" s="279"/>
      <c r="M370" s="279"/>
      <c r="N370" s="286"/>
      <c r="O370" s="269"/>
      <c r="P370" s="269"/>
      <c r="Q370" s="269">
        <f t="shared" ref="Q370:Q372" si="705">2020*9</f>
        <v>18180</v>
      </c>
      <c r="R370" s="279">
        <f t="shared" si="684"/>
        <v>76860</v>
      </c>
      <c r="S370" s="279"/>
      <c r="T370" s="279"/>
      <c r="U370" s="279"/>
      <c r="V370" s="279">
        <f t="shared" si="435"/>
        <v>202920</v>
      </c>
      <c r="W370" s="298"/>
      <c r="X370" s="298"/>
      <c r="Y370" s="298"/>
      <c r="Z370" s="298"/>
      <c r="AA370" s="277">
        <f t="shared" si="698"/>
        <v>50000</v>
      </c>
      <c r="AB370" s="280">
        <f t="shared" si="662"/>
        <v>2220380</v>
      </c>
      <c r="AC370" s="279"/>
      <c r="AD370" s="279"/>
      <c r="AE370" s="283">
        <f t="shared" si="546"/>
        <v>2220380</v>
      </c>
      <c r="AF370" s="273">
        <f t="shared" si="22"/>
        <v>0.02251866798</v>
      </c>
      <c r="AG370" s="274">
        <f t="shared" si="23"/>
        <v>0</v>
      </c>
    </row>
    <row r="371">
      <c r="A371" s="284">
        <f t="shared" si="3"/>
        <v>45731</v>
      </c>
      <c r="B371" s="269"/>
      <c r="C371" s="296"/>
      <c r="D371" s="296"/>
      <c r="E371" s="296"/>
      <c r="F371" s="296"/>
      <c r="G371" s="297"/>
      <c r="H371" s="281">
        <f t="shared" si="703"/>
        <v>1712280</v>
      </c>
      <c r="I371" s="281">
        <f t="shared" ref="I371:I373" si="706">46620</f>
        <v>46620</v>
      </c>
      <c r="J371" s="281">
        <f t="shared" si="704"/>
        <v>112320</v>
      </c>
      <c r="K371" s="279"/>
      <c r="L371" s="279"/>
      <c r="M371" s="279"/>
      <c r="N371" s="286"/>
      <c r="O371" s="269"/>
      <c r="P371" s="269"/>
      <c r="Q371" s="269">
        <f t="shared" si="705"/>
        <v>18180</v>
      </c>
      <c r="R371" s="279">
        <f t="shared" si="684"/>
        <v>76860</v>
      </c>
      <c r="S371" s="279"/>
      <c r="T371" s="279"/>
      <c r="U371" s="279"/>
      <c r="V371" s="279">
        <f t="shared" si="435"/>
        <v>202920</v>
      </c>
      <c r="W371" s="298"/>
      <c r="X371" s="298"/>
      <c r="Y371" s="298"/>
      <c r="Z371" s="298"/>
      <c r="AA371" s="277">
        <f t="shared" si="698"/>
        <v>50000</v>
      </c>
      <c r="AB371" s="280">
        <f t="shared" si="662"/>
        <v>2219180</v>
      </c>
      <c r="AC371" s="279"/>
      <c r="AD371" s="279"/>
      <c r="AE371" s="283">
        <f t="shared" si="546"/>
        <v>2219180</v>
      </c>
      <c r="AF371" s="273">
        <f t="shared" si="22"/>
        <v>0.02253084473</v>
      </c>
      <c r="AG371" s="274">
        <f t="shared" si="23"/>
        <v>0</v>
      </c>
    </row>
    <row r="372">
      <c r="A372" s="264">
        <f t="shared" si="3"/>
        <v>45730</v>
      </c>
      <c r="B372" s="269"/>
      <c r="C372" s="296"/>
      <c r="D372" s="296"/>
      <c r="E372" s="296"/>
      <c r="F372" s="296"/>
      <c r="G372" s="297"/>
      <c r="H372" s="281">
        <f t="shared" si="703"/>
        <v>1712280</v>
      </c>
      <c r="I372" s="281">
        <f t="shared" si="706"/>
        <v>46620</v>
      </c>
      <c r="J372" s="281">
        <f t="shared" si="704"/>
        <v>112320</v>
      </c>
      <c r="K372" s="279"/>
      <c r="L372" s="279"/>
      <c r="M372" s="279"/>
      <c r="N372" s="286"/>
      <c r="O372" s="269"/>
      <c r="P372" s="269"/>
      <c r="Q372" s="269">
        <f t="shared" si="705"/>
        <v>18180</v>
      </c>
      <c r="R372" s="279">
        <f t="shared" si="684"/>
        <v>76860</v>
      </c>
      <c r="S372" s="279"/>
      <c r="T372" s="279"/>
      <c r="U372" s="279"/>
      <c r="V372" s="279">
        <f t="shared" si="435"/>
        <v>202920</v>
      </c>
      <c r="W372" s="298"/>
      <c r="X372" s="298"/>
      <c r="Y372" s="298"/>
      <c r="Z372" s="298"/>
      <c r="AA372" s="277">
        <f t="shared" si="698"/>
        <v>50000</v>
      </c>
      <c r="AB372" s="280">
        <f t="shared" si="662"/>
        <v>2219180</v>
      </c>
      <c r="AC372" s="279"/>
      <c r="AD372" s="279"/>
      <c r="AE372" s="283">
        <f t="shared" si="546"/>
        <v>2219180</v>
      </c>
      <c r="AF372" s="273">
        <f t="shared" si="22"/>
        <v>0.02253084473</v>
      </c>
      <c r="AG372" s="274">
        <f t="shared" si="23"/>
        <v>0</v>
      </c>
    </row>
    <row r="373">
      <c r="A373" s="264">
        <f t="shared" si="3"/>
        <v>45729</v>
      </c>
      <c r="B373" s="269"/>
      <c r="C373" s="296"/>
      <c r="D373" s="296"/>
      <c r="E373" s="296"/>
      <c r="F373" s="296"/>
      <c r="G373" s="297"/>
      <c r="H373" s="281">
        <f>44100*38</f>
        <v>1675800</v>
      </c>
      <c r="I373" s="281">
        <f t="shared" si="706"/>
        <v>46620</v>
      </c>
      <c r="J373" s="281">
        <f>38000*3</f>
        <v>114000</v>
      </c>
      <c r="K373" s="279"/>
      <c r="L373" s="279"/>
      <c r="M373" s="279"/>
      <c r="N373" s="286"/>
      <c r="O373" s="269"/>
      <c r="P373" s="269"/>
      <c r="Q373" s="269">
        <f>2010*9</f>
        <v>18090</v>
      </c>
      <c r="R373" s="279">
        <f t="shared" si="684"/>
        <v>76860</v>
      </c>
      <c r="S373" s="279"/>
      <c r="T373" s="279"/>
      <c r="U373" s="279"/>
      <c r="V373" s="279">
        <f t="shared" si="435"/>
        <v>202920</v>
      </c>
      <c r="W373" s="298"/>
      <c r="X373" s="298"/>
      <c r="Y373" s="298"/>
      <c r="Z373" s="298"/>
      <c r="AA373" s="277">
        <f t="shared" si="698"/>
        <v>50000</v>
      </c>
      <c r="AB373" s="280">
        <f t="shared" si="662"/>
        <v>2184290</v>
      </c>
      <c r="AC373" s="286"/>
      <c r="AD373" s="286"/>
      <c r="AE373" s="283">
        <f t="shared" si="546"/>
        <v>2184290</v>
      </c>
      <c r="AF373" s="273">
        <f t="shared" si="22"/>
        <v>0.02289073337</v>
      </c>
      <c r="AG373" s="274">
        <f t="shared" si="23"/>
        <v>0</v>
      </c>
    </row>
    <row r="374">
      <c r="A374" s="264">
        <f t="shared" si="3"/>
        <v>45728</v>
      </c>
      <c r="B374" s="269"/>
      <c r="C374" s="296"/>
      <c r="D374" s="296"/>
      <c r="E374" s="296"/>
      <c r="F374" s="296"/>
      <c r="G374" s="297"/>
      <c r="H374" s="281">
        <f>44480*38</f>
        <v>1690240</v>
      </c>
      <c r="I374" s="281">
        <f>46360</f>
        <v>46360</v>
      </c>
      <c r="J374" s="281">
        <f>38100*3</f>
        <v>114300</v>
      </c>
      <c r="K374" s="286"/>
      <c r="L374" s="286"/>
      <c r="M374" s="286"/>
      <c r="N374" s="286"/>
      <c r="O374" s="269"/>
      <c r="P374" s="269"/>
      <c r="Q374" s="269">
        <f>2000*9</f>
        <v>18000</v>
      </c>
      <c r="R374" s="286">
        <f t="shared" si="684"/>
        <v>76860</v>
      </c>
      <c r="S374" s="286"/>
      <c r="T374" s="286"/>
      <c r="U374" s="286"/>
      <c r="V374" s="286">
        <f t="shared" si="435"/>
        <v>202920</v>
      </c>
      <c r="W374" s="299"/>
      <c r="X374" s="299"/>
      <c r="Y374" s="299"/>
      <c r="Z374" s="299"/>
      <c r="AA374" s="300">
        <f t="shared" si="698"/>
        <v>50000</v>
      </c>
      <c r="AB374" s="280">
        <f t="shared" si="662"/>
        <v>2198680</v>
      </c>
      <c r="AC374" s="286"/>
      <c r="AD374" s="286"/>
      <c r="AE374" s="283">
        <f t="shared" si="546"/>
        <v>2198680</v>
      </c>
      <c r="AF374" s="273">
        <f t="shared" si="22"/>
        <v>0.02274091728</v>
      </c>
      <c r="AG374" s="274">
        <f t="shared" si="23"/>
        <v>0</v>
      </c>
    </row>
    <row r="375">
      <c r="A375" s="264">
        <f t="shared" si="3"/>
        <v>45727</v>
      </c>
      <c r="B375" s="269"/>
      <c r="C375" s="296"/>
      <c r="D375" s="296"/>
      <c r="E375" s="296"/>
      <c r="F375" s="296"/>
      <c r="G375" s="297"/>
      <c r="H375" s="281">
        <f>43140*38</f>
        <v>1639320</v>
      </c>
      <c r="I375" s="281">
        <f t="shared" ref="I375:I379" si="707">47200</f>
        <v>47200</v>
      </c>
      <c r="J375" s="281">
        <f>37220*3</f>
        <v>111660</v>
      </c>
      <c r="K375" s="286"/>
      <c r="L375" s="286"/>
      <c r="M375" s="286"/>
      <c r="N375" s="286"/>
      <c r="O375" s="269"/>
      <c r="P375" s="269"/>
      <c r="Q375" s="269">
        <f>1980*9</f>
        <v>17820</v>
      </c>
      <c r="R375" s="286">
        <f t="shared" si="684"/>
        <v>76860</v>
      </c>
      <c r="S375" s="286"/>
      <c r="T375" s="286"/>
      <c r="U375" s="286"/>
      <c r="V375" s="286">
        <f t="shared" si="435"/>
        <v>202920</v>
      </c>
      <c r="W375" s="299"/>
      <c r="X375" s="299"/>
      <c r="Y375" s="299"/>
      <c r="Z375" s="299"/>
      <c r="AA375" s="300">
        <f t="shared" si="698"/>
        <v>50000</v>
      </c>
      <c r="AB375" s="280">
        <f t="shared" si="662"/>
        <v>2145780</v>
      </c>
      <c r="AC375" s="286"/>
      <c r="AD375" s="286"/>
      <c r="AE375" s="283">
        <f t="shared" si="546"/>
        <v>2145780</v>
      </c>
      <c r="AF375" s="273">
        <f t="shared" si="22"/>
        <v>0.02330155002</v>
      </c>
      <c r="AG375" s="274">
        <f t="shared" si="23"/>
        <v>0</v>
      </c>
    </row>
    <row r="376">
      <c r="A376" s="264">
        <f t="shared" si="3"/>
        <v>45726</v>
      </c>
      <c r="B376" s="269"/>
      <c r="C376" s="296"/>
      <c r="D376" s="296"/>
      <c r="E376" s="296"/>
      <c r="F376" s="296"/>
      <c r="G376" s="297"/>
      <c r="H376" s="281">
        <f t="shared" ref="H376:H379" si="708">43400*38</f>
        <v>1649200</v>
      </c>
      <c r="I376" s="281">
        <f t="shared" si="707"/>
        <v>47200</v>
      </c>
      <c r="J376" s="281">
        <f t="shared" ref="J376:J379" si="709">38860*3</f>
        <v>116580</v>
      </c>
      <c r="K376" s="286"/>
      <c r="L376" s="286"/>
      <c r="M376" s="286"/>
      <c r="N376" s="286"/>
      <c r="O376" s="269"/>
      <c r="P376" s="269"/>
      <c r="Q376" s="269">
        <f t="shared" ref="Q376:Q379" si="710">2050*9</f>
        <v>18450</v>
      </c>
      <c r="R376" s="286">
        <f t="shared" si="684"/>
        <v>76860</v>
      </c>
      <c r="S376" s="286"/>
      <c r="T376" s="286"/>
      <c r="U376" s="286"/>
      <c r="V376" s="286">
        <f t="shared" si="435"/>
        <v>202920</v>
      </c>
      <c r="W376" s="299"/>
      <c r="X376" s="299"/>
      <c r="Y376" s="299"/>
      <c r="Z376" s="299"/>
      <c r="AA376" s="300">
        <f t="shared" si="698"/>
        <v>50000</v>
      </c>
      <c r="AB376" s="280">
        <f t="shared" si="662"/>
        <v>2161210</v>
      </c>
      <c r="AC376" s="286"/>
      <c r="AD376" s="286"/>
      <c r="AE376" s="283">
        <f t="shared" si="546"/>
        <v>2161210</v>
      </c>
      <c r="AF376" s="273">
        <f t="shared" si="22"/>
        <v>0.02313518816</v>
      </c>
      <c r="AG376" s="274">
        <f t="shared" si="23"/>
        <v>0</v>
      </c>
    </row>
    <row r="377">
      <c r="A377" s="284">
        <f t="shared" si="3"/>
        <v>45725</v>
      </c>
      <c r="B377" s="269"/>
      <c r="C377" s="296"/>
      <c r="D377" s="296"/>
      <c r="E377" s="296"/>
      <c r="F377" s="296"/>
      <c r="G377" s="297"/>
      <c r="H377" s="281">
        <f t="shared" si="708"/>
        <v>1649200</v>
      </c>
      <c r="I377" s="281">
        <f t="shared" si="707"/>
        <v>47200</v>
      </c>
      <c r="J377" s="281">
        <f t="shared" si="709"/>
        <v>116580</v>
      </c>
      <c r="K377" s="286"/>
      <c r="L377" s="286"/>
      <c r="M377" s="286"/>
      <c r="N377" s="286"/>
      <c r="O377" s="269"/>
      <c r="P377" s="269"/>
      <c r="Q377" s="269">
        <f t="shared" si="710"/>
        <v>18450</v>
      </c>
      <c r="R377" s="286">
        <f t="shared" si="684"/>
        <v>76860</v>
      </c>
      <c r="S377" s="286"/>
      <c r="T377" s="286"/>
      <c r="U377" s="286"/>
      <c r="V377" s="286">
        <f t="shared" si="435"/>
        <v>202920</v>
      </c>
      <c r="W377" s="299"/>
      <c r="X377" s="299"/>
      <c r="Y377" s="299"/>
      <c r="Z377" s="299"/>
      <c r="AA377" s="300">
        <f t="shared" si="698"/>
        <v>50000</v>
      </c>
      <c r="AB377" s="280">
        <f t="shared" si="662"/>
        <v>2161210</v>
      </c>
      <c r="AC377" s="286"/>
      <c r="AD377" s="286"/>
      <c r="AE377" s="283">
        <f t="shared" si="546"/>
        <v>2161210</v>
      </c>
      <c r="AF377" s="273">
        <f t="shared" si="22"/>
        <v>0.02313518816</v>
      </c>
      <c r="AG377" s="274">
        <f t="shared" si="23"/>
        <v>0</v>
      </c>
    </row>
    <row r="378">
      <c r="A378" s="284">
        <f t="shared" si="3"/>
        <v>45724</v>
      </c>
      <c r="B378" s="269"/>
      <c r="C378" s="296"/>
      <c r="D378" s="296"/>
      <c r="E378" s="296"/>
      <c r="F378" s="296"/>
      <c r="G378" s="297"/>
      <c r="H378" s="281">
        <f t="shared" si="708"/>
        <v>1649200</v>
      </c>
      <c r="I378" s="281">
        <f t="shared" si="707"/>
        <v>47200</v>
      </c>
      <c r="J378" s="281">
        <f t="shared" si="709"/>
        <v>116580</v>
      </c>
      <c r="K378" s="286"/>
      <c r="L378" s="286"/>
      <c r="M378" s="286"/>
      <c r="N378" s="286"/>
      <c r="O378" s="269"/>
      <c r="P378" s="269"/>
      <c r="Q378" s="269">
        <f t="shared" si="710"/>
        <v>18450</v>
      </c>
      <c r="R378" s="286">
        <f t="shared" si="684"/>
        <v>76860</v>
      </c>
      <c r="S378" s="286"/>
      <c r="T378" s="286"/>
      <c r="U378" s="286"/>
      <c r="V378" s="286">
        <f t="shared" si="435"/>
        <v>202920</v>
      </c>
      <c r="W378" s="299"/>
      <c r="X378" s="299"/>
      <c r="Y378" s="299"/>
      <c r="Z378" s="299"/>
      <c r="AA378" s="300">
        <f t="shared" si="698"/>
        <v>50000</v>
      </c>
      <c r="AB378" s="280">
        <f t="shared" si="662"/>
        <v>2161210</v>
      </c>
      <c r="AC378" s="286"/>
      <c r="AD378" s="286"/>
      <c r="AE378" s="283">
        <f t="shared" si="546"/>
        <v>2161210</v>
      </c>
      <c r="AF378" s="273">
        <f t="shared" si="22"/>
        <v>0.02313518816</v>
      </c>
      <c r="AG378" s="274">
        <f t="shared" si="23"/>
        <v>0</v>
      </c>
    </row>
    <row r="379">
      <c r="A379" s="264">
        <f t="shared" si="3"/>
        <v>45723</v>
      </c>
      <c r="B379" s="269"/>
      <c r="C379" s="296"/>
      <c r="D379" s="296"/>
      <c r="E379" s="296"/>
      <c r="F379" s="296"/>
      <c r="G379" s="297"/>
      <c r="H379" s="281">
        <f t="shared" si="708"/>
        <v>1649200</v>
      </c>
      <c r="I379" s="281">
        <f t="shared" si="707"/>
        <v>47200</v>
      </c>
      <c r="J379" s="281">
        <f t="shared" si="709"/>
        <v>116580</v>
      </c>
      <c r="K379" s="286"/>
      <c r="L379" s="286"/>
      <c r="M379" s="286"/>
      <c r="N379" s="286"/>
      <c r="O379" s="269"/>
      <c r="P379" s="269"/>
      <c r="Q379" s="269">
        <f t="shared" si="710"/>
        <v>18450</v>
      </c>
      <c r="R379" s="286">
        <f t="shared" si="684"/>
        <v>76860</v>
      </c>
      <c r="S379" s="286"/>
      <c r="T379" s="286"/>
      <c r="U379" s="286"/>
      <c r="V379" s="286">
        <f t="shared" si="435"/>
        <v>202920</v>
      </c>
      <c r="W379" s="299"/>
      <c r="X379" s="299"/>
      <c r="Y379" s="299"/>
      <c r="Z379" s="299"/>
      <c r="AA379" s="300">
        <f t="shared" si="698"/>
        <v>50000</v>
      </c>
      <c r="AB379" s="280">
        <f t="shared" si="662"/>
        <v>2161210</v>
      </c>
      <c r="AC379" s="286"/>
      <c r="AD379" s="286"/>
      <c r="AE379" s="283">
        <f t="shared" si="546"/>
        <v>2161210</v>
      </c>
      <c r="AF379" s="273">
        <f t="shared" si="22"/>
        <v>0.02313518816</v>
      </c>
      <c r="AG379" s="274">
        <f t="shared" si="23"/>
        <v>0</v>
      </c>
    </row>
    <row r="380">
      <c r="A380" s="264">
        <f t="shared" si="3"/>
        <v>45722</v>
      </c>
      <c r="B380" s="269"/>
      <c r="C380" s="296"/>
      <c r="D380" s="296"/>
      <c r="E380" s="296"/>
      <c r="F380" s="296"/>
      <c r="G380" s="297"/>
      <c r="H380" s="281">
        <f>43800*38</f>
        <v>1664400</v>
      </c>
      <c r="I380" s="281">
        <f>47280</f>
        <v>47280</v>
      </c>
      <c r="J380" s="281">
        <f>38540*3</f>
        <v>115620</v>
      </c>
      <c r="K380" s="286"/>
      <c r="L380" s="286"/>
      <c r="M380" s="286"/>
      <c r="N380" s="286"/>
      <c r="O380" s="269"/>
      <c r="P380" s="269"/>
      <c r="Q380" s="269">
        <f>2000*9</f>
        <v>18000</v>
      </c>
      <c r="R380" s="286">
        <f t="shared" si="684"/>
        <v>76860</v>
      </c>
      <c r="S380" s="286"/>
      <c r="T380" s="286"/>
      <c r="U380" s="286"/>
      <c r="V380" s="286">
        <f t="shared" ref="V380:V399" si="711">37920+65000+270000-50000-40000-40000</f>
        <v>242920</v>
      </c>
      <c r="W380" s="299"/>
      <c r="X380" s="299"/>
      <c r="Y380" s="299"/>
      <c r="Z380" s="299"/>
      <c r="AA380" s="300">
        <v>0.0</v>
      </c>
      <c r="AB380" s="280">
        <f t="shared" si="662"/>
        <v>2165080</v>
      </c>
      <c r="AC380" s="286"/>
      <c r="AD380" s="286"/>
      <c r="AE380" s="283">
        <f t="shared" si="546"/>
        <v>2165080</v>
      </c>
      <c r="AF380" s="273">
        <f t="shared" si="22"/>
        <v>0</v>
      </c>
      <c r="AG380" s="274">
        <f t="shared" si="23"/>
        <v>0</v>
      </c>
    </row>
    <row r="381">
      <c r="A381" s="264">
        <f t="shared" si="3"/>
        <v>45721</v>
      </c>
      <c r="B381" s="269"/>
      <c r="C381" s="296"/>
      <c r="D381" s="296"/>
      <c r="E381" s="296"/>
      <c r="F381" s="296"/>
      <c r="G381" s="297"/>
      <c r="H381" s="281">
        <f>44460*27</f>
        <v>1200420</v>
      </c>
      <c r="I381" s="281">
        <f>46240</f>
        <v>46240</v>
      </c>
      <c r="J381" s="281">
        <f>37940*3</f>
        <v>113820</v>
      </c>
      <c r="K381" s="286"/>
      <c r="L381" s="286"/>
      <c r="M381" s="286"/>
      <c r="N381" s="286"/>
      <c r="O381" s="269"/>
      <c r="P381" s="269"/>
      <c r="Q381" s="269">
        <f>1930*9</f>
        <v>17370</v>
      </c>
      <c r="R381" s="286">
        <f t="shared" si="684"/>
        <v>76860</v>
      </c>
      <c r="S381" s="286"/>
      <c r="T381" s="286"/>
      <c r="U381" s="286"/>
      <c r="V381" s="286">
        <f t="shared" si="711"/>
        <v>242920</v>
      </c>
      <c r="W381" s="299"/>
      <c r="X381" s="299"/>
      <c r="Y381" s="299"/>
      <c r="Z381" s="299"/>
      <c r="AA381" s="300">
        <v>100000.0</v>
      </c>
      <c r="AB381" s="280">
        <f t="shared" si="662"/>
        <v>1797630</v>
      </c>
      <c r="AC381" s="286"/>
      <c r="AD381" s="286"/>
      <c r="AE381" s="283">
        <f t="shared" si="546"/>
        <v>1797630</v>
      </c>
      <c r="AF381" s="273">
        <f t="shared" si="22"/>
        <v>0.05562880014</v>
      </c>
      <c r="AG381" s="274">
        <f t="shared" si="23"/>
        <v>0</v>
      </c>
    </row>
    <row r="382">
      <c r="A382" s="264">
        <f t="shared" si="3"/>
        <v>45720</v>
      </c>
      <c r="B382" s="269"/>
      <c r="C382" s="296"/>
      <c r="D382" s="296"/>
      <c r="E382" s="296"/>
      <c r="F382" s="296"/>
      <c r="G382" s="297"/>
      <c r="H382" s="281">
        <f>43340*27</f>
        <v>1170180</v>
      </c>
      <c r="I382" s="281">
        <f>44460</f>
        <v>44460</v>
      </c>
      <c r="J382" s="281">
        <f>37020*3</f>
        <v>111060</v>
      </c>
      <c r="K382" s="286"/>
      <c r="L382" s="286"/>
      <c r="M382" s="286"/>
      <c r="N382" s="286"/>
      <c r="O382" s="269"/>
      <c r="P382" s="269"/>
      <c r="Q382" s="269">
        <f>1885*9</f>
        <v>16965</v>
      </c>
      <c r="R382" s="286">
        <f t="shared" si="684"/>
        <v>76860</v>
      </c>
      <c r="S382" s="286"/>
      <c r="T382" s="286"/>
      <c r="U382" s="286"/>
      <c r="V382" s="286">
        <f t="shared" si="711"/>
        <v>242920</v>
      </c>
      <c r="W382" s="299"/>
      <c r="X382" s="299"/>
      <c r="Y382" s="299"/>
      <c r="Z382" s="299"/>
      <c r="AA382" s="300">
        <v>100000.0</v>
      </c>
      <c r="AB382" s="280">
        <f t="shared" si="662"/>
        <v>1762445</v>
      </c>
      <c r="AC382" s="286"/>
      <c r="AD382" s="286"/>
      <c r="AE382" s="283">
        <f t="shared" si="546"/>
        <v>1762445</v>
      </c>
      <c r="AF382" s="273">
        <f t="shared" si="22"/>
        <v>0.05673935924</v>
      </c>
      <c r="AG382" s="274">
        <f t="shared" si="23"/>
        <v>0</v>
      </c>
    </row>
    <row r="383">
      <c r="A383" s="264">
        <f t="shared" si="3"/>
        <v>45719</v>
      </c>
      <c r="B383" s="269"/>
      <c r="C383" s="296"/>
      <c r="D383" s="296"/>
      <c r="E383" s="296"/>
      <c r="F383" s="296"/>
      <c r="G383" s="297"/>
      <c r="H383" s="281">
        <f>42880*27</f>
        <v>1157760</v>
      </c>
      <c r="I383" s="281">
        <f>44200</f>
        <v>44200</v>
      </c>
      <c r="J383" s="281">
        <f>37580*3</f>
        <v>112740</v>
      </c>
      <c r="K383" s="286"/>
      <c r="L383" s="286"/>
      <c r="M383" s="286"/>
      <c r="N383" s="286"/>
      <c r="O383" s="269"/>
      <c r="P383" s="269"/>
      <c r="Q383" s="269">
        <f>1995*9</f>
        <v>17955</v>
      </c>
      <c r="R383" s="286">
        <f t="shared" si="684"/>
        <v>76860</v>
      </c>
      <c r="S383" s="286"/>
      <c r="T383" s="286"/>
      <c r="U383" s="286"/>
      <c r="V383" s="286">
        <f t="shared" si="711"/>
        <v>242920</v>
      </c>
      <c r="W383" s="299"/>
      <c r="X383" s="299"/>
      <c r="Y383" s="299"/>
      <c r="Z383" s="299"/>
      <c r="AA383" s="300">
        <v>100000.0</v>
      </c>
      <c r="AB383" s="280">
        <f t="shared" si="662"/>
        <v>1752435</v>
      </c>
      <c r="AC383" s="286"/>
      <c r="AD383" s="286"/>
      <c r="AE383" s="283">
        <f t="shared" si="546"/>
        <v>1752435</v>
      </c>
      <c r="AF383" s="273">
        <f t="shared" si="22"/>
        <v>0.05706345742</v>
      </c>
      <c r="AG383" s="274">
        <f t="shared" si="23"/>
        <v>0</v>
      </c>
    </row>
    <row r="384">
      <c r="A384" s="284">
        <f t="shared" si="3"/>
        <v>45718</v>
      </c>
      <c r="B384" s="269"/>
      <c r="C384" s="296"/>
      <c r="D384" s="296"/>
      <c r="E384" s="296"/>
      <c r="F384" s="296"/>
      <c r="G384" s="297"/>
      <c r="H384" s="281">
        <f t="shared" ref="H384:H386" si="712">44720*27</f>
        <v>1207440</v>
      </c>
      <c r="I384" s="281">
        <f t="shared" ref="I384:I386" si="713">45740</f>
        <v>45740</v>
      </c>
      <c r="J384" s="281">
        <f t="shared" ref="J384:J386" si="714">38520*3</f>
        <v>115560</v>
      </c>
      <c r="K384" s="286"/>
      <c r="L384" s="286"/>
      <c r="M384" s="286"/>
      <c r="N384" s="286"/>
      <c r="O384" s="269"/>
      <c r="P384" s="269"/>
      <c r="Q384" s="269">
        <f t="shared" ref="Q384:Q386" si="715">2060*9</f>
        <v>18540</v>
      </c>
      <c r="R384" s="286">
        <f t="shared" si="684"/>
        <v>76860</v>
      </c>
      <c r="S384" s="286"/>
      <c r="T384" s="286"/>
      <c r="U384" s="286"/>
      <c r="V384" s="286">
        <f t="shared" si="711"/>
        <v>242920</v>
      </c>
      <c r="W384" s="299"/>
      <c r="X384" s="299"/>
      <c r="Y384" s="299"/>
      <c r="Z384" s="299"/>
      <c r="AA384" s="300">
        <v>100000.0</v>
      </c>
      <c r="AB384" s="280">
        <f t="shared" si="662"/>
        <v>1807060</v>
      </c>
      <c r="AC384" s="286"/>
      <c r="AD384" s="286"/>
      <c r="AE384" s="283">
        <f t="shared" si="546"/>
        <v>1807060</v>
      </c>
      <c r="AF384" s="273">
        <f t="shared" si="22"/>
        <v>0.05533850564</v>
      </c>
      <c r="AG384" s="274">
        <f t="shared" si="23"/>
        <v>0</v>
      </c>
    </row>
    <row r="385">
      <c r="A385" s="284">
        <f t="shared" si="3"/>
        <v>45717</v>
      </c>
      <c r="B385" s="269"/>
      <c r="C385" s="296"/>
      <c r="D385" s="296"/>
      <c r="E385" s="296"/>
      <c r="F385" s="296"/>
      <c r="G385" s="297"/>
      <c r="H385" s="281">
        <f t="shared" si="712"/>
        <v>1207440</v>
      </c>
      <c r="I385" s="281">
        <f t="shared" si="713"/>
        <v>45740</v>
      </c>
      <c r="J385" s="281">
        <f t="shared" si="714"/>
        <v>115560</v>
      </c>
      <c r="K385" s="286"/>
      <c r="L385" s="286"/>
      <c r="M385" s="286"/>
      <c r="N385" s="286"/>
      <c r="O385" s="269"/>
      <c r="P385" s="269"/>
      <c r="Q385" s="269">
        <f t="shared" si="715"/>
        <v>18540</v>
      </c>
      <c r="R385" s="286">
        <f t="shared" si="684"/>
        <v>76860</v>
      </c>
      <c r="S385" s="286"/>
      <c r="T385" s="286"/>
      <c r="U385" s="286"/>
      <c r="V385" s="286">
        <f t="shared" si="711"/>
        <v>242920</v>
      </c>
      <c r="W385" s="299"/>
      <c r="X385" s="299"/>
      <c r="Y385" s="299"/>
      <c r="Z385" s="299"/>
      <c r="AA385" s="300">
        <v>100000.0</v>
      </c>
      <c r="AB385" s="280">
        <f t="shared" si="662"/>
        <v>1807060</v>
      </c>
      <c r="AC385" s="286"/>
      <c r="AD385" s="286"/>
      <c r="AE385" s="283">
        <f t="shared" si="546"/>
        <v>1807060</v>
      </c>
      <c r="AF385" s="273">
        <f t="shared" si="22"/>
        <v>0.05533850564</v>
      </c>
      <c r="AG385" s="274">
        <f t="shared" si="23"/>
        <v>0</v>
      </c>
    </row>
    <row r="386">
      <c r="A386" s="264">
        <f t="shared" si="3"/>
        <v>45716</v>
      </c>
      <c r="B386" s="269"/>
      <c r="C386" s="296"/>
      <c r="D386" s="296"/>
      <c r="E386" s="296"/>
      <c r="F386" s="296"/>
      <c r="G386" s="297"/>
      <c r="H386" s="281">
        <f t="shared" si="712"/>
        <v>1207440</v>
      </c>
      <c r="I386" s="281">
        <f t="shared" si="713"/>
        <v>45740</v>
      </c>
      <c r="J386" s="281">
        <f t="shared" si="714"/>
        <v>115560</v>
      </c>
      <c r="K386" s="286"/>
      <c r="L386" s="286"/>
      <c r="M386" s="286"/>
      <c r="N386" s="286"/>
      <c r="O386" s="269"/>
      <c r="P386" s="269"/>
      <c r="Q386" s="269">
        <f t="shared" si="715"/>
        <v>18540</v>
      </c>
      <c r="R386" s="286">
        <f t="shared" si="684"/>
        <v>76860</v>
      </c>
      <c r="S386" s="286"/>
      <c r="T386" s="286"/>
      <c r="U386" s="286"/>
      <c r="V386" s="286">
        <f t="shared" si="711"/>
        <v>242920</v>
      </c>
      <c r="W386" s="299"/>
      <c r="X386" s="299"/>
      <c r="Y386" s="299"/>
      <c r="Z386" s="299"/>
      <c r="AA386" s="300">
        <v>100000.0</v>
      </c>
      <c r="AB386" s="280">
        <f t="shared" si="662"/>
        <v>1807060</v>
      </c>
      <c r="AC386" s="286"/>
      <c r="AD386" s="286"/>
      <c r="AE386" s="283">
        <f t="shared" si="546"/>
        <v>1807060</v>
      </c>
      <c r="AF386" s="273">
        <f t="shared" si="22"/>
        <v>0.05533850564</v>
      </c>
      <c r="AG386" s="274">
        <f t="shared" si="23"/>
        <v>0</v>
      </c>
    </row>
    <row r="387">
      <c r="A387" s="264">
        <f t="shared" si="3"/>
        <v>45715</v>
      </c>
      <c r="B387" s="269"/>
      <c r="C387" s="296"/>
      <c r="D387" s="296"/>
      <c r="E387" s="296"/>
      <c r="F387" s="296"/>
      <c r="G387" s="297"/>
      <c r="H387" s="281">
        <f>47100*27</f>
        <v>1271700</v>
      </c>
      <c r="I387" s="281">
        <f>46600</f>
        <v>46600</v>
      </c>
      <c r="J387" s="281">
        <f>38540*3</f>
        <v>115620</v>
      </c>
      <c r="K387" s="286"/>
      <c r="L387" s="286"/>
      <c r="M387" s="286"/>
      <c r="N387" s="286"/>
      <c r="O387" s="269"/>
      <c r="P387" s="269"/>
      <c r="Q387" s="269">
        <f>2050*9</f>
        <v>18450</v>
      </c>
      <c r="R387" s="286">
        <f t="shared" si="684"/>
        <v>76860</v>
      </c>
      <c r="S387" s="286"/>
      <c r="T387" s="286"/>
      <c r="U387" s="286"/>
      <c r="V387" s="286">
        <f t="shared" si="711"/>
        <v>242920</v>
      </c>
      <c r="W387" s="299"/>
      <c r="X387" s="299"/>
      <c r="Y387" s="299"/>
      <c r="Z387" s="299"/>
      <c r="AA387" s="300">
        <v>100000.0</v>
      </c>
      <c r="AB387" s="280">
        <f t="shared" si="662"/>
        <v>1872150</v>
      </c>
      <c r="AC387" s="286"/>
      <c r="AD387" s="286"/>
      <c r="AE387" s="283">
        <f t="shared" si="546"/>
        <v>1872150</v>
      </c>
      <c r="AF387" s="273">
        <f t="shared" si="22"/>
        <v>0.05341452341</v>
      </c>
      <c r="AG387" s="274">
        <f t="shared" si="23"/>
        <v>0</v>
      </c>
    </row>
    <row r="388">
      <c r="A388" s="264">
        <f t="shared" si="3"/>
        <v>45714</v>
      </c>
      <c r="B388" s="269"/>
      <c r="C388" s="296"/>
      <c r="D388" s="296"/>
      <c r="E388" s="296"/>
      <c r="F388" s="296"/>
      <c r="G388" s="297"/>
      <c r="H388" s="281">
        <f>47280*27</f>
        <v>1276560</v>
      </c>
      <c r="I388" s="281">
        <f>47480</f>
        <v>47480</v>
      </c>
      <c r="J388" s="281">
        <f>37600*3</f>
        <v>112800</v>
      </c>
      <c r="K388" s="286"/>
      <c r="L388" s="286"/>
      <c r="M388" s="286"/>
      <c r="N388" s="286"/>
      <c r="O388" s="269"/>
      <c r="P388" s="269"/>
      <c r="Q388" s="269">
        <f>2085*9</f>
        <v>18765</v>
      </c>
      <c r="R388" s="286">
        <f t="shared" si="684"/>
        <v>76860</v>
      </c>
      <c r="S388" s="286"/>
      <c r="T388" s="286"/>
      <c r="U388" s="286"/>
      <c r="V388" s="286">
        <f t="shared" si="711"/>
        <v>242920</v>
      </c>
      <c r="W388" s="299"/>
      <c r="X388" s="299"/>
      <c r="Y388" s="299"/>
      <c r="Z388" s="299"/>
      <c r="AA388" s="300">
        <v>100000.0</v>
      </c>
      <c r="AB388" s="280">
        <f t="shared" si="662"/>
        <v>1875385</v>
      </c>
      <c r="AC388" s="286"/>
      <c r="AD388" s="286"/>
      <c r="AE388" s="283">
        <f t="shared" si="546"/>
        <v>1875385</v>
      </c>
      <c r="AF388" s="273">
        <f t="shared" si="22"/>
        <v>0.05332238447</v>
      </c>
      <c r="AG388" s="274">
        <f t="shared" si="23"/>
        <v>0</v>
      </c>
    </row>
    <row r="389">
      <c r="A389" s="264">
        <f t="shared" si="3"/>
        <v>45713</v>
      </c>
      <c r="B389" s="269"/>
      <c r="C389" s="296"/>
      <c r="D389" s="296"/>
      <c r="E389" s="296"/>
      <c r="F389" s="296"/>
      <c r="G389" s="297"/>
      <c r="H389" s="281">
        <f>46580*27</f>
        <v>1257660</v>
      </c>
      <c r="I389" s="281">
        <f>47260</f>
        <v>47260</v>
      </c>
      <c r="J389" s="281">
        <f t="shared" ref="J389:J390" si="716">38020*3</f>
        <v>114060</v>
      </c>
      <c r="K389" s="286"/>
      <c r="L389" s="286"/>
      <c r="M389" s="286"/>
      <c r="N389" s="286"/>
      <c r="O389" s="269"/>
      <c r="P389" s="269"/>
      <c r="Q389" s="269">
        <f>2130*9</f>
        <v>19170</v>
      </c>
      <c r="R389" s="286">
        <f t="shared" si="684"/>
        <v>76860</v>
      </c>
      <c r="S389" s="286"/>
      <c r="T389" s="286"/>
      <c r="U389" s="286"/>
      <c r="V389" s="286">
        <f t="shared" si="711"/>
        <v>242920</v>
      </c>
      <c r="W389" s="299"/>
      <c r="X389" s="299"/>
      <c r="Y389" s="299"/>
      <c r="Z389" s="299"/>
      <c r="AA389" s="300">
        <v>100000.0</v>
      </c>
      <c r="AB389" s="280">
        <f t="shared" si="662"/>
        <v>1857930</v>
      </c>
      <c r="AC389" s="286"/>
      <c r="AD389" s="286"/>
      <c r="AE389" s="283">
        <f t="shared" si="546"/>
        <v>1857930</v>
      </c>
      <c r="AF389" s="273">
        <f t="shared" si="22"/>
        <v>0.05382334103</v>
      </c>
      <c r="AG389" s="274">
        <f t="shared" si="23"/>
        <v>0</v>
      </c>
    </row>
    <row r="390">
      <c r="A390" s="264">
        <f t="shared" si="3"/>
        <v>45712</v>
      </c>
      <c r="B390" s="269"/>
      <c r="C390" s="296"/>
      <c r="D390" s="296"/>
      <c r="E390" s="296"/>
      <c r="F390" s="296"/>
      <c r="G390" s="297"/>
      <c r="H390" s="281">
        <f>45860*27</f>
        <v>1238220</v>
      </c>
      <c r="I390" s="281">
        <f>47480</f>
        <v>47480</v>
      </c>
      <c r="J390" s="281">
        <f t="shared" si="716"/>
        <v>114060</v>
      </c>
      <c r="K390" s="286"/>
      <c r="L390" s="286"/>
      <c r="M390" s="286"/>
      <c r="N390" s="295"/>
      <c r="O390" s="269"/>
      <c r="P390" s="269"/>
      <c r="Q390" s="269">
        <f t="shared" ref="Q390:Q393" si="717">2145*9</f>
        <v>19305</v>
      </c>
      <c r="R390" s="286">
        <f t="shared" si="684"/>
        <v>76860</v>
      </c>
      <c r="S390" s="286"/>
      <c r="T390" s="286"/>
      <c r="U390" s="286"/>
      <c r="V390" s="286">
        <f t="shared" si="711"/>
        <v>242920</v>
      </c>
      <c r="W390" s="299"/>
      <c r="X390" s="299"/>
      <c r="Y390" s="299"/>
      <c r="Z390" s="299"/>
      <c r="AA390" s="300">
        <v>100000.0</v>
      </c>
      <c r="AB390" s="280">
        <f t="shared" si="662"/>
        <v>1838845</v>
      </c>
      <c r="AC390" s="286"/>
      <c r="AD390" s="286"/>
      <c r="AE390" s="283">
        <f t="shared" si="546"/>
        <v>1838845</v>
      </c>
      <c r="AF390" s="273">
        <f t="shared" si="22"/>
        <v>0.05438196259</v>
      </c>
      <c r="AG390" s="274">
        <f t="shared" si="23"/>
        <v>0</v>
      </c>
    </row>
    <row r="391">
      <c r="A391" s="284">
        <f t="shared" si="3"/>
        <v>45711</v>
      </c>
      <c r="B391" s="269"/>
      <c r="C391" s="296"/>
      <c r="D391" s="296"/>
      <c r="E391" s="296"/>
      <c r="F391" s="296"/>
      <c r="G391" s="297"/>
      <c r="H391" s="281">
        <f t="shared" ref="H391:H393" si="718">44800*27</f>
        <v>1209600</v>
      </c>
      <c r="I391" s="281">
        <f t="shared" ref="I391:I393" si="719">47420</f>
        <v>47420</v>
      </c>
      <c r="J391" s="281">
        <f t="shared" ref="J391:J393" si="720">34920*3</f>
        <v>104760</v>
      </c>
      <c r="K391" s="286"/>
      <c r="L391" s="286"/>
      <c r="M391" s="286"/>
      <c r="N391" s="296"/>
      <c r="O391" s="269"/>
      <c r="P391" s="269"/>
      <c r="Q391" s="269">
        <f t="shared" si="717"/>
        <v>19305</v>
      </c>
      <c r="R391" s="286">
        <f t="shared" si="684"/>
        <v>76860</v>
      </c>
      <c r="S391" s="286"/>
      <c r="T391" s="286"/>
      <c r="U391" s="286"/>
      <c r="V391" s="286">
        <f t="shared" si="711"/>
        <v>242920</v>
      </c>
      <c r="W391" s="299"/>
      <c r="X391" s="299"/>
      <c r="Y391" s="299"/>
      <c r="Z391" s="299"/>
      <c r="AA391" s="300">
        <v>100000.0</v>
      </c>
      <c r="AB391" s="280">
        <f t="shared" si="662"/>
        <v>1800865</v>
      </c>
      <c r="AC391" s="286"/>
      <c r="AD391" s="286"/>
      <c r="AE391" s="283">
        <f t="shared" si="546"/>
        <v>1800865</v>
      </c>
      <c r="AF391" s="273">
        <f t="shared" si="22"/>
        <v>0.05552887085</v>
      </c>
      <c r="AG391" s="274">
        <f t="shared" si="23"/>
        <v>0</v>
      </c>
    </row>
    <row r="392">
      <c r="A392" s="284">
        <f t="shared" si="3"/>
        <v>45710</v>
      </c>
      <c r="B392" s="269"/>
      <c r="C392" s="296"/>
      <c r="D392" s="296"/>
      <c r="E392" s="296"/>
      <c r="F392" s="296"/>
      <c r="G392" s="297"/>
      <c r="H392" s="281">
        <f t="shared" si="718"/>
        <v>1209600</v>
      </c>
      <c r="I392" s="281">
        <f t="shared" si="719"/>
        <v>47420</v>
      </c>
      <c r="J392" s="281">
        <f t="shared" si="720"/>
        <v>104760</v>
      </c>
      <c r="K392" s="286"/>
      <c r="L392" s="286"/>
      <c r="M392" s="286"/>
      <c r="N392" s="296"/>
      <c r="O392" s="269"/>
      <c r="P392" s="269"/>
      <c r="Q392" s="269">
        <f t="shared" si="717"/>
        <v>19305</v>
      </c>
      <c r="R392" s="286">
        <f t="shared" si="684"/>
        <v>76860</v>
      </c>
      <c r="S392" s="286"/>
      <c r="T392" s="286"/>
      <c r="U392" s="286"/>
      <c r="V392" s="286">
        <f t="shared" si="711"/>
        <v>242920</v>
      </c>
      <c r="W392" s="299"/>
      <c r="X392" s="299"/>
      <c r="Y392" s="299"/>
      <c r="Z392" s="299"/>
      <c r="AA392" s="300">
        <v>100000.0</v>
      </c>
      <c r="AB392" s="280">
        <f t="shared" si="662"/>
        <v>1800865</v>
      </c>
      <c r="AC392" s="286"/>
      <c r="AD392" s="286"/>
      <c r="AE392" s="283">
        <f t="shared" si="546"/>
        <v>1800865</v>
      </c>
      <c r="AF392" s="273">
        <f t="shared" si="22"/>
        <v>0.05552887085</v>
      </c>
      <c r="AG392" s="274">
        <f t="shared" si="23"/>
        <v>0</v>
      </c>
    </row>
    <row r="393">
      <c r="A393" s="264">
        <f t="shared" si="3"/>
        <v>45709</v>
      </c>
      <c r="B393" s="269"/>
      <c r="C393" s="296"/>
      <c r="D393" s="296"/>
      <c r="E393" s="296"/>
      <c r="F393" s="296"/>
      <c r="G393" s="297"/>
      <c r="H393" s="281">
        <f t="shared" si="718"/>
        <v>1209600</v>
      </c>
      <c r="I393" s="281">
        <f t="shared" si="719"/>
        <v>47420</v>
      </c>
      <c r="J393" s="281">
        <f t="shared" si="720"/>
        <v>104760</v>
      </c>
      <c r="K393" s="286"/>
      <c r="L393" s="286"/>
      <c r="M393" s="286"/>
      <c r="N393" s="296"/>
      <c r="O393" s="269"/>
      <c r="P393" s="269"/>
      <c r="Q393" s="269">
        <f t="shared" si="717"/>
        <v>19305</v>
      </c>
      <c r="R393" s="286">
        <f t="shared" si="684"/>
        <v>76860</v>
      </c>
      <c r="S393" s="286"/>
      <c r="T393" s="286"/>
      <c r="U393" s="286"/>
      <c r="V393" s="286">
        <f t="shared" si="711"/>
        <v>242920</v>
      </c>
      <c r="W393" s="299"/>
      <c r="X393" s="299"/>
      <c r="Y393" s="299"/>
      <c r="Z393" s="299"/>
      <c r="AA393" s="300">
        <v>100000.0</v>
      </c>
      <c r="AB393" s="280">
        <f t="shared" si="662"/>
        <v>1800865</v>
      </c>
      <c r="AC393" s="286"/>
      <c r="AD393" s="286"/>
      <c r="AE393" s="283">
        <f t="shared" si="546"/>
        <v>1800865</v>
      </c>
      <c r="AF393" s="273">
        <f t="shared" si="22"/>
        <v>0.05552887085</v>
      </c>
      <c r="AG393" s="274">
        <f t="shared" si="23"/>
        <v>0</v>
      </c>
    </row>
    <row r="394">
      <c r="A394" s="264">
        <f t="shared" si="3"/>
        <v>45708</v>
      </c>
      <c r="B394" s="269"/>
      <c r="C394" s="296"/>
      <c r="D394" s="296"/>
      <c r="E394" s="296"/>
      <c r="F394" s="296"/>
      <c r="G394" s="297"/>
      <c r="H394" s="281">
        <f>54560*27</f>
        <v>1473120</v>
      </c>
      <c r="I394" s="281">
        <f>47540</f>
        <v>47540</v>
      </c>
      <c r="J394" s="281">
        <f>34380*3</f>
        <v>103140</v>
      </c>
      <c r="K394" s="286"/>
      <c r="L394" s="286"/>
      <c r="M394" s="286"/>
      <c r="N394" s="296"/>
      <c r="O394" s="269"/>
      <c r="P394" s="269"/>
      <c r="Q394" s="269">
        <f>2235*9</f>
        <v>20115</v>
      </c>
      <c r="R394" s="286">
        <f t="shared" si="684"/>
        <v>76860</v>
      </c>
      <c r="S394" s="286"/>
      <c r="T394" s="286"/>
      <c r="U394" s="286"/>
      <c r="V394" s="286">
        <f t="shared" si="711"/>
        <v>242920</v>
      </c>
      <c r="W394" s="299"/>
      <c r="X394" s="299"/>
      <c r="Y394" s="299"/>
      <c r="Z394" s="299"/>
      <c r="AA394" s="300">
        <f t="shared" ref="AA394:AA398" si="721">74012-50000+649600-14875-409319+50000+10260+401882-250000</f>
        <v>461560</v>
      </c>
      <c r="AB394" s="280">
        <f t="shared" si="662"/>
        <v>2425255</v>
      </c>
      <c r="AC394" s="286"/>
      <c r="AD394" s="286"/>
      <c r="AE394" s="283">
        <f t="shared" si="546"/>
        <v>2425255</v>
      </c>
      <c r="AF394" s="273">
        <f t="shared" si="22"/>
        <v>0.1903140082</v>
      </c>
      <c r="AG394" s="274">
        <f t="shared" si="23"/>
        <v>0</v>
      </c>
    </row>
    <row r="395">
      <c r="A395" s="264">
        <f t="shared" si="3"/>
        <v>45707</v>
      </c>
      <c r="B395" s="269"/>
      <c r="C395" s="296"/>
      <c r="D395" s="296"/>
      <c r="E395" s="296"/>
      <c r="F395" s="296"/>
      <c r="G395" s="297"/>
      <c r="H395" s="281">
        <f>55060*27</f>
        <v>1486620</v>
      </c>
      <c r="I395" s="281">
        <f>45580</f>
        <v>45580</v>
      </c>
      <c r="J395" s="281">
        <f>33060*3</f>
        <v>99180</v>
      </c>
      <c r="K395" s="286"/>
      <c r="L395" s="286"/>
      <c r="M395" s="286"/>
      <c r="N395" s="296"/>
      <c r="O395" s="269"/>
      <c r="P395" s="269"/>
      <c r="Q395" s="269">
        <f>2245*9</f>
        <v>20205</v>
      </c>
      <c r="R395" s="286">
        <f t="shared" si="684"/>
        <v>76860</v>
      </c>
      <c r="S395" s="286"/>
      <c r="T395" s="286"/>
      <c r="U395" s="286"/>
      <c r="V395" s="286">
        <f t="shared" si="711"/>
        <v>242920</v>
      </c>
      <c r="W395" s="299"/>
      <c r="X395" s="299"/>
      <c r="Y395" s="299"/>
      <c r="Z395" s="299"/>
      <c r="AA395" s="300">
        <f t="shared" si="721"/>
        <v>461560</v>
      </c>
      <c r="AB395" s="280">
        <f t="shared" si="662"/>
        <v>2432925</v>
      </c>
      <c r="AC395" s="286"/>
      <c r="AD395" s="286"/>
      <c r="AE395" s="283">
        <f t="shared" si="546"/>
        <v>2432925</v>
      </c>
      <c r="AF395" s="273">
        <f t="shared" si="22"/>
        <v>0.1897140274</v>
      </c>
      <c r="AG395" s="274">
        <f t="shared" si="23"/>
        <v>0</v>
      </c>
    </row>
    <row r="396">
      <c r="A396" s="264">
        <f t="shared" si="3"/>
        <v>45706</v>
      </c>
      <c r="B396" s="269"/>
      <c r="C396" s="296"/>
      <c r="D396" s="296"/>
      <c r="E396" s="296"/>
      <c r="F396" s="296"/>
      <c r="G396" s="297"/>
      <c r="H396" s="281">
        <f>55600*27</f>
        <v>1501200</v>
      </c>
      <c r="I396" s="281">
        <f t="shared" ref="I396:I397" si="722">45400*1</f>
        <v>45400</v>
      </c>
      <c r="J396" s="281">
        <f>31240*3</f>
        <v>93720</v>
      </c>
      <c r="K396" s="286"/>
      <c r="L396" s="286"/>
      <c r="M396" s="286"/>
      <c r="N396" s="296"/>
      <c r="O396" s="269"/>
      <c r="P396" s="269"/>
      <c r="Q396" s="269">
        <f t="shared" ref="Q396:Q397" si="723">2230*9</f>
        <v>20070</v>
      </c>
      <c r="R396" s="286">
        <f t="shared" si="684"/>
        <v>76860</v>
      </c>
      <c r="S396" s="286"/>
      <c r="T396" s="286"/>
      <c r="U396" s="286"/>
      <c r="V396" s="286">
        <f t="shared" si="711"/>
        <v>242920</v>
      </c>
      <c r="W396" s="299"/>
      <c r="X396" s="299"/>
      <c r="Y396" s="299"/>
      <c r="Z396" s="299"/>
      <c r="AA396" s="300">
        <f t="shared" si="721"/>
        <v>461560</v>
      </c>
      <c r="AB396" s="280">
        <f t="shared" si="662"/>
        <v>2441730</v>
      </c>
      <c r="AC396" s="286"/>
      <c r="AD396" s="286"/>
      <c r="AE396" s="283">
        <f t="shared" si="546"/>
        <v>2441730</v>
      </c>
      <c r="AF396" s="273">
        <f t="shared" si="22"/>
        <v>0.1890299091</v>
      </c>
      <c r="AG396" s="274">
        <f t="shared" si="23"/>
        <v>0</v>
      </c>
    </row>
    <row r="397">
      <c r="A397" s="264">
        <f t="shared" si="3"/>
        <v>45705</v>
      </c>
      <c r="B397" s="269"/>
      <c r="C397" s="296"/>
      <c r="D397" s="296"/>
      <c r="E397" s="296"/>
      <c r="F397" s="296"/>
      <c r="G397" s="297"/>
      <c r="H397" s="281">
        <f>56980*27</f>
        <v>1538460</v>
      </c>
      <c r="I397" s="281">
        <f t="shared" si="722"/>
        <v>45400</v>
      </c>
      <c r="J397" s="281">
        <f t="shared" ref="J397:J399" si="724">30780*3</f>
        <v>92340</v>
      </c>
      <c r="K397" s="286"/>
      <c r="L397" s="286"/>
      <c r="M397" s="286"/>
      <c r="N397" s="296"/>
      <c r="O397" s="269"/>
      <c r="P397" s="269"/>
      <c r="Q397" s="269">
        <f t="shared" si="723"/>
        <v>20070</v>
      </c>
      <c r="R397" s="286">
        <f t="shared" si="684"/>
        <v>76860</v>
      </c>
      <c r="S397" s="286"/>
      <c r="T397" s="286"/>
      <c r="U397" s="286"/>
      <c r="V397" s="286">
        <f t="shared" si="711"/>
        <v>242920</v>
      </c>
      <c r="W397" s="299"/>
      <c r="X397" s="299"/>
      <c r="Y397" s="299"/>
      <c r="Z397" s="299"/>
      <c r="AA397" s="300">
        <f t="shared" si="721"/>
        <v>461560</v>
      </c>
      <c r="AB397" s="280">
        <f t="shared" si="662"/>
        <v>2477610</v>
      </c>
      <c r="AC397" s="286"/>
      <c r="AD397" s="286"/>
      <c r="AE397" s="283">
        <f t="shared" si="546"/>
        <v>2477610</v>
      </c>
      <c r="AF397" s="273">
        <f t="shared" si="22"/>
        <v>0.186292435</v>
      </c>
      <c r="AG397" s="274">
        <f t="shared" si="23"/>
        <v>0</v>
      </c>
    </row>
    <row r="398">
      <c r="A398" s="264">
        <f t="shared" si="3"/>
        <v>45704</v>
      </c>
      <c r="B398" s="269"/>
      <c r="C398" s="296"/>
      <c r="D398" s="296"/>
      <c r="E398" s="296"/>
      <c r="F398" s="296"/>
      <c r="G398" s="297"/>
      <c r="H398" s="281">
        <f t="shared" ref="H398:H399" si="725">56880*27</f>
        <v>1535760</v>
      </c>
      <c r="I398" s="281">
        <f t="shared" ref="I398:I399" si="726">45480*1</f>
        <v>45480</v>
      </c>
      <c r="J398" s="281">
        <f t="shared" si="724"/>
        <v>92340</v>
      </c>
      <c r="K398" s="286"/>
      <c r="L398" s="286"/>
      <c r="M398" s="286"/>
      <c r="N398" s="296"/>
      <c r="O398" s="269"/>
      <c r="P398" s="269"/>
      <c r="Q398" s="269">
        <f t="shared" ref="Q398:Q399" si="727">2125*9</f>
        <v>19125</v>
      </c>
      <c r="R398" s="286">
        <f t="shared" si="684"/>
        <v>76860</v>
      </c>
      <c r="S398" s="286"/>
      <c r="T398" s="286"/>
      <c r="U398" s="286"/>
      <c r="V398" s="286">
        <f t="shared" si="711"/>
        <v>242920</v>
      </c>
      <c r="W398" s="299"/>
      <c r="X398" s="299"/>
      <c r="Y398" s="299"/>
      <c r="Z398" s="299"/>
      <c r="AA398" s="300">
        <f t="shared" si="721"/>
        <v>461560</v>
      </c>
      <c r="AB398" s="280">
        <f t="shared" si="662"/>
        <v>2474045</v>
      </c>
      <c r="AC398" s="293"/>
      <c r="AD398" s="293"/>
      <c r="AE398" s="283">
        <f t="shared" si="546"/>
        <v>2474045</v>
      </c>
      <c r="AF398" s="273">
        <f t="shared" si="22"/>
        <v>0.186560875</v>
      </c>
      <c r="AG398" s="274">
        <f t="shared" si="23"/>
        <v>0</v>
      </c>
    </row>
    <row r="399">
      <c r="A399" s="301">
        <v>45703.0</v>
      </c>
      <c r="B399" s="269"/>
      <c r="C399" s="296"/>
      <c r="D399" s="296"/>
      <c r="E399" s="296"/>
      <c r="F399" s="296"/>
      <c r="G399" s="302"/>
      <c r="H399" s="303">
        <f t="shared" si="725"/>
        <v>1535760</v>
      </c>
      <c r="I399" s="303">
        <f t="shared" si="726"/>
        <v>45480</v>
      </c>
      <c r="J399" s="303">
        <f t="shared" si="724"/>
        <v>92340</v>
      </c>
      <c r="K399" s="292"/>
      <c r="L399" s="292"/>
      <c r="M399" s="292"/>
      <c r="N399" s="304"/>
      <c r="O399" s="269"/>
      <c r="P399" s="269"/>
      <c r="Q399" s="269">
        <f t="shared" si="727"/>
        <v>19125</v>
      </c>
      <c r="R399" s="292">
        <f t="shared" si="684"/>
        <v>76860</v>
      </c>
      <c r="S399" s="292"/>
      <c r="T399" s="292"/>
      <c r="U399" s="292"/>
      <c r="V399" s="292">
        <f t="shared" si="711"/>
        <v>242920</v>
      </c>
      <c r="W399" s="305"/>
      <c r="X399" s="305"/>
      <c r="Y399" s="305"/>
      <c r="Z399" s="305"/>
      <c r="AA399" s="306">
        <f>74012-50000+649600-14875-409319+50000+10260+401882</f>
        <v>711560</v>
      </c>
      <c r="AB399" s="280">
        <f t="shared" si="662"/>
        <v>2724045</v>
      </c>
      <c r="AC399" s="295"/>
      <c r="AD399" s="295"/>
      <c r="AE399" s="283">
        <f t="shared" si="546"/>
        <v>2724045</v>
      </c>
      <c r="AF399" s="273">
        <f t="shared" si="22"/>
        <v>0.2612144807</v>
      </c>
      <c r="AG399" s="274">
        <f t="shared" si="23"/>
        <v>0</v>
      </c>
    </row>
    <row r="400">
      <c r="A400" s="295"/>
      <c r="B400" s="269"/>
      <c r="C400" s="296"/>
      <c r="D400" s="296"/>
      <c r="E400" s="296"/>
      <c r="F400" s="296"/>
      <c r="G400" s="295"/>
      <c r="H400" s="295"/>
      <c r="I400" s="295"/>
      <c r="J400" s="295"/>
      <c r="K400" s="295"/>
      <c r="L400" s="295"/>
      <c r="M400" s="295"/>
      <c r="N400" s="295"/>
      <c r="O400" s="269"/>
      <c r="P400" s="269"/>
      <c r="Q400" s="269"/>
      <c r="R400" s="295"/>
      <c r="S400" s="295"/>
      <c r="T400" s="295"/>
      <c r="U400" s="295"/>
      <c r="V400" s="295"/>
      <c r="W400" s="295"/>
      <c r="X400" s="295"/>
      <c r="Y400" s="295"/>
      <c r="Z400" s="295"/>
      <c r="AA400" s="295"/>
      <c r="AB400" s="295"/>
      <c r="AC400" s="296"/>
      <c r="AD400" s="296"/>
      <c r="AE400" s="307"/>
      <c r="AF400" s="273"/>
      <c r="AG400" s="274"/>
    </row>
    <row r="401">
      <c r="A401" s="296"/>
      <c r="B401" s="269"/>
      <c r="C401" s="296"/>
      <c r="D401" s="296"/>
      <c r="E401" s="296"/>
      <c r="F401" s="296"/>
      <c r="G401" s="296"/>
      <c r="H401" s="296"/>
      <c r="I401" s="296"/>
      <c r="J401" s="296"/>
      <c r="K401" s="296"/>
      <c r="L401" s="296"/>
      <c r="M401" s="296"/>
      <c r="N401" s="296"/>
      <c r="O401" s="269"/>
      <c r="P401" s="269"/>
      <c r="Q401" s="269"/>
      <c r="R401" s="296"/>
      <c r="S401" s="296"/>
      <c r="T401" s="296"/>
      <c r="U401" s="296"/>
      <c r="V401" s="296"/>
      <c r="W401" s="296"/>
      <c r="X401" s="296"/>
      <c r="Y401" s="296"/>
      <c r="Z401" s="296"/>
      <c r="AA401" s="296"/>
      <c r="AB401" s="296"/>
      <c r="AC401" s="296"/>
      <c r="AD401" s="296"/>
      <c r="AE401" s="307"/>
      <c r="AF401" s="273"/>
      <c r="AG401" s="274"/>
    </row>
    <row r="402">
      <c r="A402" s="296"/>
      <c r="B402" s="269"/>
      <c r="C402" s="296"/>
      <c r="D402" s="296"/>
      <c r="E402" s="296"/>
      <c r="F402" s="296"/>
      <c r="G402" s="296"/>
      <c r="H402" s="296"/>
      <c r="I402" s="296"/>
      <c r="J402" s="296"/>
      <c r="K402" s="296"/>
      <c r="L402" s="296"/>
      <c r="M402" s="296"/>
      <c r="N402" s="296"/>
      <c r="O402" s="269"/>
      <c r="P402" s="269"/>
      <c r="Q402" s="269"/>
      <c r="R402" s="296"/>
      <c r="S402" s="296"/>
      <c r="T402" s="296"/>
      <c r="U402" s="296"/>
      <c r="V402" s="296"/>
      <c r="W402" s="296"/>
      <c r="X402" s="296"/>
      <c r="Y402" s="296"/>
      <c r="Z402" s="296"/>
      <c r="AA402" s="296"/>
      <c r="AB402" s="296"/>
      <c r="AC402" s="296"/>
      <c r="AD402" s="296"/>
      <c r="AE402" s="307"/>
      <c r="AF402" s="273"/>
      <c r="AG402" s="274"/>
    </row>
    <row r="403">
      <c r="A403" s="296"/>
      <c r="B403" s="269"/>
      <c r="C403" s="296"/>
      <c r="D403" s="296"/>
      <c r="E403" s="296"/>
      <c r="F403" s="296"/>
      <c r="G403" s="296"/>
      <c r="H403" s="296"/>
      <c r="I403" s="296"/>
      <c r="J403" s="296"/>
      <c r="K403" s="296"/>
      <c r="L403" s="296"/>
      <c r="M403" s="296"/>
      <c r="N403" s="296"/>
      <c r="O403" s="269"/>
      <c r="P403" s="269"/>
      <c r="Q403" s="269"/>
      <c r="R403" s="296"/>
      <c r="S403" s="296"/>
      <c r="T403" s="296"/>
      <c r="U403" s="296"/>
      <c r="V403" s="296"/>
      <c r="W403" s="296"/>
      <c r="X403" s="296"/>
      <c r="Y403" s="296"/>
      <c r="Z403" s="296"/>
      <c r="AA403" s="296"/>
      <c r="AB403" s="296"/>
      <c r="AC403" s="296"/>
      <c r="AD403" s="296"/>
      <c r="AE403" s="307"/>
      <c r="AF403" s="273"/>
      <c r="AG403" s="274"/>
    </row>
    <row r="404">
      <c r="A404" s="296"/>
      <c r="B404" s="269"/>
      <c r="C404" s="296"/>
      <c r="D404" s="296"/>
      <c r="E404" s="296"/>
      <c r="F404" s="296"/>
      <c r="G404" s="296"/>
      <c r="H404" s="296"/>
      <c r="I404" s="296"/>
      <c r="J404" s="296"/>
      <c r="K404" s="296"/>
      <c r="L404" s="296"/>
      <c r="M404" s="296"/>
      <c r="N404" s="296"/>
      <c r="O404" s="269"/>
      <c r="P404" s="269"/>
      <c r="Q404" s="269"/>
      <c r="R404" s="296"/>
      <c r="S404" s="296"/>
      <c r="T404" s="296"/>
      <c r="U404" s="296"/>
      <c r="V404" s="296"/>
      <c r="W404" s="296"/>
      <c r="X404" s="296"/>
      <c r="Y404" s="296"/>
      <c r="Z404" s="296"/>
      <c r="AA404" s="296"/>
      <c r="AB404" s="296"/>
      <c r="AC404" s="296"/>
      <c r="AD404" s="296"/>
      <c r="AE404" s="307"/>
      <c r="AF404" s="273"/>
      <c r="AG404" s="274"/>
    </row>
    <row r="405">
      <c r="A405" s="296"/>
      <c r="B405" s="269"/>
      <c r="C405" s="296"/>
      <c r="D405" s="296"/>
      <c r="E405" s="296"/>
      <c r="F405" s="296"/>
      <c r="G405" s="296"/>
      <c r="H405" s="296"/>
      <c r="I405" s="296"/>
      <c r="J405" s="296"/>
      <c r="K405" s="296"/>
      <c r="L405" s="296"/>
      <c r="M405" s="296"/>
      <c r="N405" s="296"/>
      <c r="O405" s="269"/>
      <c r="P405" s="269"/>
      <c r="Q405" s="269"/>
      <c r="R405" s="296"/>
      <c r="S405" s="296"/>
      <c r="T405" s="296"/>
      <c r="U405" s="296"/>
      <c r="V405" s="296"/>
      <c r="W405" s="296"/>
      <c r="X405" s="296"/>
      <c r="Y405" s="296"/>
      <c r="Z405" s="296"/>
      <c r="AA405" s="296"/>
      <c r="AB405" s="296"/>
      <c r="AC405" s="296"/>
      <c r="AD405" s="296"/>
      <c r="AE405" s="307"/>
      <c r="AF405" s="273"/>
      <c r="AG405" s="274"/>
    </row>
    <row r="406">
      <c r="A406" s="296"/>
      <c r="B406" s="269"/>
      <c r="C406" s="296"/>
      <c r="D406" s="296"/>
      <c r="E406" s="296"/>
      <c r="F406" s="296"/>
      <c r="G406" s="296"/>
      <c r="H406" s="296"/>
      <c r="I406" s="296"/>
      <c r="J406" s="296"/>
      <c r="K406" s="296"/>
      <c r="L406" s="296"/>
      <c r="M406" s="296"/>
      <c r="N406" s="296"/>
      <c r="O406" s="269"/>
      <c r="P406" s="269"/>
      <c r="Q406" s="269"/>
      <c r="R406" s="296"/>
      <c r="S406" s="296"/>
      <c r="T406" s="296"/>
      <c r="U406" s="296"/>
      <c r="V406" s="296"/>
      <c r="W406" s="296"/>
      <c r="X406" s="296"/>
      <c r="Y406" s="296"/>
      <c r="Z406" s="296"/>
      <c r="AA406" s="296"/>
      <c r="AB406" s="296"/>
      <c r="AC406" s="296"/>
      <c r="AD406" s="296"/>
      <c r="AE406" s="307"/>
      <c r="AF406" s="273"/>
      <c r="AG406" s="274"/>
    </row>
    <row r="407">
      <c r="A407" s="296"/>
      <c r="B407" s="269"/>
      <c r="C407" s="296"/>
      <c r="D407" s="296"/>
      <c r="E407" s="296"/>
      <c r="F407" s="296"/>
      <c r="G407" s="296"/>
      <c r="H407" s="296"/>
      <c r="I407" s="296"/>
      <c r="J407" s="296"/>
      <c r="K407" s="296"/>
      <c r="L407" s="296"/>
      <c r="M407" s="296"/>
      <c r="N407" s="296"/>
      <c r="O407" s="269"/>
      <c r="P407" s="269"/>
      <c r="Q407" s="269"/>
      <c r="R407" s="296"/>
      <c r="S407" s="296"/>
      <c r="T407" s="296"/>
      <c r="U407" s="296"/>
      <c r="V407" s="296"/>
      <c r="W407" s="296"/>
      <c r="X407" s="296"/>
      <c r="Y407" s="296"/>
      <c r="Z407" s="296"/>
      <c r="AA407" s="296"/>
      <c r="AB407" s="296"/>
      <c r="AC407" s="296"/>
      <c r="AD407" s="296"/>
      <c r="AE407" s="307"/>
      <c r="AF407" s="273"/>
      <c r="AG407" s="274"/>
    </row>
    <row r="408">
      <c r="A408" s="296"/>
      <c r="B408" s="269"/>
      <c r="C408" s="296"/>
      <c r="D408" s="296"/>
      <c r="E408" s="296"/>
      <c r="F408" s="296"/>
      <c r="G408" s="296"/>
      <c r="H408" s="296"/>
      <c r="I408" s="296"/>
      <c r="J408" s="296"/>
      <c r="K408" s="296"/>
      <c r="L408" s="296"/>
      <c r="M408" s="296"/>
      <c r="N408" s="296"/>
      <c r="O408" s="269"/>
      <c r="P408" s="269"/>
      <c r="Q408" s="269"/>
      <c r="R408" s="296"/>
      <c r="S408" s="296"/>
      <c r="T408" s="296"/>
      <c r="U408" s="296"/>
      <c r="V408" s="296"/>
      <c r="W408" s="296"/>
      <c r="X408" s="296"/>
      <c r="Y408" s="296"/>
      <c r="Z408" s="296"/>
      <c r="AA408" s="296"/>
      <c r="AB408" s="296"/>
      <c r="AC408" s="296"/>
      <c r="AD408" s="296"/>
      <c r="AE408" s="307"/>
      <c r="AF408" s="273"/>
      <c r="AG408" s="274"/>
    </row>
    <row r="409">
      <c r="A409" s="296"/>
      <c r="B409" s="269"/>
      <c r="C409" s="296"/>
      <c r="D409" s="296"/>
      <c r="E409" s="296"/>
      <c r="F409" s="296"/>
      <c r="G409" s="296"/>
      <c r="H409" s="296"/>
      <c r="I409" s="296"/>
      <c r="J409" s="296"/>
      <c r="K409" s="296"/>
      <c r="L409" s="296"/>
      <c r="M409" s="296"/>
      <c r="N409" s="296"/>
      <c r="O409" s="269"/>
      <c r="P409" s="269"/>
      <c r="Q409" s="269"/>
      <c r="R409" s="296"/>
      <c r="S409" s="296"/>
      <c r="T409" s="296"/>
      <c r="U409" s="296"/>
      <c r="V409" s="296"/>
      <c r="W409" s="296"/>
      <c r="X409" s="296"/>
      <c r="Y409" s="296"/>
      <c r="Z409" s="296"/>
      <c r="AA409" s="296"/>
      <c r="AB409" s="296"/>
      <c r="AC409" s="296"/>
      <c r="AD409" s="296"/>
      <c r="AE409" s="307"/>
      <c r="AF409" s="273"/>
      <c r="AG409" s="274"/>
    </row>
    <row r="410">
      <c r="A410" s="296"/>
      <c r="B410" s="269"/>
      <c r="C410" s="296"/>
      <c r="D410" s="296"/>
      <c r="E410" s="296"/>
      <c r="F410" s="296"/>
      <c r="G410" s="296"/>
      <c r="H410" s="296"/>
      <c r="I410" s="296"/>
      <c r="J410" s="296"/>
      <c r="K410" s="296"/>
      <c r="L410" s="296"/>
      <c r="M410" s="296"/>
      <c r="N410" s="296"/>
      <c r="O410" s="269"/>
      <c r="P410" s="269"/>
      <c r="Q410" s="269"/>
      <c r="R410" s="296"/>
      <c r="S410" s="296"/>
      <c r="T410" s="296"/>
      <c r="U410" s="296"/>
      <c r="V410" s="296"/>
      <c r="W410" s="296"/>
      <c r="X410" s="296"/>
      <c r="Y410" s="296"/>
      <c r="Z410" s="296"/>
      <c r="AA410" s="296"/>
      <c r="AB410" s="296"/>
      <c r="AC410" s="296"/>
      <c r="AD410" s="296"/>
      <c r="AE410" s="307"/>
      <c r="AF410" s="273"/>
      <c r="AG410" s="274"/>
    </row>
    <row r="411">
      <c r="A411" s="296"/>
      <c r="B411" s="269"/>
      <c r="C411" s="296"/>
      <c r="D411" s="296"/>
      <c r="E411" s="296"/>
      <c r="F411" s="296"/>
      <c r="G411" s="296"/>
      <c r="H411" s="296"/>
      <c r="I411" s="296"/>
      <c r="J411" s="296"/>
      <c r="K411" s="296"/>
      <c r="L411" s="296"/>
      <c r="M411" s="296"/>
      <c r="N411" s="296"/>
      <c r="O411" s="269"/>
      <c r="P411" s="269"/>
      <c r="Q411" s="269"/>
      <c r="R411" s="296"/>
      <c r="S411" s="296"/>
      <c r="T411" s="296"/>
      <c r="U411" s="296"/>
      <c r="V411" s="296"/>
      <c r="W411" s="296"/>
      <c r="X411" s="296"/>
      <c r="Y411" s="296"/>
      <c r="Z411" s="296"/>
      <c r="AA411" s="296"/>
      <c r="AB411" s="296"/>
      <c r="AC411" s="296"/>
      <c r="AD411" s="296"/>
      <c r="AE411" s="307"/>
      <c r="AF411" s="273"/>
      <c r="AG411" s="274"/>
    </row>
    <row r="412">
      <c r="A412" s="296"/>
      <c r="B412" s="269"/>
      <c r="C412" s="296"/>
      <c r="D412" s="296"/>
      <c r="E412" s="296"/>
      <c r="F412" s="296"/>
      <c r="G412" s="296"/>
      <c r="H412" s="296"/>
      <c r="I412" s="296"/>
      <c r="J412" s="296"/>
      <c r="K412" s="296"/>
      <c r="L412" s="296"/>
      <c r="M412" s="296"/>
      <c r="N412" s="296"/>
      <c r="O412" s="269"/>
      <c r="P412" s="269"/>
      <c r="Q412" s="269"/>
      <c r="R412" s="296"/>
      <c r="S412" s="296"/>
      <c r="T412" s="296"/>
      <c r="U412" s="296"/>
      <c r="V412" s="296"/>
      <c r="W412" s="296"/>
      <c r="X412" s="296"/>
      <c r="Y412" s="296"/>
      <c r="Z412" s="296"/>
      <c r="AA412" s="296"/>
      <c r="AB412" s="296"/>
      <c r="AC412" s="296"/>
      <c r="AD412" s="296"/>
      <c r="AE412" s="307"/>
      <c r="AF412" s="273"/>
      <c r="AG412" s="274"/>
    </row>
    <row r="413">
      <c r="A413" s="296"/>
      <c r="B413" s="269"/>
      <c r="C413" s="296"/>
      <c r="D413" s="296"/>
      <c r="E413" s="296"/>
      <c r="F413" s="296"/>
      <c r="G413" s="296"/>
      <c r="H413" s="296"/>
      <c r="I413" s="296"/>
      <c r="J413" s="296"/>
      <c r="K413" s="296"/>
      <c r="L413" s="296"/>
      <c r="M413" s="296"/>
      <c r="N413" s="296"/>
      <c r="O413" s="269"/>
      <c r="P413" s="269"/>
      <c r="Q413" s="269"/>
      <c r="R413" s="296"/>
      <c r="S413" s="296"/>
      <c r="T413" s="296"/>
      <c r="U413" s="296"/>
      <c r="V413" s="296"/>
      <c r="W413" s="296"/>
      <c r="X413" s="296"/>
      <c r="Y413" s="296"/>
      <c r="Z413" s="296"/>
      <c r="AA413" s="296"/>
      <c r="AB413" s="296"/>
      <c r="AC413" s="296"/>
      <c r="AD413" s="296"/>
      <c r="AE413" s="307"/>
      <c r="AF413" s="273"/>
      <c r="AG413" s="274"/>
    </row>
    <row r="414">
      <c r="A414" s="296"/>
      <c r="B414" s="269"/>
      <c r="C414" s="296"/>
      <c r="D414" s="296"/>
      <c r="E414" s="296"/>
      <c r="F414" s="296"/>
      <c r="G414" s="296"/>
      <c r="H414" s="296"/>
      <c r="I414" s="296"/>
      <c r="J414" s="296"/>
      <c r="K414" s="296"/>
      <c r="L414" s="296"/>
      <c r="M414" s="296"/>
      <c r="N414" s="296"/>
      <c r="O414" s="269"/>
      <c r="P414" s="269"/>
      <c r="Q414" s="269"/>
      <c r="R414" s="296"/>
      <c r="S414" s="296"/>
      <c r="T414" s="296"/>
      <c r="U414" s="296"/>
      <c r="V414" s="296"/>
      <c r="W414" s="296"/>
      <c r="X414" s="296"/>
      <c r="Y414" s="296"/>
      <c r="Z414" s="296"/>
      <c r="AA414" s="296"/>
      <c r="AB414" s="296"/>
      <c r="AC414" s="296"/>
      <c r="AD414" s="296"/>
      <c r="AE414" s="307"/>
      <c r="AF414" s="273"/>
      <c r="AG414" s="274"/>
    </row>
    <row r="415">
      <c r="A415" s="296"/>
      <c r="B415" s="269"/>
      <c r="C415" s="296"/>
      <c r="D415" s="296"/>
      <c r="E415" s="296"/>
      <c r="F415" s="296"/>
      <c r="G415" s="296"/>
      <c r="H415" s="296"/>
      <c r="I415" s="296"/>
      <c r="J415" s="296"/>
      <c r="K415" s="296"/>
      <c r="L415" s="296"/>
      <c r="M415" s="296"/>
      <c r="N415" s="296"/>
      <c r="O415" s="269"/>
      <c r="P415" s="269"/>
      <c r="Q415" s="269"/>
      <c r="R415" s="296"/>
      <c r="S415" s="296"/>
      <c r="T415" s="296"/>
      <c r="U415" s="296"/>
      <c r="V415" s="296"/>
      <c r="W415" s="296"/>
      <c r="X415" s="296"/>
      <c r="Y415" s="296"/>
      <c r="Z415" s="296"/>
      <c r="AA415" s="296"/>
      <c r="AB415" s="296"/>
      <c r="AC415" s="296"/>
      <c r="AD415" s="296"/>
      <c r="AE415" s="307"/>
      <c r="AF415" s="273"/>
      <c r="AG415" s="274"/>
    </row>
    <row r="416">
      <c r="A416" s="296"/>
      <c r="B416" s="269"/>
      <c r="C416" s="296"/>
      <c r="D416" s="296"/>
      <c r="E416" s="296"/>
      <c r="F416" s="296"/>
      <c r="G416" s="296"/>
      <c r="H416" s="296"/>
      <c r="I416" s="296"/>
      <c r="J416" s="296"/>
      <c r="K416" s="296"/>
      <c r="L416" s="296"/>
      <c r="M416" s="296"/>
      <c r="N416" s="296"/>
      <c r="O416" s="269"/>
      <c r="P416" s="269"/>
      <c r="Q416" s="269"/>
      <c r="R416" s="296"/>
      <c r="S416" s="296"/>
      <c r="T416" s="296"/>
      <c r="U416" s="296"/>
      <c r="V416" s="296"/>
      <c r="W416" s="296"/>
      <c r="X416" s="296"/>
      <c r="Y416" s="296"/>
      <c r="Z416" s="296"/>
      <c r="AA416" s="296"/>
      <c r="AB416" s="296"/>
      <c r="AC416" s="296"/>
      <c r="AD416" s="296"/>
      <c r="AE416" s="307"/>
      <c r="AF416" s="273"/>
      <c r="AG416" s="274"/>
    </row>
    <row r="417">
      <c r="A417" s="296"/>
      <c r="B417" s="269"/>
      <c r="C417" s="296"/>
      <c r="D417" s="296"/>
      <c r="E417" s="296"/>
      <c r="F417" s="296"/>
      <c r="G417" s="296"/>
      <c r="H417" s="296"/>
      <c r="I417" s="296"/>
      <c r="J417" s="296"/>
      <c r="K417" s="296"/>
      <c r="L417" s="296"/>
      <c r="M417" s="296"/>
      <c r="N417" s="296"/>
      <c r="O417" s="269"/>
      <c r="P417" s="269"/>
      <c r="Q417" s="269"/>
      <c r="R417" s="296"/>
      <c r="S417" s="296"/>
      <c r="T417" s="296"/>
      <c r="U417" s="296"/>
      <c r="V417" s="296"/>
      <c r="W417" s="296"/>
      <c r="X417" s="296"/>
      <c r="Y417" s="296"/>
      <c r="Z417" s="296"/>
      <c r="AA417" s="296"/>
      <c r="AB417" s="296"/>
      <c r="AC417" s="296"/>
      <c r="AD417" s="296"/>
      <c r="AE417" s="307"/>
      <c r="AF417" s="273"/>
      <c r="AG417" s="274"/>
    </row>
    <row r="418">
      <c r="A418" s="296"/>
      <c r="B418" s="269"/>
      <c r="C418" s="296"/>
      <c r="D418" s="296"/>
      <c r="E418" s="296"/>
      <c r="F418" s="296"/>
      <c r="G418" s="296"/>
      <c r="H418" s="296"/>
      <c r="I418" s="296"/>
      <c r="J418" s="296"/>
      <c r="K418" s="296"/>
      <c r="L418" s="296"/>
      <c r="M418" s="296"/>
      <c r="N418" s="296"/>
      <c r="O418" s="269"/>
      <c r="P418" s="269"/>
      <c r="Q418" s="269"/>
      <c r="R418" s="296"/>
      <c r="S418" s="296"/>
      <c r="T418" s="296"/>
      <c r="U418" s="296"/>
      <c r="V418" s="296"/>
      <c r="W418" s="296"/>
      <c r="X418" s="296"/>
      <c r="Y418" s="296"/>
      <c r="Z418" s="296"/>
      <c r="AA418" s="296"/>
      <c r="AB418" s="296"/>
      <c r="AC418" s="296"/>
      <c r="AD418" s="296"/>
      <c r="AE418" s="307"/>
      <c r="AF418" s="273"/>
      <c r="AG418" s="274"/>
    </row>
    <row r="419">
      <c r="A419" s="296"/>
      <c r="B419" s="269"/>
      <c r="C419" s="296"/>
      <c r="D419" s="296"/>
      <c r="E419" s="296"/>
      <c r="F419" s="296"/>
      <c r="G419" s="296"/>
      <c r="H419" s="296"/>
      <c r="I419" s="296"/>
      <c r="J419" s="296"/>
      <c r="K419" s="296"/>
      <c r="L419" s="296"/>
      <c r="M419" s="296"/>
      <c r="N419" s="296"/>
      <c r="O419" s="269"/>
      <c r="P419" s="269"/>
      <c r="Q419" s="269"/>
      <c r="R419" s="296"/>
      <c r="S419" s="296"/>
      <c r="T419" s="296"/>
      <c r="U419" s="296"/>
      <c r="V419" s="296"/>
      <c r="W419" s="296"/>
      <c r="X419" s="296"/>
      <c r="Y419" s="296"/>
      <c r="Z419" s="296"/>
      <c r="AA419" s="296"/>
      <c r="AB419" s="296"/>
      <c r="AC419" s="296"/>
      <c r="AD419" s="296"/>
      <c r="AE419" s="307"/>
      <c r="AF419" s="273"/>
      <c r="AG419" s="274"/>
    </row>
    <row r="420">
      <c r="A420" s="296"/>
      <c r="B420" s="269"/>
      <c r="C420" s="296"/>
      <c r="D420" s="296"/>
      <c r="E420" s="296"/>
      <c r="F420" s="296"/>
      <c r="G420" s="296"/>
      <c r="H420" s="296"/>
      <c r="I420" s="296"/>
      <c r="J420" s="296"/>
      <c r="K420" s="296"/>
      <c r="L420" s="296"/>
      <c r="M420" s="296"/>
      <c r="N420" s="296"/>
      <c r="O420" s="269"/>
      <c r="P420" s="269"/>
      <c r="Q420" s="269"/>
      <c r="R420" s="296"/>
      <c r="S420" s="296"/>
      <c r="T420" s="296"/>
      <c r="U420" s="296"/>
      <c r="V420" s="296"/>
      <c r="W420" s="296"/>
      <c r="X420" s="296"/>
      <c r="Y420" s="296"/>
      <c r="Z420" s="296"/>
      <c r="AA420" s="296"/>
      <c r="AB420" s="296"/>
      <c r="AC420" s="296"/>
      <c r="AD420" s="296"/>
      <c r="AE420" s="307"/>
      <c r="AF420" s="273"/>
      <c r="AG420" s="274"/>
    </row>
    <row r="421">
      <c r="A421" s="296"/>
      <c r="B421" s="269"/>
      <c r="C421" s="296"/>
      <c r="D421" s="296"/>
      <c r="E421" s="296"/>
      <c r="F421" s="296"/>
      <c r="G421" s="296"/>
      <c r="H421" s="296"/>
      <c r="I421" s="296"/>
      <c r="J421" s="296"/>
      <c r="K421" s="296"/>
      <c r="L421" s="296"/>
      <c r="M421" s="296"/>
      <c r="N421" s="296"/>
      <c r="O421" s="269"/>
      <c r="P421" s="269"/>
      <c r="Q421" s="269"/>
      <c r="R421" s="296"/>
      <c r="S421" s="296"/>
      <c r="T421" s="296"/>
      <c r="U421" s="296"/>
      <c r="V421" s="296"/>
      <c r="W421" s="296"/>
      <c r="X421" s="296"/>
      <c r="Y421" s="296"/>
      <c r="Z421" s="296"/>
      <c r="AA421" s="296"/>
      <c r="AB421" s="296"/>
      <c r="AC421" s="296"/>
      <c r="AD421" s="296"/>
      <c r="AE421" s="307"/>
      <c r="AF421" s="273"/>
      <c r="AG421" s="274"/>
    </row>
    <row r="422">
      <c r="A422" s="296"/>
      <c r="B422" s="269"/>
      <c r="C422" s="296"/>
      <c r="D422" s="296"/>
      <c r="E422" s="296"/>
      <c r="F422" s="296"/>
      <c r="G422" s="296"/>
      <c r="H422" s="296"/>
      <c r="I422" s="296"/>
      <c r="J422" s="296"/>
      <c r="K422" s="296"/>
      <c r="L422" s="296"/>
      <c r="M422" s="296"/>
      <c r="N422" s="296"/>
      <c r="O422" s="269"/>
      <c r="P422" s="269"/>
      <c r="Q422" s="269"/>
      <c r="R422" s="296"/>
      <c r="S422" s="296"/>
      <c r="T422" s="296"/>
      <c r="U422" s="296"/>
      <c r="V422" s="296"/>
      <c r="W422" s="296"/>
      <c r="X422" s="296"/>
      <c r="Y422" s="296"/>
      <c r="Z422" s="296"/>
      <c r="AA422" s="296"/>
      <c r="AB422" s="296"/>
      <c r="AC422" s="296"/>
      <c r="AD422" s="296"/>
      <c r="AE422" s="307"/>
      <c r="AF422" s="273"/>
      <c r="AG422" s="274"/>
    </row>
    <row r="423">
      <c r="A423" s="296"/>
      <c r="B423" s="269"/>
      <c r="C423" s="296"/>
      <c r="D423" s="296"/>
      <c r="E423" s="296"/>
      <c r="F423" s="296"/>
      <c r="G423" s="296"/>
      <c r="H423" s="296"/>
      <c r="I423" s="296"/>
      <c r="J423" s="296"/>
      <c r="K423" s="296"/>
      <c r="L423" s="296"/>
      <c r="M423" s="296"/>
      <c r="N423" s="296"/>
      <c r="O423" s="269"/>
      <c r="P423" s="269"/>
      <c r="Q423" s="269"/>
      <c r="R423" s="296"/>
      <c r="S423" s="296"/>
      <c r="T423" s="296"/>
      <c r="U423" s="296"/>
      <c r="V423" s="296"/>
      <c r="W423" s="296"/>
      <c r="X423" s="296"/>
      <c r="Y423" s="296"/>
      <c r="Z423" s="296"/>
      <c r="AA423" s="296"/>
      <c r="AB423" s="296"/>
      <c r="AC423" s="296"/>
      <c r="AD423" s="296"/>
      <c r="AE423" s="307"/>
      <c r="AF423" s="273"/>
      <c r="AG423" s="274"/>
    </row>
    <row r="424">
      <c r="A424" s="296"/>
      <c r="B424" s="269"/>
      <c r="C424" s="296"/>
      <c r="D424" s="296"/>
      <c r="E424" s="296"/>
      <c r="F424" s="296"/>
      <c r="G424" s="296"/>
      <c r="H424" s="296"/>
      <c r="I424" s="296"/>
      <c r="J424" s="296"/>
      <c r="K424" s="296"/>
      <c r="L424" s="296"/>
      <c r="M424" s="296"/>
      <c r="N424" s="296"/>
      <c r="O424" s="269"/>
      <c r="P424" s="269"/>
      <c r="Q424" s="269"/>
      <c r="R424" s="296"/>
      <c r="S424" s="296"/>
      <c r="T424" s="296"/>
      <c r="U424" s="296"/>
      <c r="V424" s="296"/>
      <c r="W424" s="296"/>
      <c r="X424" s="296"/>
      <c r="Y424" s="296"/>
      <c r="Z424" s="296"/>
      <c r="AA424" s="296"/>
      <c r="AB424" s="296"/>
      <c r="AC424" s="296"/>
      <c r="AD424" s="296"/>
      <c r="AE424" s="307"/>
      <c r="AF424" s="273"/>
      <c r="AG424" s="274"/>
    </row>
    <row r="425">
      <c r="A425" s="296"/>
      <c r="B425" s="269"/>
      <c r="C425" s="296"/>
      <c r="D425" s="296"/>
      <c r="E425" s="296"/>
      <c r="F425" s="296"/>
      <c r="G425" s="296"/>
      <c r="H425" s="296"/>
      <c r="I425" s="296"/>
      <c r="J425" s="296"/>
      <c r="K425" s="296"/>
      <c r="L425" s="296"/>
      <c r="M425" s="296"/>
      <c r="N425" s="296"/>
      <c r="O425" s="269"/>
      <c r="P425" s="269"/>
      <c r="Q425" s="269"/>
      <c r="R425" s="296"/>
      <c r="S425" s="296"/>
      <c r="T425" s="296"/>
      <c r="U425" s="296"/>
      <c r="V425" s="296"/>
      <c r="W425" s="296"/>
      <c r="X425" s="296"/>
      <c r="Y425" s="296"/>
      <c r="Z425" s="296"/>
      <c r="AA425" s="296"/>
      <c r="AB425" s="296"/>
      <c r="AC425" s="296"/>
      <c r="AD425" s="296"/>
      <c r="AE425" s="307"/>
      <c r="AF425" s="273"/>
      <c r="AG425" s="274"/>
    </row>
    <row r="426">
      <c r="A426" s="296"/>
      <c r="B426" s="269"/>
      <c r="C426" s="296"/>
      <c r="D426" s="296"/>
      <c r="E426" s="296"/>
      <c r="F426" s="296"/>
      <c r="G426" s="296"/>
      <c r="H426" s="296"/>
      <c r="I426" s="296"/>
      <c r="J426" s="296"/>
      <c r="K426" s="296"/>
      <c r="L426" s="296"/>
      <c r="M426" s="296"/>
      <c r="N426" s="296"/>
      <c r="O426" s="269"/>
      <c r="P426" s="269"/>
      <c r="Q426" s="269"/>
      <c r="R426" s="296"/>
      <c r="S426" s="296"/>
      <c r="T426" s="296"/>
      <c r="U426" s="296"/>
      <c r="V426" s="296"/>
      <c r="W426" s="296"/>
      <c r="X426" s="296"/>
      <c r="Y426" s="296"/>
      <c r="Z426" s="296"/>
      <c r="AA426" s="296"/>
      <c r="AB426" s="296"/>
      <c r="AC426" s="296"/>
      <c r="AD426" s="296"/>
      <c r="AE426" s="307"/>
      <c r="AF426" s="273"/>
      <c r="AG426" s="274"/>
    </row>
    <row r="427">
      <c r="A427" s="296"/>
      <c r="B427" s="269"/>
      <c r="C427" s="296"/>
      <c r="D427" s="296"/>
      <c r="E427" s="296"/>
      <c r="F427" s="296"/>
      <c r="G427" s="296"/>
      <c r="H427" s="296"/>
      <c r="I427" s="296"/>
      <c r="J427" s="296"/>
      <c r="K427" s="296"/>
      <c r="L427" s="296"/>
      <c r="M427" s="296"/>
      <c r="N427" s="296"/>
      <c r="O427" s="269"/>
      <c r="P427" s="269"/>
      <c r="Q427" s="269"/>
      <c r="R427" s="296"/>
      <c r="S427" s="296"/>
      <c r="T427" s="296"/>
      <c r="U427" s="296"/>
      <c r="V427" s="296"/>
      <c r="W427" s="296"/>
      <c r="X427" s="296"/>
      <c r="Y427" s="296"/>
      <c r="Z427" s="296"/>
      <c r="AA427" s="296"/>
      <c r="AB427" s="296"/>
      <c r="AC427" s="296"/>
      <c r="AD427" s="296"/>
      <c r="AE427" s="307"/>
      <c r="AF427" s="273"/>
      <c r="AG427" s="274"/>
    </row>
    <row r="428">
      <c r="A428" s="296"/>
      <c r="B428" s="269"/>
      <c r="C428" s="296"/>
      <c r="D428" s="296"/>
      <c r="E428" s="296"/>
      <c r="F428" s="296"/>
      <c r="G428" s="296"/>
      <c r="H428" s="296"/>
      <c r="I428" s="296"/>
      <c r="J428" s="296"/>
      <c r="K428" s="296"/>
      <c r="L428" s="296"/>
      <c r="M428" s="296"/>
      <c r="N428" s="296"/>
      <c r="O428" s="269"/>
      <c r="P428" s="269"/>
      <c r="Q428" s="269"/>
      <c r="R428" s="296"/>
      <c r="S428" s="296"/>
      <c r="T428" s="296"/>
      <c r="U428" s="296"/>
      <c r="V428" s="296"/>
      <c r="W428" s="296"/>
      <c r="X428" s="296"/>
      <c r="Y428" s="296"/>
      <c r="Z428" s="296"/>
      <c r="AA428" s="296"/>
      <c r="AB428" s="296"/>
      <c r="AC428" s="296"/>
      <c r="AD428" s="296"/>
      <c r="AE428" s="307"/>
      <c r="AF428" s="273"/>
      <c r="AG428" s="274"/>
    </row>
    <row r="429">
      <c r="A429" s="296"/>
      <c r="B429" s="269"/>
      <c r="C429" s="296"/>
      <c r="D429" s="296"/>
      <c r="E429" s="296"/>
      <c r="F429" s="296"/>
      <c r="G429" s="296"/>
      <c r="H429" s="296"/>
      <c r="I429" s="296"/>
      <c r="J429" s="296"/>
      <c r="K429" s="296"/>
      <c r="L429" s="296"/>
      <c r="M429" s="296"/>
      <c r="N429" s="296"/>
      <c r="O429" s="269"/>
      <c r="P429" s="269"/>
      <c r="Q429" s="269"/>
      <c r="R429" s="296"/>
      <c r="S429" s="296"/>
      <c r="T429" s="296"/>
      <c r="U429" s="296"/>
      <c r="V429" s="296"/>
      <c r="W429" s="296"/>
      <c r="X429" s="296"/>
      <c r="Y429" s="296"/>
      <c r="Z429" s="296"/>
      <c r="AA429" s="296"/>
      <c r="AB429" s="296"/>
      <c r="AC429" s="296"/>
      <c r="AD429" s="296"/>
      <c r="AE429" s="307"/>
      <c r="AF429" s="273"/>
      <c r="AG429" s="274"/>
    </row>
    <row r="430">
      <c r="A430" s="296"/>
      <c r="B430" s="269"/>
      <c r="C430" s="296"/>
      <c r="D430" s="296"/>
      <c r="E430" s="296"/>
      <c r="F430" s="296"/>
      <c r="G430" s="296"/>
      <c r="H430" s="296"/>
      <c r="I430" s="296"/>
      <c r="J430" s="296"/>
      <c r="K430" s="296"/>
      <c r="L430" s="296"/>
      <c r="M430" s="296"/>
      <c r="N430" s="296"/>
      <c r="O430" s="269"/>
      <c r="P430" s="269"/>
      <c r="Q430" s="269"/>
      <c r="R430" s="296"/>
      <c r="S430" s="296"/>
      <c r="T430" s="296"/>
      <c r="U430" s="296"/>
      <c r="V430" s="296"/>
      <c r="W430" s="296"/>
      <c r="X430" s="296"/>
      <c r="Y430" s="296"/>
      <c r="Z430" s="296"/>
      <c r="AA430" s="296"/>
      <c r="AB430" s="296"/>
      <c r="AC430" s="296"/>
      <c r="AD430" s="296"/>
      <c r="AE430" s="307"/>
      <c r="AF430" s="273"/>
      <c r="AG430" s="274"/>
    </row>
    <row r="431">
      <c r="A431" s="296"/>
      <c r="B431" s="269"/>
      <c r="C431" s="296"/>
      <c r="D431" s="296"/>
      <c r="E431" s="296"/>
      <c r="F431" s="296"/>
      <c r="G431" s="296"/>
      <c r="H431" s="296"/>
      <c r="I431" s="296"/>
      <c r="J431" s="296"/>
      <c r="K431" s="296"/>
      <c r="L431" s="296"/>
      <c r="M431" s="296"/>
      <c r="N431" s="296"/>
      <c r="O431" s="269"/>
      <c r="P431" s="269"/>
      <c r="Q431" s="269"/>
      <c r="R431" s="296"/>
      <c r="S431" s="296"/>
      <c r="T431" s="296"/>
      <c r="U431" s="296"/>
      <c r="V431" s="296"/>
      <c r="W431" s="296"/>
      <c r="X431" s="296"/>
      <c r="Y431" s="296"/>
      <c r="Z431" s="296"/>
      <c r="AA431" s="296"/>
      <c r="AB431" s="296"/>
      <c r="AC431" s="296"/>
      <c r="AD431" s="296"/>
      <c r="AE431" s="307"/>
      <c r="AF431" s="273"/>
      <c r="AG431" s="274"/>
    </row>
    <row r="432">
      <c r="A432" s="296"/>
      <c r="B432" s="269"/>
      <c r="C432" s="296"/>
      <c r="D432" s="296"/>
      <c r="E432" s="296"/>
      <c r="F432" s="296"/>
      <c r="G432" s="296"/>
      <c r="H432" s="296"/>
      <c r="I432" s="296"/>
      <c r="J432" s="296"/>
      <c r="K432" s="296"/>
      <c r="L432" s="296"/>
      <c r="M432" s="296"/>
      <c r="N432" s="296"/>
      <c r="O432" s="269"/>
      <c r="P432" s="269"/>
      <c r="Q432" s="269"/>
      <c r="R432" s="296"/>
      <c r="S432" s="296"/>
      <c r="T432" s="296"/>
      <c r="U432" s="296"/>
      <c r="V432" s="296"/>
      <c r="W432" s="296"/>
      <c r="X432" s="296"/>
      <c r="Y432" s="296"/>
      <c r="Z432" s="296"/>
      <c r="AA432" s="296"/>
      <c r="AB432" s="296"/>
      <c r="AC432" s="296"/>
      <c r="AD432" s="296"/>
      <c r="AE432" s="307"/>
      <c r="AF432" s="273"/>
      <c r="AG432" s="274"/>
    </row>
    <row r="433">
      <c r="A433" s="296"/>
      <c r="B433" s="269"/>
      <c r="C433" s="296"/>
      <c r="D433" s="296"/>
      <c r="E433" s="296"/>
      <c r="F433" s="296"/>
      <c r="G433" s="296"/>
      <c r="H433" s="296"/>
      <c r="I433" s="296"/>
      <c r="J433" s="296"/>
      <c r="K433" s="296"/>
      <c r="L433" s="296"/>
      <c r="M433" s="296"/>
      <c r="N433" s="296"/>
      <c r="O433" s="269"/>
      <c r="P433" s="269"/>
      <c r="Q433" s="269"/>
      <c r="R433" s="296"/>
      <c r="S433" s="296"/>
      <c r="T433" s="296"/>
      <c r="U433" s="296"/>
      <c r="V433" s="296"/>
      <c r="W433" s="296"/>
      <c r="X433" s="296"/>
      <c r="Y433" s="296"/>
      <c r="Z433" s="296"/>
      <c r="AA433" s="296"/>
      <c r="AB433" s="296"/>
      <c r="AC433" s="296"/>
      <c r="AD433" s="296"/>
      <c r="AE433" s="307"/>
      <c r="AF433" s="273"/>
      <c r="AG433" s="274"/>
    </row>
    <row r="434">
      <c r="A434" s="296"/>
      <c r="B434" s="269"/>
      <c r="C434" s="296"/>
      <c r="D434" s="296"/>
      <c r="E434" s="296"/>
      <c r="F434" s="296"/>
      <c r="G434" s="296"/>
      <c r="H434" s="296"/>
      <c r="I434" s="296"/>
      <c r="J434" s="296"/>
      <c r="K434" s="296"/>
      <c r="L434" s="296"/>
      <c r="M434" s="296"/>
      <c r="N434" s="296"/>
      <c r="O434" s="269"/>
      <c r="P434" s="269"/>
      <c r="Q434" s="269"/>
      <c r="R434" s="296"/>
      <c r="S434" s="296"/>
      <c r="T434" s="296"/>
      <c r="U434" s="296"/>
      <c r="V434" s="296"/>
      <c r="W434" s="296"/>
      <c r="X434" s="296"/>
      <c r="Y434" s="296"/>
      <c r="Z434" s="296"/>
      <c r="AA434" s="296"/>
      <c r="AB434" s="296"/>
      <c r="AC434" s="296"/>
      <c r="AD434" s="296"/>
      <c r="AE434" s="307"/>
      <c r="AF434" s="273"/>
      <c r="AG434" s="274"/>
    </row>
    <row r="435">
      <c r="A435" s="296"/>
      <c r="B435" s="269"/>
      <c r="C435" s="296"/>
      <c r="D435" s="296"/>
      <c r="E435" s="296"/>
      <c r="F435" s="296"/>
      <c r="G435" s="296"/>
      <c r="H435" s="296"/>
      <c r="I435" s="296"/>
      <c r="J435" s="296"/>
      <c r="K435" s="296"/>
      <c r="L435" s="296"/>
      <c r="M435" s="296"/>
      <c r="N435" s="296"/>
      <c r="O435" s="269"/>
      <c r="P435" s="269"/>
      <c r="Q435" s="269"/>
      <c r="R435" s="296"/>
      <c r="S435" s="296"/>
      <c r="T435" s="296"/>
      <c r="U435" s="296"/>
      <c r="V435" s="296"/>
      <c r="W435" s="296"/>
      <c r="X435" s="296"/>
      <c r="Y435" s="296"/>
      <c r="Z435" s="296"/>
      <c r="AA435" s="296"/>
      <c r="AB435" s="296"/>
      <c r="AC435" s="296"/>
      <c r="AD435" s="296"/>
      <c r="AE435" s="307"/>
      <c r="AF435" s="273"/>
      <c r="AG435" s="274"/>
    </row>
    <row r="436">
      <c r="A436" s="296"/>
      <c r="B436" s="269"/>
      <c r="C436" s="296"/>
      <c r="D436" s="296"/>
      <c r="E436" s="296"/>
      <c r="F436" s="296"/>
      <c r="G436" s="296"/>
      <c r="H436" s="296"/>
      <c r="I436" s="296"/>
      <c r="J436" s="296"/>
      <c r="K436" s="296"/>
      <c r="L436" s="296"/>
      <c r="M436" s="296"/>
      <c r="N436" s="296"/>
      <c r="O436" s="269"/>
      <c r="P436" s="269"/>
      <c r="Q436" s="269"/>
      <c r="R436" s="296"/>
      <c r="S436" s="296"/>
      <c r="T436" s="296"/>
      <c r="U436" s="296"/>
      <c r="V436" s="296"/>
      <c r="W436" s="296"/>
      <c r="X436" s="296"/>
      <c r="Y436" s="296"/>
      <c r="Z436" s="296"/>
      <c r="AA436" s="296"/>
      <c r="AB436" s="296"/>
      <c r="AC436" s="296"/>
      <c r="AD436" s="296"/>
      <c r="AE436" s="307"/>
      <c r="AF436" s="273"/>
      <c r="AG436" s="274"/>
    </row>
    <row r="437">
      <c r="A437" s="296"/>
      <c r="B437" s="269"/>
      <c r="C437" s="296"/>
      <c r="D437" s="296"/>
      <c r="E437" s="296"/>
      <c r="F437" s="296"/>
      <c r="G437" s="296"/>
      <c r="H437" s="296"/>
      <c r="I437" s="296"/>
      <c r="J437" s="296"/>
      <c r="K437" s="296"/>
      <c r="L437" s="296"/>
      <c r="M437" s="296"/>
      <c r="N437" s="296"/>
      <c r="O437" s="269"/>
      <c r="P437" s="269"/>
      <c r="Q437" s="269"/>
      <c r="R437" s="296"/>
      <c r="S437" s="296"/>
      <c r="T437" s="296"/>
      <c r="U437" s="296"/>
      <c r="V437" s="296"/>
      <c r="W437" s="296"/>
      <c r="X437" s="296"/>
      <c r="Y437" s="296"/>
      <c r="Z437" s="296"/>
      <c r="AA437" s="296"/>
      <c r="AB437" s="296"/>
      <c r="AC437" s="296"/>
      <c r="AD437" s="296"/>
      <c r="AE437" s="307"/>
      <c r="AF437" s="273"/>
      <c r="AG437" s="274"/>
    </row>
    <row r="438">
      <c r="A438" s="296"/>
      <c r="B438" s="269"/>
      <c r="C438" s="296"/>
      <c r="D438" s="296"/>
      <c r="E438" s="296"/>
      <c r="F438" s="296"/>
      <c r="G438" s="296"/>
      <c r="H438" s="296"/>
      <c r="I438" s="296"/>
      <c r="J438" s="296"/>
      <c r="K438" s="296"/>
      <c r="L438" s="296"/>
      <c r="M438" s="296"/>
      <c r="N438" s="296"/>
      <c r="O438" s="269"/>
      <c r="P438" s="269"/>
      <c r="Q438" s="269"/>
      <c r="R438" s="296"/>
      <c r="S438" s="296"/>
      <c r="T438" s="296"/>
      <c r="U438" s="296"/>
      <c r="V438" s="296"/>
      <c r="W438" s="296"/>
      <c r="X438" s="296"/>
      <c r="Y438" s="296"/>
      <c r="Z438" s="296"/>
      <c r="AA438" s="296"/>
      <c r="AB438" s="296"/>
      <c r="AC438" s="296"/>
      <c r="AD438" s="296"/>
      <c r="AE438" s="307"/>
      <c r="AF438" s="273"/>
      <c r="AG438" s="274"/>
    </row>
    <row r="439">
      <c r="A439" s="296"/>
      <c r="B439" s="269"/>
      <c r="C439" s="296"/>
      <c r="D439" s="296"/>
      <c r="E439" s="296"/>
      <c r="F439" s="296"/>
      <c r="G439" s="296"/>
      <c r="H439" s="296"/>
      <c r="I439" s="296"/>
      <c r="J439" s="296"/>
      <c r="K439" s="296"/>
      <c r="L439" s="296"/>
      <c r="M439" s="296"/>
      <c r="N439" s="296"/>
      <c r="O439" s="269"/>
      <c r="P439" s="269"/>
      <c r="Q439" s="269"/>
      <c r="R439" s="296"/>
      <c r="S439" s="296"/>
      <c r="T439" s="296"/>
      <c r="U439" s="296"/>
      <c r="V439" s="296"/>
      <c r="W439" s="296"/>
      <c r="X439" s="296"/>
      <c r="Y439" s="296"/>
      <c r="Z439" s="296"/>
      <c r="AA439" s="296"/>
      <c r="AB439" s="296"/>
      <c r="AC439" s="296"/>
      <c r="AD439" s="296"/>
      <c r="AE439" s="307"/>
      <c r="AF439" s="273"/>
      <c r="AG439" s="274"/>
    </row>
    <row r="440">
      <c r="A440" s="296"/>
      <c r="B440" s="269"/>
      <c r="C440" s="296"/>
      <c r="D440" s="296"/>
      <c r="E440" s="296"/>
      <c r="F440" s="296"/>
      <c r="G440" s="296"/>
      <c r="H440" s="296"/>
      <c r="I440" s="296"/>
      <c r="J440" s="296"/>
      <c r="K440" s="296"/>
      <c r="L440" s="296"/>
      <c r="M440" s="296"/>
      <c r="N440" s="296"/>
      <c r="O440" s="269"/>
      <c r="P440" s="269"/>
      <c r="Q440" s="269"/>
      <c r="R440" s="296"/>
      <c r="S440" s="296"/>
      <c r="T440" s="296"/>
      <c r="U440" s="296"/>
      <c r="V440" s="296"/>
      <c r="W440" s="296"/>
      <c r="X440" s="296"/>
      <c r="Y440" s="296"/>
      <c r="Z440" s="296"/>
      <c r="AA440" s="296"/>
      <c r="AB440" s="296"/>
      <c r="AC440" s="296"/>
      <c r="AD440" s="296"/>
      <c r="AE440" s="307"/>
      <c r="AF440" s="273"/>
      <c r="AG440" s="274"/>
    </row>
    <row r="441">
      <c r="A441" s="296"/>
      <c r="B441" s="269"/>
      <c r="C441" s="296"/>
      <c r="D441" s="296"/>
      <c r="E441" s="296"/>
      <c r="F441" s="296"/>
      <c r="G441" s="296"/>
      <c r="H441" s="296"/>
      <c r="I441" s="296"/>
      <c r="J441" s="296"/>
      <c r="K441" s="296"/>
      <c r="L441" s="296"/>
      <c r="M441" s="296"/>
      <c r="N441" s="296"/>
      <c r="O441" s="269"/>
      <c r="P441" s="269"/>
      <c r="Q441" s="269"/>
      <c r="R441" s="296"/>
      <c r="S441" s="296"/>
      <c r="T441" s="296"/>
      <c r="U441" s="296"/>
      <c r="V441" s="296"/>
      <c r="W441" s="296"/>
      <c r="X441" s="296"/>
      <c r="Y441" s="296"/>
      <c r="Z441" s="296"/>
      <c r="AA441" s="296"/>
      <c r="AB441" s="296"/>
      <c r="AC441" s="296"/>
      <c r="AD441" s="296"/>
      <c r="AE441" s="307"/>
      <c r="AF441" s="273"/>
      <c r="AG441" s="274"/>
    </row>
    <row r="442">
      <c r="A442" s="296"/>
      <c r="B442" s="269"/>
      <c r="C442" s="296"/>
      <c r="D442" s="296"/>
      <c r="E442" s="296"/>
      <c r="F442" s="296"/>
      <c r="G442" s="296"/>
      <c r="H442" s="296"/>
      <c r="I442" s="296"/>
      <c r="J442" s="296"/>
      <c r="K442" s="296"/>
      <c r="L442" s="296"/>
      <c r="M442" s="296"/>
      <c r="N442" s="296"/>
      <c r="O442" s="269"/>
      <c r="P442" s="269"/>
      <c r="Q442" s="269"/>
      <c r="R442" s="296"/>
      <c r="S442" s="296"/>
      <c r="T442" s="296"/>
      <c r="U442" s="296"/>
      <c r="V442" s="296"/>
      <c r="W442" s="296"/>
      <c r="X442" s="296"/>
      <c r="Y442" s="296"/>
      <c r="Z442" s="296"/>
      <c r="AA442" s="296"/>
      <c r="AB442" s="296"/>
      <c r="AC442" s="296"/>
      <c r="AD442" s="296"/>
      <c r="AE442" s="307"/>
      <c r="AF442" s="273"/>
      <c r="AG442" s="274"/>
    </row>
    <row r="443">
      <c r="A443" s="296"/>
      <c r="B443" s="269"/>
      <c r="C443" s="296"/>
      <c r="D443" s="296"/>
      <c r="E443" s="296"/>
      <c r="F443" s="296"/>
      <c r="G443" s="296"/>
      <c r="H443" s="296"/>
      <c r="I443" s="296"/>
      <c r="J443" s="296"/>
      <c r="K443" s="296"/>
      <c r="L443" s="296"/>
      <c r="M443" s="296"/>
      <c r="N443" s="296"/>
      <c r="O443" s="269"/>
      <c r="P443" s="269"/>
      <c r="Q443" s="269"/>
      <c r="R443" s="296"/>
      <c r="S443" s="296"/>
      <c r="T443" s="296"/>
      <c r="U443" s="296"/>
      <c r="V443" s="296"/>
      <c r="W443" s="296"/>
      <c r="X443" s="296"/>
      <c r="Y443" s="296"/>
      <c r="Z443" s="296"/>
      <c r="AA443" s="296"/>
      <c r="AB443" s="296"/>
      <c r="AC443" s="296"/>
      <c r="AD443" s="296"/>
      <c r="AE443" s="307"/>
      <c r="AF443" s="273"/>
      <c r="AG443" s="274"/>
    </row>
    <row r="444">
      <c r="A444" s="296"/>
      <c r="B444" s="269"/>
      <c r="C444" s="296"/>
      <c r="D444" s="296"/>
      <c r="E444" s="296"/>
      <c r="F444" s="296"/>
      <c r="G444" s="296"/>
      <c r="H444" s="296"/>
      <c r="I444" s="296"/>
      <c r="J444" s="296"/>
      <c r="K444" s="296"/>
      <c r="L444" s="296"/>
      <c r="M444" s="296"/>
      <c r="N444" s="296"/>
      <c r="O444" s="269"/>
      <c r="P444" s="269"/>
      <c r="Q444" s="269"/>
      <c r="R444" s="296"/>
      <c r="S444" s="296"/>
      <c r="T444" s="296"/>
      <c r="U444" s="296"/>
      <c r="V444" s="296"/>
      <c r="W444" s="296"/>
      <c r="X444" s="296"/>
      <c r="Y444" s="296"/>
      <c r="Z444" s="296"/>
      <c r="AA444" s="296"/>
      <c r="AB444" s="296"/>
      <c r="AC444" s="296"/>
      <c r="AD444" s="296"/>
      <c r="AE444" s="307"/>
      <c r="AF444" s="273"/>
      <c r="AG444" s="274"/>
    </row>
    <row r="445">
      <c r="A445" s="296"/>
      <c r="B445" s="269"/>
      <c r="C445" s="296"/>
      <c r="D445" s="296"/>
      <c r="E445" s="296"/>
      <c r="F445" s="296"/>
      <c r="G445" s="296"/>
      <c r="H445" s="296"/>
      <c r="I445" s="296"/>
      <c r="J445" s="296"/>
      <c r="K445" s="296"/>
      <c r="L445" s="296"/>
      <c r="M445" s="296"/>
      <c r="N445" s="296"/>
      <c r="O445" s="269"/>
      <c r="P445" s="269"/>
      <c r="Q445" s="269"/>
      <c r="R445" s="296"/>
      <c r="S445" s="296"/>
      <c r="T445" s="296"/>
      <c r="U445" s="296"/>
      <c r="V445" s="296"/>
      <c r="W445" s="296"/>
      <c r="X445" s="296"/>
      <c r="Y445" s="296"/>
      <c r="Z445" s="296"/>
      <c r="AA445" s="296"/>
      <c r="AB445" s="296"/>
      <c r="AC445" s="296"/>
      <c r="AD445" s="296"/>
      <c r="AE445" s="307"/>
      <c r="AF445" s="273"/>
      <c r="AG445" s="274"/>
    </row>
    <row r="446">
      <c r="A446" s="296"/>
      <c r="B446" s="269"/>
      <c r="C446" s="296"/>
      <c r="D446" s="296"/>
      <c r="E446" s="296"/>
      <c r="F446" s="296"/>
      <c r="G446" s="296"/>
      <c r="H446" s="296"/>
      <c r="I446" s="296"/>
      <c r="J446" s="296"/>
      <c r="K446" s="296"/>
      <c r="L446" s="296"/>
      <c r="M446" s="296"/>
      <c r="N446" s="296"/>
      <c r="O446" s="269"/>
      <c r="P446" s="269"/>
      <c r="Q446" s="269"/>
      <c r="R446" s="296"/>
      <c r="S446" s="296"/>
      <c r="T446" s="296"/>
      <c r="U446" s="296"/>
      <c r="V446" s="296"/>
      <c r="W446" s="296"/>
      <c r="X446" s="296"/>
      <c r="Y446" s="296"/>
      <c r="Z446" s="296"/>
      <c r="AA446" s="296"/>
      <c r="AB446" s="296"/>
      <c r="AC446" s="296"/>
      <c r="AD446" s="296"/>
      <c r="AE446" s="307"/>
      <c r="AF446" s="273"/>
      <c r="AG446" s="274"/>
    </row>
    <row r="447">
      <c r="A447" s="296"/>
      <c r="B447" s="269"/>
      <c r="C447" s="296"/>
      <c r="D447" s="296"/>
      <c r="E447" s="296"/>
      <c r="F447" s="296"/>
      <c r="G447" s="296"/>
      <c r="H447" s="296"/>
      <c r="I447" s="296"/>
      <c r="J447" s="296"/>
      <c r="K447" s="296"/>
      <c r="L447" s="296"/>
      <c r="M447" s="296"/>
      <c r="N447" s="296"/>
      <c r="O447" s="269"/>
      <c r="P447" s="269"/>
      <c r="Q447" s="269"/>
      <c r="R447" s="296"/>
      <c r="S447" s="296"/>
      <c r="T447" s="296"/>
      <c r="U447" s="296"/>
      <c r="V447" s="296"/>
      <c r="W447" s="296"/>
      <c r="X447" s="296"/>
      <c r="Y447" s="296"/>
      <c r="Z447" s="296"/>
      <c r="AA447" s="296"/>
      <c r="AB447" s="296"/>
      <c r="AC447" s="296"/>
      <c r="AD447" s="296"/>
      <c r="AE447" s="307"/>
      <c r="AF447" s="273"/>
      <c r="AG447" s="274"/>
    </row>
    <row r="448">
      <c r="A448" s="296"/>
      <c r="B448" s="269"/>
      <c r="C448" s="296"/>
      <c r="D448" s="296"/>
      <c r="E448" s="296"/>
      <c r="F448" s="296"/>
      <c r="G448" s="296"/>
      <c r="H448" s="296"/>
      <c r="I448" s="296"/>
      <c r="J448" s="296"/>
      <c r="K448" s="296"/>
      <c r="L448" s="296"/>
      <c r="M448" s="296"/>
      <c r="N448" s="296"/>
      <c r="O448" s="269"/>
      <c r="P448" s="269"/>
      <c r="Q448" s="269"/>
      <c r="R448" s="296"/>
      <c r="S448" s="296"/>
      <c r="T448" s="296"/>
      <c r="U448" s="296"/>
      <c r="V448" s="296"/>
      <c r="W448" s="296"/>
      <c r="X448" s="296"/>
      <c r="Y448" s="296"/>
      <c r="Z448" s="296"/>
      <c r="AA448" s="296"/>
      <c r="AB448" s="296"/>
      <c r="AC448" s="296"/>
      <c r="AD448" s="296"/>
      <c r="AE448" s="307"/>
      <c r="AF448" s="273"/>
      <c r="AG448" s="274"/>
    </row>
    <row r="449">
      <c r="A449" s="296"/>
      <c r="B449" s="269"/>
      <c r="C449" s="296"/>
      <c r="D449" s="296"/>
      <c r="E449" s="296"/>
      <c r="F449" s="296"/>
      <c r="G449" s="296"/>
      <c r="H449" s="296"/>
      <c r="I449" s="296"/>
      <c r="J449" s="296"/>
      <c r="K449" s="296"/>
      <c r="L449" s="296"/>
      <c r="M449" s="296"/>
      <c r="N449" s="296"/>
      <c r="O449" s="269"/>
      <c r="P449" s="269"/>
      <c r="Q449" s="269"/>
      <c r="R449" s="296"/>
      <c r="S449" s="296"/>
      <c r="T449" s="296"/>
      <c r="U449" s="296"/>
      <c r="V449" s="296"/>
      <c r="W449" s="296"/>
      <c r="X449" s="296"/>
      <c r="Y449" s="296"/>
      <c r="Z449" s="296"/>
      <c r="AA449" s="296"/>
      <c r="AB449" s="296"/>
      <c r="AC449" s="296"/>
      <c r="AD449" s="296"/>
      <c r="AE449" s="307"/>
      <c r="AF449" s="273"/>
      <c r="AG449" s="274"/>
    </row>
    <row r="450">
      <c r="A450" s="296"/>
      <c r="B450" s="269"/>
      <c r="C450" s="296"/>
      <c r="D450" s="296"/>
      <c r="E450" s="296"/>
      <c r="F450" s="296"/>
      <c r="G450" s="296"/>
      <c r="H450" s="296"/>
      <c r="I450" s="296"/>
      <c r="J450" s="296"/>
      <c r="K450" s="296"/>
      <c r="L450" s="296"/>
      <c r="M450" s="296"/>
      <c r="N450" s="296"/>
      <c r="O450" s="269"/>
      <c r="P450" s="269"/>
      <c r="Q450" s="269"/>
      <c r="R450" s="296"/>
      <c r="S450" s="296"/>
      <c r="T450" s="296"/>
      <c r="U450" s="296"/>
      <c r="V450" s="296"/>
      <c r="W450" s="296"/>
      <c r="X450" s="296"/>
      <c r="Y450" s="296"/>
      <c r="Z450" s="296"/>
      <c r="AA450" s="296"/>
      <c r="AB450" s="296"/>
      <c r="AC450" s="296"/>
      <c r="AD450" s="296"/>
      <c r="AE450" s="307"/>
      <c r="AF450" s="273"/>
      <c r="AG450" s="274"/>
    </row>
    <row r="451">
      <c r="A451" s="296"/>
      <c r="B451" s="269"/>
      <c r="C451" s="296"/>
      <c r="D451" s="296"/>
      <c r="E451" s="296"/>
      <c r="F451" s="296"/>
      <c r="G451" s="296"/>
      <c r="H451" s="296"/>
      <c r="I451" s="296"/>
      <c r="J451" s="296"/>
      <c r="K451" s="296"/>
      <c r="L451" s="296"/>
      <c r="M451" s="296"/>
      <c r="N451" s="296"/>
      <c r="O451" s="269"/>
      <c r="P451" s="269"/>
      <c r="Q451" s="269"/>
      <c r="R451" s="296"/>
      <c r="S451" s="296"/>
      <c r="T451" s="296"/>
      <c r="U451" s="296"/>
      <c r="V451" s="296"/>
      <c r="W451" s="296"/>
      <c r="X451" s="296"/>
      <c r="Y451" s="296"/>
      <c r="Z451" s="296"/>
      <c r="AA451" s="296"/>
      <c r="AB451" s="296"/>
      <c r="AC451" s="296"/>
      <c r="AD451" s="296"/>
      <c r="AE451" s="307"/>
      <c r="AF451" s="273"/>
      <c r="AG451" s="274"/>
    </row>
    <row r="452">
      <c r="A452" s="296"/>
      <c r="B452" s="269"/>
      <c r="C452" s="296"/>
      <c r="D452" s="296"/>
      <c r="E452" s="296"/>
      <c r="F452" s="296"/>
      <c r="G452" s="296"/>
      <c r="H452" s="296"/>
      <c r="I452" s="296"/>
      <c r="J452" s="296"/>
      <c r="K452" s="296"/>
      <c r="L452" s="296"/>
      <c r="M452" s="296"/>
      <c r="N452" s="296"/>
      <c r="O452" s="269"/>
      <c r="P452" s="269"/>
      <c r="Q452" s="269"/>
      <c r="R452" s="296"/>
      <c r="S452" s="296"/>
      <c r="T452" s="296"/>
      <c r="U452" s="296"/>
      <c r="V452" s="296"/>
      <c r="W452" s="296"/>
      <c r="X452" s="296"/>
      <c r="Y452" s="296"/>
      <c r="Z452" s="296"/>
      <c r="AA452" s="296"/>
      <c r="AB452" s="296"/>
      <c r="AC452" s="296"/>
      <c r="AD452" s="296"/>
      <c r="AE452" s="307"/>
      <c r="AF452" s="273"/>
      <c r="AG452" s="274"/>
    </row>
    <row r="453">
      <c r="A453" s="296"/>
      <c r="B453" s="269"/>
      <c r="C453" s="296"/>
      <c r="D453" s="296"/>
      <c r="E453" s="296"/>
      <c r="F453" s="296"/>
      <c r="G453" s="296"/>
      <c r="H453" s="296"/>
      <c r="I453" s="296"/>
      <c r="J453" s="296"/>
      <c r="K453" s="296"/>
      <c r="L453" s="296"/>
      <c r="M453" s="296"/>
      <c r="N453" s="296"/>
      <c r="O453" s="269"/>
      <c r="P453" s="269"/>
      <c r="Q453" s="269"/>
      <c r="R453" s="296"/>
      <c r="S453" s="296"/>
      <c r="T453" s="296"/>
      <c r="U453" s="296"/>
      <c r="V453" s="296"/>
      <c r="W453" s="296"/>
      <c r="X453" s="296"/>
      <c r="Y453" s="296"/>
      <c r="Z453" s="296"/>
      <c r="AA453" s="296"/>
      <c r="AB453" s="296"/>
      <c r="AC453" s="296"/>
      <c r="AD453" s="296"/>
      <c r="AE453" s="307"/>
      <c r="AF453" s="273"/>
      <c r="AG453" s="274"/>
    </row>
    <row r="454">
      <c r="A454" s="296"/>
      <c r="B454" s="269"/>
      <c r="C454" s="296"/>
      <c r="D454" s="296"/>
      <c r="E454" s="296"/>
      <c r="F454" s="296"/>
      <c r="G454" s="296"/>
      <c r="H454" s="296"/>
      <c r="I454" s="296"/>
      <c r="J454" s="296"/>
      <c r="K454" s="296"/>
      <c r="L454" s="296"/>
      <c r="M454" s="296"/>
      <c r="N454" s="296"/>
      <c r="O454" s="269"/>
      <c r="P454" s="269"/>
      <c r="Q454" s="269"/>
      <c r="R454" s="296"/>
      <c r="S454" s="296"/>
      <c r="T454" s="296"/>
      <c r="U454" s="296"/>
      <c r="V454" s="296"/>
      <c r="W454" s="296"/>
      <c r="X454" s="296"/>
      <c r="Y454" s="296"/>
      <c r="Z454" s="296"/>
      <c r="AA454" s="296"/>
      <c r="AB454" s="296"/>
      <c r="AC454" s="296"/>
      <c r="AD454" s="296"/>
      <c r="AE454" s="307"/>
      <c r="AF454" s="273"/>
      <c r="AG454" s="274"/>
    </row>
    <row r="455">
      <c r="A455" s="296"/>
      <c r="B455" s="269"/>
      <c r="C455" s="296"/>
      <c r="D455" s="296"/>
      <c r="E455" s="296"/>
      <c r="F455" s="296"/>
      <c r="G455" s="296"/>
      <c r="H455" s="296"/>
      <c r="I455" s="296"/>
      <c r="J455" s="296"/>
      <c r="K455" s="296"/>
      <c r="L455" s="296"/>
      <c r="M455" s="296"/>
      <c r="N455" s="296"/>
      <c r="O455" s="269"/>
      <c r="P455" s="269"/>
      <c r="Q455" s="269"/>
      <c r="R455" s="296"/>
      <c r="S455" s="296"/>
      <c r="T455" s="296"/>
      <c r="U455" s="296"/>
      <c r="V455" s="296"/>
      <c r="W455" s="296"/>
      <c r="X455" s="296"/>
      <c r="Y455" s="296"/>
      <c r="Z455" s="296"/>
      <c r="AA455" s="296"/>
      <c r="AB455" s="296"/>
      <c r="AC455" s="296"/>
      <c r="AD455" s="296"/>
      <c r="AE455" s="307"/>
      <c r="AF455" s="273"/>
      <c r="AG455" s="274"/>
    </row>
    <row r="456">
      <c r="A456" s="296"/>
      <c r="B456" s="269"/>
      <c r="C456" s="296"/>
      <c r="D456" s="296"/>
      <c r="E456" s="296"/>
      <c r="F456" s="296"/>
      <c r="G456" s="296"/>
      <c r="H456" s="296"/>
      <c r="I456" s="296"/>
      <c r="J456" s="296"/>
      <c r="K456" s="296"/>
      <c r="L456" s="296"/>
      <c r="M456" s="296"/>
      <c r="N456" s="296"/>
      <c r="O456" s="269"/>
      <c r="P456" s="269"/>
      <c r="Q456" s="269"/>
      <c r="R456" s="296"/>
      <c r="S456" s="296"/>
      <c r="T456" s="296"/>
      <c r="U456" s="296"/>
      <c r="V456" s="296"/>
      <c r="W456" s="296"/>
      <c r="X456" s="296"/>
      <c r="Y456" s="296"/>
      <c r="Z456" s="296"/>
      <c r="AA456" s="296"/>
      <c r="AB456" s="296"/>
      <c r="AC456" s="296"/>
      <c r="AD456" s="296"/>
      <c r="AE456" s="307"/>
      <c r="AF456" s="273"/>
      <c r="AG456" s="274"/>
    </row>
    <row r="457">
      <c r="A457" s="296"/>
      <c r="B457" s="269"/>
      <c r="C457" s="296"/>
      <c r="D457" s="296"/>
      <c r="E457" s="296"/>
      <c r="F457" s="296"/>
      <c r="G457" s="296"/>
      <c r="H457" s="296"/>
      <c r="I457" s="296"/>
      <c r="J457" s="296"/>
      <c r="K457" s="296"/>
      <c r="L457" s="296"/>
      <c r="M457" s="296"/>
      <c r="N457" s="296"/>
      <c r="O457" s="269"/>
      <c r="P457" s="269"/>
      <c r="Q457" s="269"/>
      <c r="R457" s="296"/>
      <c r="S457" s="296"/>
      <c r="T457" s="296"/>
      <c r="U457" s="296"/>
      <c r="V457" s="296"/>
      <c r="W457" s="296"/>
      <c r="X457" s="296"/>
      <c r="Y457" s="296"/>
      <c r="Z457" s="296"/>
      <c r="AA457" s="296"/>
      <c r="AB457" s="296"/>
      <c r="AC457" s="296"/>
      <c r="AD457" s="296"/>
      <c r="AE457" s="307"/>
      <c r="AF457" s="273"/>
      <c r="AG457" s="274"/>
    </row>
    <row r="458">
      <c r="A458" s="296"/>
      <c r="B458" s="269"/>
      <c r="C458" s="296"/>
      <c r="D458" s="296"/>
      <c r="E458" s="296"/>
      <c r="F458" s="296"/>
      <c r="G458" s="296"/>
      <c r="H458" s="296"/>
      <c r="I458" s="296"/>
      <c r="J458" s="296"/>
      <c r="K458" s="296"/>
      <c r="L458" s="296"/>
      <c r="M458" s="296"/>
      <c r="N458" s="296"/>
      <c r="O458" s="269"/>
      <c r="P458" s="269"/>
      <c r="Q458" s="269"/>
      <c r="R458" s="296"/>
      <c r="S458" s="296"/>
      <c r="T458" s="296"/>
      <c r="U458" s="296"/>
      <c r="V458" s="296"/>
      <c r="W458" s="296"/>
      <c r="X458" s="296"/>
      <c r="Y458" s="296"/>
      <c r="Z458" s="296"/>
      <c r="AA458" s="296"/>
      <c r="AB458" s="296"/>
      <c r="AC458" s="296"/>
      <c r="AD458" s="296"/>
      <c r="AE458" s="307"/>
      <c r="AF458" s="273"/>
      <c r="AG458" s="274"/>
    </row>
    <row r="459">
      <c r="A459" s="296"/>
      <c r="B459" s="269"/>
      <c r="C459" s="296"/>
      <c r="D459" s="296"/>
      <c r="E459" s="296"/>
      <c r="F459" s="296"/>
      <c r="G459" s="296"/>
      <c r="H459" s="296"/>
      <c r="I459" s="296"/>
      <c r="J459" s="296"/>
      <c r="K459" s="296"/>
      <c r="L459" s="296"/>
      <c r="M459" s="296"/>
      <c r="N459" s="296"/>
      <c r="O459" s="269"/>
      <c r="P459" s="269"/>
      <c r="Q459" s="269"/>
      <c r="R459" s="296"/>
      <c r="S459" s="296"/>
      <c r="T459" s="296"/>
      <c r="U459" s="296"/>
      <c r="V459" s="296"/>
      <c r="W459" s="296"/>
      <c r="X459" s="296"/>
      <c r="Y459" s="296"/>
      <c r="Z459" s="296"/>
      <c r="AA459" s="296"/>
      <c r="AB459" s="296"/>
      <c r="AC459" s="296"/>
      <c r="AD459" s="296"/>
      <c r="AE459" s="307"/>
      <c r="AF459" s="273"/>
      <c r="AG459" s="274"/>
    </row>
    <row r="460">
      <c r="A460" s="296"/>
      <c r="B460" s="269"/>
      <c r="C460" s="296"/>
      <c r="D460" s="296"/>
      <c r="E460" s="296"/>
      <c r="F460" s="296"/>
      <c r="G460" s="296"/>
      <c r="H460" s="296"/>
      <c r="I460" s="296"/>
      <c r="J460" s="296"/>
      <c r="K460" s="296"/>
      <c r="L460" s="296"/>
      <c r="M460" s="296"/>
      <c r="N460" s="296"/>
      <c r="O460" s="269"/>
      <c r="P460" s="269"/>
      <c r="Q460" s="269"/>
      <c r="R460" s="296"/>
      <c r="S460" s="296"/>
      <c r="T460" s="296"/>
      <c r="U460" s="296"/>
      <c r="V460" s="296"/>
      <c r="W460" s="296"/>
      <c r="X460" s="296"/>
      <c r="Y460" s="296"/>
      <c r="Z460" s="296"/>
      <c r="AA460" s="296"/>
      <c r="AB460" s="296"/>
      <c r="AC460" s="296"/>
      <c r="AD460" s="296"/>
      <c r="AE460" s="307"/>
      <c r="AF460" s="273"/>
      <c r="AG460" s="274"/>
    </row>
    <row r="461">
      <c r="A461" s="296"/>
      <c r="B461" s="269"/>
      <c r="C461" s="296"/>
      <c r="D461" s="296"/>
      <c r="E461" s="296"/>
      <c r="F461" s="296"/>
      <c r="G461" s="296"/>
      <c r="H461" s="296"/>
      <c r="I461" s="296"/>
      <c r="J461" s="296"/>
      <c r="K461" s="296"/>
      <c r="L461" s="296"/>
      <c r="M461" s="296"/>
      <c r="N461" s="296"/>
      <c r="O461" s="269"/>
      <c r="P461" s="269"/>
      <c r="Q461" s="269"/>
      <c r="R461" s="296"/>
      <c r="S461" s="296"/>
      <c r="T461" s="296"/>
      <c r="U461" s="296"/>
      <c r="V461" s="296"/>
      <c r="W461" s="296"/>
      <c r="X461" s="296"/>
      <c r="Y461" s="296"/>
      <c r="Z461" s="296"/>
      <c r="AA461" s="296"/>
      <c r="AB461" s="296"/>
      <c r="AC461" s="296"/>
      <c r="AD461" s="296"/>
      <c r="AE461" s="307"/>
      <c r="AF461" s="273"/>
      <c r="AG461" s="274"/>
    </row>
    <row r="462">
      <c r="A462" s="296"/>
      <c r="B462" s="269"/>
      <c r="C462" s="296"/>
      <c r="D462" s="296"/>
      <c r="E462" s="296"/>
      <c r="F462" s="296"/>
      <c r="G462" s="296"/>
      <c r="H462" s="296"/>
      <c r="I462" s="296"/>
      <c r="J462" s="296"/>
      <c r="K462" s="296"/>
      <c r="L462" s="296"/>
      <c r="M462" s="296"/>
      <c r="N462" s="296"/>
      <c r="O462" s="269"/>
      <c r="P462" s="269"/>
      <c r="Q462" s="269"/>
      <c r="R462" s="296"/>
      <c r="S462" s="296"/>
      <c r="T462" s="296"/>
      <c r="U462" s="296"/>
      <c r="V462" s="296"/>
      <c r="W462" s="296"/>
      <c r="X462" s="296"/>
      <c r="Y462" s="296"/>
      <c r="Z462" s="296"/>
      <c r="AA462" s="296"/>
      <c r="AB462" s="296"/>
      <c r="AC462" s="296"/>
      <c r="AD462" s="296"/>
      <c r="AE462" s="307"/>
      <c r="AF462" s="273"/>
      <c r="AG462" s="274"/>
    </row>
    <row r="463">
      <c r="A463" s="296"/>
      <c r="B463" s="269"/>
      <c r="C463" s="296"/>
      <c r="D463" s="296"/>
      <c r="E463" s="296"/>
      <c r="F463" s="296"/>
      <c r="G463" s="296"/>
      <c r="H463" s="296"/>
      <c r="I463" s="296"/>
      <c r="J463" s="296"/>
      <c r="K463" s="296"/>
      <c r="L463" s="296"/>
      <c r="M463" s="296"/>
      <c r="N463" s="296"/>
      <c r="O463" s="269"/>
      <c r="P463" s="269"/>
      <c r="Q463" s="269"/>
      <c r="R463" s="296"/>
      <c r="S463" s="296"/>
      <c r="T463" s="296"/>
      <c r="U463" s="296"/>
      <c r="V463" s="296"/>
      <c r="W463" s="296"/>
      <c r="X463" s="296"/>
      <c r="Y463" s="296"/>
      <c r="Z463" s="296"/>
      <c r="AA463" s="296"/>
      <c r="AB463" s="296"/>
      <c r="AC463" s="296"/>
      <c r="AD463" s="296"/>
      <c r="AE463" s="307"/>
      <c r="AF463" s="273"/>
      <c r="AG463" s="274"/>
    </row>
    <row r="464">
      <c r="A464" s="296"/>
      <c r="B464" s="269"/>
      <c r="C464" s="296"/>
      <c r="D464" s="296"/>
      <c r="E464" s="296"/>
      <c r="F464" s="296"/>
      <c r="G464" s="296"/>
      <c r="H464" s="296"/>
      <c r="I464" s="296"/>
      <c r="J464" s="296"/>
      <c r="K464" s="296"/>
      <c r="L464" s="296"/>
      <c r="M464" s="296"/>
      <c r="N464" s="296"/>
      <c r="O464" s="269"/>
      <c r="P464" s="269"/>
      <c r="Q464" s="269"/>
      <c r="R464" s="296"/>
      <c r="S464" s="296"/>
      <c r="T464" s="296"/>
      <c r="U464" s="296"/>
      <c r="V464" s="296"/>
      <c r="W464" s="296"/>
      <c r="X464" s="296"/>
      <c r="Y464" s="296"/>
      <c r="Z464" s="296"/>
      <c r="AA464" s="296"/>
      <c r="AB464" s="296"/>
      <c r="AC464" s="296"/>
      <c r="AD464" s="296"/>
      <c r="AE464" s="307"/>
      <c r="AF464" s="273"/>
      <c r="AG464" s="274"/>
    </row>
    <row r="465">
      <c r="A465" s="296"/>
      <c r="B465" s="269"/>
      <c r="C465" s="296"/>
      <c r="D465" s="296"/>
      <c r="E465" s="296"/>
      <c r="F465" s="296"/>
      <c r="G465" s="296"/>
      <c r="H465" s="296"/>
      <c r="I465" s="296"/>
      <c r="J465" s="296"/>
      <c r="K465" s="296"/>
      <c r="L465" s="296"/>
      <c r="M465" s="296"/>
      <c r="N465" s="296"/>
      <c r="O465" s="269"/>
      <c r="P465" s="269"/>
      <c r="Q465" s="269"/>
      <c r="R465" s="296"/>
      <c r="S465" s="296"/>
      <c r="T465" s="296"/>
      <c r="U465" s="296"/>
      <c r="V465" s="296"/>
      <c r="W465" s="296"/>
      <c r="X465" s="296"/>
      <c r="Y465" s="296"/>
      <c r="Z465" s="296"/>
      <c r="AA465" s="296"/>
      <c r="AB465" s="296"/>
      <c r="AC465" s="296"/>
      <c r="AD465" s="296"/>
      <c r="AE465" s="307"/>
      <c r="AF465" s="273"/>
      <c r="AG465" s="274"/>
    </row>
    <row r="466">
      <c r="A466" s="296"/>
      <c r="B466" s="269"/>
      <c r="C466" s="296"/>
      <c r="D466" s="296"/>
      <c r="E466" s="296"/>
      <c r="F466" s="296"/>
      <c r="G466" s="296"/>
      <c r="H466" s="296"/>
      <c r="I466" s="296"/>
      <c r="J466" s="296"/>
      <c r="K466" s="296"/>
      <c r="L466" s="296"/>
      <c r="M466" s="296"/>
      <c r="N466" s="296"/>
      <c r="O466" s="269"/>
      <c r="P466" s="269"/>
      <c r="Q466" s="269"/>
      <c r="R466" s="296"/>
      <c r="S466" s="296"/>
      <c r="T466" s="296"/>
      <c r="U466" s="296"/>
      <c r="V466" s="296"/>
      <c r="W466" s="296"/>
      <c r="X466" s="296"/>
      <c r="Y466" s="296"/>
      <c r="Z466" s="296"/>
      <c r="AA466" s="296"/>
      <c r="AB466" s="296"/>
      <c r="AC466" s="296"/>
      <c r="AD466" s="296"/>
      <c r="AE466" s="307"/>
      <c r="AF466" s="273"/>
      <c r="AG466" s="274"/>
    </row>
    <row r="467">
      <c r="A467" s="296"/>
      <c r="B467" s="269"/>
      <c r="C467" s="296"/>
      <c r="D467" s="296"/>
      <c r="E467" s="296"/>
      <c r="F467" s="296"/>
      <c r="G467" s="296"/>
      <c r="H467" s="296"/>
      <c r="I467" s="296"/>
      <c r="J467" s="296"/>
      <c r="K467" s="296"/>
      <c r="L467" s="296"/>
      <c r="M467" s="296"/>
      <c r="N467" s="296"/>
      <c r="O467" s="269"/>
      <c r="P467" s="269"/>
      <c r="Q467" s="269"/>
      <c r="R467" s="296"/>
      <c r="S467" s="296"/>
      <c r="T467" s="296"/>
      <c r="U467" s="296"/>
      <c r="V467" s="296"/>
      <c r="W467" s="296"/>
      <c r="X467" s="296"/>
      <c r="Y467" s="296"/>
      <c r="Z467" s="296"/>
      <c r="AA467" s="296"/>
      <c r="AB467" s="296"/>
      <c r="AC467" s="296"/>
      <c r="AD467" s="296"/>
      <c r="AE467" s="307"/>
      <c r="AF467" s="273"/>
      <c r="AG467" s="274"/>
    </row>
    <row r="468">
      <c r="A468" s="296"/>
      <c r="B468" s="269"/>
      <c r="C468" s="296"/>
      <c r="D468" s="296"/>
      <c r="E468" s="296"/>
      <c r="F468" s="296"/>
      <c r="G468" s="296"/>
      <c r="H468" s="296"/>
      <c r="I468" s="296"/>
      <c r="J468" s="296"/>
      <c r="K468" s="296"/>
      <c r="L468" s="296"/>
      <c r="M468" s="296"/>
      <c r="N468" s="296"/>
      <c r="O468" s="269"/>
      <c r="P468" s="269"/>
      <c r="Q468" s="269"/>
      <c r="R468" s="296"/>
      <c r="S468" s="296"/>
      <c r="T468" s="296"/>
      <c r="U468" s="296"/>
      <c r="V468" s="296"/>
      <c r="W468" s="296"/>
      <c r="X468" s="296"/>
      <c r="Y468" s="296"/>
      <c r="Z468" s="296"/>
      <c r="AA468" s="296"/>
      <c r="AB468" s="296"/>
      <c r="AC468" s="296"/>
      <c r="AD468" s="296"/>
      <c r="AE468" s="307"/>
      <c r="AF468" s="273"/>
      <c r="AG468" s="274"/>
    </row>
    <row r="469">
      <c r="A469" s="296"/>
      <c r="B469" s="269"/>
      <c r="C469" s="296"/>
      <c r="D469" s="296"/>
      <c r="E469" s="296"/>
      <c r="F469" s="296"/>
      <c r="G469" s="296"/>
      <c r="H469" s="296"/>
      <c r="I469" s="296"/>
      <c r="J469" s="296"/>
      <c r="K469" s="296"/>
      <c r="L469" s="296"/>
      <c r="M469" s="296"/>
      <c r="N469" s="296"/>
      <c r="O469" s="269"/>
      <c r="P469" s="269"/>
      <c r="Q469" s="269"/>
      <c r="R469" s="296"/>
      <c r="S469" s="296"/>
      <c r="T469" s="296"/>
      <c r="U469" s="296"/>
      <c r="V469" s="296"/>
      <c r="W469" s="296"/>
      <c r="X469" s="296"/>
      <c r="Y469" s="296"/>
      <c r="Z469" s="296"/>
      <c r="AA469" s="296"/>
      <c r="AB469" s="296"/>
      <c r="AC469" s="296"/>
      <c r="AD469" s="296"/>
      <c r="AE469" s="307"/>
      <c r="AF469" s="273"/>
      <c r="AG469" s="274"/>
    </row>
    <row r="470">
      <c r="A470" s="296"/>
      <c r="B470" s="269"/>
      <c r="C470" s="296"/>
      <c r="D470" s="296"/>
      <c r="E470" s="296"/>
      <c r="F470" s="296"/>
      <c r="G470" s="296"/>
      <c r="H470" s="296"/>
      <c r="I470" s="296"/>
      <c r="J470" s="296"/>
      <c r="K470" s="296"/>
      <c r="L470" s="296"/>
      <c r="M470" s="296"/>
      <c r="N470" s="296"/>
      <c r="O470" s="269"/>
      <c r="P470" s="269"/>
      <c r="Q470" s="269"/>
      <c r="R470" s="296"/>
      <c r="S470" s="296"/>
      <c r="T470" s="296"/>
      <c r="U470" s="296"/>
      <c r="V470" s="296"/>
      <c r="W470" s="296"/>
      <c r="X470" s="296"/>
      <c r="Y470" s="296"/>
      <c r="Z470" s="296"/>
      <c r="AA470" s="296"/>
      <c r="AB470" s="296"/>
      <c r="AC470" s="296"/>
      <c r="AD470" s="296"/>
      <c r="AE470" s="307"/>
      <c r="AF470" s="273"/>
      <c r="AG470" s="274"/>
    </row>
    <row r="471">
      <c r="A471" s="296"/>
      <c r="B471" s="269"/>
      <c r="C471" s="296"/>
      <c r="D471" s="296"/>
      <c r="E471" s="296"/>
      <c r="F471" s="296"/>
      <c r="G471" s="296"/>
      <c r="H471" s="296"/>
      <c r="I471" s="296"/>
      <c r="J471" s="296"/>
      <c r="K471" s="296"/>
      <c r="L471" s="296"/>
      <c r="M471" s="296"/>
      <c r="N471" s="296"/>
      <c r="O471" s="269"/>
      <c r="P471" s="269"/>
      <c r="Q471" s="269"/>
      <c r="R471" s="296"/>
      <c r="S471" s="296"/>
      <c r="T471" s="296"/>
      <c r="U471" s="296"/>
      <c r="V471" s="296"/>
      <c r="W471" s="296"/>
      <c r="X471" s="296"/>
      <c r="Y471" s="296"/>
      <c r="Z471" s="296"/>
      <c r="AA471" s="296"/>
      <c r="AB471" s="296"/>
      <c r="AC471" s="296"/>
      <c r="AD471" s="296"/>
      <c r="AE471" s="307"/>
      <c r="AF471" s="273"/>
      <c r="AG471" s="274"/>
    </row>
    <row r="472">
      <c r="A472" s="296"/>
      <c r="B472" s="269"/>
      <c r="C472" s="296"/>
      <c r="D472" s="296"/>
      <c r="E472" s="296"/>
      <c r="F472" s="296"/>
      <c r="G472" s="296"/>
      <c r="H472" s="296"/>
      <c r="I472" s="296"/>
      <c r="J472" s="296"/>
      <c r="K472" s="296"/>
      <c r="L472" s="296"/>
      <c r="M472" s="296"/>
      <c r="N472" s="296"/>
      <c r="O472" s="269"/>
      <c r="P472" s="269"/>
      <c r="Q472" s="269"/>
      <c r="R472" s="296"/>
      <c r="S472" s="296"/>
      <c r="T472" s="296"/>
      <c r="U472" s="296"/>
      <c r="V472" s="296"/>
      <c r="W472" s="296"/>
      <c r="X472" s="296"/>
      <c r="Y472" s="296"/>
      <c r="Z472" s="296"/>
      <c r="AA472" s="296"/>
      <c r="AB472" s="296"/>
      <c r="AC472" s="296"/>
      <c r="AD472" s="296"/>
      <c r="AE472" s="307"/>
      <c r="AF472" s="273"/>
      <c r="AG472" s="274"/>
    </row>
    <row r="473">
      <c r="A473" s="296"/>
      <c r="B473" s="269"/>
      <c r="C473" s="296"/>
      <c r="D473" s="296"/>
      <c r="E473" s="296"/>
      <c r="F473" s="296"/>
      <c r="G473" s="296"/>
      <c r="H473" s="296"/>
      <c r="I473" s="296"/>
      <c r="J473" s="296"/>
      <c r="K473" s="296"/>
      <c r="L473" s="296"/>
      <c r="M473" s="296"/>
      <c r="N473" s="296"/>
      <c r="O473" s="269"/>
      <c r="P473" s="269"/>
      <c r="Q473" s="269"/>
      <c r="R473" s="296"/>
      <c r="S473" s="296"/>
      <c r="T473" s="296"/>
      <c r="U473" s="296"/>
      <c r="V473" s="296"/>
      <c r="W473" s="296"/>
      <c r="X473" s="296"/>
      <c r="Y473" s="296"/>
      <c r="Z473" s="296"/>
      <c r="AA473" s="296"/>
      <c r="AB473" s="296"/>
      <c r="AC473" s="296"/>
      <c r="AD473" s="296"/>
      <c r="AE473" s="307"/>
      <c r="AF473" s="273"/>
      <c r="AG473" s="274"/>
    </row>
    <row r="474">
      <c r="A474" s="296"/>
      <c r="B474" s="269"/>
      <c r="C474" s="296"/>
      <c r="D474" s="296"/>
      <c r="E474" s="296"/>
      <c r="F474" s="296"/>
      <c r="G474" s="296"/>
      <c r="H474" s="296"/>
      <c r="I474" s="296"/>
      <c r="J474" s="296"/>
      <c r="K474" s="296"/>
      <c r="L474" s="296"/>
      <c r="M474" s="296"/>
      <c r="N474" s="296"/>
      <c r="O474" s="269"/>
      <c r="P474" s="269"/>
      <c r="Q474" s="269"/>
      <c r="R474" s="296"/>
      <c r="S474" s="296"/>
      <c r="T474" s="296"/>
      <c r="U474" s="296"/>
      <c r="V474" s="296"/>
      <c r="W474" s="296"/>
      <c r="X474" s="296"/>
      <c r="Y474" s="296"/>
      <c r="Z474" s="296"/>
      <c r="AA474" s="296"/>
      <c r="AB474" s="296"/>
      <c r="AC474" s="296"/>
      <c r="AD474" s="296"/>
      <c r="AE474" s="307"/>
      <c r="AF474" s="273"/>
      <c r="AG474" s="274"/>
    </row>
    <row r="475">
      <c r="A475" s="296"/>
      <c r="B475" s="269"/>
      <c r="C475" s="296"/>
      <c r="D475" s="296"/>
      <c r="E475" s="296"/>
      <c r="F475" s="296"/>
      <c r="G475" s="296"/>
      <c r="H475" s="296"/>
      <c r="I475" s="296"/>
      <c r="J475" s="296"/>
      <c r="K475" s="296"/>
      <c r="L475" s="296"/>
      <c r="M475" s="296"/>
      <c r="N475" s="296"/>
      <c r="O475" s="269"/>
      <c r="P475" s="269"/>
      <c r="Q475" s="269"/>
      <c r="R475" s="296"/>
      <c r="S475" s="296"/>
      <c r="T475" s="296"/>
      <c r="U475" s="296"/>
      <c r="V475" s="296"/>
      <c r="W475" s="296"/>
      <c r="X475" s="296"/>
      <c r="Y475" s="296"/>
      <c r="Z475" s="296"/>
      <c r="AA475" s="296"/>
      <c r="AB475" s="296"/>
      <c r="AC475" s="296"/>
      <c r="AD475" s="296"/>
      <c r="AE475" s="307"/>
      <c r="AF475" s="273"/>
      <c r="AG475" s="274"/>
    </row>
    <row r="476">
      <c r="A476" s="296"/>
      <c r="B476" s="269"/>
      <c r="C476" s="296"/>
      <c r="D476" s="296"/>
      <c r="E476" s="296"/>
      <c r="F476" s="296"/>
      <c r="G476" s="296"/>
      <c r="H476" s="296"/>
      <c r="I476" s="296"/>
      <c r="J476" s="296"/>
      <c r="K476" s="296"/>
      <c r="L476" s="296"/>
      <c r="M476" s="296"/>
      <c r="N476" s="296"/>
      <c r="O476" s="269"/>
      <c r="P476" s="269"/>
      <c r="Q476" s="269"/>
      <c r="R476" s="296"/>
      <c r="S476" s="296"/>
      <c r="T476" s="296"/>
      <c r="U476" s="296"/>
      <c r="V476" s="296"/>
      <c r="W476" s="296"/>
      <c r="X476" s="296"/>
      <c r="Y476" s="296"/>
      <c r="Z476" s="296"/>
      <c r="AA476" s="296"/>
      <c r="AB476" s="296"/>
      <c r="AC476" s="296"/>
      <c r="AD476" s="296"/>
      <c r="AE476" s="307"/>
      <c r="AF476" s="273"/>
      <c r="AG476" s="274"/>
    </row>
    <row r="477">
      <c r="A477" s="296"/>
      <c r="B477" s="269"/>
      <c r="C477" s="296"/>
      <c r="D477" s="296"/>
      <c r="E477" s="296"/>
      <c r="F477" s="296"/>
      <c r="G477" s="296"/>
      <c r="H477" s="296"/>
      <c r="I477" s="296"/>
      <c r="J477" s="296"/>
      <c r="K477" s="296"/>
      <c r="L477" s="296"/>
      <c r="M477" s="296"/>
      <c r="N477" s="296"/>
      <c r="O477" s="269"/>
      <c r="P477" s="269"/>
      <c r="Q477" s="269"/>
      <c r="R477" s="296"/>
      <c r="S477" s="296"/>
      <c r="T477" s="296"/>
      <c r="U477" s="296"/>
      <c r="V477" s="296"/>
      <c r="W477" s="296"/>
      <c r="X477" s="296"/>
      <c r="Y477" s="296"/>
      <c r="Z477" s="296"/>
      <c r="AA477" s="296"/>
      <c r="AB477" s="296"/>
      <c r="AC477" s="296"/>
      <c r="AD477" s="296"/>
      <c r="AE477" s="307"/>
      <c r="AF477" s="273"/>
      <c r="AG477" s="274"/>
    </row>
    <row r="478">
      <c r="A478" s="296"/>
      <c r="B478" s="269"/>
      <c r="C478" s="296"/>
      <c r="D478" s="296"/>
      <c r="E478" s="296"/>
      <c r="F478" s="296"/>
      <c r="G478" s="296"/>
      <c r="H478" s="296"/>
      <c r="I478" s="296"/>
      <c r="J478" s="296"/>
      <c r="K478" s="296"/>
      <c r="L478" s="296"/>
      <c r="M478" s="296"/>
      <c r="N478" s="296"/>
      <c r="O478" s="269"/>
      <c r="P478" s="269"/>
      <c r="Q478" s="269"/>
      <c r="R478" s="296"/>
      <c r="S478" s="296"/>
      <c r="T478" s="296"/>
      <c r="U478" s="296"/>
      <c r="V478" s="296"/>
      <c r="W478" s="296"/>
      <c r="X478" s="296"/>
      <c r="Y478" s="296"/>
      <c r="Z478" s="296"/>
      <c r="AA478" s="296"/>
      <c r="AB478" s="296"/>
      <c r="AC478" s="296"/>
      <c r="AD478" s="296"/>
      <c r="AE478" s="307"/>
      <c r="AF478" s="273"/>
      <c r="AG478" s="274"/>
    </row>
    <row r="479">
      <c r="A479" s="296"/>
      <c r="B479" s="269"/>
      <c r="C479" s="296"/>
      <c r="D479" s="296"/>
      <c r="E479" s="296"/>
      <c r="F479" s="296"/>
      <c r="G479" s="296"/>
      <c r="H479" s="296"/>
      <c r="I479" s="296"/>
      <c r="J479" s="296"/>
      <c r="K479" s="296"/>
      <c r="L479" s="296"/>
      <c r="M479" s="296"/>
      <c r="N479" s="296"/>
      <c r="O479" s="269"/>
      <c r="P479" s="269"/>
      <c r="Q479" s="269"/>
      <c r="R479" s="296"/>
      <c r="S479" s="296"/>
      <c r="T479" s="296"/>
      <c r="U479" s="296"/>
      <c r="V479" s="296"/>
      <c r="W479" s="296"/>
      <c r="X479" s="296"/>
      <c r="Y479" s="296"/>
      <c r="Z479" s="296"/>
      <c r="AA479" s="296"/>
      <c r="AB479" s="296"/>
      <c r="AC479" s="296"/>
      <c r="AD479" s="296"/>
      <c r="AE479" s="307"/>
      <c r="AF479" s="273"/>
      <c r="AG479" s="274"/>
    </row>
    <row r="480">
      <c r="A480" s="296"/>
      <c r="B480" s="269"/>
      <c r="C480" s="296"/>
      <c r="D480" s="296"/>
      <c r="E480" s="296"/>
      <c r="F480" s="296"/>
      <c r="G480" s="296"/>
      <c r="H480" s="296"/>
      <c r="I480" s="296"/>
      <c r="J480" s="296"/>
      <c r="K480" s="296"/>
      <c r="L480" s="296"/>
      <c r="M480" s="296"/>
      <c r="N480" s="296"/>
      <c r="O480" s="269"/>
      <c r="P480" s="269"/>
      <c r="Q480" s="269"/>
      <c r="R480" s="296"/>
      <c r="S480" s="296"/>
      <c r="T480" s="296"/>
      <c r="U480" s="296"/>
      <c r="V480" s="296"/>
      <c r="W480" s="296"/>
      <c r="X480" s="296"/>
      <c r="Y480" s="296"/>
      <c r="Z480" s="296"/>
      <c r="AA480" s="296"/>
      <c r="AB480" s="296"/>
      <c r="AC480" s="296"/>
      <c r="AD480" s="296"/>
      <c r="AE480" s="307"/>
      <c r="AF480" s="273"/>
      <c r="AG480" s="274"/>
    </row>
    <row r="481">
      <c r="A481" s="296"/>
      <c r="B481" s="269"/>
      <c r="C481" s="296"/>
      <c r="D481" s="296"/>
      <c r="E481" s="296"/>
      <c r="F481" s="296"/>
      <c r="G481" s="296"/>
      <c r="H481" s="296"/>
      <c r="I481" s="296"/>
      <c r="J481" s="296"/>
      <c r="K481" s="296"/>
      <c r="L481" s="296"/>
      <c r="M481" s="296"/>
      <c r="N481" s="296"/>
      <c r="O481" s="269"/>
      <c r="P481" s="269"/>
      <c r="Q481" s="269"/>
      <c r="R481" s="296"/>
      <c r="S481" s="296"/>
      <c r="T481" s="296"/>
      <c r="U481" s="296"/>
      <c r="V481" s="296"/>
      <c r="W481" s="296"/>
      <c r="X481" s="296"/>
      <c r="Y481" s="296"/>
      <c r="Z481" s="296"/>
      <c r="AA481" s="296"/>
      <c r="AB481" s="296"/>
      <c r="AC481" s="296"/>
      <c r="AD481" s="296"/>
      <c r="AE481" s="307"/>
      <c r="AF481" s="273"/>
      <c r="AG481" s="274"/>
    </row>
    <row r="482">
      <c r="A482" s="296"/>
      <c r="B482" s="269"/>
      <c r="C482" s="296"/>
      <c r="D482" s="296"/>
      <c r="E482" s="296"/>
      <c r="F482" s="296"/>
      <c r="G482" s="296"/>
      <c r="H482" s="296"/>
      <c r="I482" s="296"/>
      <c r="J482" s="296"/>
      <c r="K482" s="296"/>
      <c r="L482" s="296"/>
      <c r="M482" s="296"/>
      <c r="N482" s="296"/>
      <c r="O482" s="269"/>
      <c r="P482" s="269"/>
      <c r="Q482" s="269"/>
      <c r="R482" s="296"/>
      <c r="S482" s="296"/>
      <c r="T482" s="296"/>
      <c r="U482" s="296"/>
      <c r="V482" s="296"/>
      <c r="W482" s="296"/>
      <c r="X482" s="296"/>
      <c r="Y482" s="296"/>
      <c r="Z482" s="296"/>
      <c r="AA482" s="296"/>
      <c r="AB482" s="296"/>
      <c r="AC482" s="296"/>
      <c r="AD482" s="296"/>
      <c r="AE482" s="307"/>
      <c r="AF482" s="273"/>
      <c r="AG482" s="274"/>
    </row>
    <row r="483">
      <c r="A483" s="296"/>
      <c r="B483" s="269"/>
      <c r="C483" s="296"/>
      <c r="D483" s="296"/>
      <c r="E483" s="296"/>
      <c r="F483" s="296"/>
      <c r="G483" s="296"/>
      <c r="H483" s="296"/>
      <c r="I483" s="296"/>
      <c r="J483" s="296"/>
      <c r="K483" s="296"/>
      <c r="L483" s="296"/>
      <c r="M483" s="296"/>
      <c r="N483" s="296"/>
      <c r="O483" s="269"/>
      <c r="P483" s="269"/>
      <c r="Q483" s="269"/>
      <c r="R483" s="296"/>
      <c r="S483" s="296"/>
      <c r="T483" s="296"/>
      <c r="U483" s="296"/>
      <c r="V483" s="296"/>
      <c r="W483" s="296"/>
      <c r="X483" s="296"/>
      <c r="Y483" s="296"/>
      <c r="Z483" s="296"/>
      <c r="AA483" s="296"/>
      <c r="AB483" s="296"/>
      <c r="AC483" s="296"/>
      <c r="AD483" s="296"/>
      <c r="AE483" s="307"/>
      <c r="AF483" s="273"/>
      <c r="AG483" s="274"/>
    </row>
    <row r="484">
      <c r="A484" s="296"/>
      <c r="B484" s="269"/>
      <c r="C484" s="296"/>
      <c r="D484" s="296"/>
      <c r="E484" s="296"/>
      <c r="F484" s="296"/>
      <c r="G484" s="296"/>
      <c r="H484" s="296"/>
      <c r="I484" s="296"/>
      <c r="J484" s="296"/>
      <c r="K484" s="296"/>
      <c r="L484" s="296"/>
      <c r="M484" s="296"/>
      <c r="N484" s="296"/>
      <c r="O484" s="269"/>
      <c r="P484" s="269"/>
      <c r="Q484" s="269"/>
      <c r="R484" s="296"/>
      <c r="S484" s="296"/>
      <c r="T484" s="296"/>
      <c r="U484" s="296"/>
      <c r="V484" s="296"/>
      <c r="W484" s="296"/>
      <c r="X484" s="296"/>
      <c r="Y484" s="296"/>
      <c r="Z484" s="296"/>
      <c r="AA484" s="296"/>
      <c r="AB484" s="296"/>
      <c r="AC484" s="296"/>
      <c r="AD484" s="296"/>
      <c r="AE484" s="307"/>
      <c r="AF484" s="273"/>
      <c r="AG484" s="274"/>
    </row>
    <row r="485">
      <c r="A485" s="296"/>
      <c r="B485" s="269"/>
      <c r="C485" s="296"/>
      <c r="D485" s="296"/>
      <c r="E485" s="296"/>
      <c r="F485" s="296"/>
      <c r="G485" s="296"/>
      <c r="H485" s="296"/>
      <c r="I485" s="296"/>
      <c r="J485" s="296"/>
      <c r="K485" s="296"/>
      <c r="L485" s="296"/>
      <c r="M485" s="296"/>
      <c r="N485" s="296"/>
      <c r="O485" s="269"/>
      <c r="P485" s="269"/>
      <c r="Q485" s="269"/>
      <c r="R485" s="296"/>
      <c r="S485" s="296"/>
      <c r="T485" s="296"/>
      <c r="U485" s="296"/>
      <c r="V485" s="296"/>
      <c r="W485" s="296"/>
      <c r="X485" s="296"/>
      <c r="Y485" s="296"/>
      <c r="Z485" s="296"/>
      <c r="AA485" s="296"/>
      <c r="AB485" s="296"/>
      <c r="AC485" s="296"/>
      <c r="AD485" s="296"/>
      <c r="AE485" s="307"/>
      <c r="AF485" s="273"/>
      <c r="AG485" s="274"/>
    </row>
    <row r="486">
      <c r="A486" s="296"/>
      <c r="B486" s="269"/>
      <c r="C486" s="296"/>
      <c r="D486" s="296"/>
      <c r="E486" s="296"/>
      <c r="F486" s="296"/>
      <c r="G486" s="296"/>
      <c r="H486" s="296"/>
      <c r="I486" s="296"/>
      <c r="J486" s="296"/>
      <c r="K486" s="296"/>
      <c r="L486" s="296"/>
      <c r="M486" s="296"/>
      <c r="N486" s="296"/>
      <c r="O486" s="269"/>
      <c r="P486" s="269"/>
      <c r="Q486" s="269"/>
      <c r="R486" s="296"/>
      <c r="S486" s="296"/>
      <c r="T486" s="296"/>
      <c r="U486" s="296"/>
      <c r="V486" s="296"/>
      <c r="W486" s="296"/>
      <c r="X486" s="296"/>
      <c r="Y486" s="296"/>
      <c r="Z486" s="296"/>
      <c r="AA486" s="296"/>
      <c r="AB486" s="296"/>
      <c r="AC486" s="296"/>
      <c r="AD486" s="296"/>
      <c r="AE486" s="307"/>
      <c r="AF486" s="273"/>
      <c r="AG486" s="274"/>
    </row>
    <row r="487">
      <c r="A487" s="296"/>
      <c r="B487" s="269"/>
      <c r="C487" s="296"/>
      <c r="D487" s="296"/>
      <c r="E487" s="296"/>
      <c r="F487" s="296"/>
      <c r="G487" s="296"/>
      <c r="H487" s="296"/>
      <c r="I487" s="296"/>
      <c r="J487" s="296"/>
      <c r="K487" s="296"/>
      <c r="L487" s="296"/>
      <c r="M487" s="296"/>
      <c r="N487" s="296"/>
      <c r="O487" s="269"/>
      <c r="P487" s="269"/>
      <c r="Q487" s="269"/>
      <c r="R487" s="296"/>
      <c r="S487" s="296"/>
      <c r="T487" s="296"/>
      <c r="U487" s="296"/>
      <c r="V487" s="296"/>
      <c r="W487" s="296"/>
      <c r="X487" s="296"/>
      <c r="Y487" s="296"/>
      <c r="Z487" s="296"/>
      <c r="AA487" s="296"/>
      <c r="AB487" s="296"/>
      <c r="AC487" s="296"/>
      <c r="AD487" s="296"/>
      <c r="AE487" s="307"/>
      <c r="AF487" s="273"/>
      <c r="AG487" s="274"/>
    </row>
    <row r="488">
      <c r="A488" s="296"/>
      <c r="B488" s="269"/>
      <c r="C488" s="296"/>
      <c r="D488" s="296"/>
      <c r="E488" s="296"/>
      <c r="F488" s="296"/>
      <c r="G488" s="296"/>
      <c r="H488" s="296"/>
      <c r="I488" s="296"/>
      <c r="J488" s="296"/>
      <c r="K488" s="296"/>
      <c r="L488" s="296"/>
      <c r="M488" s="296"/>
      <c r="N488" s="296"/>
      <c r="O488" s="269"/>
      <c r="P488" s="269"/>
      <c r="Q488" s="269"/>
      <c r="R488" s="296"/>
      <c r="S488" s="296"/>
      <c r="T488" s="296"/>
      <c r="U488" s="296"/>
      <c r="V488" s="296"/>
      <c r="W488" s="296"/>
      <c r="X488" s="296"/>
      <c r="Y488" s="296"/>
      <c r="Z488" s="296"/>
      <c r="AA488" s="296"/>
      <c r="AB488" s="296"/>
      <c r="AC488" s="296"/>
      <c r="AD488" s="296"/>
      <c r="AE488" s="307"/>
      <c r="AF488" s="273"/>
      <c r="AG488" s="274"/>
    </row>
    <row r="489">
      <c r="A489" s="296"/>
      <c r="B489" s="269"/>
      <c r="C489" s="296"/>
      <c r="D489" s="296"/>
      <c r="E489" s="296"/>
      <c r="F489" s="296"/>
      <c r="G489" s="296"/>
      <c r="H489" s="296"/>
      <c r="I489" s="296"/>
      <c r="J489" s="296"/>
      <c r="K489" s="296"/>
      <c r="L489" s="296"/>
      <c r="M489" s="296"/>
      <c r="N489" s="296"/>
      <c r="O489" s="269"/>
      <c r="P489" s="269"/>
      <c r="Q489" s="269"/>
      <c r="R489" s="296"/>
      <c r="S489" s="296"/>
      <c r="T489" s="296"/>
      <c r="U489" s="296"/>
      <c r="V489" s="296"/>
      <c r="W489" s="296"/>
      <c r="X489" s="296"/>
      <c r="Y489" s="296"/>
      <c r="Z489" s="296"/>
      <c r="AA489" s="296"/>
      <c r="AB489" s="296"/>
      <c r="AC489" s="296"/>
      <c r="AD489" s="296"/>
      <c r="AE489" s="307"/>
      <c r="AF489" s="273"/>
      <c r="AG489" s="274"/>
    </row>
    <row r="490">
      <c r="A490" s="296"/>
      <c r="B490" s="269"/>
      <c r="C490" s="296"/>
      <c r="D490" s="296"/>
      <c r="E490" s="296"/>
      <c r="F490" s="296"/>
      <c r="G490" s="296"/>
      <c r="H490" s="296"/>
      <c r="I490" s="296"/>
      <c r="J490" s="296"/>
      <c r="K490" s="296"/>
      <c r="L490" s="296"/>
      <c r="M490" s="296"/>
      <c r="N490" s="296"/>
      <c r="O490" s="269"/>
      <c r="P490" s="269"/>
      <c r="Q490" s="269"/>
      <c r="R490" s="296"/>
      <c r="S490" s="296"/>
      <c r="T490" s="296"/>
      <c r="U490" s="296"/>
      <c r="V490" s="296"/>
      <c r="W490" s="296"/>
      <c r="X490" s="296"/>
      <c r="Y490" s="296"/>
      <c r="Z490" s="296"/>
      <c r="AA490" s="296"/>
      <c r="AB490" s="296"/>
      <c r="AC490" s="296"/>
      <c r="AD490" s="296"/>
      <c r="AE490" s="307"/>
      <c r="AF490" s="273"/>
      <c r="AG490" s="274"/>
    </row>
    <row r="491">
      <c r="A491" s="296"/>
      <c r="B491" s="269"/>
      <c r="C491" s="296"/>
      <c r="D491" s="296"/>
      <c r="E491" s="296"/>
      <c r="F491" s="296"/>
      <c r="G491" s="296"/>
      <c r="H491" s="296"/>
      <c r="I491" s="296"/>
      <c r="J491" s="296"/>
      <c r="K491" s="296"/>
      <c r="L491" s="296"/>
      <c r="M491" s="296"/>
      <c r="N491" s="296"/>
      <c r="O491" s="269"/>
      <c r="P491" s="269"/>
      <c r="Q491" s="269"/>
      <c r="R491" s="296"/>
      <c r="S491" s="296"/>
      <c r="T491" s="296"/>
      <c r="U491" s="296"/>
      <c r="V491" s="296"/>
      <c r="W491" s="296"/>
      <c r="X491" s="296"/>
      <c r="Y491" s="296"/>
      <c r="Z491" s="296"/>
      <c r="AA491" s="296"/>
      <c r="AB491" s="296"/>
      <c r="AC491" s="296"/>
      <c r="AD491" s="296"/>
      <c r="AE491" s="307"/>
      <c r="AF491" s="273"/>
      <c r="AG491" s="274"/>
    </row>
    <row r="492">
      <c r="A492" s="296"/>
      <c r="B492" s="269"/>
      <c r="C492" s="296"/>
      <c r="D492" s="296"/>
      <c r="E492" s="296"/>
      <c r="F492" s="296"/>
      <c r="G492" s="296"/>
      <c r="H492" s="296"/>
      <c r="I492" s="296"/>
      <c r="J492" s="296"/>
      <c r="K492" s="296"/>
      <c r="L492" s="296"/>
      <c r="M492" s="296"/>
      <c r="N492" s="296"/>
      <c r="O492" s="269"/>
      <c r="P492" s="269"/>
      <c r="Q492" s="269"/>
      <c r="R492" s="296"/>
      <c r="S492" s="296"/>
      <c r="T492" s="296"/>
      <c r="U492" s="296"/>
      <c r="V492" s="296"/>
      <c r="W492" s="296"/>
      <c r="X492" s="296"/>
      <c r="Y492" s="296"/>
      <c r="Z492" s="296"/>
      <c r="AA492" s="296"/>
      <c r="AB492" s="296"/>
      <c r="AC492" s="296"/>
      <c r="AD492" s="296"/>
      <c r="AE492" s="307"/>
      <c r="AF492" s="273"/>
      <c r="AG492" s="274"/>
    </row>
    <row r="493">
      <c r="A493" s="296"/>
      <c r="B493" s="269"/>
      <c r="C493" s="296"/>
      <c r="D493" s="296"/>
      <c r="E493" s="296"/>
      <c r="F493" s="296"/>
      <c r="G493" s="296"/>
      <c r="H493" s="296"/>
      <c r="I493" s="296"/>
      <c r="J493" s="296"/>
      <c r="K493" s="296"/>
      <c r="L493" s="296"/>
      <c r="M493" s="296"/>
      <c r="N493" s="296"/>
      <c r="O493" s="269"/>
      <c r="P493" s="269"/>
      <c r="Q493" s="269"/>
      <c r="R493" s="296"/>
      <c r="S493" s="296"/>
      <c r="T493" s="296"/>
      <c r="U493" s="296"/>
      <c r="V493" s="296"/>
      <c r="W493" s="296"/>
      <c r="X493" s="296"/>
      <c r="Y493" s="296"/>
      <c r="Z493" s="296"/>
      <c r="AA493" s="296"/>
      <c r="AB493" s="296"/>
      <c r="AC493" s="296"/>
      <c r="AD493" s="296"/>
      <c r="AE493" s="307"/>
      <c r="AF493" s="273"/>
      <c r="AG493" s="274"/>
    </row>
    <row r="494">
      <c r="A494" s="296"/>
      <c r="B494" s="269"/>
      <c r="C494" s="296"/>
      <c r="D494" s="296"/>
      <c r="E494" s="296"/>
      <c r="F494" s="296"/>
      <c r="G494" s="296"/>
      <c r="H494" s="296"/>
      <c r="I494" s="296"/>
      <c r="J494" s="296"/>
      <c r="K494" s="296"/>
      <c r="L494" s="296"/>
      <c r="M494" s="296"/>
      <c r="N494" s="296"/>
      <c r="O494" s="269"/>
      <c r="P494" s="269"/>
      <c r="Q494" s="269"/>
      <c r="R494" s="296"/>
      <c r="S494" s="296"/>
      <c r="T494" s="296"/>
      <c r="U494" s="296"/>
      <c r="V494" s="296"/>
      <c r="W494" s="296"/>
      <c r="X494" s="296"/>
      <c r="Y494" s="296"/>
      <c r="Z494" s="296"/>
      <c r="AA494" s="296"/>
      <c r="AB494" s="296"/>
      <c r="AC494" s="296"/>
      <c r="AD494" s="296"/>
      <c r="AE494" s="307"/>
      <c r="AF494" s="273"/>
      <c r="AG494" s="274"/>
    </row>
    <row r="495">
      <c r="A495" s="296"/>
      <c r="B495" s="269"/>
      <c r="C495" s="296"/>
      <c r="D495" s="296"/>
      <c r="E495" s="296"/>
      <c r="F495" s="296"/>
      <c r="G495" s="296"/>
      <c r="H495" s="296"/>
      <c r="I495" s="296"/>
      <c r="J495" s="296"/>
      <c r="K495" s="296"/>
      <c r="L495" s="296"/>
      <c r="M495" s="296"/>
      <c r="N495" s="296"/>
      <c r="O495" s="269"/>
      <c r="P495" s="269"/>
      <c r="Q495" s="269"/>
      <c r="R495" s="296"/>
      <c r="S495" s="296"/>
      <c r="T495" s="296"/>
      <c r="U495" s="296"/>
      <c r="V495" s="296"/>
      <c r="W495" s="296"/>
      <c r="X495" s="296"/>
      <c r="Y495" s="296"/>
      <c r="Z495" s="296"/>
      <c r="AA495" s="296"/>
      <c r="AB495" s="296"/>
      <c r="AC495" s="296"/>
      <c r="AD495" s="296"/>
      <c r="AE495" s="307"/>
      <c r="AF495" s="273"/>
      <c r="AG495" s="274"/>
    </row>
    <row r="496">
      <c r="A496" s="296"/>
      <c r="B496" s="269"/>
      <c r="C496" s="296"/>
      <c r="D496" s="296"/>
      <c r="E496" s="296"/>
      <c r="F496" s="296"/>
      <c r="G496" s="296"/>
      <c r="H496" s="296"/>
      <c r="I496" s="296"/>
      <c r="J496" s="296"/>
      <c r="K496" s="296"/>
      <c r="L496" s="296"/>
      <c r="M496" s="296"/>
      <c r="N496" s="296"/>
      <c r="O496" s="269"/>
      <c r="P496" s="269"/>
      <c r="Q496" s="269"/>
      <c r="R496" s="296"/>
      <c r="S496" s="296"/>
      <c r="T496" s="296"/>
      <c r="U496" s="296"/>
      <c r="V496" s="296"/>
      <c r="W496" s="296"/>
      <c r="X496" s="296"/>
      <c r="Y496" s="296"/>
      <c r="Z496" s="296"/>
      <c r="AA496" s="296"/>
      <c r="AB496" s="296"/>
      <c r="AC496" s="296"/>
      <c r="AD496" s="296"/>
      <c r="AE496" s="307"/>
      <c r="AF496" s="273"/>
      <c r="AG496" s="274"/>
    </row>
    <row r="497">
      <c r="A497" s="296"/>
      <c r="B497" s="269"/>
      <c r="C497" s="296"/>
      <c r="D497" s="296"/>
      <c r="E497" s="296"/>
      <c r="F497" s="296"/>
      <c r="G497" s="296"/>
      <c r="H497" s="296"/>
      <c r="I497" s="296"/>
      <c r="J497" s="296"/>
      <c r="K497" s="296"/>
      <c r="L497" s="296"/>
      <c r="M497" s="296"/>
      <c r="N497" s="296"/>
      <c r="O497" s="269"/>
      <c r="P497" s="269"/>
      <c r="Q497" s="269"/>
      <c r="R497" s="296"/>
      <c r="S497" s="296"/>
      <c r="T497" s="296"/>
      <c r="U497" s="296"/>
      <c r="V497" s="296"/>
      <c r="W497" s="296"/>
      <c r="X497" s="296"/>
      <c r="Y497" s="296"/>
      <c r="Z497" s="296"/>
      <c r="AA497" s="296"/>
      <c r="AB497" s="296"/>
      <c r="AC497" s="296"/>
      <c r="AD497" s="296"/>
      <c r="AE497" s="307"/>
      <c r="AF497" s="273"/>
      <c r="AG497" s="274"/>
    </row>
    <row r="498">
      <c r="A498" s="296"/>
      <c r="B498" s="269"/>
      <c r="C498" s="296"/>
      <c r="D498" s="296"/>
      <c r="E498" s="296"/>
      <c r="F498" s="296"/>
      <c r="G498" s="296"/>
      <c r="H498" s="296"/>
      <c r="I498" s="296"/>
      <c r="J498" s="296"/>
      <c r="K498" s="296"/>
      <c r="L498" s="296"/>
      <c r="M498" s="296"/>
      <c r="N498" s="296"/>
      <c r="O498" s="269"/>
      <c r="P498" s="269"/>
      <c r="Q498" s="269"/>
      <c r="R498" s="296"/>
      <c r="S498" s="296"/>
      <c r="T498" s="296"/>
      <c r="U498" s="296"/>
      <c r="V498" s="296"/>
      <c r="W498" s="296"/>
      <c r="X498" s="296"/>
      <c r="Y498" s="296"/>
      <c r="Z498" s="296"/>
      <c r="AA498" s="296"/>
      <c r="AB498" s="296"/>
      <c r="AC498" s="296"/>
      <c r="AD498" s="296"/>
      <c r="AE498" s="307"/>
      <c r="AF498" s="273"/>
      <c r="AG498" s="274"/>
    </row>
    <row r="499">
      <c r="A499" s="296"/>
      <c r="B499" s="269"/>
      <c r="C499" s="296"/>
      <c r="D499" s="296"/>
      <c r="E499" s="296"/>
      <c r="F499" s="296"/>
      <c r="G499" s="296"/>
      <c r="H499" s="296"/>
      <c r="I499" s="296"/>
      <c r="J499" s="296"/>
      <c r="K499" s="296"/>
      <c r="L499" s="296"/>
      <c r="M499" s="296"/>
      <c r="N499" s="296"/>
      <c r="O499" s="269"/>
      <c r="P499" s="269"/>
      <c r="Q499" s="269"/>
      <c r="R499" s="296"/>
      <c r="S499" s="296"/>
      <c r="T499" s="296"/>
      <c r="U499" s="296"/>
      <c r="V499" s="296"/>
      <c r="W499" s="296"/>
      <c r="X499" s="296"/>
      <c r="Y499" s="296"/>
      <c r="Z499" s="296"/>
      <c r="AA499" s="296"/>
      <c r="AB499" s="296"/>
      <c r="AC499" s="296"/>
      <c r="AD499" s="296"/>
      <c r="AE499" s="307"/>
      <c r="AF499" s="273"/>
      <c r="AG499" s="274"/>
    </row>
    <row r="500">
      <c r="A500" s="296"/>
      <c r="B500" s="269"/>
      <c r="C500" s="296"/>
      <c r="D500" s="296"/>
      <c r="E500" s="296"/>
      <c r="F500" s="296"/>
      <c r="G500" s="296"/>
      <c r="H500" s="296"/>
      <c r="I500" s="296"/>
      <c r="J500" s="296"/>
      <c r="K500" s="296"/>
      <c r="L500" s="296"/>
      <c r="M500" s="296"/>
      <c r="N500" s="296"/>
      <c r="O500" s="269"/>
      <c r="P500" s="269"/>
      <c r="Q500" s="269"/>
      <c r="R500" s="296"/>
      <c r="S500" s="296"/>
      <c r="T500" s="296"/>
      <c r="U500" s="296"/>
      <c r="V500" s="296"/>
      <c r="W500" s="296"/>
      <c r="X500" s="296"/>
      <c r="Y500" s="296"/>
      <c r="Z500" s="296"/>
      <c r="AA500" s="296"/>
      <c r="AB500" s="296"/>
      <c r="AC500" s="296"/>
      <c r="AD500" s="296"/>
      <c r="AE500" s="307"/>
      <c r="AF500" s="273"/>
      <c r="AG500" s="274"/>
    </row>
    <row r="501">
      <c r="A501" s="296"/>
      <c r="B501" s="269"/>
      <c r="C501" s="296"/>
      <c r="D501" s="296"/>
      <c r="E501" s="296"/>
      <c r="F501" s="296"/>
      <c r="G501" s="296"/>
      <c r="H501" s="296"/>
      <c r="I501" s="296"/>
      <c r="J501" s="296"/>
      <c r="K501" s="296"/>
      <c r="L501" s="296"/>
      <c r="M501" s="296"/>
      <c r="N501" s="296"/>
      <c r="O501" s="269"/>
      <c r="P501" s="269"/>
      <c r="Q501" s="269"/>
      <c r="R501" s="296"/>
      <c r="S501" s="296"/>
      <c r="T501" s="296"/>
      <c r="U501" s="296"/>
      <c r="V501" s="296"/>
      <c r="W501" s="296"/>
      <c r="X501" s="296"/>
      <c r="Y501" s="296"/>
      <c r="Z501" s="296"/>
      <c r="AA501" s="296"/>
      <c r="AB501" s="296"/>
      <c r="AC501" s="296"/>
      <c r="AD501" s="296"/>
      <c r="AE501" s="307"/>
      <c r="AF501" s="273"/>
      <c r="AG501" s="274"/>
    </row>
    <row r="502">
      <c r="A502" s="296"/>
      <c r="B502" s="269"/>
      <c r="C502" s="296"/>
      <c r="D502" s="296"/>
      <c r="E502" s="296"/>
      <c r="F502" s="296"/>
      <c r="G502" s="296"/>
      <c r="H502" s="296"/>
      <c r="I502" s="296"/>
      <c r="J502" s="296"/>
      <c r="K502" s="296"/>
      <c r="L502" s="296"/>
      <c r="M502" s="296"/>
      <c r="N502" s="296"/>
      <c r="O502" s="269"/>
      <c r="P502" s="269"/>
      <c r="Q502" s="269"/>
      <c r="R502" s="296"/>
      <c r="S502" s="296"/>
      <c r="T502" s="296"/>
      <c r="U502" s="296"/>
      <c r="V502" s="296"/>
      <c r="W502" s="296"/>
      <c r="X502" s="296"/>
      <c r="Y502" s="296"/>
      <c r="Z502" s="296"/>
      <c r="AA502" s="296"/>
      <c r="AB502" s="296"/>
      <c r="AC502" s="296"/>
      <c r="AD502" s="296"/>
      <c r="AE502" s="307"/>
      <c r="AF502" s="273"/>
      <c r="AG502" s="274"/>
    </row>
    <row r="503">
      <c r="A503" s="296"/>
      <c r="B503" s="269"/>
      <c r="C503" s="296"/>
      <c r="D503" s="296"/>
      <c r="E503" s="296"/>
      <c r="F503" s="296"/>
      <c r="G503" s="296"/>
      <c r="H503" s="296"/>
      <c r="I503" s="296"/>
      <c r="J503" s="296"/>
      <c r="K503" s="296"/>
      <c r="L503" s="296"/>
      <c r="M503" s="296"/>
      <c r="N503" s="296"/>
      <c r="O503" s="269"/>
      <c r="P503" s="269"/>
      <c r="Q503" s="269"/>
      <c r="R503" s="296"/>
      <c r="S503" s="296"/>
      <c r="T503" s="296"/>
      <c r="U503" s="296"/>
      <c r="V503" s="296"/>
      <c r="W503" s="296"/>
      <c r="X503" s="296"/>
      <c r="Y503" s="296"/>
      <c r="Z503" s="296"/>
      <c r="AA503" s="296"/>
      <c r="AB503" s="296"/>
      <c r="AC503" s="296"/>
      <c r="AD503" s="296"/>
      <c r="AE503" s="307"/>
      <c r="AF503" s="273"/>
      <c r="AG503" s="274"/>
    </row>
    <row r="504">
      <c r="A504" s="296"/>
      <c r="B504" s="269"/>
      <c r="C504" s="296"/>
      <c r="D504" s="296"/>
      <c r="E504" s="296"/>
      <c r="F504" s="296"/>
      <c r="G504" s="296"/>
      <c r="H504" s="296"/>
      <c r="I504" s="296"/>
      <c r="J504" s="296"/>
      <c r="K504" s="296"/>
      <c r="L504" s="296"/>
      <c r="M504" s="296"/>
      <c r="N504" s="296"/>
      <c r="O504" s="269"/>
      <c r="P504" s="269"/>
      <c r="Q504" s="269"/>
      <c r="R504" s="296"/>
      <c r="S504" s="296"/>
      <c r="T504" s="296"/>
      <c r="U504" s="296"/>
      <c r="V504" s="296"/>
      <c r="W504" s="296"/>
      <c r="X504" s="296"/>
      <c r="Y504" s="296"/>
      <c r="Z504" s="296"/>
      <c r="AA504" s="296"/>
      <c r="AB504" s="296"/>
      <c r="AC504" s="296"/>
      <c r="AD504" s="296"/>
      <c r="AE504" s="307"/>
      <c r="AF504" s="273"/>
      <c r="AG504" s="274"/>
    </row>
    <row r="505">
      <c r="A505" s="296"/>
      <c r="B505" s="269"/>
      <c r="C505" s="296"/>
      <c r="D505" s="296"/>
      <c r="E505" s="296"/>
      <c r="F505" s="296"/>
      <c r="G505" s="296"/>
      <c r="H505" s="296"/>
      <c r="I505" s="296"/>
      <c r="J505" s="296"/>
      <c r="K505" s="296"/>
      <c r="L505" s="296"/>
      <c r="M505" s="296"/>
      <c r="N505" s="296"/>
      <c r="O505" s="269"/>
      <c r="P505" s="269"/>
      <c r="Q505" s="269"/>
      <c r="R505" s="296"/>
      <c r="S505" s="296"/>
      <c r="T505" s="296"/>
      <c r="U505" s="296"/>
      <c r="V505" s="296"/>
      <c r="W505" s="296"/>
      <c r="X505" s="296"/>
      <c r="Y505" s="296"/>
      <c r="Z505" s="296"/>
      <c r="AA505" s="296"/>
      <c r="AB505" s="296"/>
      <c r="AC505" s="296"/>
      <c r="AD505" s="296"/>
      <c r="AE505" s="307"/>
      <c r="AF505" s="273"/>
      <c r="AG505" s="274"/>
    </row>
    <row r="506">
      <c r="A506" s="296"/>
      <c r="B506" s="269"/>
      <c r="C506" s="296"/>
      <c r="D506" s="296"/>
      <c r="E506" s="296"/>
      <c r="F506" s="296"/>
      <c r="G506" s="296"/>
      <c r="H506" s="296"/>
      <c r="I506" s="296"/>
      <c r="J506" s="296"/>
      <c r="K506" s="296"/>
      <c r="L506" s="296"/>
      <c r="M506" s="296"/>
      <c r="N506" s="296"/>
      <c r="O506" s="269"/>
      <c r="P506" s="269"/>
      <c r="Q506" s="269"/>
      <c r="R506" s="296"/>
      <c r="S506" s="296"/>
      <c r="T506" s="296"/>
      <c r="U506" s="296"/>
      <c r="V506" s="296"/>
      <c r="W506" s="296"/>
      <c r="X506" s="296"/>
      <c r="Y506" s="296"/>
      <c r="Z506" s="296"/>
      <c r="AA506" s="296"/>
      <c r="AB506" s="296"/>
      <c r="AC506" s="296"/>
      <c r="AD506" s="296"/>
      <c r="AE506" s="307"/>
      <c r="AF506" s="273"/>
      <c r="AG506" s="274"/>
    </row>
    <row r="507">
      <c r="A507" s="296"/>
      <c r="B507" s="269"/>
      <c r="C507" s="296"/>
      <c r="D507" s="296"/>
      <c r="E507" s="296"/>
      <c r="F507" s="296"/>
      <c r="G507" s="296"/>
      <c r="H507" s="296"/>
      <c r="I507" s="296"/>
      <c r="J507" s="296"/>
      <c r="K507" s="296"/>
      <c r="L507" s="296"/>
      <c r="M507" s="296"/>
      <c r="N507" s="296"/>
      <c r="O507" s="269"/>
      <c r="P507" s="269"/>
      <c r="Q507" s="269"/>
      <c r="R507" s="296"/>
      <c r="S507" s="296"/>
      <c r="T507" s="296"/>
      <c r="U507" s="296"/>
      <c r="V507" s="296"/>
      <c r="W507" s="296"/>
      <c r="X507" s="296"/>
      <c r="Y507" s="296"/>
      <c r="Z507" s="296"/>
      <c r="AA507" s="296"/>
      <c r="AB507" s="296"/>
      <c r="AC507" s="296"/>
      <c r="AD507" s="296"/>
      <c r="AE507" s="307"/>
      <c r="AF507" s="273"/>
      <c r="AG507" s="274"/>
    </row>
    <row r="508">
      <c r="A508" s="296"/>
      <c r="B508" s="269"/>
      <c r="C508" s="296"/>
      <c r="D508" s="296"/>
      <c r="E508" s="296"/>
      <c r="F508" s="296"/>
      <c r="G508" s="296"/>
      <c r="H508" s="296"/>
      <c r="I508" s="296"/>
      <c r="J508" s="296"/>
      <c r="K508" s="296"/>
      <c r="L508" s="296"/>
      <c r="M508" s="296"/>
      <c r="N508" s="296"/>
      <c r="O508" s="269"/>
      <c r="P508" s="269"/>
      <c r="Q508" s="269"/>
      <c r="R508" s="296"/>
      <c r="S508" s="296"/>
      <c r="T508" s="296"/>
      <c r="U508" s="296"/>
      <c r="V508" s="296"/>
      <c r="W508" s="296"/>
      <c r="X508" s="296"/>
      <c r="Y508" s="296"/>
      <c r="Z508" s="296"/>
      <c r="AA508" s="296"/>
      <c r="AB508" s="296"/>
      <c r="AC508" s="296"/>
      <c r="AD508" s="296"/>
      <c r="AE508" s="307"/>
      <c r="AF508" s="273"/>
      <c r="AG508" s="274"/>
    </row>
    <row r="509">
      <c r="A509" s="296"/>
      <c r="B509" s="269"/>
      <c r="C509" s="296"/>
      <c r="D509" s="296"/>
      <c r="E509" s="296"/>
      <c r="F509" s="296"/>
      <c r="G509" s="296"/>
      <c r="H509" s="296"/>
      <c r="I509" s="296"/>
      <c r="J509" s="296"/>
      <c r="K509" s="296"/>
      <c r="L509" s="296"/>
      <c r="M509" s="296"/>
      <c r="N509" s="296"/>
      <c r="O509" s="269"/>
      <c r="P509" s="269"/>
      <c r="Q509" s="269"/>
      <c r="R509" s="296"/>
      <c r="S509" s="296"/>
      <c r="T509" s="296"/>
      <c r="U509" s="296"/>
      <c r="V509" s="296"/>
      <c r="W509" s="296"/>
      <c r="X509" s="296"/>
      <c r="Y509" s="296"/>
      <c r="Z509" s="296"/>
      <c r="AA509" s="296"/>
      <c r="AB509" s="296"/>
      <c r="AC509" s="296"/>
      <c r="AD509" s="296"/>
      <c r="AE509" s="307"/>
      <c r="AF509" s="273"/>
      <c r="AG509" s="274"/>
    </row>
    <row r="510">
      <c r="A510" s="296"/>
      <c r="B510" s="269"/>
      <c r="C510" s="296"/>
      <c r="D510" s="296"/>
      <c r="E510" s="296"/>
      <c r="F510" s="296"/>
      <c r="G510" s="296"/>
      <c r="H510" s="296"/>
      <c r="I510" s="296"/>
      <c r="J510" s="296"/>
      <c r="K510" s="296"/>
      <c r="L510" s="296"/>
      <c r="M510" s="296"/>
      <c r="N510" s="296"/>
      <c r="O510" s="269"/>
      <c r="P510" s="269"/>
      <c r="Q510" s="269"/>
      <c r="R510" s="296"/>
      <c r="S510" s="296"/>
      <c r="T510" s="296"/>
      <c r="U510" s="296"/>
      <c r="V510" s="296"/>
      <c r="W510" s="296"/>
      <c r="X510" s="296"/>
      <c r="Y510" s="296"/>
      <c r="Z510" s="296"/>
      <c r="AA510" s="296"/>
      <c r="AB510" s="296"/>
      <c r="AC510" s="296"/>
      <c r="AD510" s="296"/>
      <c r="AE510" s="307"/>
      <c r="AF510" s="273"/>
      <c r="AG510" s="274"/>
    </row>
    <row r="511">
      <c r="A511" s="296"/>
      <c r="B511" s="269"/>
      <c r="C511" s="296"/>
      <c r="D511" s="296"/>
      <c r="E511" s="296"/>
      <c r="F511" s="296"/>
      <c r="G511" s="296"/>
      <c r="H511" s="296"/>
      <c r="I511" s="296"/>
      <c r="J511" s="296"/>
      <c r="K511" s="296"/>
      <c r="L511" s="296"/>
      <c r="M511" s="296"/>
      <c r="N511" s="296"/>
      <c r="O511" s="269"/>
      <c r="P511" s="269"/>
      <c r="Q511" s="269"/>
      <c r="R511" s="296"/>
      <c r="S511" s="296"/>
      <c r="T511" s="296"/>
      <c r="U511" s="296"/>
      <c r="V511" s="296"/>
      <c r="W511" s="296"/>
      <c r="X511" s="296"/>
      <c r="Y511" s="296"/>
      <c r="Z511" s="296"/>
      <c r="AA511" s="296"/>
      <c r="AB511" s="296"/>
      <c r="AC511" s="296"/>
      <c r="AD511" s="296"/>
      <c r="AE511" s="307"/>
      <c r="AF511" s="273"/>
      <c r="AG511" s="274"/>
    </row>
    <row r="512">
      <c r="A512" s="296"/>
      <c r="B512" s="269"/>
      <c r="C512" s="296"/>
      <c r="D512" s="296"/>
      <c r="E512" s="296"/>
      <c r="F512" s="296"/>
      <c r="G512" s="296"/>
      <c r="H512" s="296"/>
      <c r="I512" s="296"/>
      <c r="J512" s="296"/>
      <c r="K512" s="296"/>
      <c r="L512" s="296"/>
      <c r="M512" s="296"/>
      <c r="N512" s="296"/>
      <c r="O512" s="269"/>
      <c r="P512" s="269"/>
      <c r="Q512" s="269"/>
      <c r="R512" s="296"/>
      <c r="S512" s="296"/>
      <c r="T512" s="296"/>
      <c r="U512" s="296"/>
      <c r="V512" s="296"/>
      <c r="W512" s="296"/>
      <c r="X512" s="296"/>
      <c r="Y512" s="296"/>
      <c r="Z512" s="296"/>
      <c r="AA512" s="296"/>
      <c r="AB512" s="296"/>
      <c r="AC512" s="296"/>
      <c r="AD512" s="296"/>
      <c r="AE512" s="307"/>
      <c r="AF512" s="273"/>
      <c r="AG512" s="274"/>
    </row>
    <row r="513">
      <c r="A513" s="296"/>
      <c r="B513" s="269"/>
      <c r="C513" s="296"/>
      <c r="D513" s="296"/>
      <c r="E513" s="296"/>
      <c r="F513" s="296"/>
      <c r="G513" s="296"/>
      <c r="H513" s="296"/>
      <c r="I513" s="296"/>
      <c r="J513" s="296"/>
      <c r="K513" s="296"/>
      <c r="L513" s="296"/>
      <c r="M513" s="296"/>
      <c r="N513" s="296"/>
      <c r="O513" s="269"/>
      <c r="P513" s="269"/>
      <c r="Q513" s="269"/>
      <c r="R513" s="296"/>
      <c r="S513" s="296"/>
      <c r="T513" s="296"/>
      <c r="U513" s="296"/>
      <c r="V513" s="296"/>
      <c r="W513" s="296"/>
      <c r="X513" s="296"/>
      <c r="Y513" s="296"/>
      <c r="Z513" s="296"/>
      <c r="AA513" s="296"/>
      <c r="AB513" s="296"/>
      <c r="AC513" s="296"/>
      <c r="AD513" s="296"/>
      <c r="AE513" s="307"/>
      <c r="AF513" s="273"/>
      <c r="AG513" s="274"/>
    </row>
    <row r="514">
      <c r="A514" s="296"/>
      <c r="B514" s="269"/>
      <c r="C514" s="296"/>
      <c r="D514" s="296"/>
      <c r="E514" s="296"/>
      <c r="F514" s="296"/>
      <c r="G514" s="296"/>
      <c r="H514" s="296"/>
      <c r="I514" s="296"/>
      <c r="J514" s="296"/>
      <c r="K514" s="296"/>
      <c r="L514" s="296"/>
      <c r="M514" s="296"/>
      <c r="N514" s="296"/>
      <c r="O514" s="269"/>
      <c r="P514" s="269"/>
      <c r="Q514" s="269"/>
      <c r="R514" s="296"/>
      <c r="S514" s="296"/>
      <c r="T514" s="296"/>
      <c r="U514" s="296"/>
      <c r="V514" s="296"/>
      <c r="W514" s="296"/>
      <c r="X514" s="296"/>
      <c r="Y514" s="296"/>
      <c r="Z514" s="296"/>
      <c r="AA514" s="296"/>
      <c r="AB514" s="296"/>
      <c r="AC514" s="296"/>
      <c r="AD514" s="296"/>
      <c r="AE514" s="307"/>
      <c r="AF514" s="273"/>
      <c r="AG514" s="274"/>
    </row>
    <row r="515">
      <c r="A515" s="296"/>
      <c r="B515" s="269"/>
      <c r="C515" s="296"/>
      <c r="D515" s="296"/>
      <c r="E515" s="296"/>
      <c r="F515" s="296"/>
      <c r="G515" s="296"/>
      <c r="H515" s="296"/>
      <c r="I515" s="296"/>
      <c r="J515" s="296"/>
      <c r="K515" s="296"/>
      <c r="L515" s="296"/>
      <c r="M515" s="296"/>
      <c r="N515" s="296"/>
      <c r="O515" s="269"/>
      <c r="P515" s="269"/>
      <c r="Q515" s="269"/>
      <c r="R515" s="296"/>
      <c r="S515" s="296"/>
      <c r="T515" s="296"/>
      <c r="U515" s="296"/>
      <c r="V515" s="296"/>
      <c r="W515" s="296"/>
      <c r="X515" s="296"/>
      <c r="Y515" s="296"/>
      <c r="Z515" s="296"/>
      <c r="AA515" s="296"/>
      <c r="AB515" s="296"/>
      <c r="AC515" s="296"/>
      <c r="AD515" s="296"/>
      <c r="AE515" s="307"/>
      <c r="AF515" s="273"/>
      <c r="AG515" s="274"/>
    </row>
    <row r="516">
      <c r="A516" s="296"/>
      <c r="B516" s="269"/>
      <c r="C516" s="296"/>
      <c r="D516" s="296"/>
      <c r="E516" s="296"/>
      <c r="F516" s="296"/>
      <c r="G516" s="296"/>
      <c r="H516" s="296"/>
      <c r="I516" s="296"/>
      <c r="J516" s="296"/>
      <c r="K516" s="296"/>
      <c r="L516" s="296"/>
      <c r="M516" s="296"/>
      <c r="N516" s="296"/>
      <c r="O516" s="269"/>
      <c r="P516" s="269"/>
      <c r="Q516" s="269"/>
      <c r="R516" s="296"/>
      <c r="S516" s="296"/>
      <c r="T516" s="296"/>
      <c r="U516" s="296"/>
      <c r="V516" s="296"/>
      <c r="W516" s="296"/>
      <c r="X516" s="296"/>
      <c r="Y516" s="296"/>
      <c r="Z516" s="296"/>
      <c r="AA516" s="296"/>
      <c r="AB516" s="296"/>
      <c r="AC516" s="296"/>
      <c r="AD516" s="296"/>
      <c r="AE516" s="307"/>
      <c r="AF516" s="273"/>
      <c r="AG516" s="274"/>
    </row>
    <row r="517">
      <c r="A517" s="296"/>
      <c r="B517" s="269"/>
      <c r="C517" s="296"/>
      <c r="D517" s="296"/>
      <c r="E517" s="296"/>
      <c r="F517" s="296"/>
      <c r="G517" s="296"/>
      <c r="H517" s="296"/>
      <c r="I517" s="296"/>
      <c r="J517" s="296"/>
      <c r="K517" s="296"/>
      <c r="L517" s="296"/>
      <c r="M517" s="296"/>
      <c r="N517" s="296"/>
      <c r="O517" s="269"/>
      <c r="P517" s="269"/>
      <c r="Q517" s="269"/>
      <c r="R517" s="296"/>
      <c r="S517" s="296"/>
      <c r="T517" s="296"/>
      <c r="U517" s="296"/>
      <c r="V517" s="296"/>
      <c r="W517" s="296"/>
      <c r="X517" s="296"/>
      <c r="Y517" s="296"/>
      <c r="Z517" s="296"/>
      <c r="AA517" s="296"/>
      <c r="AB517" s="296"/>
      <c r="AC517" s="296"/>
      <c r="AD517" s="296"/>
      <c r="AE517" s="307"/>
      <c r="AF517" s="273"/>
      <c r="AG517" s="274"/>
    </row>
    <row r="518">
      <c r="A518" s="296"/>
      <c r="B518" s="269"/>
      <c r="C518" s="296"/>
      <c r="D518" s="296"/>
      <c r="E518" s="296"/>
      <c r="F518" s="296"/>
      <c r="G518" s="296"/>
      <c r="H518" s="296"/>
      <c r="I518" s="296"/>
      <c r="J518" s="296"/>
      <c r="K518" s="296"/>
      <c r="L518" s="296"/>
      <c r="M518" s="296"/>
      <c r="N518" s="296"/>
      <c r="O518" s="269"/>
      <c r="P518" s="269"/>
      <c r="Q518" s="269"/>
      <c r="R518" s="296"/>
      <c r="S518" s="296"/>
      <c r="T518" s="296"/>
      <c r="U518" s="296"/>
      <c r="V518" s="296"/>
      <c r="W518" s="296"/>
      <c r="X518" s="296"/>
      <c r="Y518" s="296"/>
      <c r="Z518" s="296"/>
      <c r="AA518" s="296"/>
      <c r="AB518" s="296"/>
      <c r="AC518" s="296"/>
      <c r="AD518" s="296"/>
      <c r="AE518" s="307"/>
      <c r="AF518" s="273"/>
      <c r="AG518" s="274"/>
    </row>
    <row r="519">
      <c r="A519" s="296"/>
      <c r="B519" s="269"/>
      <c r="C519" s="296"/>
      <c r="D519" s="296"/>
      <c r="E519" s="296"/>
      <c r="F519" s="296"/>
      <c r="G519" s="296"/>
      <c r="H519" s="296"/>
      <c r="I519" s="296"/>
      <c r="J519" s="296"/>
      <c r="K519" s="296"/>
      <c r="L519" s="296"/>
      <c r="M519" s="296"/>
      <c r="N519" s="296"/>
      <c r="O519" s="269"/>
      <c r="P519" s="269"/>
      <c r="Q519" s="269"/>
      <c r="R519" s="296"/>
      <c r="S519" s="296"/>
      <c r="T519" s="296"/>
      <c r="U519" s="296"/>
      <c r="V519" s="296"/>
      <c r="W519" s="296"/>
      <c r="X519" s="296"/>
      <c r="Y519" s="296"/>
      <c r="Z519" s="296"/>
      <c r="AA519" s="296"/>
      <c r="AB519" s="296"/>
      <c r="AC519" s="296"/>
      <c r="AD519" s="296"/>
      <c r="AE519" s="307"/>
      <c r="AF519" s="273"/>
      <c r="AG519" s="274"/>
    </row>
    <row r="520">
      <c r="A520" s="296"/>
      <c r="B520" s="269"/>
      <c r="C520" s="296"/>
      <c r="D520" s="296"/>
      <c r="E520" s="296"/>
      <c r="F520" s="296"/>
      <c r="G520" s="296"/>
      <c r="H520" s="296"/>
      <c r="I520" s="296"/>
      <c r="J520" s="296"/>
      <c r="K520" s="296"/>
      <c r="L520" s="296"/>
      <c r="M520" s="296"/>
      <c r="N520" s="296"/>
      <c r="O520" s="269"/>
      <c r="P520" s="269"/>
      <c r="Q520" s="269"/>
      <c r="R520" s="296"/>
      <c r="S520" s="296"/>
      <c r="T520" s="296"/>
      <c r="U520" s="296"/>
      <c r="V520" s="296"/>
      <c r="W520" s="296"/>
      <c r="X520" s="296"/>
      <c r="Y520" s="296"/>
      <c r="Z520" s="296"/>
      <c r="AA520" s="296"/>
      <c r="AB520" s="296"/>
      <c r="AC520" s="296"/>
      <c r="AD520" s="296"/>
      <c r="AE520" s="307"/>
      <c r="AF520" s="273"/>
      <c r="AG520" s="274"/>
    </row>
    <row r="521">
      <c r="A521" s="296"/>
      <c r="B521" s="269"/>
      <c r="C521" s="296"/>
      <c r="D521" s="296"/>
      <c r="E521" s="296"/>
      <c r="F521" s="296"/>
      <c r="G521" s="296"/>
      <c r="H521" s="296"/>
      <c r="I521" s="296"/>
      <c r="J521" s="296"/>
      <c r="K521" s="296"/>
      <c r="L521" s="296"/>
      <c r="M521" s="296"/>
      <c r="N521" s="296"/>
      <c r="O521" s="269"/>
      <c r="P521" s="269"/>
      <c r="Q521" s="269"/>
      <c r="R521" s="296"/>
      <c r="S521" s="296"/>
      <c r="T521" s="296"/>
      <c r="U521" s="296"/>
      <c r="V521" s="296"/>
      <c r="W521" s="296"/>
      <c r="X521" s="296"/>
      <c r="Y521" s="296"/>
      <c r="Z521" s="296"/>
      <c r="AA521" s="296"/>
      <c r="AB521" s="296"/>
      <c r="AC521" s="296"/>
      <c r="AD521" s="296"/>
      <c r="AE521" s="307"/>
      <c r="AF521" s="273"/>
      <c r="AG521" s="274"/>
    </row>
    <row r="522">
      <c r="A522" s="296"/>
      <c r="B522" s="269"/>
      <c r="C522" s="296"/>
      <c r="D522" s="296"/>
      <c r="E522" s="296"/>
      <c r="F522" s="296"/>
      <c r="G522" s="296"/>
      <c r="H522" s="296"/>
      <c r="I522" s="296"/>
      <c r="J522" s="296"/>
      <c r="K522" s="296"/>
      <c r="L522" s="296"/>
      <c r="M522" s="296"/>
      <c r="N522" s="296"/>
      <c r="O522" s="269"/>
      <c r="P522" s="269"/>
      <c r="Q522" s="269"/>
      <c r="R522" s="296"/>
      <c r="S522" s="296"/>
      <c r="T522" s="296"/>
      <c r="U522" s="296"/>
      <c r="V522" s="296"/>
      <c r="W522" s="296"/>
      <c r="X522" s="296"/>
      <c r="Y522" s="296"/>
      <c r="Z522" s="296"/>
      <c r="AA522" s="296"/>
      <c r="AB522" s="296"/>
      <c r="AC522" s="296"/>
      <c r="AD522" s="296"/>
      <c r="AE522" s="307"/>
      <c r="AF522" s="273"/>
      <c r="AG522" s="274"/>
    </row>
    <row r="523">
      <c r="A523" s="296"/>
      <c r="B523" s="269"/>
      <c r="C523" s="296"/>
      <c r="D523" s="296"/>
      <c r="E523" s="296"/>
      <c r="F523" s="296"/>
      <c r="G523" s="296"/>
      <c r="H523" s="296"/>
      <c r="I523" s="296"/>
      <c r="J523" s="296"/>
      <c r="K523" s="296"/>
      <c r="L523" s="296"/>
      <c r="M523" s="296"/>
      <c r="N523" s="296"/>
      <c r="O523" s="269"/>
      <c r="P523" s="269"/>
      <c r="Q523" s="269"/>
      <c r="R523" s="296"/>
      <c r="S523" s="296"/>
      <c r="T523" s="296"/>
      <c r="U523" s="296"/>
      <c r="V523" s="296"/>
      <c r="W523" s="296"/>
      <c r="X523" s="296"/>
      <c r="Y523" s="296"/>
      <c r="Z523" s="296"/>
      <c r="AA523" s="296"/>
      <c r="AB523" s="296"/>
      <c r="AC523" s="296"/>
      <c r="AD523" s="296"/>
      <c r="AE523" s="307"/>
      <c r="AF523" s="273"/>
      <c r="AG523" s="274"/>
    </row>
    <row r="524">
      <c r="A524" s="296"/>
      <c r="B524" s="269"/>
      <c r="C524" s="296"/>
      <c r="D524" s="296"/>
      <c r="E524" s="296"/>
      <c r="F524" s="296"/>
      <c r="G524" s="296"/>
      <c r="H524" s="296"/>
      <c r="I524" s="296"/>
      <c r="J524" s="296"/>
      <c r="K524" s="296"/>
      <c r="L524" s="296"/>
      <c r="M524" s="296"/>
      <c r="N524" s="296"/>
      <c r="O524" s="269"/>
      <c r="P524" s="269"/>
      <c r="Q524" s="269"/>
      <c r="R524" s="296"/>
      <c r="S524" s="296"/>
      <c r="T524" s="296"/>
      <c r="U524" s="296"/>
      <c r="V524" s="296"/>
      <c r="W524" s="296"/>
      <c r="X524" s="296"/>
      <c r="Y524" s="296"/>
      <c r="Z524" s="296"/>
      <c r="AA524" s="296"/>
      <c r="AB524" s="296"/>
      <c r="AC524" s="296"/>
      <c r="AD524" s="296"/>
      <c r="AE524" s="307"/>
      <c r="AF524" s="273"/>
      <c r="AG524" s="274"/>
    </row>
    <row r="525">
      <c r="A525" s="296"/>
      <c r="B525" s="269"/>
      <c r="C525" s="296"/>
      <c r="D525" s="296"/>
      <c r="E525" s="296"/>
      <c r="F525" s="296"/>
      <c r="G525" s="296"/>
      <c r="H525" s="296"/>
      <c r="I525" s="296"/>
      <c r="J525" s="296"/>
      <c r="K525" s="296"/>
      <c r="L525" s="296"/>
      <c r="M525" s="296"/>
      <c r="N525" s="296"/>
      <c r="O525" s="269"/>
      <c r="P525" s="269"/>
      <c r="Q525" s="269"/>
      <c r="R525" s="296"/>
      <c r="S525" s="296"/>
      <c r="T525" s="296"/>
      <c r="U525" s="296"/>
      <c r="V525" s="296"/>
      <c r="W525" s="296"/>
      <c r="X525" s="296"/>
      <c r="Y525" s="296"/>
      <c r="Z525" s="296"/>
      <c r="AA525" s="296"/>
      <c r="AB525" s="296"/>
      <c r="AC525" s="296"/>
      <c r="AD525" s="296"/>
      <c r="AE525" s="307"/>
      <c r="AF525" s="273"/>
      <c r="AG525" s="274"/>
    </row>
    <row r="526">
      <c r="A526" s="296"/>
      <c r="B526" s="269"/>
      <c r="C526" s="296"/>
      <c r="D526" s="296"/>
      <c r="E526" s="296"/>
      <c r="F526" s="296"/>
      <c r="G526" s="296"/>
      <c r="H526" s="296"/>
      <c r="I526" s="296"/>
      <c r="J526" s="296"/>
      <c r="K526" s="296"/>
      <c r="L526" s="296"/>
      <c r="M526" s="296"/>
      <c r="N526" s="296"/>
      <c r="O526" s="269"/>
      <c r="P526" s="269"/>
      <c r="Q526" s="269"/>
      <c r="R526" s="296"/>
      <c r="S526" s="296"/>
      <c r="T526" s="296"/>
      <c r="U526" s="296"/>
      <c r="V526" s="296"/>
      <c r="W526" s="296"/>
      <c r="X526" s="296"/>
      <c r="Y526" s="296"/>
      <c r="Z526" s="296"/>
      <c r="AA526" s="296"/>
      <c r="AB526" s="296"/>
      <c r="AC526" s="296"/>
      <c r="AD526" s="296"/>
      <c r="AE526" s="307"/>
      <c r="AF526" s="273"/>
      <c r="AG526" s="274"/>
    </row>
    <row r="527">
      <c r="A527" s="296"/>
      <c r="B527" s="269"/>
      <c r="C527" s="296"/>
      <c r="D527" s="296"/>
      <c r="E527" s="296"/>
      <c r="F527" s="296"/>
      <c r="G527" s="296"/>
      <c r="H527" s="296"/>
      <c r="I527" s="296"/>
      <c r="J527" s="296"/>
      <c r="K527" s="296"/>
      <c r="L527" s="296"/>
      <c r="M527" s="296"/>
      <c r="N527" s="296"/>
      <c r="O527" s="269"/>
      <c r="P527" s="269"/>
      <c r="Q527" s="269"/>
      <c r="R527" s="296"/>
      <c r="S527" s="296"/>
      <c r="T527" s="296"/>
      <c r="U527" s="296"/>
      <c r="V527" s="296"/>
      <c r="W527" s="296"/>
      <c r="X527" s="296"/>
      <c r="Y527" s="296"/>
      <c r="Z527" s="296"/>
      <c r="AA527" s="296"/>
      <c r="AB527" s="296"/>
      <c r="AC527" s="296"/>
      <c r="AD527" s="296"/>
      <c r="AE527" s="307"/>
      <c r="AF527" s="273"/>
      <c r="AG527" s="274"/>
    </row>
    <row r="528">
      <c r="A528" s="296"/>
      <c r="B528" s="269"/>
      <c r="C528" s="296"/>
      <c r="D528" s="296"/>
      <c r="E528" s="296"/>
      <c r="F528" s="296"/>
      <c r="G528" s="296"/>
      <c r="H528" s="296"/>
      <c r="I528" s="296"/>
      <c r="J528" s="296"/>
      <c r="K528" s="296"/>
      <c r="L528" s="296"/>
      <c r="M528" s="296"/>
      <c r="N528" s="296"/>
      <c r="O528" s="269"/>
      <c r="P528" s="269"/>
      <c r="Q528" s="269"/>
      <c r="R528" s="296"/>
      <c r="S528" s="296"/>
      <c r="T528" s="296"/>
      <c r="U528" s="296"/>
      <c r="V528" s="296"/>
      <c r="W528" s="296"/>
      <c r="X528" s="296"/>
      <c r="Y528" s="296"/>
      <c r="Z528" s="296"/>
      <c r="AA528" s="296"/>
      <c r="AB528" s="296"/>
      <c r="AC528" s="296"/>
      <c r="AD528" s="296"/>
      <c r="AE528" s="307"/>
      <c r="AF528" s="273"/>
      <c r="AG528" s="274"/>
    </row>
    <row r="529">
      <c r="A529" s="296"/>
      <c r="B529" s="269"/>
      <c r="C529" s="296"/>
      <c r="D529" s="296"/>
      <c r="E529" s="296"/>
      <c r="F529" s="296"/>
      <c r="G529" s="296"/>
      <c r="H529" s="296"/>
      <c r="I529" s="296"/>
      <c r="J529" s="296"/>
      <c r="K529" s="296"/>
      <c r="L529" s="296"/>
      <c r="M529" s="296"/>
      <c r="N529" s="296"/>
      <c r="O529" s="269"/>
      <c r="P529" s="269"/>
      <c r="Q529" s="269"/>
      <c r="R529" s="296"/>
      <c r="S529" s="296"/>
      <c r="T529" s="296"/>
      <c r="U529" s="296"/>
      <c r="V529" s="296"/>
      <c r="W529" s="296"/>
      <c r="X529" s="296"/>
      <c r="Y529" s="296"/>
      <c r="Z529" s="296"/>
      <c r="AA529" s="296"/>
      <c r="AB529" s="296"/>
      <c r="AC529" s="296"/>
      <c r="AD529" s="296"/>
      <c r="AE529" s="307"/>
      <c r="AF529" s="273"/>
      <c r="AG529" s="274"/>
    </row>
    <row r="530">
      <c r="A530" s="296"/>
      <c r="B530" s="269"/>
      <c r="C530" s="296"/>
      <c r="D530" s="296"/>
      <c r="E530" s="296"/>
      <c r="F530" s="296"/>
      <c r="G530" s="296"/>
      <c r="H530" s="296"/>
      <c r="I530" s="296"/>
      <c r="J530" s="296"/>
      <c r="K530" s="296"/>
      <c r="L530" s="296"/>
      <c r="M530" s="296"/>
      <c r="N530" s="296"/>
      <c r="O530" s="269"/>
      <c r="P530" s="269"/>
      <c r="Q530" s="269"/>
      <c r="R530" s="296"/>
      <c r="S530" s="296"/>
      <c r="T530" s="296"/>
      <c r="U530" s="296"/>
      <c r="V530" s="296"/>
      <c r="W530" s="296"/>
      <c r="X530" s="296"/>
      <c r="Y530" s="296"/>
      <c r="Z530" s="296"/>
      <c r="AA530" s="296"/>
      <c r="AB530" s="296"/>
      <c r="AC530" s="296"/>
      <c r="AD530" s="296"/>
      <c r="AE530" s="307"/>
      <c r="AF530" s="273"/>
      <c r="AG530" s="274"/>
    </row>
    <row r="531">
      <c r="A531" s="296"/>
      <c r="B531" s="269"/>
      <c r="C531" s="296"/>
      <c r="D531" s="296"/>
      <c r="E531" s="296"/>
      <c r="F531" s="296"/>
      <c r="G531" s="296"/>
      <c r="H531" s="296"/>
      <c r="I531" s="296"/>
      <c r="J531" s="296"/>
      <c r="K531" s="296"/>
      <c r="L531" s="296"/>
      <c r="M531" s="296"/>
      <c r="N531" s="296"/>
      <c r="O531" s="269"/>
      <c r="P531" s="269"/>
      <c r="Q531" s="269"/>
      <c r="R531" s="296"/>
      <c r="S531" s="296"/>
      <c r="T531" s="296"/>
      <c r="U531" s="296"/>
      <c r="V531" s="296"/>
      <c r="W531" s="296"/>
      <c r="X531" s="296"/>
      <c r="Y531" s="296"/>
      <c r="Z531" s="296"/>
      <c r="AA531" s="296"/>
      <c r="AB531" s="296"/>
      <c r="AC531" s="296"/>
      <c r="AD531" s="296"/>
      <c r="AE531" s="307"/>
      <c r="AF531" s="273"/>
      <c r="AG531" s="274"/>
    </row>
    <row r="532">
      <c r="A532" s="296"/>
      <c r="B532" s="269"/>
      <c r="C532" s="296"/>
      <c r="D532" s="296"/>
      <c r="E532" s="296"/>
      <c r="F532" s="296"/>
      <c r="G532" s="296"/>
      <c r="H532" s="296"/>
      <c r="I532" s="296"/>
      <c r="J532" s="296"/>
      <c r="K532" s="296"/>
      <c r="L532" s="296"/>
      <c r="M532" s="296"/>
      <c r="N532" s="296"/>
      <c r="O532" s="269"/>
      <c r="P532" s="269"/>
      <c r="Q532" s="269"/>
      <c r="R532" s="296"/>
      <c r="S532" s="296"/>
      <c r="T532" s="296"/>
      <c r="U532" s="296"/>
      <c r="V532" s="296"/>
      <c r="W532" s="296"/>
      <c r="X532" s="296"/>
      <c r="Y532" s="296"/>
      <c r="Z532" s="296"/>
      <c r="AA532" s="296"/>
      <c r="AB532" s="296"/>
      <c r="AC532" s="296"/>
      <c r="AD532" s="296"/>
      <c r="AE532" s="307"/>
      <c r="AF532" s="273"/>
      <c r="AG532" s="274"/>
    </row>
    <row r="533">
      <c r="A533" s="296"/>
      <c r="B533" s="269"/>
      <c r="C533" s="296"/>
      <c r="D533" s="296"/>
      <c r="E533" s="296"/>
      <c r="F533" s="296"/>
      <c r="G533" s="296"/>
      <c r="H533" s="296"/>
      <c r="I533" s="296"/>
      <c r="J533" s="296"/>
      <c r="K533" s="296"/>
      <c r="L533" s="296"/>
      <c r="M533" s="296"/>
      <c r="N533" s="296"/>
      <c r="O533" s="269"/>
      <c r="P533" s="269"/>
      <c r="Q533" s="269"/>
      <c r="R533" s="296"/>
      <c r="S533" s="296"/>
      <c r="T533" s="296"/>
      <c r="U533" s="296"/>
      <c r="V533" s="296"/>
      <c r="W533" s="296"/>
      <c r="X533" s="296"/>
      <c r="Y533" s="296"/>
      <c r="Z533" s="296"/>
      <c r="AA533" s="296"/>
      <c r="AB533" s="296"/>
      <c r="AC533" s="296"/>
      <c r="AD533" s="296"/>
      <c r="AE533" s="307"/>
      <c r="AF533" s="273"/>
      <c r="AG533" s="274"/>
    </row>
    <row r="534">
      <c r="A534" s="296"/>
      <c r="B534" s="269"/>
      <c r="C534" s="296"/>
      <c r="D534" s="296"/>
      <c r="E534" s="296"/>
      <c r="F534" s="296"/>
      <c r="G534" s="296"/>
      <c r="H534" s="296"/>
      <c r="I534" s="296"/>
      <c r="J534" s="296"/>
      <c r="K534" s="296"/>
      <c r="L534" s="296"/>
      <c r="M534" s="296"/>
      <c r="N534" s="296"/>
      <c r="O534" s="269"/>
      <c r="P534" s="269"/>
      <c r="Q534" s="269"/>
      <c r="R534" s="296"/>
      <c r="S534" s="296"/>
      <c r="T534" s="296"/>
      <c r="U534" s="296"/>
      <c r="V534" s="296"/>
      <c r="W534" s="296"/>
      <c r="X534" s="296"/>
      <c r="Y534" s="296"/>
      <c r="Z534" s="296"/>
      <c r="AA534" s="296"/>
      <c r="AB534" s="296"/>
      <c r="AC534" s="296"/>
      <c r="AD534" s="296"/>
      <c r="AE534" s="307"/>
      <c r="AF534" s="273"/>
      <c r="AG534" s="274"/>
    </row>
    <row r="535">
      <c r="A535" s="296"/>
      <c r="B535" s="269"/>
      <c r="C535" s="296"/>
      <c r="D535" s="296"/>
      <c r="E535" s="296"/>
      <c r="F535" s="296"/>
      <c r="G535" s="296"/>
      <c r="H535" s="296"/>
      <c r="I535" s="296"/>
      <c r="J535" s="296"/>
      <c r="K535" s="296"/>
      <c r="L535" s="296"/>
      <c r="M535" s="296"/>
      <c r="N535" s="296"/>
      <c r="O535" s="269"/>
      <c r="P535" s="269"/>
      <c r="Q535" s="269"/>
      <c r="R535" s="296"/>
      <c r="S535" s="296"/>
      <c r="T535" s="296"/>
      <c r="U535" s="296"/>
      <c r="V535" s="296"/>
      <c r="W535" s="296"/>
      <c r="X535" s="296"/>
      <c r="Y535" s="296"/>
      <c r="Z535" s="296"/>
      <c r="AA535" s="296"/>
      <c r="AB535" s="296"/>
      <c r="AC535" s="296"/>
      <c r="AD535" s="296"/>
      <c r="AE535" s="307"/>
      <c r="AF535" s="273"/>
      <c r="AG535" s="274"/>
    </row>
    <row r="536">
      <c r="A536" s="296"/>
      <c r="B536" s="269"/>
      <c r="C536" s="296"/>
      <c r="D536" s="296"/>
      <c r="E536" s="296"/>
      <c r="F536" s="296"/>
      <c r="G536" s="296"/>
      <c r="H536" s="296"/>
      <c r="I536" s="296"/>
      <c r="J536" s="296"/>
      <c r="K536" s="296"/>
      <c r="L536" s="296"/>
      <c r="M536" s="296"/>
      <c r="N536" s="296"/>
      <c r="O536" s="269"/>
      <c r="P536" s="269"/>
      <c r="Q536" s="269"/>
      <c r="R536" s="296"/>
      <c r="S536" s="296"/>
      <c r="T536" s="296"/>
      <c r="U536" s="296"/>
      <c r="V536" s="296"/>
      <c r="W536" s="296"/>
      <c r="X536" s="296"/>
      <c r="Y536" s="296"/>
      <c r="Z536" s="296"/>
      <c r="AA536" s="296"/>
      <c r="AB536" s="296"/>
      <c r="AC536" s="296"/>
      <c r="AD536" s="296"/>
      <c r="AE536" s="307"/>
      <c r="AF536" s="273"/>
      <c r="AG536" s="274"/>
    </row>
    <row r="537">
      <c r="A537" s="296"/>
      <c r="B537" s="269"/>
      <c r="C537" s="296"/>
      <c r="D537" s="296"/>
      <c r="E537" s="296"/>
      <c r="F537" s="296"/>
      <c r="G537" s="296"/>
      <c r="H537" s="296"/>
      <c r="I537" s="296"/>
      <c r="J537" s="296"/>
      <c r="K537" s="296"/>
      <c r="L537" s="296"/>
      <c r="M537" s="296"/>
      <c r="N537" s="296"/>
      <c r="O537" s="269"/>
      <c r="P537" s="269"/>
      <c r="Q537" s="269"/>
      <c r="R537" s="296"/>
      <c r="S537" s="296"/>
      <c r="T537" s="296"/>
      <c r="U537" s="296"/>
      <c r="V537" s="296"/>
      <c r="W537" s="296"/>
      <c r="X537" s="296"/>
      <c r="Y537" s="296"/>
      <c r="Z537" s="296"/>
      <c r="AA537" s="296"/>
      <c r="AB537" s="296"/>
      <c r="AC537" s="296"/>
      <c r="AD537" s="296"/>
      <c r="AE537" s="307"/>
      <c r="AF537" s="273"/>
      <c r="AG537" s="274"/>
    </row>
    <row r="538">
      <c r="A538" s="296"/>
      <c r="B538" s="269"/>
      <c r="C538" s="296"/>
      <c r="D538" s="296"/>
      <c r="E538" s="296"/>
      <c r="F538" s="296"/>
      <c r="G538" s="296"/>
      <c r="H538" s="296"/>
      <c r="I538" s="296"/>
      <c r="J538" s="296"/>
      <c r="K538" s="296"/>
      <c r="L538" s="296"/>
      <c r="M538" s="296"/>
      <c r="N538" s="296"/>
      <c r="O538" s="269"/>
      <c r="P538" s="269"/>
      <c r="Q538" s="269"/>
      <c r="R538" s="296"/>
      <c r="S538" s="296"/>
      <c r="T538" s="296"/>
      <c r="U538" s="296"/>
      <c r="V538" s="296"/>
      <c r="W538" s="296"/>
      <c r="X538" s="296"/>
      <c r="Y538" s="296"/>
      <c r="Z538" s="296"/>
      <c r="AA538" s="296"/>
      <c r="AB538" s="296"/>
      <c r="AC538" s="296"/>
      <c r="AD538" s="296"/>
      <c r="AE538" s="307"/>
      <c r="AF538" s="273"/>
      <c r="AG538" s="274"/>
    </row>
    <row r="539">
      <c r="A539" s="296"/>
      <c r="B539" s="269"/>
      <c r="C539" s="296"/>
      <c r="D539" s="296"/>
      <c r="E539" s="296"/>
      <c r="F539" s="296"/>
      <c r="G539" s="296"/>
      <c r="H539" s="296"/>
      <c r="I539" s="296"/>
      <c r="J539" s="296"/>
      <c r="K539" s="296"/>
      <c r="L539" s="296"/>
      <c r="M539" s="296"/>
      <c r="N539" s="296"/>
      <c r="O539" s="269"/>
      <c r="P539" s="269"/>
      <c r="Q539" s="269"/>
      <c r="R539" s="296"/>
      <c r="S539" s="296"/>
      <c r="T539" s="296"/>
      <c r="U539" s="296"/>
      <c r="V539" s="296"/>
      <c r="W539" s="296"/>
      <c r="X539" s="296"/>
      <c r="Y539" s="296"/>
      <c r="Z539" s="296"/>
      <c r="AA539" s="296"/>
      <c r="AB539" s="296"/>
      <c r="AC539" s="296"/>
      <c r="AD539" s="296"/>
      <c r="AE539" s="307"/>
      <c r="AF539" s="273"/>
      <c r="AG539" s="274"/>
    </row>
    <row r="540">
      <c r="A540" s="296"/>
      <c r="B540" s="269"/>
      <c r="C540" s="296"/>
      <c r="D540" s="296"/>
      <c r="E540" s="296"/>
      <c r="F540" s="296"/>
      <c r="G540" s="296"/>
      <c r="H540" s="296"/>
      <c r="I540" s="296"/>
      <c r="J540" s="296"/>
      <c r="K540" s="296"/>
      <c r="L540" s="296"/>
      <c r="M540" s="296"/>
      <c r="N540" s="296"/>
      <c r="O540" s="269"/>
      <c r="P540" s="269"/>
      <c r="Q540" s="269"/>
      <c r="R540" s="296"/>
      <c r="S540" s="296"/>
      <c r="T540" s="296"/>
      <c r="U540" s="296"/>
      <c r="V540" s="296"/>
      <c r="W540" s="296"/>
      <c r="X540" s="296"/>
      <c r="Y540" s="296"/>
      <c r="Z540" s="296"/>
      <c r="AA540" s="296"/>
      <c r="AB540" s="296"/>
      <c r="AC540" s="296"/>
      <c r="AD540" s="296"/>
      <c r="AE540" s="307"/>
      <c r="AF540" s="273"/>
      <c r="AG540" s="274"/>
    </row>
    <row r="541">
      <c r="A541" s="296"/>
      <c r="B541" s="269"/>
      <c r="C541" s="296"/>
      <c r="D541" s="296"/>
      <c r="E541" s="296"/>
      <c r="F541" s="296"/>
      <c r="G541" s="296"/>
      <c r="H541" s="296"/>
      <c r="I541" s="296"/>
      <c r="J541" s="296"/>
      <c r="K541" s="296"/>
      <c r="L541" s="296"/>
      <c r="M541" s="296"/>
      <c r="N541" s="296"/>
      <c r="O541" s="269"/>
      <c r="P541" s="269"/>
      <c r="Q541" s="269"/>
      <c r="R541" s="296"/>
      <c r="S541" s="296"/>
      <c r="T541" s="296"/>
      <c r="U541" s="296"/>
      <c r="V541" s="296"/>
      <c r="W541" s="296"/>
      <c r="X541" s="296"/>
      <c r="Y541" s="296"/>
      <c r="Z541" s="296"/>
      <c r="AA541" s="296"/>
      <c r="AB541" s="296"/>
      <c r="AC541" s="296"/>
      <c r="AD541" s="296"/>
      <c r="AE541" s="307"/>
      <c r="AF541" s="273"/>
      <c r="AG541" s="274"/>
    </row>
    <row r="542">
      <c r="A542" s="296"/>
      <c r="B542" s="269"/>
      <c r="C542" s="296"/>
      <c r="D542" s="296"/>
      <c r="E542" s="296"/>
      <c r="F542" s="296"/>
      <c r="G542" s="296"/>
      <c r="H542" s="296"/>
      <c r="I542" s="296"/>
      <c r="J542" s="296"/>
      <c r="K542" s="296"/>
      <c r="L542" s="296"/>
      <c r="M542" s="296"/>
      <c r="N542" s="296"/>
      <c r="O542" s="269"/>
      <c r="P542" s="269"/>
      <c r="Q542" s="269"/>
      <c r="R542" s="296"/>
      <c r="S542" s="296"/>
      <c r="T542" s="296"/>
      <c r="U542" s="296"/>
      <c r="V542" s="296"/>
      <c r="W542" s="296"/>
      <c r="X542" s="296"/>
      <c r="Y542" s="296"/>
      <c r="Z542" s="296"/>
      <c r="AA542" s="296"/>
      <c r="AB542" s="296"/>
      <c r="AC542" s="296"/>
      <c r="AD542" s="296"/>
      <c r="AE542" s="307"/>
      <c r="AF542" s="273"/>
      <c r="AG542" s="274"/>
    </row>
    <row r="543">
      <c r="A543" s="296"/>
      <c r="B543" s="269"/>
      <c r="C543" s="296"/>
      <c r="D543" s="296"/>
      <c r="E543" s="296"/>
      <c r="F543" s="296"/>
      <c r="G543" s="296"/>
      <c r="H543" s="296"/>
      <c r="I543" s="296"/>
      <c r="J543" s="296"/>
      <c r="K543" s="296"/>
      <c r="L543" s="296"/>
      <c r="M543" s="296"/>
      <c r="N543" s="296"/>
      <c r="O543" s="269"/>
      <c r="P543" s="269"/>
      <c r="Q543" s="269"/>
      <c r="R543" s="296"/>
      <c r="S543" s="296"/>
      <c r="T543" s="296"/>
      <c r="U543" s="296"/>
      <c r="V543" s="296"/>
      <c r="W543" s="296"/>
      <c r="X543" s="296"/>
      <c r="Y543" s="296"/>
      <c r="Z543" s="296"/>
      <c r="AA543" s="296"/>
      <c r="AB543" s="296"/>
      <c r="AC543" s="296"/>
      <c r="AD543" s="296"/>
      <c r="AE543" s="307"/>
      <c r="AF543" s="273"/>
      <c r="AG543" s="274"/>
    </row>
    <row r="544">
      <c r="A544" s="296"/>
      <c r="B544" s="269"/>
      <c r="C544" s="296"/>
      <c r="D544" s="296"/>
      <c r="E544" s="296"/>
      <c r="F544" s="296"/>
      <c r="G544" s="296"/>
      <c r="H544" s="296"/>
      <c r="I544" s="296"/>
      <c r="J544" s="296"/>
      <c r="K544" s="296"/>
      <c r="L544" s="296"/>
      <c r="M544" s="296"/>
      <c r="N544" s="296"/>
      <c r="O544" s="269"/>
      <c r="P544" s="269"/>
      <c r="Q544" s="269"/>
      <c r="R544" s="296"/>
      <c r="S544" s="296"/>
      <c r="T544" s="296"/>
      <c r="U544" s="296"/>
      <c r="V544" s="296"/>
      <c r="W544" s="296"/>
      <c r="X544" s="296"/>
      <c r="Y544" s="296"/>
      <c r="Z544" s="296"/>
      <c r="AA544" s="296"/>
      <c r="AB544" s="296"/>
      <c r="AC544" s="296"/>
      <c r="AD544" s="296"/>
      <c r="AE544" s="307"/>
      <c r="AF544" s="273"/>
      <c r="AG544" s="274"/>
    </row>
    <row r="545">
      <c r="A545" s="296"/>
      <c r="B545" s="269"/>
      <c r="C545" s="296"/>
      <c r="D545" s="296"/>
      <c r="E545" s="296"/>
      <c r="F545" s="296"/>
      <c r="G545" s="296"/>
      <c r="H545" s="296"/>
      <c r="I545" s="296"/>
      <c r="J545" s="296"/>
      <c r="K545" s="296"/>
      <c r="L545" s="296"/>
      <c r="M545" s="296"/>
      <c r="N545" s="296"/>
      <c r="O545" s="269"/>
      <c r="P545" s="269"/>
      <c r="Q545" s="269"/>
      <c r="R545" s="296"/>
      <c r="S545" s="296"/>
      <c r="T545" s="296"/>
      <c r="U545" s="296"/>
      <c r="V545" s="296"/>
      <c r="W545" s="296"/>
      <c r="X545" s="296"/>
      <c r="Y545" s="296"/>
      <c r="Z545" s="296"/>
      <c r="AA545" s="296"/>
      <c r="AB545" s="296"/>
      <c r="AC545" s="296"/>
      <c r="AD545" s="296"/>
      <c r="AE545" s="307"/>
      <c r="AF545" s="273"/>
      <c r="AG545" s="274"/>
    </row>
    <row r="546">
      <c r="A546" s="296"/>
      <c r="B546" s="269"/>
      <c r="C546" s="296"/>
      <c r="D546" s="296"/>
      <c r="E546" s="296"/>
      <c r="F546" s="296"/>
      <c r="G546" s="296"/>
      <c r="H546" s="296"/>
      <c r="I546" s="296"/>
      <c r="J546" s="296"/>
      <c r="K546" s="296"/>
      <c r="L546" s="296"/>
      <c r="M546" s="296"/>
      <c r="N546" s="296"/>
      <c r="O546" s="269"/>
      <c r="P546" s="269"/>
      <c r="Q546" s="269"/>
      <c r="R546" s="296"/>
      <c r="S546" s="296"/>
      <c r="T546" s="296"/>
      <c r="U546" s="296"/>
      <c r="V546" s="296"/>
      <c r="W546" s="296"/>
      <c r="X546" s="296"/>
      <c r="Y546" s="296"/>
      <c r="Z546" s="296"/>
      <c r="AA546" s="296"/>
      <c r="AB546" s="296"/>
      <c r="AC546" s="296"/>
      <c r="AD546" s="296"/>
      <c r="AE546" s="307"/>
      <c r="AF546" s="273"/>
      <c r="AG546" s="274"/>
    </row>
    <row r="547">
      <c r="A547" s="296"/>
      <c r="B547" s="269"/>
      <c r="C547" s="296"/>
      <c r="D547" s="296"/>
      <c r="E547" s="296"/>
      <c r="F547" s="296"/>
      <c r="G547" s="296"/>
      <c r="H547" s="296"/>
      <c r="I547" s="296"/>
      <c r="J547" s="296"/>
      <c r="K547" s="296"/>
      <c r="L547" s="296"/>
      <c r="M547" s="296"/>
      <c r="N547" s="296"/>
      <c r="O547" s="269"/>
      <c r="P547" s="269"/>
      <c r="Q547" s="269"/>
      <c r="R547" s="296"/>
      <c r="S547" s="296"/>
      <c r="T547" s="296"/>
      <c r="U547" s="296"/>
      <c r="V547" s="296"/>
      <c r="W547" s="296"/>
      <c r="X547" s="296"/>
      <c r="Y547" s="296"/>
      <c r="Z547" s="296"/>
      <c r="AA547" s="296"/>
      <c r="AB547" s="296"/>
      <c r="AC547" s="296"/>
      <c r="AD547" s="296"/>
      <c r="AE547" s="307"/>
      <c r="AF547" s="273"/>
      <c r="AG547" s="274"/>
    </row>
    <row r="548">
      <c r="A548" s="296"/>
      <c r="B548" s="269"/>
      <c r="C548" s="296"/>
      <c r="D548" s="296"/>
      <c r="E548" s="296"/>
      <c r="F548" s="296"/>
      <c r="G548" s="296"/>
      <c r="H548" s="296"/>
      <c r="I548" s="296"/>
      <c r="J548" s="296"/>
      <c r="K548" s="296"/>
      <c r="L548" s="296"/>
      <c r="M548" s="296"/>
      <c r="N548" s="296"/>
      <c r="O548" s="269"/>
      <c r="P548" s="269"/>
      <c r="Q548" s="269"/>
      <c r="R548" s="296"/>
      <c r="S548" s="296"/>
      <c r="T548" s="296"/>
      <c r="U548" s="296"/>
      <c r="V548" s="296"/>
      <c r="W548" s="296"/>
      <c r="X548" s="296"/>
      <c r="Y548" s="296"/>
      <c r="Z548" s="296"/>
      <c r="AA548" s="296"/>
      <c r="AB548" s="296"/>
      <c r="AC548" s="296"/>
      <c r="AD548" s="296"/>
      <c r="AE548" s="307"/>
      <c r="AF548" s="273"/>
      <c r="AG548" s="274"/>
    </row>
    <row r="549">
      <c r="A549" s="296"/>
      <c r="B549" s="269"/>
      <c r="C549" s="296"/>
      <c r="D549" s="296"/>
      <c r="E549" s="296"/>
      <c r="F549" s="296"/>
      <c r="G549" s="296"/>
      <c r="H549" s="296"/>
      <c r="I549" s="296"/>
      <c r="J549" s="296"/>
      <c r="K549" s="296"/>
      <c r="L549" s="296"/>
      <c r="M549" s="296"/>
      <c r="N549" s="296"/>
      <c r="O549" s="269"/>
      <c r="P549" s="269"/>
      <c r="Q549" s="269"/>
      <c r="R549" s="296"/>
      <c r="S549" s="296"/>
      <c r="T549" s="296"/>
      <c r="U549" s="296"/>
      <c r="V549" s="296"/>
      <c r="W549" s="296"/>
      <c r="X549" s="296"/>
      <c r="Y549" s="296"/>
      <c r="Z549" s="296"/>
      <c r="AA549" s="296"/>
      <c r="AB549" s="296"/>
      <c r="AC549" s="296"/>
      <c r="AD549" s="296"/>
      <c r="AE549" s="307"/>
      <c r="AF549" s="273"/>
      <c r="AG549" s="274"/>
    </row>
    <row r="550">
      <c r="A550" s="296"/>
      <c r="B550" s="269"/>
      <c r="C550" s="296"/>
      <c r="D550" s="296"/>
      <c r="E550" s="296"/>
      <c r="F550" s="296"/>
      <c r="G550" s="296"/>
      <c r="H550" s="296"/>
      <c r="I550" s="296"/>
      <c r="J550" s="296"/>
      <c r="K550" s="296"/>
      <c r="L550" s="296"/>
      <c r="M550" s="296"/>
      <c r="N550" s="296"/>
      <c r="O550" s="269"/>
      <c r="P550" s="269"/>
      <c r="Q550" s="269"/>
      <c r="R550" s="296"/>
      <c r="S550" s="296"/>
      <c r="T550" s="296"/>
      <c r="U550" s="296"/>
      <c r="V550" s="296"/>
      <c r="W550" s="296"/>
      <c r="X550" s="296"/>
      <c r="Y550" s="296"/>
      <c r="Z550" s="296"/>
      <c r="AA550" s="296"/>
      <c r="AB550" s="296"/>
      <c r="AC550" s="296"/>
      <c r="AD550" s="296"/>
      <c r="AE550" s="307"/>
      <c r="AF550" s="273"/>
      <c r="AG550" s="274"/>
    </row>
    <row r="551">
      <c r="A551" s="296"/>
      <c r="B551" s="269"/>
      <c r="C551" s="296"/>
      <c r="D551" s="296"/>
      <c r="E551" s="296"/>
      <c r="F551" s="296"/>
      <c r="G551" s="296"/>
      <c r="H551" s="296"/>
      <c r="I551" s="296"/>
      <c r="J551" s="296"/>
      <c r="K551" s="296"/>
      <c r="L551" s="296"/>
      <c r="M551" s="296"/>
      <c r="N551" s="296"/>
      <c r="O551" s="269"/>
      <c r="P551" s="269"/>
      <c r="Q551" s="269"/>
      <c r="R551" s="296"/>
      <c r="S551" s="296"/>
      <c r="T551" s="296"/>
      <c r="U551" s="296"/>
      <c r="V551" s="296"/>
      <c r="W551" s="296"/>
      <c r="X551" s="296"/>
      <c r="Y551" s="296"/>
      <c r="Z551" s="296"/>
      <c r="AA551" s="296"/>
      <c r="AB551" s="296"/>
      <c r="AC551" s="296"/>
      <c r="AD551" s="296"/>
      <c r="AE551" s="307"/>
      <c r="AF551" s="273"/>
      <c r="AG551" s="274"/>
    </row>
    <row r="552">
      <c r="A552" s="296"/>
      <c r="B552" s="269"/>
      <c r="C552" s="296"/>
      <c r="D552" s="296"/>
      <c r="E552" s="296"/>
      <c r="F552" s="296"/>
      <c r="G552" s="296"/>
      <c r="H552" s="296"/>
      <c r="I552" s="296"/>
      <c r="J552" s="296"/>
      <c r="K552" s="296"/>
      <c r="L552" s="296"/>
      <c r="M552" s="296"/>
      <c r="N552" s="296"/>
      <c r="O552" s="269"/>
      <c r="P552" s="269"/>
      <c r="Q552" s="269"/>
      <c r="R552" s="296"/>
      <c r="S552" s="296"/>
      <c r="T552" s="296"/>
      <c r="U552" s="296"/>
      <c r="V552" s="296"/>
      <c r="W552" s="296"/>
      <c r="X552" s="296"/>
      <c r="Y552" s="296"/>
      <c r="Z552" s="296"/>
      <c r="AA552" s="296"/>
      <c r="AB552" s="296"/>
      <c r="AC552" s="296"/>
      <c r="AD552" s="296"/>
      <c r="AE552" s="307"/>
      <c r="AF552" s="273"/>
      <c r="AG552" s="274"/>
    </row>
    <row r="553">
      <c r="A553" s="296"/>
      <c r="B553" s="269"/>
      <c r="C553" s="296"/>
      <c r="D553" s="296"/>
      <c r="E553" s="296"/>
      <c r="F553" s="296"/>
      <c r="G553" s="296"/>
      <c r="H553" s="296"/>
      <c r="I553" s="296"/>
      <c r="J553" s="296"/>
      <c r="K553" s="296"/>
      <c r="L553" s="296"/>
      <c r="M553" s="296"/>
      <c r="N553" s="296"/>
      <c r="O553" s="269"/>
      <c r="P553" s="269"/>
      <c r="Q553" s="269"/>
      <c r="R553" s="296"/>
      <c r="S553" s="296"/>
      <c r="T553" s="296"/>
      <c r="U553" s="296"/>
      <c r="V553" s="296"/>
      <c r="W553" s="296"/>
      <c r="X553" s="296"/>
      <c r="Y553" s="296"/>
      <c r="Z553" s="296"/>
      <c r="AA553" s="296"/>
      <c r="AB553" s="296"/>
      <c r="AC553" s="296"/>
      <c r="AD553" s="296"/>
      <c r="AE553" s="307"/>
      <c r="AF553" s="273"/>
      <c r="AG553" s="274"/>
    </row>
    <row r="554">
      <c r="A554" s="296"/>
      <c r="B554" s="269"/>
      <c r="C554" s="296"/>
      <c r="D554" s="296"/>
      <c r="E554" s="296"/>
      <c r="F554" s="296"/>
      <c r="G554" s="296"/>
      <c r="H554" s="296"/>
      <c r="I554" s="296"/>
      <c r="J554" s="296"/>
      <c r="K554" s="296"/>
      <c r="L554" s="296"/>
      <c r="M554" s="296"/>
      <c r="N554" s="296"/>
      <c r="O554" s="269"/>
      <c r="P554" s="269"/>
      <c r="Q554" s="269"/>
      <c r="R554" s="296"/>
      <c r="S554" s="296"/>
      <c r="T554" s="296"/>
      <c r="U554" s="296"/>
      <c r="V554" s="296"/>
      <c r="W554" s="296"/>
      <c r="X554" s="296"/>
      <c r="Y554" s="296"/>
      <c r="Z554" s="296"/>
      <c r="AA554" s="296"/>
      <c r="AB554" s="296"/>
      <c r="AC554" s="296"/>
      <c r="AD554" s="296"/>
      <c r="AE554" s="307"/>
      <c r="AF554" s="273"/>
      <c r="AG554" s="274"/>
    </row>
    <row r="555">
      <c r="A555" s="296"/>
      <c r="B555" s="269"/>
      <c r="C555" s="296"/>
      <c r="D555" s="296"/>
      <c r="E555" s="296"/>
      <c r="F555" s="296"/>
      <c r="G555" s="296"/>
      <c r="H555" s="296"/>
      <c r="I555" s="296"/>
      <c r="J555" s="296"/>
      <c r="K555" s="296"/>
      <c r="L555" s="296"/>
      <c r="M555" s="296"/>
      <c r="N555" s="296"/>
      <c r="O555" s="269"/>
      <c r="P555" s="269"/>
      <c r="Q555" s="269"/>
      <c r="R555" s="296"/>
      <c r="S555" s="296"/>
      <c r="T555" s="296"/>
      <c r="U555" s="296"/>
      <c r="V555" s="296"/>
      <c r="W555" s="296"/>
      <c r="X555" s="296"/>
      <c r="Y555" s="296"/>
      <c r="Z555" s="296"/>
      <c r="AA555" s="296"/>
      <c r="AB555" s="296"/>
      <c r="AC555" s="296"/>
      <c r="AD555" s="296"/>
      <c r="AE555" s="307"/>
      <c r="AF555" s="273"/>
      <c r="AG555" s="274"/>
    </row>
    <row r="556">
      <c r="A556" s="296"/>
      <c r="B556" s="269"/>
      <c r="C556" s="296"/>
      <c r="D556" s="296"/>
      <c r="E556" s="296"/>
      <c r="F556" s="296"/>
      <c r="G556" s="296"/>
      <c r="H556" s="296"/>
      <c r="I556" s="296"/>
      <c r="J556" s="296"/>
      <c r="K556" s="296"/>
      <c r="L556" s="296"/>
      <c r="M556" s="296"/>
      <c r="N556" s="296"/>
      <c r="O556" s="269"/>
      <c r="P556" s="269"/>
      <c r="Q556" s="269"/>
      <c r="R556" s="296"/>
      <c r="S556" s="296"/>
      <c r="T556" s="296"/>
      <c r="U556" s="296"/>
      <c r="V556" s="296"/>
      <c r="W556" s="296"/>
      <c r="X556" s="296"/>
      <c r="Y556" s="296"/>
      <c r="Z556" s="296"/>
      <c r="AA556" s="296"/>
      <c r="AB556" s="296"/>
      <c r="AC556" s="296"/>
      <c r="AD556" s="296"/>
      <c r="AE556" s="307"/>
      <c r="AF556" s="273"/>
      <c r="AG556" s="274"/>
    </row>
    <row r="557">
      <c r="A557" s="296"/>
      <c r="B557" s="269"/>
      <c r="C557" s="296"/>
      <c r="D557" s="296"/>
      <c r="E557" s="296"/>
      <c r="F557" s="296"/>
      <c r="G557" s="296"/>
      <c r="H557" s="296"/>
      <c r="I557" s="296"/>
      <c r="J557" s="296"/>
      <c r="K557" s="296"/>
      <c r="L557" s="296"/>
      <c r="M557" s="296"/>
      <c r="N557" s="296"/>
      <c r="O557" s="269"/>
      <c r="P557" s="269"/>
      <c r="Q557" s="269"/>
      <c r="R557" s="296"/>
      <c r="S557" s="296"/>
      <c r="T557" s="296"/>
      <c r="U557" s="296"/>
      <c r="V557" s="296"/>
      <c r="W557" s="296"/>
      <c r="X557" s="296"/>
      <c r="Y557" s="296"/>
      <c r="Z557" s="296"/>
      <c r="AA557" s="296"/>
      <c r="AB557" s="296"/>
      <c r="AC557" s="296"/>
      <c r="AD557" s="296"/>
      <c r="AE557" s="307"/>
      <c r="AF557" s="273"/>
      <c r="AG557" s="274"/>
    </row>
    <row r="558">
      <c r="A558" s="296"/>
      <c r="B558" s="269"/>
      <c r="C558" s="296"/>
      <c r="D558" s="296"/>
      <c r="E558" s="296"/>
      <c r="F558" s="296"/>
      <c r="G558" s="296"/>
      <c r="H558" s="296"/>
      <c r="I558" s="296"/>
      <c r="J558" s="296"/>
      <c r="K558" s="296"/>
      <c r="L558" s="296"/>
      <c r="M558" s="296"/>
      <c r="N558" s="296"/>
      <c r="O558" s="269"/>
      <c r="P558" s="269"/>
      <c r="Q558" s="269"/>
      <c r="R558" s="296"/>
      <c r="S558" s="296"/>
      <c r="T558" s="296"/>
      <c r="U558" s="296"/>
      <c r="V558" s="296"/>
      <c r="W558" s="296"/>
      <c r="X558" s="296"/>
      <c r="Y558" s="296"/>
      <c r="Z558" s="296"/>
      <c r="AA558" s="296"/>
      <c r="AB558" s="296"/>
      <c r="AC558" s="296"/>
      <c r="AD558" s="296"/>
      <c r="AE558" s="307"/>
      <c r="AF558" s="273"/>
      <c r="AG558" s="274"/>
    </row>
    <row r="559">
      <c r="A559" s="296"/>
      <c r="B559" s="269"/>
      <c r="C559" s="296"/>
      <c r="D559" s="296"/>
      <c r="E559" s="296"/>
      <c r="F559" s="296"/>
      <c r="G559" s="296"/>
      <c r="H559" s="296"/>
      <c r="I559" s="296"/>
      <c r="J559" s="296"/>
      <c r="K559" s="296"/>
      <c r="L559" s="296"/>
      <c r="M559" s="296"/>
      <c r="N559" s="296"/>
      <c r="O559" s="269"/>
      <c r="P559" s="269"/>
      <c r="Q559" s="269"/>
      <c r="R559" s="296"/>
      <c r="S559" s="296"/>
      <c r="T559" s="296"/>
      <c r="U559" s="296"/>
      <c r="V559" s="296"/>
      <c r="W559" s="296"/>
      <c r="X559" s="296"/>
      <c r="Y559" s="296"/>
      <c r="Z559" s="296"/>
      <c r="AA559" s="296"/>
      <c r="AB559" s="296"/>
      <c r="AC559" s="296"/>
      <c r="AD559" s="296"/>
      <c r="AE559" s="307"/>
      <c r="AF559" s="273"/>
      <c r="AG559" s="274"/>
    </row>
    <row r="560">
      <c r="A560" s="296"/>
      <c r="B560" s="269"/>
      <c r="C560" s="296"/>
      <c r="D560" s="296"/>
      <c r="E560" s="296"/>
      <c r="F560" s="296"/>
      <c r="G560" s="296"/>
      <c r="H560" s="296"/>
      <c r="I560" s="296"/>
      <c r="J560" s="296"/>
      <c r="K560" s="296"/>
      <c r="L560" s="296"/>
      <c r="M560" s="296"/>
      <c r="N560" s="296"/>
      <c r="O560" s="269"/>
      <c r="P560" s="269"/>
      <c r="Q560" s="269"/>
      <c r="R560" s="296"/>
      <c r="S560" s="296"/>
      <c r="T560" s="296"/>
      <c r="U560" s="296"/>
      <c r="V560" s="296"/>
      <c r="W560" s="296"/>
      <c r="X560" s="296"/>
      <c r="Y560" s="296"/>
      <c r="Z560" s="296"/>
      <c r="AA560" s="296"/>
      <c r="AB560" s="296"/>
      <c r="AC560" s="296"/>
      <c r="AD560" s="296"/>
      <c r="AE560" s="307"/>
      <c r="AF560" s="273"/>
      <c r="AG560" s="274"/>
    </row>
    <row r="561">
      <c r="A561" s="296"/>
      <c r="B561" s="269"/>
      <c r="C561" s="296"/>
      <c r="D561" s="296"/>
      <c r="E561" s="296"/>
      <c r="F561" s="296"/>
      <c r="G561" s="296"/>
      <c r="H561" s="296"/>
      <c r="I561" s="296"/>
      <c r="J561" s="296"/>
      <c r="K561" s="296"/>
      <c r="L561" s="296"/>
      <c r="M561" s="296"/>
      <c r="N561" s="296"/>
      <c r="O561" s="269"/>
      <c r="P561" s="269"/>
      <c r="Q561" s="269"/>
      <c r="R561" s="296"/>
      <c r="S561" s="296"/>
      <c r="T561" s="296"/>
      <c r="U561" s="296"/>
      <c r="V561" s="296"/>
      <c r="W561" s="296"/>
      <c r="X561" s="296"/>
      <c r="Y561" s="296"/>
      <c r="Z561" s="296"/>
      <c r="AA561" s="296"/>
      <c r="AB561" s="296"/>
      <c r="AC561" s="296"/>
      <c r="AD561" s="296"/>
      <c r="AE561" s="307"/>
      <c r="AF561" s="273"/>
      <c r="AG561" s="274"/>
    </row>
    <row r="562">
      <c r="A562" s="296"/>
      <c r="B562" s="269"/>
      <c r="C562" s="296"/>
      <c r="D562" s="296"/>
      <c r="E562" s="296"/>
      <c r="F562" s="296"/>
      <c r="G562" s="296"/>
      <c r="H562" s="296"/>
      <c r="I562" s="296"/>
      <c r="J562" s="296"/>
      <c r="K562" s="296"/>
      <c r="L562" s="296"/>
      <c r="M562" s="296"/>
      <c r="N562" s="296"/>
      <c r="O562" s="269"/>
      <c r="P562" s="269"/>
      <c r="Q562" s="269"/>
      <c r="R562" s="296"/>
      <c r="S562" s="296"/>
      <c r="T562" s="296"/>
      <c r="U562" s="296"/>
      <c r="V562" s="296"/>
      <c r="W562" s="296"/>
      <c r="X562" s="296"/>
      <c r="Y562" s="296"/>
      <c r="Z562" s="296"/>
      <c r="AA562" s="296"/>
      <c r="AB562" s="296"/>
      <c r="AC562" s="296"/>
      <c r="AD562" s="296"/>
      <c r="AE562" s="307"/>
      <c r="AF562" s="273"/>
      <c r="AG562" s="274"/>
    </row>
    <row r="563">
      <c r="A563" s="296"/>
      <c r="B563" s="269"/>
      <c r="C563" s="296"/>
      <c r="D563" s="296"/>
      <c r="E563" s="296"/>
      <c r="F563" s="296"/>
      <c r="G563" s="296"/>
      <c r="H563" s="296"/>
      <c r="I563" s="296"/>
      <c r="J563" s="296"/>
      <c r="K563" s="296"/>
      <c r="L563" s="296"/>
      <c r="M563" s="296"/>
      <c r="N563" s="296"/>
      <c r="O563" s="269"/>
      <c r="P563" s="269"/>
      <c r="Q563" s="269"/>
      <c r="R563" s="296"/>
      <c r="S563" s="296"/>
      <c r="T563" s="296"/>
      <c r="U563" s="296"/>
      <c r="V563" s="296"/>
      <c r="W563" s="296"/>
      <c r="X563" s="296"/>
      <c r="Y563" s="296"/>
      <c r="Z563" s="296"/>
      <c r="AA563" s="296"/>
      <c r="AB563" s="296"/>
      <c r="AC563" s="296"/>
      <c r="AD563" s="296"/>
      <c r="AE563" s="307"/>
      <c r="AF563" s="273"/>
      <c r="AG563" s="274"/>
    </row>
    <row r="564">
      <c r="A564" s="296"/>
      <c r="B564" s="269"/>
      <c r="C564" s="296"/>
      <c r="D564" s="296"/>
      <c r="E564" s="296"/>
      <c r="F564" s="296"/>
      <c r="G564" s="296"/>
      <c r="H564" s="296"/>
      <c r="I564" s="296"/>
      <c r="J564" s="296"/>
      <c r="K564" s="296"/>
      <c r="L564" s="296"/>
      <c r="M564" s="296"/>
      <c r="N564" s="296"/>
      <c r="O564" s="269"/>
      <c r="P564" s="269"/>
      <c r="Q564" s="269"/>
      <c r="R564" s="296"/>
      <c r="S564" s="296"/>
      <c r="T564" s="296"/>
      <c r="U564" s="296"/>
      <c r="V564" s="296"/>
      <c r="W564" s="296"/>
      <c r="X564" s="296"/>
      <c r="Y564" s="296"/>
      <c r="Z564" s="296"/>
      <c r="AA564" s="296"/>
      <c r="AB564" s="296"/>
      <c r="AC564" s="296"/>
      <c r="AD564" s="296"/>
      <c r="AE564" s="307"/>
      <c r="AF564" s="273"/>
      <c r="AG564" s="274"/>
    </row>
    <row r="565">
      <c r="A565" s="296"/>
      <c r="B565" s="269"/>
      <c r="C565" s="296"/>
      <c r="D565" s="296"/>
      <c r="E565" s="296"/>
      <c r="F565" s="296"/>
      <c r="G565" s="296"/>
      <c r="H565" s="296"/>
      <c r="I565" s="296"/>
      <c r="J565" s="296"/>
      <c r="K565" s="296"/>
      <c r="L565" s="296"/>
      <c r="M565" s="296"/>
      <c r="N565" s="296"/>
      <c r="O565" s="269"/>
      <c r="P565" s="269"/>
      <c r="Q565" s="269"/>
      <c r="R565" s="296"/>
      <c r="S565" s="296"/>
      <c r="T565" s="296"/>
      <c r="U565" s="296"/>
      <c r="V565" s="296"/>
      <c r="W565" s="296"/>
      <c r="X565" s="296"/>
      <c r="Y565" s="296"/>
      <c r="Z565" s="296"/>
      <c r="AA565" s="296"/>
      <c r="AB565" s="296"/>
      <c r="AC565" s="296"/>
      <c r="AD565" s="296"/>
      <c r="AE565" s="307"/>
      <c r="AF565" s="273"/>
      <c r="AG565" s="274"/>
    </row>
    <row r="566">
      <c r="A566" s="296"/>
      <c r="B566" s="269"/>
      <c r="C566" s="296"/>
      <c r="D566" s="296"/>
      <c r="E566" s="296"/>
      <c r="F566" s="296"/>
      <c r="G566" s="296"/>
      <c r="H566" s="296"/>
      <c r="I566" s="296"/>
      <c r="J566" s="296"/>
      <c r="K566" s="296"/>
      <c r="L566" s="296"/>
      <c r="M566" s="296"/>
      <c r="N566" s="296"/>
      <c r="O566" s="269"/>
      <c r="P566" s="269"/>
      <c r="Q566" s="269"/>
      <c r="R566" s="296"/>
      <c r="S566" s="296"/>
      <c r="T566" s="296"/>
      <c r="U566" s="296"/>
      <c r="V566" s="296"/>
      <c r="W566" s="296"/>
      <c r="X566" s="296"/>
      <c r="Y566" s="296"/>
      <c r="Z566" s="296"/>
      <c r="AA566" s="296"/>
      <c r="AB566" s="296"/>
      <c r="AC566" s="296"/>
      <c r="AD566" s="296"/>
      <c r="AE566" s="307"/>
      <c r="AF566" s="273"/>
      <c r="AG566" s="274"/>
    </row>
    <row r="567">
      <c r="A567" s="296"/>
      <c r="B567" s="269"/>
      <c r="C567" s="296"/>
      <c r="D567" s="296"/>
      <c r="E567" s="296"/>
      <c r="F567" s="296"/>
      <c r="G567" s="296"/>
      <c r="H567" s="296"/>
      <c r="I567" s="296"/>
      <c r="J567" s="296"/>
      <c r="K567" s="296"/>
      <c r="L567" s="296"/>
      <c r="M567" s="296"/>
      <c r="N567" s="296"/>
      <c r="O567" s="269"/>
      <c r="P567" s="269"/>
      <c r="Q567" s="269"/>
      <c r="R567" s="296"/>
      <c r="S567" s="296"/>
      <c r="T567" s="296"/>
      <c r="U567" s="296"/>
      <c r="V567" s="296"/>
      <c r="W567" s="296"/>
      <c r="X567" s="296"/>
      <c r="Y567" s="296"/>
      <c r="Z567" s="296"/>
      <c r="AA567" s="296"/>
      <c r="AB567" s="296"/>
      <c r="AC567" s="296"/>
      <c r="AD567" s="296"/>
      <c r="AE567" s="307"/>
      <c r="AF567" s="273"/>
      <c r="AG567" s="274"/>
    </row>
    <row r="568">
      <c r="A568" s="296"/>
      <c r="B568" s="269"/>
      <c r="C568" s="296"/>
      <c r="D568" s="296"/>
      <c r="E568" s="296"/>
      <c r="F568" s="296"/>
      <c r="G568" s="296"/>
      <c r="H568" s="296"/>
      <c r="I568" s="296"/>
      <c r="J568" s="296"/>
      <c r="K568" s="296"/>
      <c r="L568" s="296"/>
      <c r="M568" s="296"/>
      <c r="N568" s="296"/>
      <c r="O568" s="269"/>
      <c r="P568" s="269"/>
      <c r="Q568" s="269"/>
      <c r="R568" s="296"/>
      <c r="S568" s="296"/>
      <c r="T568" s="296"/>
      <c r="U568" s="296"/>
      <c r="V568" s="296"/>
      <c r="W568" s="296"/>
      <c r="X568" s="296"/>
      <c r="Y568" s="296"/>
      <c r="Z568" s="296"/>
      <c r="AA568" s="296"/>
      <c r="AB568" s="296"/>
      <c r="AC568" s="296"/>
      <c r="AD568" s="296"/>
      <c r="AE568" s="307"/>
      <c r="AF568" s="273"/>
      <c r="AG568" s="274"/>
    </row>
    <row r="569">
      <c r="A569" s="296"/>
      <c r="B569" s="269"/>
      <c r="C569" s="296"/>
      <c r="D569" s="296"/>
      <c r="E569" s="296"/>
      <c r="F569" s="296"/>
      <c r="G569" s="296"/>
      <c r="H569" s="296"/>
      <c r="I569" s="296"/>
      <c r="J569" s="296"/>
      <c r="K569" s="296"/>
      <c r="L569" s="296"/>
      <c r="M569" s="296"/>
      <c r="N569" s="296"/>
      <c r="O569" s="269"/>
      <c r="P569" s="269"/>
      <c r="Q569" s="269"/>
      <c r="R569" s="296"/>
      <c r="S569" s="296"/>
      <c r="T569" s="296"/>
      <c r="U569" s="296"/>
      <c r="V569" s="296"/>
      <c r="W569" s="296"/>
      <c r="X569" s="296"/>
      <c r="Y569" s="296"/>
      <c r="Z569" s="296"/>
      <c r="AA569" s="296"/>
      <c r="AB569" s="296"/>
      <c r="AC569" s="296"/>
      <c r="AD569" s="296"/>
      <c r="AE569" s="307"/>
      <c r="AF569" s="273"/>
      <c r="AG569" s="274"/>
    </row>
    <row r="570">
      <c r="A570" s="296"/>
      <c r="B570" s="269"/>
      <c r="C570" s="296"/>
      <c r="D570" s="296"/>
      <c r="E570" s="296"/>
      <c r="F570" s="296"/>
      <c r="G570" s="296"/>
      <c r="H570" s="296"/>
      <c r="I570" s="296"/>
      <c r="J570" s="296"/>
      <c r="K570" s="296"/>
      <c r="L570" s="296"/>
      <c r="M570" s="296"/>
      <c r="N570" s="296"/>
      <c r="O570" s="269"/>
      <c r="P570" s="269"/>
      <c r="Q570" s="269"/>
      <c r="R570" s="296"/>
      <c r="S570" s="296"/>
      <c r="T570" s="296"/>
      <c r="U570" s="296"/>
      <c r="V570" s="296"/>
      <c r="W570" s="296"/>
      <c r="X570" s="296"/>
      <c r="Y570" s="296"/>
      <c r="Z570" s="296"/>
      <c r="AA570" s="296"/>
      <c r="AB570" s="296"/>
      <c r="AC570" s="296"/>
      <c r="AD570" s="296"/>
      <c r="AE570" s="307"/>
      <c r="AF570" s="273"/>
      <c r="AG570" s="274"/>
    </row>
    <row r="571">
      <c r="A571" s="296"/>
      <c r="B571" s="269"/>
      <c r="C571" s="296"/>
      <c r="D571" s="296"/>
      <c r="E571" s="296"/>
      <c r="F571" s="296"/>
      <c r="G571" s="296"/>
      <c r="H571" s="296"/>
      <c r="I571" s="296"/>
      <c r="J571" s="296"/>
      <c r="K571" s="296"/>
      <c r="L571" s="296"/>
      <c r="M571" s="296"/>
      <c r="N571" s="296"/>
      <c r="O571" s="269"/>
      <c r="P571" s="269"/>
      <c r="Q571" s="269"/>
      <c r="R571" s="296"/>
      <c r="S571" s="296"/>
      <c r="T571" s="296"/>
      <c r="U571" s="296"/>
      <c r="V571" s="296"/>
      <c r="W571" s="296"/>
      <c r="X571" s="296"/>
      <c r="Y571" s="296"/>
      <c r="Z571" s="296"/>
      <c r="AA571" s="296"/>
      <c r="AB571" s="296"/>
      <c r="AC571" s="296"/>
      <c r="AD571" s="296"/>
      <c r="AE571" s="307"/>
      <c r="AF571" s="273"/>
      <c r="AG571" s="274"/>
    </row>
    <row r="572">
      <c r="A572" s="296"/>
      <c r="B572" s="269"/>
      <c r="C572" s="296"/>
      <c r="D572" s="296"/>
      <c r="E572" s="296"/>
      <c r="F572" s="296"/>
      <c r="G572" s="296"/>
      <c r="H572" s="296"/>
      <c r="I572" s="296"/>
      <c r="J572" s="296"/>
      <c r="K572" s="296"/>
      <c r="L572" s="296"/>
      <c r="M572" s="296"/>
      <c r="N572" s="296"/>
      <c r="O572" s="269"/>
      <c r="P572" s="269"/>
      <c r="Q572" s="269"/>
      <c r="R572" s="296"/>
      <c r="S572" s="296"/>
      <c r="T572" s="296"/>
      <c r="U572" s="296"/>
      <c r="V572" s="296"/>
      <c r="W572" s="296"/>
      <c r="X572" s="296"/>
      <c r="Y572" s="296"/>
      <c r="Z572" s="296"/>
      <c r="AA572" s="296"/>
      <c r="AB572" s="296"/>
      <c r="AC572" s="296"/>
      <c r="AD572" s="296"/>
      <c r="AE572" s="307"/>
      <c r="AF572" s="273"/>
      <c r="AG572" s="274"/>
    </row>
    <row r="573">
      <c r="A573" s="296"/>
      <c r="B573" s="269"/>
      <c r="C573" s="296"/>
      <c r="D573" s="296"/>
      <c r="E573" s="296"/>
      <c r="F573" s="296"/>
      <c r="G573" s="296"/>
      <c r="H573" s="296"/>
      <c r="I573" s="296"/>
      <c r="J573" s="296"/>
      <c r="K573" s="296"/>
      <c r="L573" s="296"/>
      <c r="M573" s="296"/>
      <c r="N573" s="296"/>
      <c r="O573" s="269"/>
      <c r="P573" s="269"/>
      <c r="Q573" s="269"/>
      <c r="R573" s="296"/>
      <c r="S573" s="296"/>
      <c r="T573" s="296"/>
      <c r="U573" s="296"/>
      <c r="V573" s="296"/>
      <c r="W573" s="296"/>
      <c r="X573" s="296"/>
      <c r="Y573" s="296"/>
      <c r="Z573" s="296"/>
      <c r="AA573" s="296"/>
      <c r="AB573" s="296"/>
      <c r="AC573" s="296"/>
      <c r="AD573" s="296"/>
      <c r="AE573" s="307"/>
      <c r="AF573" s="273"/>
      <c r="AG573" s="274"/>
    </row>
    <row r="574">
      <c r="A574" s="296"/>
      <c r="B574" s="269"/>
      <c r="C574" s="296"/>
      <c r="D574" s="296"/>
      <c r="E574" s="296"/>
      <c r="F574" s="296"/>
      <c r="G574" s="296"/>
      <c r="H574" s="296"/>
      <c r="I574" s="296"/>
      <c r="J574" s="296"/>
      <c r="K574" s="296"/>
      <c r="L574" s="296"/>
      <c r="M574" s="296"/>
      <c r="N574" s="296"/>
      <c r="O574" s="269"/>
      <c r="P574" s="269"/>
      <c r="Q574" s="269"/>
      <c r="R574" s="296"/>
      <c r="S574" s="296"/>
      <c r="T574" s="296"/>
      <c r="U574" s="296"/>
      <c r="V574" s="296"/>
      <c r="W574" s="296"/>
      <c r="X574" s="296"/>
      <c r="Y574" s="296"/>
      <c r="Z574" s="296"/>
      <c r="AA574" s="296"/>
      <c r="AB574" s="296"/>
      <c r="AC574" s="296"/>
      <c r="AD574" s="296"/>
      <c r="AE574" s="307"/>
      <c r="AF574" s="273"/>
      <c r="AG574" s="274"/>
    </row>
    <row r="575">
      <c r="A575" s="296"/>
      <c r="B575" s="269"/>
      <c r="C575" s="296"/>
      <c r="D575" s="296"/>
      <c r="E575" s="296"/>
      <c r="F575" s="296"/>
      <c r="G575" s="296"/>
      <c r="H575" s="296"/>
      <c r="I575" s="296"/>
      <c r="J575" s="296"/>
      <c r="K575" s="296"/>
      <c r="L575" s="296"/>
      <c r="M575" s="296"/>
      <c r="N575" s="296"/>
      <c r="O575" s="269"/>
      <c r="P575" s="269"/>
      <c r="Q575" s="269"/>
      <c r="R575" s="296"/>
      <c r="S575" s="296"/>
      <c r="T575" s="296"/>
      <c r="U575" s="296"/>
      <c r="V575" s="296"/>
      <c r="W575" s="296"/>
      <c r="X575" s="296"/>
      <c r="Y575" s="296"/>
      <c r="Z575" s="296"/>
      <c r="AA575" s="296"/>
      <c r="AB575" s="296"/>
      <c r="AC575" s="296"/>
      <c r="AD575" s="296"/>
      <c r="AE575" s="307"/>
      <c r="AF575" s="273"/>
      <c r="AG575" s="274"/>
    </row>
    <row r="576">
      <c r="A576" s="296"/>
      <c r="B576" s="269"/>
      <c r="C576" s="296"/>
      <c r="D576" s="296"/>
      <c r="E576" s="296"/>
      <c r="F576" s="296"/>
      <c r="G576" s="296"/>
      <c r="H576" s="296"/>
      <c r="I576" s="296"/>
      <c r="J576" s="296"/>
      <c r="K576" s="296"/>
      <c r="L576" s="296"/>
      <c r="M576" s="296"/>
      <c r="N576" s="296"/>
      <c r="O576" s="269"/>
      <c r="P576" s="269"/>
      <c r="Q576" s="269"/>
      <c r="R576" s="296"/>
      <c r="S576" s="296"/>
      <c r="T576" s="296"/>
      <c r="U576" s="296"/>
      <c r="V576" s="296"/>
      <c r="W576" s="296"/>
      <c r="X576" s="296"/>
      <c r="Y576" s="296"/>
      <c r="Z576" s="296"/>
      <c r="AA576" s="296"/>
      <c r="AB576" s="296"/>
      <c r="AC576" s="296"/>
      <c r="AD576" s="296"/>
      <c r="AE576" s="307"/>
      <c r="AF576" s="273"/>
      <c r="AG576" s="274"/>
    </row>
    <row r="577">
      <c r="A577" s="296"/>
      <c r="B577" s="269"/>
      <c r="C577" s="296"/>
      <c r="D577" s="296"/>
      <c r="E577" s="296"/>
      <c r="F577" s="296"/>
      <c r="G577" s="296"/>
      <c r="H577" s="296"/>
      <c r="I577" s="296"/>
      <c r="J577" s="296"/>
      <c r="K577" s="296"/>
      <c r="L577" s="296"/>
      <c r="M577" s="296"/>
      <c r="N577" s="296"/>
      <c r="O577" s="269"/>
      <c r="P577" s="269"/>
      <c r="Q577" s="269"/>
      <c r="R577" s="296"/>
      <c r="S577" s="296"/>
      <c r="T577" s="296"/>
      <c r="U577" s="296"/>
      <c r="V577" s="296"/>
      <c r="W577" s="296"/>
      <c r="X577" s="296"/>
      <c r="Y577" s="296"/>
      <c r="Z577" s="296"/>
      <c r="AA577" s="296"/>
      <c r="AB577" s="296"/>
      <c r="AC577" s="296"/>
      <c r="AD577" s="296"/>
      <c r="AE577" s="307"/>
      <c r="AF577" s="273"/>
      <c r="AG577" s="274"/>
    </row>
    <row r="578">
      <c r="A578" s="296"/>
      <c r="B578" s="269"/>
      <c r="C578" s="296"/>
      <c r="D578" s="296"/>
      <c r="E578" s="296"/>
      <c r="F578" s="296"/>
      <c r="G578" s="296"/>
      <c r="H578" s="296"/>
      <c r="I578" s="296"/>
      <c r="J578" s="296"/>
      <c r="K578" s="296"/>
      <c r="L578" s="296"/>
      <c r="M578" s="296"/>
      <c r="N578" s="296"/>
      <c r="O578" s="269"/>
      <c r="P578" s="269"/>
      <c r="Q578" s="269"/>
      <c r="R578" s="296"/>
      <c r="S578" s="296"/>
      <c r="T578" s="296"/>
      <c r="U578" s="296"/>
      <c r="V578" s="296"/>
      <c r="W578" s="296"/>
      <c r="X578" s="296"/>
      <c r="Y578" s="296"/>
      <c r="Z578" s="296"/>
      <c r="AA578" s="296"/>
      <c r="AB578" s="296"/>
      <c r="AC578" s="296"/>
      <c r="AD578" s="296"/>
      <c r="AE578" s="307"/>
      <c r="AF578" s="273"/>
      <c r="AG578" s="274"/>
    </row>
    <row r="579">
      <c r="A579" s="296"/>
      <c r="B579" s="269"/>
      <c r="C579" s="296"/>
      <c r="D579" s="296"/>
      <c r="E579" s="296"/>
      <c r="F579" s="296"/>
      <c r="G579" s="296"/>
      <c r="H579" s="296"/>
      <c r="I579" s="296"/>
      <c r="J579" s="296"/>
      <c r="K579" s="296"/>
      <c r="L579" s="296"/>
      <c r="M579" s="296"/>
      <c r="N579" s="296"/>
      <c r="O579" s="269"/>
      <c r="P579" s="269"/>
      <c r="Q579" s="269"/>
      <c r="R579" s="296"/>
      <c r="S579" s="296"/>
      <c r="T579" s="296"/>
      <c r="U579" s="296"/>
      <c r="V579" s="296"/>
      <c r="W579" s="296"/>
      <c r="X579" s="296"/>
      <c r="Y579" s="296"/>
      <c r="Z579" s="296"/>
      <c r="AA579" s="296"/>
      <c r="AB579" s="296"/>
      <c r="AC579" s="296"/>
      <c r="AD579" s="296"/>
      <c r="AE579" s="307"/>
      <c r="AF579" s="273"/>
      <c r="AG579" s="274"/>
    </row>
    <row r="580">
      <c r="A580" s="296"/>
      <c r="B580" s="269"/>
      <c r="C580" s="296"/>
      <c r="D580" s="296"/>
      <c r="E580" s="296"/>
      <c r="F580" s="296"/>
      <c r="G580" s="296"/>
      <c r="H580" s="296"/>
      <c r="I580" s="296"/>
      <c r="J580" s="296"/>
      <c r="K580" s="296"/>
      <c r="L580" s="296"/>
      <c r="M580" s="296"/>
      <c r="N580" s="296"/>
      <c r="O580" s="269"/>
      <c r="P580" s="269"/>
      <c r="Q580" s="269"/>
      <c r="R580" s="296"/>
      <c r="S580" s="296"/>
      <c r="T580" s="296"/>
      <c r="U580" s="296"/>
      <c r="V580" s="296"/>
      <c r="W580" s="296"/>
      <c r="X580" s="296"/>
      <c r="Y580" s="296"/>
      <c r="Z580" s="296"/>
      <c r="AA580" s="296"/>
      <c r="AB580" s="296"/>
      <c r="AC580" s="296"/>
      <c r="AD580" s="296"/>
      <c r="AE580" s="307"/>
      <c r="AF580" s="273"/>
      <c r="AG580" s="274"/>
    </row>
    <row r="581">
      <c r="A581" s="296"/>
      <c r="B581" s="269"/>
      <c r="C581" s="296"/>
      <c r="D581" s="296"/>
      <c r="E581" s="296"/>
      <c r="F581" s="296"/>
      <c r="G581" s="296"/>
      <c r="H581" s="296"/>
      <c r="I581" s="296"/>
      <c r="J581" s="296"/>
      <c r="K581" s="296"/>
      <c r="L581" s="296"/>
      <c r="M581" s="296"/>
      <c r="N581" s="296"/>
      <c r="O581" s="269"/>
      <c r="P581" s="269"/>
      <c r="Q581" s="269"/>
      <c r="R581" s="296"/>
      <c r="S581" s="296"/>
      <c r="T581" s="296"/>
      <c r="U581" s="296"/>
      <c r="V581" s="296"/>
      <c r="W581" s="296"/>
      <c r="X581" s="296"/>
      <c r="Y581" s="296"/>
      <c r="Z581" s="296"/>
      <c r="AA581" s="296"/>
      <c r="AB581" s="296"/>
      <c r="AC581" s="296"/>
      <c r="AD581" s="296"/>
      <c r="AE581" s="307"/>
      <c r="AF581" s="273"/>
      <c r="AG581" s="274"/>
    </row>
    <row r="582">
      <c r="A582" s="296"/>
      <c r="B582" s="269"/>
      <c r="C582" s="296"/>
      <c r="D582" s="296"/>
      <c r="E582" s="296"/>
      <c r="F582" s="296"/>
      <c r="G582" s="296"/>
      <c r="H582" s="296"/>
      <c r="I582" s="296"/>
      <c r="J582" s="296"/>
      <c r="K582" s="296"/>
      <c r="L582" s="296"/>
      <c r="M582" s="296"/>
      <c r="N582" s="296"/>
      <c r="O582" s="269"/>
      <c r="P582" s="269"/>
      <c r="Q582" s="269"/>
      <c r="R582" s="296"/>
      <c r="S582" s="296"/>
      <c r="T582" s="296"/>
      <c r="U582" s="296"/>
      <c r="V582" s="296"/>
      <c r="W582" s="296"/>
      <c r="X582" s="296"/>
      <c r="Y582" s="296"/>
      <c r="Z582" s="296"/>
      <c r="AA582" s="296"/>
      <c r="AB582" s="296"/>
      <c r="AC582" s="296"/>
      <c r="AD582" s="296"/>
      <c r="AE582" s="307"/>
      <c r="AF582" s="273"/>
      <c r="AG582" s="274"/>
    </row>
    <row r="583">
      <c r="A583" s="296"/>
      <c r="B583" s="269"/>
      <c r="C583" s="296"/>
      <c r="D583" s="296"/>
      <c r="E583" s="296"/>
      <c r="F583" s="296"/>
      <c r="G583" s="296"/>
      <c r="H583" s="296"/>
      <c r="I583" s="296"/>
      <c r="J583" s="296"/>
      <c r="K583" s="296"/>
      <c r="L583" s="296"/>
      <c r="M583" s="296"/>
      <c r="N583" s="296"/>
      <c r="O583" s="269"/>
      <c r="P583" s="269"/>
      <c r="Q583" s="269"/>
      <c r="R583" s="296"/>
      <c r="S583" s="296"/>
      <c r="T583" s="296"/>
      <c r="U583" s="296"/>
      <c r="V583" s="296"/>
      <c r="W583" s="296"/>
      <c r="X583" s="296"/>
      <c r="Y583" s="296"/>
      <c r="Z583" s="296"/>
      <c r="AA583" s="296"/>
      <c r="AB583" s="296"/>
      <c r="AC583" s="296"/>
      <c r="AD583" s="296"/>
      <c r="AE583" s="307"/>
      <c r="AF583" s="273"/>
      <c r="AG583" s="274"/>
    </row>
    <row r="584">
      <c r="A584" s="296"/>
      <c r="B584" s="269"/>
      <c r="C584" s="296"/>
      <c r="D584" s="296"/>
      <c r="E584" s="296"/>
      <c r="F584" s="296"/>
      <c r="G584" s="296"/>
      <c r="H584" s="296"/>
      <c r="I584" s="296"/>
      <c r="J584" s="296"/>
      <c r="K584" s="296"/>
      <c r="L584" s="296"/>
      <c r="M584" s="296"/>
      <c r="N584" s="296"/>
      <c r="O584" s="269"/>
      <c r="P584" s="269"/>
      <c r="Q584" s="269"/>
      <c r="R584" s="296"/>
      <c r="S584" s="296"/>
      <c r="T584" s="296"/>
      <c r="U584" s="296"/>
      <c r="V584" s="296"/>
      <c r="W584" s="296"/>
      <c r="X584" s="296"/>
      <c r="Y584" s="296"/>
      <c r="Z584" s="296"/>
      <c r="AA584" s="296"/>
      <c r="AB584" s="296"/>
      <c r="AC584" s="296"/>
      <c r="AD584" s="296"/>
      <c r="AE584" s="307"/>
      <c r="AF584" s="273"/>
      <c r="AG584" s="274"/>
    </row>
    <row r="585">
      <c r="A585" s="296"/>
      <c r="B585" s="269"/>
      <c r="C585" s="296"/>
      <c r="D585" s="296"/>
      <c r="E585" s="296"/>
      <c r="F585" s="296"/>
      <c r="G585" s="296"/>
      <c r="H585" s="296"/>
      <c r="I585" s="296"/>
      <c r="J585" s="296"/>
      <c r="K585" s="296"/>
      <c r="L585" s="296"/>
      <c r="M585" s="296"/>
      <c r="N585" s="296"/>
      <c r="O585" s="269"/>
      <c r="P585" s="269"/>
      <c r="Q585" s="269"/>
      <c r="R585" s="296"/>
      <c r="S585" s="296"/>
      <c r="T585" s="296"/>
      <c r="U585" s="296"/>
      <c r="V585" s="296"/>
      <c r="W585" s="296"/>
      <c r="X585" s="296"/>
      <c r="Y585" s="296"/>
      <c r="Z585" s="296"/>
      <c r="AA585" s="296"/>
      <c r="AB585" s="296"/>
      <c r="AC585" s="296"/>
      <c r="AD585" s="296"/>
      <c r="AE585" s="307"/>
      <c r="AF585" s="273"/>
      <c r="AG585" s="274"/>
    </row>
    <row r="586">
      <c r="A586" s="296"/>
      <c r="B586" s="269"/>
      <c r="C586" s="296"/>
      <c r="D586" s="296"/>
      <c r="E586" s="296"/>
      <c r="F586" s="296"/>
      <c r="G586" s="296"/>
      <c r="H586" s="296"/>
      <c r="I586" s="296"/>
      <c r="J586" s="296"/>
      <c r="K586" s="296"/>
      <c r="L586" s="296"/>
      <c r="M586" s="296"/>
      <c r="N586" s="296"/>
      <c r="O586" s="269"/>
      <c r="P586" s="269"/>
      <c r="Q586" s="269"/>
      <c r="R586" s="296"/>
      <c r="S586" s="296"/>
      <c r="T586" s="296"/>
      <c r="U586" s="296"/>
      <c r="V586" s="296"/>
      <c r="W586" s="296"/>
      <c r="X586" s="296"/>
      <c r="Y586" s="296"/>
      <c r="Z586" s="296"/>
      <c r="AA586" s="296"/>
      <c r="AB586" s="296"/>
      <c r="AC586" s="296"/>
      <c r="AD586" s="296"/>
      <c r="AE586" s="307"/>
      <c r="AF586" s="273"/>
      <c r="AG586" s="274"/>
    </row>
    <row r="587">
      <c r="A587" s="296"/>
      <c r="B587" s="269"/>
      <c r="C587" s="296"/>
      <c r="D587" s="296"/>
      <c r="E587" s="296"/>
      <c r="F587" s="296"/>
      <c r="G587" s="296"/>
      <c r="H587" s="296"/>
      <c r="I587" s="296"/>
      <c r="J587" s="296"/>
      <c r="K587" s="296"/>
      <c r="L587" s="296"/>
      <c r="M587" s="296"/>
      <c r="N587" s="296"/>
      <c r="O587" s="269"/>
      <c r="P587" s="269"/>
      <c r="Q587" s="269"/>
      <c r="R587" s="296"/>
      <c r="S587" s="296"/>
      <c r="T587" s="296"/>
      <c r="U587" s="296"/>
      <c r="V587" s="296"/>
      <c r="W587" s="296"/>
      <c r="X587" s="296"/>
      <c r="Y587" s="296"/>
      <c r="Z587" s="296"/>
      <c r="AA587" s="296"/>
      <c r="AB587" s="296"/>
      <c r="AC587" s="296"/>
      <c r="AD587" s="296"/>
      <c r="AE587" s="307"/>
      <c r="AF587" s="273"/>
      <c r="AG587" s="274"/>
    </row>
    <row r="588">
      <c r="A588" s="296"/>
      <c r="B588" s="269"/>
      <c r="C588" s="296"/>
      <c r="D588" s="296"/>
      <c r="E588" s="296"/>
      <c r="F588" s="296"/>
      <c r="G588" s="296"/>
      <c r="H588" s="296"/>
      <c r="I588" s="296"/>
      <c r="J588" s="296"/>
      <c r="K588" s="296"/>
      <c r="L588" s="296"/>
      <c r="M588" s="296"/>
      <c r="N588" s="296"/>
      <c r="O588" s="269"/>
      <c r="P588" s="269"/>
      <c r="Q588" s="269"/>
      <c r="R588" s="296"/>
      <c r="S588" s="296"/>
      <c r="T588" s="296"/>
      <c r="U588" s="296"/>
      <c r="V588" s="296"/>
      <c r="W588" s="296"/>
      <c r="X588" s="296"/>
      <c r="Y588" s="296"/>
      <c r="Z588" s="296"/>
      <c r="AA588" s="296"/>
      <c r="AB588" s="296"/>
      <c r="AC588" s="296"/>
      <c r="AD588" s="296"/>
      <c r="AE588" s="307"/>
      <c r="AF588" s="273"/>
      <c r="AG588" s="274"/>
    </row>
    <row r="589">
      <c r="A589" s="296"/>
      <c r="B589" s="269"/>
      <c r="C589" s="296"/>
      <c r="D589" s="296"/>
      <c r="E589" s="296"/>
      <c r="F589" s="296"/>
      <c r="G589" s="296"/>
      <c r="H589" s="296"/>
      <c r="I589" s="296"/>
      <c r="J589" s="296"/>
      <c r="K589" s="296"/>
      <c r="L589" s="296"/>
      <c r="M589" s="296"/>
      <c r="N589" s="296"/>
      <c r="O589" s="269"/>
      <c r="P589" s="269"/>
      <c r="Q589" s="269"/>
      <c r="R589" s="296"/>
      <c r="S589" s="296"/>
      <c r="T589" s="296"/>
      <c r="U589" s="296"/>
      <c r="V589" s="296"/>
      <c r="W589" s="296"/>
      <c r="X589" s="296"/>
      <c r="Y589" s="296"/>
      <c r="Z589" s="296"/>
      <c r="AA589" s="296"/>
      <c r="AB589" s="296"/>
      <c r="AC589" s="296"/>
      <c r="AD589" s="296"/>
      <c r="AE589" s="307"/>
      <c r="AF589" s="273"/>
      <c r="AG589" s="274"/>
    </row>
    <row r="590">
      <c r="A590" s="296"/>
      <c r="B590" s="269"/>
      <c r="C590" s="296"/>
      <c r="D590" s="296"/>
      <c r="E590" s="296"/>
      <c r="F590" s="296"/>
      <c r="G590" s="296"/>
      <c r="H590" s="296"/>
      <c r="I590" s="296"/>
      <c r="J590" s="296"/>
      <c r="K590" s="296"/>
      <c r="L590" s="296"/>
      <c r="M590" s="296"/>
      <c r="N590" s="296"/>
      <c r="O590" s="269"/>
      <c r="P590" s="269"/>
      <c r="Q590" s="269"/>
      <c r="R590" s="296"/>
      <c r="S590" s="296"/>
      <c r="T590" s="296"/>
      <c r="U590" s="296"/>
      <c r="V590" s="296"/>
      <c r="W590" s="296"/>
      <c r="X590" s="296"/>
      <c r="Y590" s="296"/>
      <c r="Z590" s="296"/>
      <c r="AA590" s="296"/>
      <c r="AB590" s="296"/>
      <c r="AC590" s="296"/>
      <c r="AD590" s="296"/>
      <c r="AE590" s="307"/>
      <c r="AF590" s="273"/>
      <c r="AG590" s="274"/>
    </row>
    <row r="591">
      <c r="A591" s="296"/>
      <c r="B591" s="269"/>
      <c r="C591" s="296"/>
      <c r="D591" s="296"/>
      <c r="E591" s="296"/>
      <c r="F591" s="296"/>
      <c r="G591" s="296"/>
      <c r="H591" s="296"/>
      <c r="I591" s="296"/>
      <c r="J591" s="296"/>
      <c r="K591" s="296"/>
      <c r="L591" s="296"/>
      <c r="M591" s="296"/>
      <c r="N591" s="296"/>
      <c r="O591" s="269"/>
      <c r="P591" s="269"/>
      <c r="Q591" s="269"/>
      <c r="R591" s="296"/>
      <c r="S591" s="296"/>
      <c r="T591" s="296"/>
      <c r="U591" s="296"/>
      <c r="V591" s="296"/>
      <c r="W591" s="296"/>
      <c r="X591" s="296"/>
      <c r="Y591" s="296"/>
      <c r="Z591" s="296"/>
      <c r="AA591" s="296"/>
      <c r="AB591" s="296"/>
      <c r="AC591" s="296"/>
      <c r="AD591" s="296"/>
      <c r="AE591" s="307"/>
      <c r="AF591" s="273"/>
      <c r="AG591" s="274"/>
    </row>
    <row r="592">
      <c r="A592" s="296"/>
      <c r="B592" s="269"/>
      <c r="C592" s="296"/>
      <c r="D592" s="296"/>
      <c r="E592" s="296"/>
      <c r="F592" s="296"/>
      <c r="G592" s="296"/>
      <c r="H592" s="296"/>
      <c r="I592" s="296"/>
      <c r="J592" s="296"/>
      <c r="K592" s="296"/>
      <c r="L592" s="296"/>
      <c r="M592" s="296"/>
      <c r="N592" s="296"/>
      <c r="O592" s="269"/>
      <c r="P592" s="269"/>
      <c r="Q592" s="269"/>
      <c r="R592" s="296"/>
      <c r="S592" s="296"/>
      <c r="T592" s="296"/>
      <c r="U592" s="296"/>
      <c r="V592" s="296"/>
      <c r="W592" s="296"/>
      <c r="X592" s="296"/>
      <c r="Y592" s="296"/>
      <c r="Z592" s="296"/>
      <c r="AA592" s="296"/>
      <c r="AB592" s="296"/>
      <c r="AC592" s="296"/>
      <c r="AD592" s="296"/>
      <c r="AE592" s="307"/>
      <c r="AF592" s="273"/>
      <c r="AG592" s="274"/>
    </row>
    <row r="593">
      <c r="A593" s="296"/>
      <c r="B593" s="269"/>
      <c r="C593" s="296"/>
      <c r="D593" s="296"/>
      <c r="E593" s="296"/>
      <c r="F593" s="296"/>
      <c r="G593" s="296"/>
      <c r="H593" s="296"/>
      <c r="I593" s="296"/>
      <c r="J593" s="296"/>
      <c r="K593" s="296"/>
      <c r="L593" s="296"/>
      <c r="M593" s="296"/>
      <c r="N593" s="296"/>
      <c r="O593" s="269"/>
      <c r="P593" s="269"/>
      <c r="Q593" s="269"/>
      <c r="R593" s="296"/>
      <c r="S593" s="296"/>
      <c r="T593" s="296"/>
      <c r="U593" s="296"/>
      <c r="V593" s="296"/>
      <c r="W593" s="296"/>
      <c r="X593" s="296"/>
      <c r="Y593" s="296"/>
      <c r="Z593" s="296"/>
      <c r="AA593" s="296"/>
      <c r="AB593" s="296"/>
      <c r="AC593" s="296"/>
      <c r="AD593" s="296"/>
      <c r="AE593" s="307"/>
      <c r="AF593" s="273"/>
      <c r="AG593" s="274"/>
    </row>
    <row r="594">
      <c r="A594" s="296"/>
      <c r="B594" s="269"/>
      <c r="C594" s="296"/>
      <c r="D594" s="296"/>
      <c r="E594" s="296"/>
      <c r="F594" s="296"/>
      <c r="G594" s="296"/>
      <c r="H594" s="296"/>
      <c r="I594" s="296"/>
      <c r="J594" s="296"/>
      <c r="K594" s="296"/>
      <c r="L594" s="296"/>
      <c r="M594" s="296"/>
      <c r="N594" s="296"/>
      <c r="O594" s="269"/>
      <c r="P594" s="269"/>
      <c r="Q594" s="269"/>
      <c r="R594" s="296"/>
      <c r="S594" s="296"/>
      <c r="T594" s="296"/>
      <c r="U594" s="296"/>
      <c r="V594" s="296"/>
      <c r="W594" s="296"/>
      <c r="X594" s="296"/>
      <c r="Y594" s="296"/>
      <c r="Z594" s="296"/>
      <c r="AA594" s="296"/>
      <c r="AB594" s="296"/>
      <c r="AC594" s="296"/>
      <c r="AD594" s="296"/>
      <c r="AE594" s="307"/>
      <c r="AF594" s="273"/>
      <c r="AG594" s="274"/>
    </row>
    <row r="595">
      <c r="A595" s="296"/>
      <c r="B595" s="269"/>
      <c r="C595" s="296"/>
      <c r="D595" s="296"/>
      <c r="E595" s="296"/>
      <c r="F595" s="296"/>
      <c r="G595" s="296"/>
      <c r="H595" s="296"/>
      <c r="I595" s="296"/>
      <c r="J595" s="296"/>
      <c r="K595" s="296"/>
      <c r="L595" s="296"/>
      <c r="M595" s="296"/>
      <c r="N595" s="296"/>
      <c r="O595" s="269"/>
      <c r="P595" s="269"/>
      <c r="Q595" s="269"/>
      <c r="R595" s="296"/>
      <c r="S595" s="296"/>
      <c r="T595" s="296"/>
      <c r="U595" s="296"/>
      <c r="V595" s="296"/>
      <c r="W595" s="296"/>
      <c r="X595" s="296"/>
      <c r="Y595" s="296"/>
      <c r="Z595" s="296"/>
      <c r="AA595" s="296"/>
      <c r="AB595" s="296"/>
      <c r="AC595" s="296"/>
      <c r="AD595" s="296"/>
      <c r="AE595" s="307"/>
      <c r="AF595" s="273"/>
      <c r="AG595" s="274"/>
    </row>
    <row r="596">
      <c r="A596" s="296"/>
      <c r="B596" s="269"/>
      <c r="C596" s="296"/>
      <c r="D596" s="296"/>
      <c r="E596" s="296"/>
      <c r="F596" s="296"/>
      <c r="G596" s="296"/>
      <c r="H596" s="296"/>
      <c r="I596" s="296"/>
      <c r="J596" s="296"/>
      <c r="K596" s="296"/>
      <c r="L596" s="296"/>
      <c r="M596" s="296"/>
      <c r="N596" s="296"/>
      <c r="O596" s="269"/>
      <c r="P596" s="269"/>
      <c r="Q596" s="269"/>
      <c r="R596" s="296"/>
      <c r="S596" s="296"/>
      <c r="T596" s="296"/>
      <c r="U596" s="296"/>
      <c r="V596" s="296"/>
      <c r="W596" s="296"/>
      <c r="X596" s="296"/>
      <c r="Y596" s="296"/>
      <c r="Z596" s="296"/>
      <c r="AA596" s="296"/>
      <c r="AB596" s="296"/>
      <c r="AC596" s="296"/>
      <c r="AD596" s="296"/>
      <c r="AE596" s="307"/>
      <c r="AF596" s="273"/>
      <c r="AG596" s="274"/>
    </row>
    <row r="597">
      <c r="A597" s="296"/>
      <c r="B597" s="269"/>
      <c r="C597" s="296"/>
      <c r="D597" s="296"/>
      <c r="E597" s="296"/>
      <c r="F597" s="296"/>
      <c r="G597" s="296"/>
      <c r="H597" s="296"/>
      <c r="I597" s="296"/>
      <c r="J597" s="296"/>
      <c r="K597" s="296"/>
      <c r="L597" s="296"/>
      <c r="M597" s="296"/>
      <c r="N597" s="296"/>
      <c r="O597" s="269"/>
      <c r="P597" s="269"/>
      <c r="Q597" s="269"/>
      <c r="R597" s="296"/>
      <c r="S597" s="296"/>
      <c r="T597" s="296"/>
      <c r="U597" s="296"/>
      <c r="V597" s="296"/>
      <c r="W597" s="296"/>
      <c r="X597" s="296"/>
      <c r="Y597" s="296"/>
      <c r="Z597" s="296"/>
      <c r="AA597" s="296"/>
      <c r="AB597" s="296"/>
      <c r="AC597" s="296"/>
      <c r="AD597" s="296"/>
      <c r="AE597" s="307"/>
      <c r="AF597" s="273"/>
      <c r="AG597" s="274"/>
    </row>
    <row r="598">
      <c r="A598" s="296"/>
      <c r="B598" s="269"/>
      <c r="C598" s="296"/>
      <c r="D598" s="296"/>
      <c r="E598" s="296"/>
      <c r="F598" s="296"/>
      <c r="G598" s="296"/>
      <c r="H598" s="296"/>
      <c r="I598" s="296"/>
      <c r="J598" s="296"/>
      <c r="K598" s="296"/>
      <c r="L598" s="296"/>
      <c r="M598" s="296"/>
      <c r="N598" s="296"/>
      <c r="O598" s="269"/>
      <c r="P598" s="269"/>
      <c r="Q598" s="269"/>
      <c r="R598" s="296"/>
      <c r="S598" s="296"/>
      <c r="T598" s="296"/>
      <c r="U598" s="296"/>
      <c r="V598" s="296"/>
      <c r="W598" s="296"/>
      <c r="X598" s="296"/>
      <c r="Y598" s="296"/>
      <c r="Z598" s="296"/>
      <c r="AA598" s="296"/>
      <c r="AB598" s="296"/>
      <c r="AC598" s="296"/>
      <c r="AD598" s="296"/>
      <c r="AE598" s="307"/>
      <c r="AF598" s="273"/>
      <c r="AG598" s="274"/>
    </row>
    <row r="599">
      <c r="A599" s="296"/>
      <c r="B599" s="269"/>
      <c r="C599" s="296"/>
      <c r="D599" s="296"/>
      <c r="E599" s="296"/>
      <c r="F599" s="296"/>
      <c r="G599" s="296"/>
      <c r="H599" s="296"/>
      <c r="I599" s="296"/>
      <c r="J599" s="296"/>
      <c r="K599" s="296"/>
      <c r="L599" s="296"/>
      <c r="M599" s="296"/>
      <c r="N599" s="296"/>
      <c r="O599" s="269"/>
      <c r="P599" s="269"/>
      <c r="Q599" s="269"/>
      <c r="R599" s="296"/>
      <c r="S599" s="296"/>
      <c r="T599" s="296"/>
      <c r="U599" s="296"/>
      <c r="V599" s="296"/>
      <c r="W599" s="296"/>
      <c r="X599" s="296"/>
      <c r="Y599" s="296"/>
      <c r="Z599" s="296"/>
      <c r="AA599" s="296"/>
      <c r="AB599" s="296"/>
      <c r="AC599" s="296"/>
      <c r="AD599" s="296"/>
      <c r="AE599" s="307"/>
      <c r="AF599" s="273"/>
      <c r="AG599" s="274"/>
    </row>
    <row r="600">
      <c r="A600" s="296"/>
      <c r="B600" s="269"/>
      <c r="C600" s="296"/>
      <c r="D600" s="296"/>
      <c r="E600" s="296"/>
      <c r="F600" s="296"/>
      <c r="G600" s="296"/>
      <c r="H600" s="296"/>
      <c r="I600" s="296"/>
      <c r="J600" s="296"/>
      <c r="K600" s="296"/>
      <c r="L600" s="296"/>
      <c r="M600" s="296"/>
      <c r="N600" s="296"/>
      <c r="O600" s="269"/>
      <c r="P600" s="269"/>
      <c r="Q600" s="269"/>
      <c r="R600" s="296"/>
      <c r="S600" s="296"/>
      <c r="T600" s="296"/>
      <c r="U600" s="296"/>
      <c r="V600" s="296"/>
      <c r="W600" s="296"/>
      <c r="X600" s="296"/>
      <c r="Y600" s="296"/>
      <c r="Z600" s="296"/>
      <c r="AA600" s="296"/>
      <c r="AB600" s="296"/>
      <c r="AC600" s="296"/>
      <c r="AD600" s="296"/>
      <c r="AE600" s="307"/>
      <c r="AF600" s="273"/>
      <c r="AG600" s="274"/>
    </row>
    <row r="601">
      <c r="A601" s="296"/>
      <c r="B601" s="269"/>
      <c r="C601" s="296"/>
      <c r="D601" s="296"/>
      <c r="E601" s="296"/>
      <c r="F601" s="296"/>
      <c r="G601" s="296"/>
      <c r="H601" s="296"/>
      <c r="I601" s="296"/>
      <c r="J601" s="296"/>
      <c r="K601" s="296"/>
      <c r="L601" s="296"/>
      <c r="M601" s="296"/>
      <c r="N601" s="296"/>
      <c r="O601" s="269"/>
      <c r="P601" s="269"/>
      <c r="Q601" s="269"/>
      <c r="R601" s="296"/>
      <c r="S601" s="296"/>
      <c r="T601" s="296"/>
      <c r="U601" s="296"/>
      <c r="V601" s="296"/>
      <c r="W601" s="296"/>
      <c r="X601" s="296"/>
      <c r="Y601" s="296"/>
      <c r="Z601" s="296"/>
      <c r="AA601" s="296"/>
      <c r="AB601" s="296"/>
      <c r="AC601" s="296"/>
      <c r="AD601" s="296"/>
      <c r="AE601" s="307"/>
      <c r="AF601" s="273"/>
      <c r="AG601" s="274"/>
    </row>
    <row r="602">
      <c r="A602" s="296"/>
      <c r="B602" s="269"/>
      <c r="C602" s="296"/>
      <c r="D602" s="296"/>
      <c r="E602" s="296"/>
      <c r="F602" s="296"/>
      <c r="G602" s="296"/>
      <c r="H602" s="296"/>
      <c r="I602" s="296"/>
      <c r="J602" s="296"/>
      <c r="K602" s="296"/>
      <c r="L602" s="296"/>
      <c r="M602" s="296"/>
      <c r="N602" s="296"/>
      <c r="O602" s="269"/>
      <c r="P602" s="269"/>
      <c r="Q602" s="269"/>
      <c r="R602" s="296"/>
      <c r="S602" s="296"/>
      <c r="T602" s="296"/>
      <c r="U602" s="296"/>
      <c r="V602" s="296"/>
      <c r="W602" s="296"/>
      <c r="X602" s="296"/>
      <c r="Y602" s="296"/>
      <c r="Z602" s="296"/>
      <c r="AA602" s="296"/>
      <c r="AB602" s="296"/>
      <c r="AC602" s="296"/>
      <c r="AD602" s="296"/>
      <c r="AE602" s="307"/>
      <c r="AF602" s="273"/>
      <c r="AG602" s="274"/>
    </row>
    <row r="603">
      <c r="A603" s="296"/>
      <c r="B603" s="269"/>
      <c r="C603" s="296"/>
      <c r="D603" s="296"/>
      <c r="E603" s="296"/>
      <c r="F603" s="296"/>
      <c r="G603" s="296"/>
      <c r="H603" s="296"/>
      <c r="I603" s="296"/>
      <c r="J603" s="296"/>
      <c r="K603" s="296"/>
      <c r="L603" s="296"/>
      <c r="M603" s="296"/>
      <c r="N603" s="296"/>
      <c r="O603" s="269"/>
      <c r="P603" s="269"/>
      <c r="Q603" s="269"/>
      <c r="R603" s="296"/>
      <c r="S603" s="296"/>
      <c r="T603" s="296"/>
      <c r="U603" s="296"/>
      <c r="V603" s="296"/>
      <c r="W603" s="296"/>
      <c r="X603" s="296"/>
      <c r="Y603" s="296"/>
      <c r="Z603" s="296"/>
      <c r="AA603" s="296"/>
      <c r="AB603" s="296"/>
      <c r="AC603" s="296"/>
      <c r="AD603" s="296"/>
      <c r="AE603" s="307"/>
      <c r="AF603" s="273"/>
      <c r="AG603" s="274"/>
    </row>
    <row r="604">
      <c r="A604" s="296"/>
      <c r="B604" s="269"/>
      <c r="C604" s="296"/>
      <c r="D604" s="296"/>
      <c r="E604" s="296"/>
      <c r="F604" s="296"/>
      <c r="G604" s="296"/>
      <c r="H604" s="296"/>
      <c r="I604" s="296"/>
      <c r="J604" s="296"/>
      <c r="K604" s="296"/>
      <c r="L604" s="296"/>
      <c r="M604" s="296"/>
      <c r="N604" s="296"/>
      <c r="O604" s="269"/>
      <c r="P604" s="269"/>
      <c r="Q604" s="269"/>
      <c r="R604" s="296"/>
      <c r="S604" s="296"/>
      <c r="T604" s="296"/>
      <c r="U604" s="296"/>
      <c r="V604" s="296"/>
      <c r="W604" s="296"/>
      <c r="X604" s="296"/>
      <c r="Y604" s="296"/>
      <c r="Z604" s="296"/>
      <c r="AA604" s="296"/>
      <c r="AB604" s="296"/>
      <c r="AC604" s="296"/>
      <c r="AD604" s="296"/>
      <c r="AE604" s="307"/>
      <c r="AF604" s="273"/>
      <c r="AG604" s="274"/>
    </row>
    <row r="605">
      <c r="A605" s="296"/>
      <c r="B605" s="269"/>
      <c r="C605" s="296"/>
      <c r="D605" s="296"/>
      <c r="E605" s="296"/>
      <c r="F605" s="296"/>
      <c r="G605" s="296"/>
      <c r="H605" s="296"/>
      <c r="I605" s="296"/>
      <c r="J605" s="296"/>
      <c r="K605" s="296"/>
      <c r="L605" s="296"/>
      <c r="M605" s="296"/>
      <c r="N605" s="296"/>
      <c r="O605" s="269"/>
      <c r="P605" s="269"/>
      <c r="Q605" s="269"/>
      <c r="R605" s="296"/>
      <c r="S605" s="296"/>
      <c r="T605" s="296"/>
      <c r="U605" s="296"/>
      <c r="V605" s="296"/>
      <c r="W605" s="296"/>
      <c r="X605" s="296"/>
      <c r="Y605" s="296"/>
      <c r="Z605" s="296"/>
      <c r="AA605" s="296"/>
      <c r="AB605" s="296"/>
      <c r="AC605" s="296"/>
      <c r="AD605" s="296"/>
      <c r="AE605" s="307"/>
      <c r="AF605" s="273"/>
      <c r="AG605" s="274"/>
    </row>
    <row r="606">
      <c r="A606" s="296"/>
      <c r="B606" s="269"/>
      <c r="C606" s="296"/>
      <c r="D606" s="296"/>
      <c r="E606" s="296"/>
      <c r="F606" s="296"/>
      <c r="G606" s="296"/>
      <c r="H606" s="296"/>
      <c r="I606" s="296"/>
      <c r="J606" s="296"/>
      <c r="K606" s="296"/>
      <c r="L606" s="296"/>
      <c r="M606" s="296"/>
      <c r="N606" s="296"/>
      <c r="O606" s="269"/>
      <c r="P606" s="269"/>
      <c r="Q606" s="269"/>
      <c r="R606" s="296"/>
      <c r="S606" s="296"/>
      <c r="T606" s="296"/>
      <c r="U606" s="296"/>
      <c r="V606" s="296"/>
      <c r="W606" s="296"/>
      <c r="X606" s="296"/>
      <c r="Y606" s="296"/>
      <c r="Z606" s="296"/>
      <c r="AA606" s="296"/>
      <c r="AB606" s="296"/>
      <c r="AC606" s="296"/>
      <c r="AD606" s="296"/>
      <c r="AE606" s="307"/>
      <c r="AF606" s="273"/>
      <c r="AG606" s="274"/>
    </row>
    <row r="607">
      <c r="A607" s="296"/>
      <c r="B607" s="269"/>
      <c r="C607" s="296"/>
      <c r="D607" s="296"/>
      <c r="E607" s="296"/>
      <c r="F607" s="296"/>
      <c r="G607" s="296"/>
      <c r="H607" s="296"/>
      <c r="I607" s="296"/>
      <c r="J607" s="296"/>
      <c r="K607" s="296"/>
      <c r="L607" s="296"/>
      <c r="M607" s="296"/>
      <c r="N607" s="296"/>
      <c r="O607" s="269"/>
      <c r="P607" s="269"/>
      <c r="Q607" s="269"/>
      <c r="R607" s="296"/>
      <c r="S607" s="296"/>
      <c r="T607" s="296"/>
      <c r="U607" s="296"/>
      <c r="V607" s="296"/>
      <c r="W607" s="296"/>
      <c r="X607" s="296"/>
      <c r="Y607" s="296"/>
      <c r="Z607" s="296"/>
      <c r="AA607" s="296"/>
      <c r="AB607" s="296"/>
      <c r="AC607" s="296"/>
      <c r="AD607" s="296"/>
      <c r="AE607" s="307"/>
      <c r="AF607" s="273"/>
      <c r="AG607" s="274"/>
    </row>
    <row r="608">
      <c r="A608" s="296"/>
      <c r="B608" s="269"/>
      <c r="C608" s="296"/>
      <c r="D608" s="296"/>
      <c r="E608" s="296"/>
      <c r="F608" s="296"/>
      <c r="G608" s="296"/>
      <c r="H608" s="296"/>
      <c r="I608" s="296"/>
      <c r="J608" s="296"/>
      <c r="K608" s="296"/>
      <c r="L608" s="296"/>
      <c r="M608" s="296"/>
      <c r="N608" s="296"/>
      <c r="O608" s="269"/>
      <c r="P608" s="269"/>
      <c r="Q608" s="269"/>
      <c r="R608" s="296"/>
      <c r="S608" s="296"/>
      <c r="T608" s="296"/>
      <c r="U608" s="296"/>
      <c r="V608" s="296"/>
      <c r="W608" s="296"/>
      <c r="X608" s="296"/>
      <c r="Y608" s="296"/>
      <c r="Z608" s="296"/>
      <c r="AA608" s="296"/>
      <c r="AB608" s="296"/>
      <c r="AC608" s="296"/>
      <c r="AD608" s="296"/>
      <c r="AE608" s="307"/>
      <c r="AF608" s="273"/>
      <c r="AG608" s="274"/>
    </row>
    <row r="609">
      <c r="A609" s="296"/>
      <c r="B609" s="269"/>
      <c r="C609" s="296"/>
      <c r="D609" s="296"/>
      <c r="E609" s="296"/>
      <c r="F609" s="296"/>
      <c r="G609" s="296"/>
      <c r="H609" s="296"/>
      <c r="I609" s="296"/>
      <c r="J609" s="296"/>
      <c r="K609" s="296"/>
      <c r="L609" s="296"/>
      <c r="M609" s="296"/>
      <c r="N609" s="296"/>
      <c r="O609" s="269"/>
      <c r="P609" s="269"/>
      <c r="Q609" s="269"/>
      <c r="R609" s="296"/>
      <c r="S609" s="296"/>
      <c r="T609" s="296"/>
      <c r="U609" s="296"/>
      <c r="V609" s="296"/>
      <c r="W609" s="296"/>
      <c r="X609" s="296"/>
      <c r="Y609" s="296"/>
      <c r="Z609" s="296"/>
      <c r="AA609" s="296"/>
      <c r="AB609" s="296"/>
      <c r="AC609" s="296"/>
      <c r="AD609" s="296"/>
      <c r="AE609" s="307"/>
      <c r="AF609" s="273"/>
      <c r="AG609" s="274"/>
    </row>
    <row r="610">
      <c r="A610" s="296"/>
      <c r="B610" s="269"/>
      <c r="C610" s="296"/>
      <c r="D610" s="296"/>
      <c r="E610" s="296"/>
      <c r="F610" s="296"/>
      <c r="G610" s="296"/>
      <c r="H610" s="296"/>
      <c r="I610" s="296"/>
      <c r="J610" s="296"/>
      <c r="K610" s="296"/>
      <c r="L610" s="296"/>
      <c r="M610" s="296"/>
      <c r="N610" s="296"/>
      <c r="O610" s="269"/>
      <c r="P610" s="269"/>
      <c r="Q610" s="269"/>
      <c r="R610" s="296"/>
      <c r="S610" s="296"/>
      <c r="T610" s="296"/>
      <c r="U610" s="296"/>
      <c r="V610" s="296"/>
      <c r="W610" s="296"/>
      <c r="X610" s="296"/>
      <c r="Y610" s="296"/>
      <c r="Z610" s="296"/>
      <c r="AA610" s="296"/>
      <c r="AB610" s="296"/>
      <c r="AC610" s="296"/>
      <c r="AD610" s="296"/>
      <c r="AE610" s="307"/>
      <c r="AF610" s="273"/>
      <c r="AG610" s="274"/>
    </row>
    <row r="611">
      <c r="A611" s="296"/>
      <c r="B611" s="269"/>
      <c r="C611" s="296"/>
      <c r="D611" s="296"/>
      <c r="E611" s="296"/>
      <c r="F611" s="296"/>
      <c r="G611" s="296"/>
      <c r="H611" s="296"/>
      <c r="I611" s="296"/>
      <c r="J611" s="296"/>
      <c r="K611" s="296"/>
      <c r="L611" s="296"/>
      <c r="M611" s="296"/>
      <c r="N611" s="296"/>
      <c r="O611" s="269"/>
      <c r="P611" s="269"/>
      <c r="Q611" s="269"/>
      <c r="R611" s="296"/>
      <c r="S611" s="296"/>
      <c r="T611" s="296"/>
      <c r="U611" s="296"/>
      <c r="V611" s="296"/>
      <c r="W611" s="296"/>
      <c r="X611" s="296"/>
      <c r="Y611" s="296"/>
      <c r="Z611" s="296"/>
      <c r="AA611" s="296"/>
      <c r="AB611" s="296"/>
      <c r="AC611" s="296"/>
      <c r="AD611" s="296"/>
      <c r="AE611" s="307"/>
      <c r="AF611" s="273"/>
      <c r="AG611" s="274"/>
    </row>
    <row r="612">
      <c r="A612" s="296"/>
      <c r="B612" s="269"/>
      <c r="C612" s="296"/>
      <c r="D612" s="296"/>
      <c r="E612" s="296"/>
      <c r="F612" s="296"/>
      <c r="G612" s="296"/>
      <c r="H612" s="296"/>
      <c r="I612" s="296"/>
      <c r="J612" s="296"/>
      <c r="K612" s="296"/>
      <c r="L612" s="296"/>
      <c r="M612" s="296"/>
      <c r="N612" s="296"/>
      <c r="O612" s="269"/>
      <c r="P612" s="269"/>
      <c r="Q612" s="269"/>
      <c r="R612" s="296"/>
      <c r="S612" s="296"/>
      <c r="T612" s="296"/>
      <c r="U612" s="296"/>
      <c r="V612" s="296"/>
      <c r="W612" s="296"/>
      <c r="X612" s="296"/>
      <c r="Y612" s="296"/>
      <c r="Z612" s="296"/>
      <c r="AA612" s="296"/>
      <c r="AB612" s="296"/>
      <c r="AC612" s="296"/>
      <c r="AD612" s="296"/>
      <c r="AE612" s="307"/>
      <c r="AF612" s="273"/>
      <c r="AG612" s="274"/>
    </row>
    <row r="613">
      <c r="A613" s="296"/>
      <c r="B613" s="269"/>
      <c r="C613" s="296"/>
      <c r="D613" s="296"/>
      <c r="E613" s="296"/>
      <c r="F613" s="296"/>
      <c r="G613" s="296"/>
      <c r="H613" s="296"/>
      <c r="I613" s="296"/>
      <c r="J613" s="296"/>
      <c r="K613" s="296"/>
      <c r="L613" s="296"/>
      <c r="M613" s="296"/>
      <c r="N613" s="296"/>
      <c r="O613" s="269"/>
      <c r="P613" s="269"/>
      <c r="Q613" s="269"/>
      <c r="R613" s="296"/>
      <c r="S613" s="296"/>
      <c r="T613" s="296"/>
      <c r="U613" s="296"/>
      <c r="V613" s="296"/>
      <c r="W613" s="296"/>
      <c r="X613" s="296"/>
      <c r="Y613" s="296"/>
      <c r="Z613" s="296"/>
      <c r="AA613" s="296"/>
      <c r="AB613" s="296"/>
      <c r="AC613" s="296"/>
      <c r="AD613" s="296"/>
      <c r="AE613" s="307"/>
      <c r="AF613" s="273"/>
      <c r="AG613" s="274"/>
    </row>
    <row r="614">
      <c r="A614" s="296"/>
      <c r="B614" s="269"/>
      <c r="C614" s="296"/>
      <c r="D614" s="296"/>
      <c r="E614" s="296"/>
      <c r="F614" s="296"/>
      <c r="G614" s="296"/>
      <c r="H614" s="296"/>
      <c r="I614" s="296"/>
      <c r="J614" s="296"/>
      <c r="K614" s="296"/>
      <c r="L614" s="296"/>
      <c r="M614" s="296"/>
      <c r="N614" s="296"/>
      <c r="O614" s="269"/>
      <c r="P614" s="269"/>
      <c r="Q614" s="269"/>
      <c r="R614" s="296"/>
      <c r="S614" s="296"/>
      <c r="T614" s="296"/>
      <c r="U614" s="296"/>
      <c r="V614" s="296"/>
      <c r="W614" s="296"/>
      <c r="X614" s="296"/>
      <c r="Y614" s="296"/>
      <c r="Z614" s="296"/>
      <c r="AA614" s="296"/>
      <c r="AB614" s="296"/>
      <c r="AC614" s="296"/>
      <c r="AD614" s="296"/>
      <c r="AE614" s="307"/>
      <c r="AF614" s="273"/>
      <c r="AG614" s="274"/>
    </row>
    <row r="615">
      <c r="A615" s="296"/>
      <c r="B615" s="269"/>
      <c r="C615" s="296"/>
      <c r="D615" s="296"/>
      <c r="E615" s="296"/>
      <c r="F615" s="296"/>
      <c r="G615" s="296"/>
      <c r="H615" s="296"/>
      <c r="I615" s="296"/>
      <c r="J615" s="296"/>
      <c r="K615" s="296"/>
      <c r="L615" s="296"/>
      <c r="M615" s="296"/>
      <c r="N615" s="296"/>
      <c r="O615" s="269"/>
      <c r="P615" s="269"/>
      <c r="Q615" s="269"/>
      <c r="R615" s="296"/>
      <c r="S615" s="296"/>
      <c r="T615" s="296"/>
      <c r="U615" s="296"/>
      <c r="V615" s="296"/>
      <c r="W615" s="296"/>
      <c r="X615" s="296"/>
      <c r="Y615" s="296"/>
      <c r="Z615" s="296"/>
      <c r="AA615" s="296"/>
      <c r="AB615" s="296"/>
      <c r="AC615" s="296"/>
      <c r="AD615" s="296"/>
      <c r="AE615" s="307"/>
      <c r="AF615" s="273"/>
      <c r="AG615" s="274"/>
    </row>
    <row r="616">
      <c r="A616" s="296"/>
      <c r="B616" s="269"/>
      <c r="C616" s="296"/>
      <c r="D616" s="296"/>
      <c r="E616" s="296"/>
      <c r="F616" s="296"/>
      <c r="G616" s="296"/>
      <c r="H616" s="296"/>
      <c r="I616" s="296"/>
      <c r="J616" s="296"/>
      <c r="K616" s="296"/>
      <c r="L616" s="296"/>
      <c r="M616" s="296"/>
      <c r="N616" s="296"/>
      <c r="O616" s="269"/>
      <c r="P616" s="269"/>
      <c r="Q616" s="269"/>
      <c r="R616" s="296"/>
      <c r="S616" s="296"/>
      <c r="T616" s="296"/>
      <c r="U616" s="296"/>
      <c r="V616" s="296"/>
      <c r="W616" s="296"/>
      <c r="X616" s="296"/>
      <c r="Y616" s="296"/>
      <c r="Z616" s="296"/>
      <c r="AA616" s="296"/>
      <c r="AB616" s="296"/>
      <c r="AC616" s="296"/>
      <c r="AD616" s="296"/>
      <c r="AE616" s="307"/>
      <c r="AF616" s="273"/>
      <c r="AG616" s="274"/>
    </row>
    <row r="617">
      <c r="A617" s="296"/>
      <c r="B617" s="269"/>
      <c r="C617" s="296"/>
      <c r="D617" s="296"/>
      <c r="E617" s="296"/>
      <c r="F617" s="296"/>
      <c r="G617" s="296"/>
      <c r="H617" s="296"/>
      <c r="I617" s="296"/>
      <c r="J617" s="296"/>
      <c r="K617" s="296"/>
      <c r="L617" s="296"/>
      <c r="M617" s="296"/>
      <c r="N617" s="296"/>
      <c r="O617" s="269"/>
      <c r="P617" s="269"/>
      <c r="Q617" s="269"/>
      <c r="R617" s="296"/>
      <c r="S617" s="296"/>
      <c r="T617" s="296"/>
      <c r="U617" s="296"/>
      <c r="V617" s="296"/>
      <c r="W617" s="296"/>
      <c r="X617" s="296"/>
      <c r="Y617" s="296"/>
      <c r="Z617" s="296"/>
      <c r="AA617" s="296"/>
      <c r="AB617" s="296"/>
      <c r="AC617" s="296"/>
      <c r="AD617" s="296"/>
      <c r="AE617" s="307"/>
      <c r="AF617" s="273"/>
      <c r="AG617" s="274"/>
    </row>
    <row r="618">
      <c r="A618" s="296"/>
      <c r="B618" s="269"/>
      <c r="C618" s="296"/>
      <c r="D618" s="296"/>
      <c r="E618" s="296"/>
      <c r="F618" s="296"/>
      <c r="G618" s="296"/>
      <c r="H618" s="296"/>
      <c r="I618" s="296"/>
      <c r="J618" s="296"/>
      <c r="K618" s="296"/>
      <c r="L618" s="296"/>
      <c r="M618" s="296"/>
      <c r="N618" s="296"/>
      <c r="O618" s="269"/>
      <c r="P618" s="269"/>
      <c r="Q618" s="269"/>
      <c r="R618" s="296"/>
      <c r="S618" s="296"/>
      <c r="T618" s="296"/>
      <c r="U618" s="296"/>
      <c r="V618" s="296"/>
      <c r="W618" s="296"/>
      <c r="X618" s="296"/>
      <c r="Y618" s="296"/>
      <c r="Z618" s="296"/>
      <c r="AA618" s="296"/>
      <c r="AB618" s="296"/>
      <c r="AC618" s="296"/>
      <c r="AD618" s="296"/>
      <c r="AE618" s="307"/>
      <c r="AF618" s="273"/>
      <c r="AG618" s="274"/>
    </row>
    <row r="619">
      <c r="A619" s="296"/>
      <c r="B619" s="269"/>
      <c r="C619" s="296"/>
      <c r="D619" s="296"/>
      <c r="E619" s="296"/>
      <c r="F619" s="296"/>
      <c r="G619" s="296"/>
      <c r="H619" s="296"/>
      <c r="I619" s="296"/>
      <c r="J619" s="296"/>
      <c r="K619" s="296"/>
      <c r="L619" s="296"/>
      <c r="M619" s="296"/>
      <c r="N619" s="296"/>
      <c r="O619" s="269"/>
      <c r="P619" s="269"/>
      <c r="Q619" s="269"/>
      <c r="R619" s="296"/>
      <c r="S619" s="296"/>
      <c r="T619" s="296"/>
      <c r="U619" s="296"/>
      <c r="V619" s="296"/>
      <c r="W619" s="296"/>
      <c r="X619" s="296"/>
      <c r="Y619" s="296"/>
      <c r="Z619" s="296"/>
      <c r="AA619" s="296"/>
      <c r="AB619" s="296"/>
      <c r="AC619" s="296"/>
      <c r="AD619" s="296"/>
      <c r="AE619" s="307"/>
      <c r="AF619" s="273"/>
      <c r="AG619" s="274"/>
    </row>
    <row r="620">
      <c r="A620" s="296"/>
      <c r="B620" s="269"/>
      <c r="C620" s="296"/>
      <c r="D620" s="296"/>
      <c r="E620" s="296"/>
      <c r="F620" s="296"/>
      <c r="G620" s="296"/>
      <c r="H620" s="296"/>
      <c r="I620" s="296"/>
      <c r="J620" s="296"/>
      <c r="K620" s="296"/>
      <c r="L620" s="296"/>
      <c r="M620" s="296"/>
      <c r="N620" s="296"/>
      <c r="O620" s="269"/>
      <c r="P620" s="269"/>
      <c r="Q620" s="269"/>
      <c r="R620" s="296"/>
      <c r="S620" s="296"/>
      <c r="T620" s="296"/>
      <c r="U620" s="296"/>
      <c r="V620" s="296"/>
      <c r="W620" s="296"/>
      <c r="X620" s="296"/>
      <c r="Y620" s="296"/>
      <c r="Z620" s="296"/>
      <c r="AA620" s="296"/>
      <c r="AB620" s="296"/>
      <c r="AC620" s="296"/>
      <c r="AD620" s="296"/>
      <c r="AE620" s="307"/>
      <c r="AF620" s="273"/>
      <c r="AG620" s="274"/>
    </row>
    <row r="621">
      <c r="A621" s="296"/>
      <c r="B621" s="269"/>
      <c r="C621" s="296"/>
      <c r="D621" s="296"/>
      <c r="E621" s="296"/>
      <c r="F621" s="296"/>
      <c r="G621" s="296"/>
      <c r="H621" s="296"/>
      <c r="I621" s="296"/>
      <c r="J621" s="296"/>
      <c r="K621" s="296"/>
      <c r="L621" s="296"/>
      <c r="M621" s="296"/>
      <c r="N621" s="296"/>
      <c r="O621" s="269"/>
      <c r="P621" s="269"/>
      <c r="Q621" s="269"/>
      <c r="R621" s="296"/>
      <c r="S621" s="296"/>
      <c r="T621" s="296"/>
      <c r="U621" s="296"/>
      <c r="V621" s="296"/>
      <c r="W621" s="296"/>
      <c r="X621" s="296"/>
      <c r="Y621" s="296"/>
      <c r="Z621" s="296"/>
      <c r="AA621" s="296"/>
      <c r="AB621" s="296"/>
      <c r="AC621" s="296"/>
      <c r="AD621" s="296"/>
      <c r="AE621" s="307"/>
      <c r="AF621" s="273"/>
      <c r="AG621" s="274"/>
    </row>
    <row r="622">
      <c r="A622" s="296"/>
      <c r="B622" s="269"/>
      <c r="C622" s="296"/>
      <c r="D622" s="296"/>
      <c r="E622" s="296"/>
      <c r="F622" s="296"/>
      <c r="G622" s="296"/>
      <c r="H622" s="296"/>
      <c r="I622" s="296"/>
      <c r="J622" s="296"/>
      <c r="K622" s="296"/>
      <c r="L622" s="296"/>
      <c r="M622" s="296"/>
      <c r="N622" s="296"/>
      <c r="O622" s="269"/>
      <c r="P622" s="269"/>
      <c r="Q622" s="269"/>
      <c r="R622" s="296"/>
      <c r="S622" s="296"/>
      <c r="T622" s="296"/>
      <c r="U622" s="296"/>
      <c r="V622" s="296"/>
      <c r="W622" s="296"/>
      <c r="X622" s="296"/>
      <c r="Y622" s="296"/>
      <c r="Z622" s="296"/>
      <c r="AA622" s="296"/>
      <c r="AB622" s="296"/>
      <c r="AC622" s="296"/>
      <c r="AD622" s="296"/>
      <c r="AE622" s="307"/>
      <c r="AF622" s="273"/>
      <c r="AG622" s="274"/>
    </row>
    <row r="623">
      <c r="A623" s="296"/>
      <c r="B623" s="269"/>
      <c r="C623" s="296"/>
      <c r="D623" s="296"/>
      <c r="E623" s="296"/>
      <c r="F623" s="296"/>
      <c r="G623" s="296"/>
      <c r="H623" s="296"/>
      <c r="I623" s="296"/>
      <c r="J623" s="296"/>
      <c r="K623" s="296"/>
      <c r="L623" s="296"/>
      <c r="M623" s="296"/>
      <c r="N623" s="296"/>
      <c r="O623" s="269"/>
      <c r="P623" s="269"/>
      <c r="Q623" s="269"/>
      <c r="R623" s="296"/>
      <c r="S623" s="296"/>
      <c r="T623" s="296"/>
      <c r="U623" s="296"/>
      <c r="V623" s="296"/>
      <c r="W623" s="296"/>
      <c r="X623" s="296"/>
      <c r="Y623" s="296"/>
      <c r="Z623" s="296"/>
      <c r="AA623" s="296"/>
      <c r="AB623" s="296"/>
      <c r="AC623" s="296"/>
      <c r="AD623" s="296"/>
      <c r="AE623" s="307"/>
      <c r="AF623" s="273"/>
      <c r="AG623" s="274"/>
    </row>
    <row r="624">
      <c r="A624" s="296"/>
      <c r="B624" s="269"/>
      <c r="C624" s="296"/>
      <c r="D624" s="296"/>
      <c r="E624" s="296"/>
      <c r="F624" s="296"/>
      <c r="G624" s="296"/>
      <c r="H624" s="296"/>
      <c r="I624" s="296"/>
      <c r="J624" s="296"/>
      <c r="K624" s="296"/>
      <c r="L624" s="296"/>
      <c r="M624" s="296"/>
      <c r="N624" s="296"/>
      <c r="O624" s="269"/>
      <c r="P624" s="269"/>
      <c r="Q624" s="269"/>
      <c r="R624" s="296"/>
      <c r="S624" s="296"/>
      <c r="T624" s="296"/>
      <c r="U624" s="296"/>
      <c r="V624" s="296"/>
      <c r="W624" s="296"/>
      <c r="X624" s="296"/>
      <c r="Y624" s="296"/>
      <c r="Z624" s="296"/>
      <c r="AA624" s="296"/>
      <c r="AB624" s="296"/>
      <c r="AC624" s="296"/>
      <c r="AD624" s="296"/>
      <c r="AE624" s="307"/>
      <c r="AF624" s="273"/>
      <c r="AG624" s="274"/>
    </row>
    <row r="625">
      <c r="A625" s="296"/>
      <c r="B625" s="269"/>
      <c r="C625" s="296"/>
      <c r="D625" s="296"/>
      <c r="E625" s="296"/>
      <c r="F625" s="296"/>
      <c r="G625" s="296"/>
      <c r="H625" s="296"/>
      <c r="I625" s="296"/>
      <c r="J625" s="296"/>
      <c r="K625" s="296"/>
      <c r="L625" s="296"/>
      <c r="M625" s="296"/>
      <c r="N625" s="296"/>
      <c r="O625" s="269"/>
      <c r="P625" s="269"/>
      <c r="Q625" s="269"/>
      <c r="R625" s="296"/>
      <c r="S625" s="296"/>
      <c r="T625" s="296"/>
      <c r="U625" s="296"/>
      <c r="V625" s="296"/>
      <c r="W625" s="296"/>
      <c r="X625" s="296"/>
      <c r="Y625" s="296"/>
      <c r="Z625" s="296"/>
      <c r="AA625" s="296"/>
      <c r="AB625" s="296"/>
      <c r="AC625" s="296"/>
      <c r="AD625" s="296"/>
      <c r="AE625" s="307"/>
      <c r="AF625" s="273"/>
      <c r="AG625" s="274"/>
    </row>
    <row r="626">
      <c r="A626" s="296"/>
      <c r="B626" s="269"/>
      <c r="C626" s="296"/>
      <c r="D626" s="296"/>
      <c r="E626" s="296"/>
      <c r="F626" s="296"/>
      <c r="G626" s="296"/>
      <c r="H626" s="296"/>
      <c r="I626" s="296"/>
      <c r="J626" s="296"/>
      <c r="K626" s="296"/>
      <c r="L626" s="296"/>
      <c r="M626" s="296"/>
      <c r="N626" s="296"/>
      <c r="O626" s="269"/>
      <c r="P626" s="269"/>
      <c r="Q626" s="269"/>
      <c r="R626" s="296"/>
      <c r="S626" s="296"/>
      <c r="T626" s="296"/>
      <c r="U626" s="296"/>
      <c r="V626" s="296"/>
      <c r="W626" s="296"/>
      <c r="X626" s="296"/>
      <c r="Y626" s="296"/>
      <c r="Z626" s="296"/>
      <c r="AA626" s="296"/>
      <c r="AB626" s="296"/>
      <c r="AC626" s="296"/>
      <c r="AD626" s="296"/>
      <c r="AE626" s="307"/>
      <c r="AF626" s="273"/>
      <c r="AG626" s="274"/>
    </row>
    <row r="627">
      <c r="A627" s="296"/>
      <c r="B627" s="269"/>
      <c r="C627" s="296"/>
      <c r="D627" s="296"/>
      <c r="E627" s="296"/>
      <c r="F627" s="296"/>
      <c r="G627" s="296"/>
      <c r="H627" s="296"/>
      <c r="I627" s="296"/>
      <c r="J627" s="296"/>
      <c r="K627" s="296"/>
      <c r="L627" s="296"/>
      <c r="M627" s="296"/>
      <c r="N627" s="296"/>
      <c r="O627" s="269"/>
      <c r="P627" s="269"/>
      <c r="Q627" s="269"/>
      <c r="R627" s="296"/>
      <c r="S627" s="296"/>
      <c r="T627" s="296"/>
      <c r="U627" s="296"/>
      <c r="V627" s="296"/>
      <c r="W627" s="296"/>
      <c r="X627" s="296"/>
      <c r="Y627" s="296"/>
      <c r="Z627" s="296"/>
      <c r="AA627" s="296"/>
      <c r="AB627" s="296"/>
      <c r="AC627" s="296"/>
      <c r="AD627" s="296"/>
      <c r="AE627" s="307"/>
      <c r="AF627" s="273"/>
      <c r="AG627" s="274"/>
    </row>
    <row r="628">
      <c r="A628" s="296"/>
      <c r="B628" s="269"/>
      <c r="C628" s="296"/>
      <c r="D628" s="296"/>
      <c r="E628" s="296"/>
      <c r="F628" s="296"/>
      <c r="G628" s="296"/>
      <c r="H628" s="296"/>
      <c r="I628" s="296"/>
      <c r="J628" s="296"/>
      <c r="K628" s="296"/>
      <c r="L628" s="296"/>
      <c r="M628" s="296"/>
      <c r="N628" s="296"/>
      <c r="O628" s="269"/>
      <c r="P628" s="269"/>
      <c r="Q628" s="269"/>
      <c r="R628" s="296"/>
      <c r="S628" s="296"/>
      <c r="T628" s="296"/>
      <c r="U628" s="296"/>
      <c r="V628" s="296"/>
      <c r="W628" s="296"/>
      <c r="X628" s="296"/>
      <c r="Y628" s="296"/>
      <c r="Z628" s="296"/>
      <c r="AA628" s="296"/>
      <c r="AB628" s="296"/>
      <c r="AC628" s="296"/>
      <c r="AD628" s="296"/>
      <c r="AE628" s="307"/>
      <c r="AF628" s="273"/>
      <c r="AG628" s="274"/>
    </row>
    <row r="629">
      <c r="A629" s="296"/>
      <c r="B629" s="269"/>
      <c r="C629" s="296"/>
      <c r="D629" s="296"/>
      <c r="E629" s="296"/>
      <c r="F629" s="296"/>
      <c r="G629" s="296"/>
      <c r="H629" s="296"/>
      <c r="I629" s="296"/>
      <c r="J629" s="296"/>
      <c r="K629" s="296"/>
      <c r="L629" s="296"/>
      <c r="M629" s="296"/>
      <c r="N629" s="296"/>
      <c r="O629" s="269"/>
      <c r="P629" s="269"/>
      <c r="Q629" s="269"/>
      <c r="R629" s="296"/>
      <c r="S629" s="296"/>
      <c r="T629" s="296"/>
      <c r="U629" s="296"/>
      <c r="V629" s="296"/>
      <c r="W629" s="296"/>
      <c r="X629" s="296"/>
      <c r="Y629" s="296"/>
      <c r="Z629" s="296"/>
      <c r="AA629" s="296"/>
      <c r="AB629" s="296"/>
      <c r="AC629" s="296"/>
      <c r="AD629" s="296"/>
      <c r="AE629" s="307"/>
      <c r="AF629" s="273"/>
      <c r="AG629" s="274"/>
    </row>
    <row r="630">
      <c r="A630" s="296"/>
      <c r="B630" s="269"/>
      <c r="C630" s="296"/>
      <c r="D630" s="296"/>
      <c r="E630" s="296"/>
      <c r="F630" s="296"/>
      <c r="G630" s="296"/>
      <c r="H630" s="296"/>
      <c r="I630" s="296"/>
      <c r="J630" s="296"/>
      <c r="K630" s="296"/>
      <c r="L630" s="296"/>
      <c r="M630" s="296"/>
      <c r="N630" s="296"/>
      <c r="O630" s="269"/>
      <c r="P630" s="269"/>
      <c r="Q630" s="269"/>
      <c r="R630" s="296"/>
      <c r="S630" s="296"/>
      <c r="T630" s="296"/>
      <c r="U630" s="296"/>
      <c r="V630" s="296"/>
      <c r="W630" s="296"/>
      <c r="X630" s="296"/>
      <c r="Y630" s="296"/>
      <c r="Z630" s="296"/>
      <c r="AA630" s="296"/>
      <c r="AB630" s="296"/>
      <c r="AC630" s="296"/>
      <c r="AD630" s="296"/>
      <c r="AE630" s="307"/>
      <c r="AF630" s="273"/>
      <c r="AG630" s="274"/>
    </row>
    <row r="631">
      <c r="A631" s="296"/>
      <c r="B631" s="269"/>
      <c r="C631" s="296"/>
      <c r="D631" s="296"/>
      <c r="E631" s="296"/>
      <c r="F631" s="296"/>
      <c r="G631" s="296"/>
      <c r="H631" s="296"/>
      <c r="I631" s="296"/>
      <c r="J631" s="296"/>
      <c r="K631" s="296"/>
      <c r="L631" s="296"/>
      <c r="M631" s="296"/>
      <c r="N631" s="296"/>
      <c r="O631" s="269"/>
      <c r="P631" s="269"/>
      <c r="Q631" s="269"/>
      <c r="R631" s="296"/>
      <c r="S631" s="296"/>
      <c r="T631" s="296"/>
      <c r="U631" s="296"/>
      <c r="V631" s="296"/>
      <c r="W631" s="296"/>
      <c r="X631" s="296"/>
      <c r="Y631" s="296"/>
      <c r="Z631" s="296"/>
      <c r="AA631" s="296"/>
      <c r="AB631" s="296"/>
      <c r="AC631" s="296"/>
      <c r="AD631" s="296"/>
      <c r="AE631" s="307"/>
      <c r="AF631" s="273"/>
      <c r="AG631" s="274"/>
    </row>
    <row r="632">
      <c r="A632" s="296"/>
      <c r="B632" s="269"/>
      <c r="C632" s="296"/>
      <c r="D632" s="296"/>
      <c r="E632" s="296"/>
      <c r="F632" s="296"/>
      <c r="G632" s="296"/>
      <c r="H632" s="296"/>
      <c r="I632" s="296"/>
      <c r="J632" s="296"/>
      <c r="K632" s="296"/>
      <c r="L632" s="296"/>
      <c r="M632" s="296"/>
      <c r="N632" s="296"/>
      <c r="O632" s="269"/>
      <c r="P632" s="269"/>
      <c r="Q632" s="269"/>
      <c r="R632" s="296"/>
      <c r="S632" s="296"/>
      <c r="T632" s="296"/>
      <c r="U632" s="296"/>
      <c r="V632" s="296"/>
      <c r="W632" s="296"/>
      <c r="X632" s="296"/>
      <c r="Y632" s="296"/>
      <c r="Z632" s="296"/>
      <c r="AA632" s="296"/>
      <c r="AB632" s="296"/>
      <c r="AC632" s="296"/>
      <c r="AD632" s="296"/>
      <c r="AE632" s="307"/>
      <c r="AF632" s="273"/>
      <c r="AG632" s="274"/>
    </row>
    <row r="633">
      <c r="A633" s="296"/>
      <c r="B633" s="269"/>
      <c r="C633" s="296"/>
      <c r="D633" s="296"/>
      <c r="E633" s="296"/>
      <c r="F633" s="296"/>
      <c r="G633" s="296"/>
      <c r="H633" s="296"/>
      <c r="I633" s="296"/>
      <c r="J633" s="296"/>
      <c r="K633" s="296"/>
      <c r="L633" s="296"/>
      <c r="M633" s="296"/>
      <c r="N633" s="296"/>
      <c r="O633" s="269"/>
      <c r="P633" s="269"/>
      <c r="Q633" s="269"/>
      <c r="R633" s="296"/>
      <c r="S633" s="296"/>
      <c r="T633" s="296"/>
      <c r="U633" s="296"/>
      <c r="V633" s="296"/>
      <c r="W633" s="296"/>
      <c r="X633" s="296"/>
      <c r="Y633" s="296"/>
      <c r="Z633" s="296"/>
      <c r="AA633" s="296"/>
      <c r="AB633" s="296"/>
      <c r="AC633" s="296"/>
      <c r="AD633" s="296"/>
      <c r="AE633" s="307"/>
      <c r="AF633" s="273"/>
      <c r="AG633" s="274"/>
    </row>
    <row r="634">
      <c r="A634" s="296"/>
      <c r="B634" s="269"/>
      <c r="C634" s="296"/>
      <c r="D634" s="296"/>
      <c r="E634" s="296"/>
      <c r="F634" s="296"/>
      <c r="G634" s="296"/>
      <c r="H634" s="296"/>
      <c r="I634" s="296"/>
      <c r="J634" s="296"/>
      <c r="K634" s="296"/>
      <c r="L634" s="296"/>
      <c r="M634" s="296"/>
      <c r="N634" s="296"/>
      <c r="O634" s="269"/>
      <c r="P634" s="269"/>
      <c r="Q634" s="269"/>
      <c r="R634" s="296"/>
      <c r="S634" s="296"/>
      <c r="T634" s="296"/>
      <c r="U634" s="296"/>
      <c r="V634" s="296"/>
      <c r="W634" s="296"/>
      <c r="X634" s="296"/>
      <c r="Y634" s="296"/>
      <c r="Z634" s="296"/>
      <c r="AA634" s="296"/>
      <c r="AB634" s="296"/>
      <c r="AC634" s="296"/>
      <c r="AD634" s="296"/>
      <c r="AE634" s="307"/>
      <c r="AF634" s="273"/>
      <c r="AG634" s="274"/>
    </row>
    <row r="635">
      <c r="A635" s="296"/>
      <c r="B635" s="269"/>
      <c r="C635" s="296"/>
      <c r="D635" s="296"/>
      <c r="E635" s="296"/>
      <c r="F635" s="296"/>
      <c r="G635" s="296"/>
      <c r="H635" s="296"/>
      <c r="I635" s="296"/>
      <c r="J635" s="296"/>
      <c r="K635" s="296"/>
      <c r="L635" s="296"/>
      <c r="M635" s="296"/>
      <c r="N635" s="296"/>
      <c r="O635" s="269"/>
      <c r="P635" s="269"/>
      <c r="Q635" s="269"/>
      <c r="R635" s="296"/>
      <c r="S635" s="296"/>
      <c r="T635" s="296"/>
      <c r="U635" s="296"/>
      <c r="V635" s="296"/>
      <c r="W635" s="296"/>
      <c r="X635" s="296"/>
      <c r="Y635" s="296"/>
      <c r="Z635" s="296"/>
      <c r="AA635" s="296"/>
      <c r="AB635" s="296"/>
      <c r="AC635" s="296"/>
      <c r="AD635" s="296"/>
      <c r="AE635" s="307"/>
      <c r="AF635" s="273"/>
      <c r="AG635" s="274"/>
    </row>
    <row r="636">
      <c r="A636" s="296"/>
      <c r="B636" s="269"/>
      <c r="C636" s="296"/>
      <c r="D636" s="296"/>
      <c r="E636" s="296"/>
      <c r="F636" s="296"/>
      <c r="G636" s="296"/>
      <c r="H636" s="296"/>
      <c r="I636" s="296"/>
      <c r="J636" s="296"/>
      <c r="K636" s="296"/>
      <c r="L636" s="296"/>
      <c r="M636" s="296"/>
      <c r="N636" s="296"/>
      <c r="O636" s="269"/>
      <c r="P636" s="269"/>
      <c r="Q636" s="269"/>
      <c r="R636" s="296"/>
      <c r="S636" s="296"/>
      <c r="T636" s="296"/>
      <c r="U636" s="296"/>
      <c r="V636" s="296"/>
      <c r="W636" s="296"/>
      <c r="X636" s="296"/>
      <c r="Y636" s="296"/>
      <c r="Z636" s="296"/>
      <c r="AA636" s="296"/>
      <c r="AB636" s="296"/>
      <c r="AC636" s="296"/>
      <c r="AD636" s="296"/>
      <c r="AE636" s="307"/>
      <c r="AF636" s="273"/>
      <c r="AG636" s="274"/>
    </row>
    <row r="637">
      <c r="A637" s="296"/>
      <c r="B637" s="269"/>
      <c r="C637" s="296"/>
      <c r="D637" s="296"/>
      <c r="E637" s="296"/>
      <c r="F637" s="296"/>
      <c r="G637" s="296"/>
      <c r="H637" s="296"/>
      <c r="I637" s="296"/>
      <c r="J637" s="296"/>
      <c r="K637" s="296"/>
      <c r="L637" s="296"/>
      <c r="M637" s="296"/>
      <c r="N637" s="296"/>
      <c r="O637" s="269"/>
      <c r="P637" s="269"/>
      <c r="Q637" s="269"/>
      <c r="R637" s="296"/>
      <c r="S637" s="296"/>
      <c r="T637" s="296"/>
      <c r="U637" s="296"/>
      <c r="V637" s="296"/>
      <c r="W637" s="296"/>
      <c r="X637" s="296"/>
      <c r="Y637" s="296"/>
      <c r="Z637" s="296"/>
      <c r="AA637" s="296"/>
      <c r="AB637" s="296"/>
      <c r="AC637" s="296"/>
      <c r="AD637" s="296"/>
      <c r="AE637" s="307"/>
      <c r="AF637" s="273"/>
      <c r="AG637" s="274"/>
    </row>
    <row r="638">
      <c r="A638" s="296"/>
      <c r="B638" s="269"/>
      <c r="C638" s="296"/>
      <c r="D638" s="296"/>
      <c r="E638" s="296"/>
      <c r="F638" s="296"/>
      <c r="G638" s="296"/>
      <c r="H638" s="296"/>
      <c r="I638" s="296"/>
      <c r="J638" s="296"/>
      <c r="K638" s="296"/>
      <c r="L638" s="296"/>
      <c r="M638" s="296"/>
      <c r="N638" s="296"/>
      <c r="O638" s="269"/>
      <c r="P638" s="269"/>
      <c r="Q638" s="269"/>
      <c r="R638" s="296"/>
      <c r="S638" s="296"/>
      <c r="T638" s="296"/>
      <c r="U638" s="296"/>
      <c r="V638" s="296"/>
      <c r="W638" s="296"/>
      <c r="X638" s="296"/>
      <c r="Y638" s="296"/>
      <c r="Z638" s="296"/>
      <c r="AA638" s="296"/>
      <c r="AB638" s="296"/>
      <c r="AC638" s="296"/>
      <c r="AD638" s="296"/>
      <c r="AE638" s="307"/>
      <c r="AF638" s="273"/>
      <c r="AG638" s="274"/>
    </row>
    <row r="639">
      <c r="A639" s="296"/>
      <c r="B639" s="269"/>
      <c r="C639" s="296"/>
      <c r="D639" s="296"/>
      <c r="E639" s="296"/>
      <c r="F639" s="296"/>
      <c r="G639" s="296"/>
      <c r="H639" s="296"/>
      <c r="I639" s="296"/>
      <c r="J639" s="296"/>
      <c r="K639" s="296"/>
      <c r="L639" s="296"/>
      <c r="M639" s="296"/>
      <c r="N639" s="296"/>
      <c r="O639" s="269"/>
      <c r="P639" s="269"/>
      <c r="Q639" s="269"/>
      <c r="R639" s="296"/>
      <c r="S639" s="296"/>
      <c r="T639" s="296"/>
      <c r="U639" s="296"/>
      <c r="V639" s="296"/>
      <c r="W639" s="296"/>
      <c r="X639" s="296"/>
      <c r="Y639" s="296"/>
      <c r="Z639" s="296"/>
      <c r="AA639" s="296"/>
      <c r="AB639" s="296"/>
      <c r="AC639" s="296"/>
      <c r="AD639" s="296"/>
      <c r="AE639" s="307"/>
      <c r="AF639" s="273"/>
      <c r="AG639" s="274"/>
    </row>
    <row r="640">
      <c r="A640" s="296"/>
      <c r="B640" s="269"/>
      <c r="C640" s="296"/>
      <c r="D640" s="296"/>
      <c r="E640" s="296"/>
      <c r="F640" s="296"/>
      <c r="G640" s="296"/>
      <c r="H640" s="296"/>
      <c r="I640" s="296"/>
      <c r="J640" s="296"/>
      <c r="K640" s="296"/>
      <c r="L640" s="296"/>
      <c r="M640" s="296"/>
      <c r="N640" s="296"/>
      <c r="O640" s="269"/>
      <c r="P640" s="269"/>
      <c r="Q640" s="269"/>
      <c r="R640" s="296"/>
      <c r="S640" s="296"/>
      <c r="T640" s="296"/>
      <c r="U640" s="296"/>
      <c r="V640" s="296"/>
      <c r="W640" s="296"/>
      <c r="X640" s="296"/>
      <c r="Y640" s="296"/>
      <c r="Z640" s="296"/>
      <c r="AA640" s="296"/>
      <c r="AB640" s="296"/>
      <c r="AC640" s="296"/>
      <c r="AD640" s="296"/>
      <c r="AE640" s="307"/>
      <c r="AF640" s="273"/>
      <c r="AG640" s="274"/>
    </row>
    <row r="641">
      <c r="A641" s="296"/>
      <c r="B641" s="269"/>
      <c r="C641" s="296"/>
      <c r="D641" s="296"/>
      <c r="E641" s="296"/>
      <c r="F641" s="296"/>
      <c r="G641" s="296"/>
      <c r="H641" s="296"/>
      <c r="I641" s="296"/>
      <c r="J641" s="296"/>
      <c r="K641" s="296"/>
      <c r="L641" s="296"/>
      <c r="M641" s="296"/>
      <c r="N641" s="296"/>
      <c r="O641" s="269"/>
      <c r="P641" s="269"/>
      <c r="Q641" s="269"/>
      <c r="R641" s="296"/>
      <c r="S641" s="296"/>
      <c r="T641" s="296"/>
      <c r="U641" s="296"/>
      <c r="V641" s="296"/>
      <c r="W641" s="296"/>
      <c r="X641" s="296"/>
      <c r="Y641" s="296"/>
      <c r="Z641" s="296"/>
      <c r="AA641" s="296"/>
      <c r="AB641" s="296"/>
      <c r="AC641" s="296"/>
      <c r="AD641" s="296"/>
      <c r="AE641" s="307"/>
      <c r="AF641" s="273"/>
      <c r="AG641" s="274"/>
    </row>
    <row r="642">
      <c r="A642" s="296"/>
      <c r="B642" s="269"/>
      <c r="C642" s="296"/>
      <c r="D642" s="296"/>
      <c r="E642" s="296"/>
      <c r="F642" s="296"/>
      <c r="G642" s="296"/>
      <c r="H642" s="296"/>
      <c r="I642" s="296"/>
      <c r="J642" s="296"/>
      <c r="K642" s="296"/>
      <c r="L642" s="296"/>
      <c r="M642" s="296"/>
      <c r="N642" s="296"/>
      <c r="O642" s="269"/>
      <c r="P642" s="269"/>
      <c r="Q642" s="269"/>
      <c r="R642" s="296"/>
      <c r="S642" s="296"/>
      <c r="T642" s="296"/>
      <c r="U642" s="296"/>
      <c r="V642" s="296"/>
      <c r="W642" s="296"/>
      <c r="X642" s="296"/>
      <c r="Y642" s="296"/>
      <c r="Z642" s="296"/>
      <c r="AA642" s="296"/>
      <c r="AB642" s="296"/>
      <c r="AC642" s="296"/>
      <c r="AD642" s="296"/>
      <c r="AE642" s="307"/>
      <c r="AF642" s="273"/>
      <c r="AG642" s="274"/>
    </row>
    <row r="643">
      <c r="A643" s="296"/>
      <c r="B643" s="269"/>
      <c r="C643" s="296"/>
      <c r="D643" s="296"/>
      <c r="E643" s="296"/>
      <c r="F643" s="296"/>
      <c r="G643" s="296"/>
      <c r="H643" s="296"/>
      <c r="I643" s="296"/>
      <c r="J643" s="296"/>
      <c r="K643" s="296"/>
      <c r="L643" s="296"/>
      <c r="M643" s="296"/>
      <c r="N643" s="296"/>
      <c r="O643" s="269"/>
      <c r="P643" s="269"/>
      <c r="Q643" s="269"/>
      <c r="R643" s="296"/>
      <c r="S643" s="296"/>
      <c r="T643" s="296"/>
      <c r="U643" s="296"/>
      <c r="V643" s="296"/>
      <c r="W643" s="296"/>
      <c r="X643" s="296"/>
      <c r="Y643" s="296"/>
      <c r="Z643" s="296"/>
      <c r="AA643" s="296"/>
      <c r="AB643" s="296"/>
      <c r="AC643" s="296"/>
      <c r="AD643" s="296"/>
      <c r="AE643" s="307"/>
      <c r="AF643" s="273"/>
      <c r="AG643" s="274"/>
    </row>
    <row r="644">
      <c r="A644" s="296"/>
      <c r="B644" s="269"/>
      <c r="C644" s="296"/>
      <c r="D644" s="296"/>
      <c r="E644" s="296"/>
      <c r="F644" s="296"/>
      <c r="G644" s="296"/>
      <c r="H644" s="296"/>
      <c r="I644" s="296"/>
      <c r="J644" s="296"/>
      <c r="K644" s="296"/>
      <c r="L644" s="296"/>
      <c r="M644" s="296"/>
      <c r="N644" s="296"/>
      <c r="O644" s="269"/>
      <c r="P644" s="269"/>
      <c r="Q644" s="269"/>
      <c r="R644" s="296"/>
      <c r="S644" s="296"/>
      <c r="T644" s="296"/>
      <c r="U644" s="296"/>
      <c r="V644" s="296"/>
      <c r="W644" s="296"/>
      <c r="X644" s="296"/>
      <c r="Y644" s="296"/>
      <c r="Z644" s="296"/>
      <c r="AA644" s="296"/>
      <c r="AB644" s="296"/>
      <c r="AC644" s="296"/>
      <c r="AD644" s="296"/>
      <c r="AE644" s="307"/>
      <c r="AF644" s="273"/>
      <c r="AG644" s="274"/>
    </row>
    <row r="645">
      <c r="A645" s="296"/>
      <c r="B645" s="269"/>
      <c r="C645" s="296"/>
      <c r="D645" s="296"/>
      <c r="E645" s="296"/>
      <c r="F645" s="296"/>
      <c r="G645" s="296"/>
      <c r="H645" s="296"/>
      <c r="I645" s="296"/>
      <c r="J645" s="296"/>
      <c r="K645" s="296"/>
      <c r="L645" s="296"/>
      <c r="M645" s="296"/>
      <c r="N645" s="296"/>
      <c r="O645" s="269"/>
      <c r="P645" s="269"/>
      <c r="Q645" s="269"/>
      <c r="R645" s="296"/>
      <c r="S645" s="296"/>
      <c r="T645" s="296"/>
      <c r="U645" s="296"/>
      <c r="V645" s="296"/>
      <c r="W645" s="296"/>
      <c r="X645" s="296"/>
      <c r="Y645" s="296"/>
      <c r="Z645" s="296"/>
      <c r="AA645" s="296"/>
      <c r="AB645" s="296"/>
      <c r="AC645" s="296"/>
      <c r="AD645" s="296"/>
      <c r="AE645" s="307"/>
      <c r="AF645" s="273"/>
      <c r="AG645" s="274"/>
    </row>
    <row r="646">
      <c r="A646" s="296"/>
      <c r="B646" s="269"/>
      <c r="C646" s="296"/>
      <c r="D646" s="296"/>
      <c r="E646" s="296"/>
      <c r="F646" s="296"/>
      <c r="G646" s="296"/>
      <c r="H646" s="296"/>
      <c r="I646" s="296"/>
      <c r="J646" s="296"/>
      <c r="K646" s="296"/>
      <c r="L646" s="296"/>
      <c r="M646" s="296"/>
      <c r="N646" s="296"/>
      <c r="O646" s="269"/>
      <c r="P646" s="269"/>
      <c r="Q646" s="269"/>
      <c r="R646" s="296"/>
      <c r="S646" s="296"/>
      <c r="T646" s="296"/>
      <c r="U646" s="296"/>
      <c r="V646" s="296"/>
      <c r="W646" s="296"/>
      <c r="X646" s="296"/>
      <c r="Y646" s="296"/>
      <c r="Z646" s="296"/>
      <c r="AA646" s="296"/>
      <c r="AB646" s="296"/>
      <c r="AC646" s="296"/>
      <c r="AD646" s="296"/>
      <c r="AE646" s="307"/>
      <c r="AF646" s="273"/>
      <c r="AG646" s="274"/>
    </row>
    <row r="647">
      <c r="A647" s="296"/>
      <c r="B647" s="269"/>
      <c r="C647" s="296"/>
      <c r="D647" s="296"/>
      <c r="E647" s="296"/>
      <c r="F647" s="296"/>
      <c r="G647" s="296"/>
      <c r="H647" s="296"/>
      <c r="I647" s="296"/>
      <c r="J647" s="296"/>
      <c r="K647" s="296"/>
      <c r="L647" s="296"/>
      <c r="M647" s="296"/>
      <c r="N647" s="296"/>
      <c r="O647" s="269"/>
      <c r="P647" s="269"/>
      <c r="Q647" s="269"/>
      <c r="R647" s="296"/>
      <c r="S647" s="296"/>
      <c r="T647" s="296"/>
      <c r="U647" s="296"/>
      <c r="V647" s="296"/>
      <c r="W647" s="296"/>
      <c r="X647" s="296"/>
      <c r="Y647" s="296"/>
      <c r="Z647" s="296"/>
      <c r="AA647" s="296"/>
      <c r="AB647" s="296"/>
      <c r="AC647" s="296"/>
      <c r="AD647" s="296"/>
      <c r="AE647" s="307"/>
      <c r="AF647" s="273"/>
      <c r="AG647" s="274"/>
    </row>
    <row r="648">
      <c r="A648" s="296"/>
      <c r="B648" s="269"/>
      <c r="C648" s="296"/>
      <c r="D648" s="296"/>
      <c r="E648" s="296"/>
      <c r="F648" s="296"/>
      <c r="G648" s="296"/>
      <c r="H648" s="296"/>
      <c r="I648" s="296"/>
      <c r="J648" s="296"/>
      <c r="K648" s="296"/>
      <c r="L648" s="296"/>
      <c r="M648" s="296"/>
      <c r="N648" s="296"/>
      <c r="O648" s="269"/>
      <c r="P648" s="269"/>
      <c r="Q648" s="269"/>
      <c r="R648" s="296"/>
      <c r="S648" s="296"/>
      <c r="T648" s="296"/>
      <c r="U648" s="296"/>
      <c r="V648" s="296"/>
      <c r="W648" s="296"/>
      <c r="X648" s="296"/>
      <c r="Y648" s="296"/>
      <c r="Z648" s="296"/>
      <c r="AA648" s="296"/>
      <c r="AB648" s="296"/>
      <c r="AC648" s="296"/>
      <c r="AD648" s="296"/>
      <c r="AE648" s="307"/>
      <c r="AF648" s="273"/>
      <c r="AG648" s="274"/>
    </row>
    <row r="649">
      <c r="A649" s="296"/>
      <c r="B649" s="269"/>
      <c r="C649" s="296"/>
      <c r="D649" s="296"/>
      <c r="E649" s="296"/>
      <c r="F649" s="296"/>
      <c r="G649" s="296"/>
      <c r="H649" s="296"/>
      <c r="I649" s="296"/>
      <c r="J649" s="296"/>
      <c r="K649" s="296"/>
      <c r="L649" s="296"/>
      <c r="M649" s="296"/>
      <c r="N649" s="296"/>
      <c r="O649" s="269"/>
      <c r="P649" s="269"/>
      <c r="Q649" s="269"/>
      <c r="R649" s="296"/>
      <c r="S649" s="296"/>
      <c r="T649" s="296"/>
      <c r="U649" s="296"/>
      <c r="V649" s="296"/>
      <c r="W649" s="296"/>
      <c r="X649" s="296"/>
      <c r="Y649" s="296"/>
      <c r="Z649" s="296"/>
      <c r="AA649" s="296"/>
      <c r="AB649" s="296"/>
      <c r="AC649" s="296"/>
      <c r="AD649" s="296"/>
      <c r="AE649" s="307"/>
      <c r="AF649" s="273"/>
      <c r="AG649" s="274"/>
    </row>
    <row r="650">
      <c r="A650" s="296"/>
      <c r="B650" s="269"/>
      <c r="C650" s="296"/>
      <c r="D650" s="296"/>
      <c r="E650" s="296"/>
      <c r="F650" s="296"/>
      <c r="G650" s="296"/>
      <c r="H650" s="296"/>
      <c r="I650" s="296"/>
      <c r="J650" s="296"/>
      <c r="K650" s="296"/>
      <c r="L650" s="296"/>
      <c r="M650" s="296"/>
      <c r="N650" s="296"/>
      <c r="O650" s="269"/>
      <c r="P650" s="269"/>
      <c r="Q650" s="269"/>
      <c r="R650" s="296"/>
      <c r="S650" s="296"/>
      <c r="T650" s="296"/>
      <c r="U650" s="296"/>
      <c r="V650" s="296"/>
      <c r="W650" s="296"/>
      <c r="X650" s="296"/>
      <c r="Y650" s="296"/>
      <c r="Z650" s="296"/>
      <c r="AA650" s="296"/>
      <c r="AB650" s="296"/>
      <c r="AC650" s="296"/>
      <c r="AD650" s="296"/>
      <c r="AE650" s="307"/>
      <c r="AF650" s="273"/>
      <c r="AG650" s="274"/>
    </row>
    <row r="651">
      <c r="A651" s="296"/>
      <c r="B651" s="269"/>
      <c r="C651" s="296"/>
      <c r="D651" s="296"/>
      <c r="E651" s="296"/>
      <c r="F651" s="296"/>
      <c r="G651" s="296"/>
      <c r="H651" s="296"/>
      <c r="I651" s="296"/>
      <c r="J651" s="296"/>
      <c r="K651" s="296"/>
      <c r="L651" s="296"/>
      <c r="M651" s="296"/>
      <c r="N651" s="296"/>
      <c r="O651" s="269"/>
      <c r="P651" s="269"/>
      <c r="Q651" s="269"/>
      <c r="R651" s="296"/>
      <c r="S651" s="296"/>
      <c r="T651" s="296"/>
      <c r="U651" s="296"/>
      <c r="V651" s="296"/>
      <c r="W651" s="296"/>
      <c r="X651" s="296"/>
      <c r="Y651" s="296"/>
      <c r="Z651" s="296"/>
      <c r="AA651" s="296"/>
      <c r="AB651" s="296"/>
      <c r="AC651" s="296"/>
      <c r="AD651" s="296"/>
      <c r="AE651" s="307"/>
      <c r="AF651" s="273"/>
      <c r="AG651" s="274"/>
    </row>
    <row r="652">
      <c r="A652" s="296"/>
      <c r="B652" s="269"/>
      <c r="C652" s="296"/>
      <c r="D652" s="296"/>
      <c r="E652" s="296"/>
      <c r="F652" s="296"/>
      <c r="G652" s="296"/>
      <c r="H652" s="296"/>
      <c r="I652" s="296"/>
      <c r="J652" s="296"/>
      <c r="K652" s="296"/>
      <c r="L652" s="296"/>
      <c r="M652" s="296"/>
      <c r="N652" s="296"/>
      <c r="O652" s="269"/>
      <c r="P652" s="269"/>
      <c r="Q652" s="269"/>
      <c r="R652" s="296"/>
      <c r="S652" s="296"/>
      <c r="T652" s="296"/>
      <c r="U652" s="296"/>
      <c r="V652" s="296"/>
      <c r="W652" s="296"/>
      <c r="X652" s="296"/>
      <c r="Y652" s="296"/>
      <c r="Z652" s="296"/>
      <c r="AA652" s="296"/>
      <c r="AB652" s="296"/>
      <c r="AC652" s="296"/>
      <c r="AD652" s="296"/>
      <c r="AE652" s="307"/>
      <c r="AF652" s="273"/>
      <c r="AG652" s="274"/>
    </row>
    <row r="653">
      <c r="A653" s="296"/>
      <c r="B653" s="269"/>
      <c r="C653" s="296"/>
      <c r="D653" s="296"/>
      <c r="E653" s="296"/>
      <c r="F653" s="296"/>
      <c r="G653" s="296"/>
      <c r="H653" s="296"/>
      <c r="I653" s="296"/>
      <c r="J653" s="296"/>
      <c r="K653" s="296"/>
      <c r="L653" s="296"/>
      <c r="M653" s="296"/>
      <c r="N653" s="296"/>
      <c r="O653" s="269"/>
      <c r="P653" s="269"/>
      <c r="Q653" s="269"/>
      <c r="R653" s="296"/>
      <c r="S653" s="296"/>
      <c r="T653" s="296"/>
      <c r="U653" s="296"/>
      <c r="V653" s="296"/>
      <c r="W653" s="296"/>
      <c r="X653" s="296"/>
      <c r="Y653" s="296"/>
      <c r="Z653" s="296"/>
      <c r="AA653" s="296"/>
      <c r="AB653" s="296"/>
      <c r="AC653" s="296"/>
      <c r="AD653" s="296"/>
      <c r="AE653" s="307"/>
      <c r="AF653" s="273"/>
      <c r="AG653" s="274"/>
    </row>
    <row r="654">
      <c r="A654" s="296"/>
      <c r="B654" s="269"/>
      <c r="C654" s="296"/>
      <c r="D654" s="296"/>
      <c r="E654" s="296"/>
      <c r="F654" s="296"/>
      <c r="G654" s="296"/>
      <c r="H654" s="296"/>
      <c r="I654" s="296"/>
      <c r="J654" s="296"/>
      <c r="K654" s="296"/>
      <c r="L654" s="296"/>
      <c r="M654" s="296"/>
      <c r="N654" s="296"/>
      <c r="O654" s="269"/>
      <c r="P654" s="269"/>
      <c r="Q654" s="269"/>
      <c r="R654" s="296"/>
      <c r="S654" s="296"/>
      <c r="T654" s="296"/>
      <c r="U654" s="296"/>
      <c r="V654" s="296"/>
      <c r="W654" s="296"/>
      <c r="X654" s="296"/>
      <c r="Y654" s="296"/>
      <c r="Z654" s="296"/>
      <c r="AA654" s="296"/>
      <c r="AB654" s="296"/>
      <c r="AC654" s="296"/>
      <c r="AD654" s="296"/>
      <c r="AE654" s="307"/>
      <c r="AF654" s="273"/>
      <c r="AG654" s="274"/>
    </row>
    <row r="655">
      <c r="A655" s="296"/>
      <c r="B655" s="269"/>
      <c r="C655" s="296"/>
      <c r="D655" s="296"/>
      <c r="E655" s="296"/>
      <c r="F655" s="296"/>
      <c r="G655" s="296"/>
      <c r="H655" s="296"/>
      <c r="I655" s="296"/>
      <c r="J655" s="296"/>
      <c r="K655" s="296"/>
      <c r="L655" s="296"/>
      <c r="M655" s="296"/>
      <c r="N655" s="296"/>
      <c r="O655" s="269"/>
      <c r="P655" s="269"/>
      <c r="Q655" s="269"/>
      <c r="R655" s="296"/>
      <c r="S655" s="296"/>
      <c r="T655" s="296"/>
      <c r="U655" s="296"/>
      <c r="V655" s="296"/>
      <c r="W655" s="296"/>
      <c r="X655" s="296"/>
      <c r="Y655" s="296"/>
      <c r="Z655" s="296"/>
      <c r="AA655" s="296"/>
      <c r="AB655" s="296"/>
      <c r="AC655" s="296"/>
      <c r="AD655" s="296"/>
      <c r="AE655" s="307"/>
      <c r="AF655" s="273"/>
      <c r="AG655" s="274"/>
    </row>
    <row r="656">
      <c r="A656" s="296"/>
      <c r="B656" s="269"/>
      <c r="C656" s="296"/>
      <c r="D656" s="296"/>
      <c r="E656" s="296"/>
      <c r="F656" s="296"/>
      <c r="G656" s="296"/>
      <c r="H656" s="296"/>
      <c r="I656" s="296"/>
      <c r="J656" s="296"/>
      <c r="K656" s="296"/>
      <c r="L656" s="296"/>
      <c r="M656" s="296"/>
      <c r="N656" s="296"/>
      <c r="O656" s="269"/>
      <c r="P656" s="269"/>
      <c r="Q656" s="269"/>
      <c r="R656" s="296"/>
      <c r="S656" s="296"/>
      <c r="T656" s="296"/>
      <c r="U656" s="296"/>
      <c r="V656" s="296"/>
      <c r="W656" s="296"/>
      <c r="X656" s="296"/>
      <c r="Y656" s="296"/>
      <c r="Z656" s="296"/>
      <c r="AA656" s="296"/>
      <c r="AB656" s="296"/>
      <c r="AC656" s="296"/>
      <c r="AD656" s="296"/>
      <c r="AE656" s="307"/>
      <c r="AF656" s="273"/>
      <c r="AG656" s="274"/>
    </row>
    <row r="657">
      <c r="A657" s="296"/>
      <c r="B657" s="269"/>
      <c r="C657" s="296"/>
      <c r="D657" s="296"/>
      <c r="E657" s="296"/>
      <c r="F657" s="296"/>
      <c r="G657" s="296"/>
      <c r="H657" s="296"/>
      <c r="I657" s="296"/>
      <c r="J657" s="296"/>
      <c r="K657" s="296"/>
      <c r="L657" s="296"/>
      <c r="M657" s="296"/>
      <c r="N657" s="296"/>
      <c r="O657" s="269"/>
      <c r="P657" s="269"/>
      <c r="Q657" s="269"/>
      <c r="R657" s="296"/>
      <c r="S657" s="296"/>
      <c r="T657" s="296"/>
      <c r="U657" s="296"/>
      <c r="V657" s="296"/>
      <c r="W657" s="296"/>
      <c r="X657" s="296"/>
      <c r="Y657" s="296"/>
      <c r="Z657" s="296"/>
      <c r="AA657" s="296"/>
      <c r="AB657" s="296"/>
      <c r="AC657" s="296"/>
      <c r="AD657" s="296"/>
      <c r="AE657" s="307"/>
      <c r="AF657" s="273"/>
      <c r="AG657" s="274"/>
    </row>
    <row r="658">
      <c r="A658" s="296"/>
      <c r="B658" s="269"/>
      <c r="C658" s="296"/>
      <c r="D658" s="296"/>
      <c r="E658" s="296"/>
      <c r="F658" s="296"/>
      <c r="G658" s="296"/>
      <c r="H658" s="296"/>
      <c r="I658" s="296"/>
      <c r="J658" s="296"/>
      <c r="K658" s="296"/>
      <c r="L658" s="296"/>
      <c r="M658" s="296"/>
      <c r="N658" s="296"/>
      <c r="O658" s="269"/>
      <c r="P658" s="269"/>
      <c r="Q658" s="269"/>
      <c r="R658" s="296"/>
      <c r="S658" s="296"/>
      <c r="T658" s="296"/>
      <c r="U658" s="296"/>
      <c r="V658" s="296"/>
      <c r="W658" s="296"/>
      <c r="X658" s="296"/>
      <c r="Y658" s="296"/>
      <c r="Z658" s="296"/>
      <c r="AA658" s="296"/>
      <c r="AB658" s="296"/>
      <c r="AC658" s="296"/>
      <c r="AD658" s="296"/>
      <c r="AE658" s="307"/>
      <c r="AF658" s="273"/>
      <c r="AG658" s="274"/>
    </row>
    <row r="659">
      <c r="A659" s="296"/>
      <c r="B659" s="269"/>
      <c r="C659" s="296"/>
      <c r="D659" s="296"/>
      <c r="E659" s="296"/>
      <c r="F659" s="296"/>
      <c r="G659" s="296"/>
      <c r="H659" s="296"/>
      <c r="I659" s="296"/>
      <c r="J659" s="296"/>
      <c r="K659" s="296"/>
      <c r="L659" s="296"/>
      <c r="M659" s="296"/>
      <c r="N659" s="296"/>
      <c r="O659" s="269"/>
      <c r="P659" s="269"/>
      <c r="Q659" s="269"/>
      <c r="R659" s="296"/>
      <c r="S659" s="296"/>
      <c r="T659" s="296"/>
      <c r="U659" s="296"/>
      <c r="V659" s="296"/>
      <c r="W659" s="296"/>
      <c r="X659" s="296"/>
      <c r="Y659" s="296"/>
      <c r="Z659" s="296"/>
      <c r="AA659" s="296"/>
      <c r="AB659" s="296"/>
      <c r="AC659" s="296"/>
      <c r="AD659" s="296"/>
      <c r="AE659" s="307"/>
      <c r="AF659" s="273"/>
      <c r="AG659" s="274"/>
    </row>
    <row r="660">
      <c r="A660" s="296"/>
      <c r="B660" s="269"/>
      <c r="C660" s="296"/>
      <c r="D660" s="296"/>
      <c r="E660" s="296"/>
      <c r="F660" s="296"/>
      <c r="G660" s="296"/>
      <c r="H660" s="296"/>
      <c r="I660" s="296"/>
      <c r="J660" s="296"/>
      <c r="K660" s="296"/>
      <c r="L660" s="296"/>
      <c r="M660" s="296"/>
      <c r="N660" s="296"/>
      <c r="O660" s="269"/>
      <c r="P660" s="269"/>
      <c r="Q660" s="269"/>
      <c r="R660" s="296"/>
      <c r="S660" s="296"/>
      <c r="T660" s="296"/>
      <c r="U660" s="296"/>
      <c r="V660" s="296"/>
      <c r="W660" s="296"/>
      <c r="X660" s="296"/>
      <c r="Y660" s="296"/>
      <c r="Z660" s="296"/>
      <c r="AA660" s="296"/>
      <c r="AB660" s="296"/>
      <c r="AC660" s="296"/>
      <c r="AD660" s="296"/>
      <c r="AE660" s="307"/>
      <c r="AF660" s="273"/>
      <c r="AG660" s="274"/>
    </row>
    <row r="661">
      <c r="A661" s="296"/>
      <c r="B661" s="269"/>
      <c r="C661" s="296"/>
      <c r="D661" s="296"/>
      <c r="E661" s="296"/>
      <c r="F661" s="296"/>
      <c r="G661" s="296"/>
      <c r="H661" s="296"/>
      <c r="I661" s="296"/>
      <c r="J661" s="296"/>
      <c r="K661" s="296"/>
      <c r="L661" s="296"/>
      <c r="M661" s="296"/>
      <c r="N661" s="296"/>
      <c r="O661" s="269"/>
      <c r="P661" s="269"/>
      <c r="Q661" s="269"/>
      <c r="R661" s="296"/>
      <c r="S661" s="296"/>
      <c r="T661" s="296"/>
      <c r="U661" s="296"/>
      <c r="V661" s="296"/>
      <c r="W661" s="296"/>
      <c r="X661" s="296"/>
      <c r="Y661" s="296"/>
      <c r="Z661" s="296"/>
      <c r="AA661" s="296"/>
      <c r="AB661" s="296"/>
      <c r="AC661" s="296"/>
      <c r="AD661" s="296"/>
      <c r="AE661" s="307"/>
      <c r="AF661" s="273"/>
      <c r="AG661" s="274"/>
    </row>
    <row r="662">
      <c r="A662" s="296"/>
      <c r="B662" s="269"/>
      <c r="C662" s="296"/>
      <c r="D662" s="296"/>
      <c r="E662" s="296"/>
      <c r="F662" s="296"/>
      <c r="G662" s="296"/>
      <c r="H662" s="296"/>
      <c r="I662" s="296"/>
      <c r="J662" s="296"/>
      <c r="K662" s="296"/>
      <c r="L662" s="296"/>
      <c r="M662" s="296"/>
      <c r="N662" s="296"/>
      <c r="O662" s="269"/>
      <c r="P662" s="269"/>
      <c r="Q662" s="269"/>
      <c r="R662" s="296"/>
      <c r="S662" s="296"/>
      <c r="T662" s="296"/>
      <c r="U662" s="296"/>
      <c r="V662" s="296"/>
      <c r="W662" s="296"/>
      <c r="X662" s="296"/>
      <c r="Y662" s="296"/>
      <c r="Z662" s="296"/>
      <c r="AA662" s="296"/>
      <c r="AB662" s="296"/>
      <c r="AC662" s="296"/>
      <c r="AD662" s="296"/>
      <c r="AE662" s="307"/>
      <c r="AF662" s="273"/>
      <c r="AG662" s="274"/>
    </row>
    <row r="663">
      <c r="A663" s="296"/>
      <c r="B663" s="269"/>
      <c r="C663" s="296"/>
      <c r="D663" s="296"/>
      <c r="E663" s="296"/>
      <c r="F663" s="296"/>
      <c r="G663" s="296"/>
      <c r="H663" s="296"/>
      <c r="I663" s="296"/>
      <c r="J663" s="296"/>
      <c r="K663" s="296"/>
      <c r="L663" s="296"/>
      <c r="M663" s="296"/>
      <c r="N663" s="296"/>
      <c r="O663" s="269"/>
      <c r="P663" s="269"/>
      <c r="Q663" s="269"/>
      <c r="R663" s="296"/>
      <c r="S663" s="296"/>
      <c r="T663" s="296"/>
      <c r="U663" s="296"/>
      <c r="V663" s="296"/>
      <c r="W663" s="296"/>
      <c r="X663" s="296"/>
      <c r="Y663" s="296"/>
      <c r="Z663" s="296"/>
      <c r="AA663" s="296"/>
      <c r="AB663" s="296"/>
      <c r="AC663" s="296"/>
      <c r="AD663" s="296"/>
      <c r="AE663" s="307"/>
      <c r="AF663" s="273"/>
      <c r="AG663" s="274"/>
    </row>
    <row r="664">
      <c r="A664" s="296"/>
      <c r="B664" s="269"/>
      <c r="C664" s="296"/>
      <c r="D664" s="296"/>
      <c r="E664" s="296"/>
      <c r="F664" s="296"/>
      <c r="G664" s="296"/>
      <c r="H664" s="296"/>
      <c r="I664" s="296"/>
      <c r="J664" s="296"/>
      <c r="K664" s="296"/>
      <c r="L664" s="296"/>
      <c r="M664" s="296"/>
      <c r="N664" s="296"/>
      <c r="O664" s="269"/>
      <c r="P664" s="269"/>
      <c r="Q664" s="269"/>
      <c r="R664" s="296"/>
      <c r="S664" s="296"/>
      <c r="T664" s="296"/>
      <c r="U664" s="296"/>
      <c r="V664" s="296"/>
      <c r="W664" s="296"/>
      <c r="X664" s="296"/>
      <c r="Y664" s="296"/>
      <c r="Z664" s="296"/>
      <c r="AA664" s="296"/>
      <c r="AB664" s="296"/>
      <c r="AC664" s="296"/>
      <c r="AD664" s="296"/>
      <c r="AE664" s="307"/>
      <c r="AF664" s="273"/>
      <c r="AG664" s="274"/>
    </row>
    <row r="665">
      <c r="A665" s="296"/>
      <c r="B665" s="269"/>
      <c r="C665" s="296"/>
      <c r="D665" s="296"/>
      <c r="E665" s="296"/>
      <c r="F665" s="296"/>
      <c r="G665" s="296"/>
      <c r="H665" s="296"/>
      <c r="I665" s="296"/>
      <c r="J665" s="296"/>
      <c r="K665" s="296"/>
      <c r="L665" s="296"/>
      <c r="M665" s="296"/>
      <c r="N665" s="296"/>
      <c r="O665" s="269"/>
      <c r="P665" s="269"/>
      <c r="Q665" s="269"/>
      <c r="R665" s="296"/>
      <c r="S665" s="296"/>
      <c r="T665" s="296"/>
      <c r="U665" s="296"/>
      <c r="V665" s="296"/>
      <c r="W665" s="296"/>
      <c r="X665" s="296"/>
      <c r="Y665" s="296"/>
      <c r="Z665" s="296"/>
      <c r="AA665" s="296"/>
      <c r="AB665" s="296"/>
      <c r="AC665" s="296"/>
      <c r="AD665" s="296"/>
      <c r="AE665" s="307"/>
      <c r="AF665" s="273"/>
      <c r="AG665" s="274"/>
    </row>
    <row r="666">
      <c r="A666" s="296"/>
      <c r="B666" s="269"/>
      <c r="C666" s="296"/>
      <c r="D666" s="296"/>
      <c r="E666" s="296"/>
      <c r="F666" s="296"/>
      <c r="G666" s="296"/>
      <c r="H666" s="296"/>
      <c r="I666" s="296"/>
      <c r="J666" s="296"/>
      <c r="K666" s="296"/>
      <c r="L666" s="296"/>
      <c r="M666" s="296"/>
      <c r="N666" s="296"/>
      <c r="O666" s="269"/>
      <c r="P666" s="269"/>
      <c r="Q666" s="269"/>
      <c r="R666" s="296"/>
      <c r="S666" s="296"/>
      <c r="T666" s="296"/>
      <c r="U666" s="296"/>
      <c r="V666" s="296"/>
      <c r="W666" s="296"/>
      <c r="X666" s="296"/>
      <c r="Y666" s="296"/>
      <c r="Z666" s="296"/>
      <c r="AA666" s="296"/>
      <c r="AB666" s="296"/>
      <c r="AC666" s="296"/>
      <c r="AD666" s="296"/>
      <c r="AE666" s="307"/>
      <c r="AF666" s="273"/>
      <c r="AG666" s="274"/>
    </row>
    <row r="667">
      <c r="A667" s="296"/>
      <c r="B667" s="269"/>
      <c r="C667" s="296"/>
      <c r="D667" s="296"/>
      <c r="E667" s="296"/>
      <c r="F667" s="296"/>
      <c r="G667" s="296"/>
      <c r="H667" s="296"/>
      <c r="I667" s="296"/>
      <c r="J667" s="296"/>
      <c r="K667" s="296"/>
      <c r="L667" s="296"/>
      <c r="M667" s="296"/>
      <c r="N667" s="296"/>
      <c r="O667" s="269"/>
      <c r="P667" s="269"/>
      <c r="Q667" s="269"/>
      <c r="R667" s="296"/>
      <c r="S667" s="296"/>
      <c r="T667" s="296"/>
      <c r="U667" s="296"/>
      <c r="V667" s="296"/>
      <c r="W667" s="296"/>
      <c r="X667" s="296"/>
      <c r="Y667" s="296"/>
      <c r="Z667" s="296"/>
      <c r="AA667" s="296"/>
      <c r="AB667" s="296"/>
      <c r="AC667" s="296"/>
      <c r="AD667" s="296"/>
      <c r="AE667" s="307"/>
      <c r="AF667" s="273"/>
      <c r="AG667" s="274"/>
    </row>
    <row r="668">
      <c r="A668" s="296"/>
      <c r="B668" s="269"/>
      <c r="C668" s="296"/>
      <c r="D668" s="296"/>
      <c r="E668" s="296"/>
      <c r="F668" s="296"/>
      <c r="G668" s="296"/>
      <c r="H668" s="296"/>
      <c r="I668" s="296"/>
      <c r="J668" s="296"/>
      <c r="K668" s="296"/>
      <c r="L668" s="296"/>
      <c r="M668" s="296"/>
      <c r="N668" s="296"/>
      <c r="O668" s="269"/>
      <c r="P668" s="269"/>
      <c r="Q668" s="269"/>
      <c r="R668" s="296"/>
      <c r="S668" s="296"/>
      <c r="T668" s="296"/>
      <c r="U668" s="296"/>
      <c r="V668" s="296"/>
      <c r="W668" s="296"/>
      <c r="X668" s="296"/>
      <c r="Y668" s="296"/>
      <c r="Z668" s="296"/>
      <c r="AA668" s="296"/>
      <c r="AB668" s="296"/>
      <c r="AC668" s="296"/>
      <c r="AD668" s="296"/>
      <c r="AE668" s="307"/>
      <c r="AF668" s="273"/>
      <c r="AG668" s="274"/>
    </row>
    <row r="669">
      <c r="A669" s="296"/>
      <c r="B669" s="269"/>
      <c r="C669" s="296"/>
      <c r="D669" s="296"/>
      <c r="E669" s="296"/>
      <c r="F669" s="296"/>
      <c r="G669" s="296"/>
      <c r="H669" s="296"/>
      <c r="I669" s="296"/>
      <c r="J669" s="296"/>
      <c r="K669" s="296"/>
      <c r="L669" s="296"/>
      <c r="M669" s="296"/>
      <c r="N669" s="296"/>
      <c r="O669" s="269"/>
      <c r="P669" s="269"/>
      <c r="Q669" s="269"/>
      <c r="R669" s="296"/>
      <c r="S669" s="296"/>
      <c r="T669" s="296"/>
      <c r="U669" s="296"/>
      <c r="V669" s="296"/>
      <c r="W669" s="296"/>
      <c r="X669" s="296"/>
      <c r="Y669" s="296"/>
      <c r="Z669" s="296"/>
      <c r="AA669" s="296"/>
      <c r="AB669" s="296"/>
      <c r="AC669" s="296"/>
      <c r="AD669" s="296"/>
      <c r="AE669" s="307"/>
      <c r="AF669" s="273"/>
      <c r="AG669" s="274"/>
    </row>
    <row r="670">
      <c r="A670" s="296"/>
      <c r="B670" s="269"/>
      <c r="C670" s="296"/>
      <c r="D670" s="296"/>
      <c r="E670" s="296"/>
      <c r="F670" s="296"/>
      <c r="G670" s="296"/>
      <c r="H670" s="296"/>
      <c r="I670" s="296"/>
      <c r="J670" s="296"/>
      <c r="K670" s="296"/>
      <c r="L670" s="296"/>
      <c r="M670" s="296"/>
      <c r="N670" s="296"/>
      <c r="O670" s="269"/>
      <c r="P670" s="269"/>
      <c r="Q670" s="269"/>
      <c r="R670" s="296"/>
      <c r="S670" s="296"/>
      <c r="T670" s="296"/>
      <c r="U670" s="296"/>
      <c r="V670" s="296"/>
      <c r="W670" s="296"/>
      <c r="X670" s="296"/>
      <c r="Y670" s="296"/>
      <c r="Z670" s="296"/>
      <c r="AA670" s="296"/>
      <c r="AB670" s="296"/>
      <c r="AC670" s="296"/>
      <c r="AD670" s="296"/>
      <c r="AE670" s="307"/>
      <c r="AF670" s="273"/>
      <c r="AG670" s="274"/>
    </row>
    <row r="671">
      <c r="A671" s="296"/>
      <c r="B671" s="269"/>
      <c r="C671" s="296"/>
      <c r="D671" s="296"/>
      <c r="E671" s="296"/>
      <c r="F671" s="296"/>
      <c r="G671" s="296"/>
      <c r="H671" s="296"/>
      <c r="I671" s="296"/>
      <c r="J671" s="296"/>
      <c r="K671" s="296"/>
      <c r="L671" s="296"/>
      <c r="M671" s="296"/>
      <c r="N671" s="296"/>
      <c r="O671" s="269"/>
      <c r="P671" s="269"/>
      <c r="Q671" s="269"/>
      <c r="R671" s="296"/>
      <c r="S671" s="296"/>
      <c r="T671" s="296"/>
      <c r="U671" s="296"/>
      <c r="V671" s="296"/>
      <c r="W671" s="296"/>
      <c r="X671" s="296"/>
      <c r="Y671" s="296"/>
      <c r="Z671" s="296"/>
      <c r="AA671" s="296"/>
      <c r="AB671" s="296"/>
      <c r="AC671" s="296"/>
      <c r="AD671" s="296"/>
      <c r="AE671" s="307"/>
      <c r="AF671" s="273"/>
      <c r="AG671" s="274"/>
    </row>
    <row r="672">
      <c r="A672" s="296"/>
      <c r="B672" s="269"/>
      <c r="C672" s="296"/>
      <c r="D672" s="296"/>
      <c r="E672" s="296"/>
      <c r="F672" s="296"/>
      <c r="G672" s="296"/>
      <c r="H672" s="296"/>
      <c r="I672" s="296"/>
      <c r="J672" s="296"/>
      <c r="K672" s="296"/>
      <c r="L672" s="296"/>
      <c r="M672" s="296"/>
      <c r="N672" s="296"/>
      <c r="O672" s="269"/>
      <c r="P672" s="269"/>
      <c r="Q672" s="269"/>
      <c r="R672" s="296"/>
      <c r="S672" s="296"/>
      <c r="T672" s="296"/>
      <c r="U672" s="296"/>
      <c r="V672" s="296"/>
      <c r="W672" s="296"/>
      <c r="X672" s="296"/>
      <c r="Y672" s="296"/>
      <c r="Z672" s="296"/>
      <c r="AA672" s="296"/>
      <c r="AB672" s="296"/>
      <c r="AC672" s="296"/>
      <c r="AD672" s="296"/>
      <c r="AE672" s="307"/>
      <c r="AF672" s="273"/>
      <c r="AG672" s="274"/>
    </row>
    <row r="673">
      <c r="A673" s="296"/>
      <c r="B673" s="269"/>
      <c r="C673" s="296"/>
      <c r="D673" s="296"/>
      <c r="E673" s="296"/>
      <c r="F673" s="296"/>
      <c r="G673" s="296"/>
      <c r="H673" s="296"/>
      <c r="I673" s="296"/>
      <c r="J673" s="296"/>
      <c r="K673" s="296"/>
      <c r="L673" s="296"/>
      <c r="M673" s="296"/>
      <c r="N673" s="296"/>
      <c r="O673" s="269"/>
      <c r="P673" s="269"/>
      <c r="Q673" s="269"/>
      <c r="R673" s="296"/>
      <c r="S673" s="296"/>
      <c r="T673" s="296"/>
      <c r="U673" s="296"/>
      <c r="V673" s="296"/>
      <c r="W673" s="296"/>
      <c r="X673" s="296"/>
      <c r="Y673" s="296"/>
      <c r="Z673" s="296"/>
      <c r="AA673" s="296"/>
      <c r="AB673" s="296"/>
      <c r="AC673" s="296"/>
      <c r="AD673" s="296"/>
      <c r="AE673" s="307"/>
      <c r="AF673" s="273"/>
      <c r="AG673" s="274"/>
    </row>
    <row r="674">
      <c r="A674" s="296"/>
      <c r="B674" s="269"/>
      <c r="C674" s="296"/>
      <c r="D674" s="296"/>
      <c r="E674" s="296"/>
      <c r="F674" s="296"/>
      <c r="G674" s="296"/>
      <c r="H674" s="296"/>
      <c r="I674" s="296"/>
      <c r="J674" s="296"/>
      <c r="K674" s="296"/>
      <c r="L674" s="296"/>
      <c r="M674" s="296"/>
      <c r="N674" s="296"/>
      <c r="O674" s="269"/>
      <c r="P674" s="269"/>
      <c r="Q674" s="269"/>
      <c r="R674" s="296"/>
      <c r="S674" s="296"/>
      <c r="T674" s="296"/>
      <c r="U674" s="296"/>
      <c r="V674" s="296"/>
      <c r="W674" s="296"/>
      <c r="X674" s="296"/>
      <c r="Y674" s="296"/>
      <c r="Z674" s="296"/>
      <c r="AA674" s="296"/>
      <c r="AB674" s="296"/>
      <c r="AC674" s="296"/>
      <c r="AD674" s="296"/>
      <c r="AE674" s="307"/>
      <c r="AF674" s="273"/>
      <c r="AG674" s="274"/>
    </row>
    <row r="675">
      <c r="A675" s="296"/>
      <c r="B675" s="269"/>
      <c r="C675" s="296"/>
      <c r="D675" s="296"/>
      <c r="E675" s="296"/>
      <c r="F675" s="296"/>
      <c r="G675" s="296"/>
      <c r="H675" s="296"/>
      <c r="I675" s="296"/>
      <c r="J675" s="296"/>
      <c r="K675" s="296"/>
      <c r="L675" s="296"/>
      <c r="M675" s="296"/>
      <c r="N675" s="296"/>
      <c r="O675" s="269"/>
      <c r="P675" s="269"/>
      <c r="Q675" s="269"/>
      <c r="R675" s="296"/>
      <c r="S675" s="296"/>
      <c r="T675" s="296"/>
      <c r="U675" s="296"/>
      <c r="V675" s="296"/>
      <c r="W675" s="296"/>
      <c r="X675" s="296"/>
      <c r="Y675" s="296"/>
      <c r="Z675" s="296"/>
      <c r="AA675" s="296"/>
      <c r="AB675" s="296"/>
      <c r="AC675" s="296"/>
      <c r="AD675" s="296"/>
      <c r="AE675" s="307"/>
      <c r="AF675" s="273"/>
      <c r="AG675" s="274"/>
    </row>
    <row r="676">
      <c r="A676" s="296"/>
      <c r="B676" s="269"/>
      <c r="C676" s="296"/>
      <c r="D676" s="296"/>
      <c r="E676" s="296"/>
      <c r="F676" s="296"/>
      <c r="G676" s="296"/>
      <c r="H676" s="296"/>
      <c r="I676" s="296"/>
      <c r="J676" s="296"/>
      <c r="K676" s="296"/>
      <c r="L676" s="296"/>
      <c r="M676" s="296"/>
      <c r="N676" s="296"/>
      <c r="O676" s="269"/>
      <c r="P676" s="269"/>
      <c r="Q676" s="269"/>
      <c r="R676" s="296"/>
      <c r="S676" s="296"/>
      <c r="T676" s="296"/>
      <c r="U676" s="296"/>
      <c r="V676" s="296"/>
      <c r="W676" s="296"/>
      <c r="X676" s="296"/>
      <c r="Y676" s="296"/>
      <c r="Z676" s="296"/>
      <c r="AA676" s="296"/>
      <c r="AB676" s="296"/>
      <c r="AC676" s="296"/>
      <c r="AD676" s="296"/>
      <c r="AE676" s="307"/>
      <c r="AF676" s="273"/>
      <c r="AG676" s="274"/>
    </row>
    <row r="677">
      <c r="A677" s="296"/>
      <c r="B677" s="269"/>
      <c r="C677" s="296"/>
      <c r="D677" s="296"/>
      <c r="E677" s="296"/>
      <c r="F677" s="296"/>
      <c r="G677" s="296"/>
      <c r="H677" s="296"/>
      <c r="I677" s="296"/>
      <c r="J677" s="296"/>
      <c r="K677" s="296"/>
      <c r="L677" s="296"/>
      <c r="M677" s="296"/>
      <c r="N677" s="296"/>
      <c r="O677" s="269"/>
      <c r="P677" s="269"/>
      <c r="Q677" s="269"/>
      <c r="R677" s="296"/>
      <c r="S677" s="296"/>
      <c r="T677" s="296"/>
      <c r="U677" s="296"/>
      <c r="V677" s="296"/>
      <c r="W677" s="296"/>
      <c r="X677" s="296"/>
      <c r="Y677" s="296"/>
      <c r="Z677" s="296"/>
      <c r="AA677" s="296"/>
      <c r="AB677" s="296"/>
      <c r="AC677" s="296"/>
      <c r="AD677" s="296"/>
      <c r="AE677" s="307"/>
      <c r="AF677" s="273"/>
      <c r="AG677" s="274"/>
    </row>
    <row r="678">
      <c r="A678" s="296"/>
      <c r="B678" s="269"/>
      <c r="C678" s="296"/>
      <c r="D678" s="296"/>
      <c r="E678" s="296"/>
      <c r="F678" s="296"/>
      <c r="G678" s="296"/>
      <c r="H678" s="296"/>
      <c r="I678" s="296"/>
      <c r="J678" s="296"/>
      <c r="K678" s="296"/>
      <c r="L678" s="296"/>
      <c r="M678" s="296"/>
      <c r="N678" s="296"/>
      <c r="O678" s="269"/>
      <c r="P678" s="269"/>
      <c r="Q678" s="269"/>
      <c r="R678" s="296"/>
      <c r="S678" s="296"/>
      <c r="T678" s="296"/>
      <c r="U678" s="296"/>
      <c r="V678" s="296"/>
      <c r="W678" s="296"/>
      <c r="X678" s="296"/>
      <c r="Y678" s="296"/>
      <c r="Z678" s="296"/>
      <c r="AA678" s="296"/>
      <c r="AB678" s="296"/>
      <c r="AC678" s="296"/>
      <c r="AD678" s="296"/>
      <c r="AE678" s="307"/>
      <c r="AF678" s="273"/>
      <c r="AG678" s="274"/>
    </row>
    <row r="679">
      <c r="A679" s="296"/>
      <c r="B679" s="269"/>
      <c r="C679" s="296"/>
      <c r="D679" s="296"/>
      <c r="E679" s="296"/>
      <c r="F679" s="296"/>
      <c r="G679" s="296"/>
      <c r="H679" s="296"/>
      <c r="I679" s="296"/>
      <c r="J679" s="296"/>
      <c r="K679" s="296"/>
      <c r="L679" s="296"/>
      <c r="M679" s="296"/>
      <c r="N679" s="296"/>
      <c r="O679" s="269"/>
      <c r="P679" s="269"/>
      <c r="Q679" s="269"/>
      <c r="R679" s="296"/>
      <c r="S679" s="296"/>
      <c r="T679" s="296"/>
      <c r="U679" s="296"/>
      <c r="V679" s="296"/>
      <c r="W679" s="296"/>
      <c r="X679" s="296"/>
      <c r="Y679" s="296"/>
      <c r="Z679" s="296"/>
      <c r="AA679" s="296"/>
      <c r="AB679" s="296"/>
      <c r="AC679" s="296"/>
      <c r="AD679" s="296"/>
      <c r="AE679" s="307"/>
      <c r="AF679" s="273"/>
      <c r="AG679" s="274"/>
    </row>
    <row r="680">
      <c r="A680" s="296"/>
      <c r="B680" s="269"/>
      <c r="C680" s="296"/>
      <c r="D680" s="296"/>
      <c r="E680" s="296"/>
      <c r="F680" s="296"/>
      <c r="G680" s="296"/>
      <c r="H680" s="296"/>
      <c r="I680" s="296"/>
      <c r="J680" s="296"/>
      <c r="K680" s="296"/>
      <c r="L680" s="296"/>
      <c r="M680" s="296"/>
      <c r="N680" s="296"/>
      <c r="O680" s="269"/>
      <c r="P680" s="269"/>
      <c r="Q680" s="269"/>
      <c r="R680" s="296"/>
      <c r="S680" s="296"/>
      <c r="T680" s="296"/>
      <c r="U680" s="296"/>
      <c r="V680" s="296"/>
      <c r="W680" s="296"/>
      <c r="X680" s="296"/>
      <c r="Y680" s="296"/>
      <c r="Z680" s="296"/>
      <c r="AA680" s="296"/>
      <c r="AB680" s="296"/>
      <c r="AC680" s="296"/>
      <c r="AD680" s="296"/>
      <c r="AE680" s="307"/>
      <c r="AF680" s="273"/>
      <c r="AG680" s="274"/>
    </row>
    <row r="681">
      <c r="A681" s="296"/>
      <c r="B681" s="269"/>
      <c r="C681" s="296"/>
      <c r="D681" s="296"/>
      <c r="E681" s="296"/>
      <c r="F681" s="296"/>
      <c r="G681" s="296"/>
      <c r="H681" s="296"/>
      <c r="I681" s="296"/>
      <c r="J681" s="296"/>
      <c r="K681" s="296"/>
      <c r="L681" s="296"/>
      <c r="M681" s="296"/>
      <c r="N681" s="296"/>
      <c r="O681" s="269"/>
      <c r="P681" s="269"/>
      <c r="Q681" s="269"/>
      <c r="R681" s="296"/>
      <c r="S681" s="296"/>
      <c r="T681" s="296"/>
      <c r="U681" s="296"/>
      <c r="V681" s="296"/>
      <c r="W681" s="296"/>
      <c r="X681" s="296"/>
      <c r="Y681" s="296"/>
      <c r="Z681" s="296"/>
      <c r="AA681" s="296"/>
      <c r="AB681" s="296"/>
      <c r="AC681" s="296"/>
      <c r="AD681" s="296"/>
      <c r="AE681" s="307"/>
      <c r="AF681" s="273"/>
      <c r="AG681" s="274"/>
    </row>
    <row r="682">
      <c r="A682" s="296"/>
      <c r="B682" s="269"/>
      <c r="C682" s="296"/>
      <c r="D682" s="296"/>
      <c r="E682" s="296"/>
      <c r="F682" s="296"/>
      <c r="G682" s="296"/>
      <c r="H682" s="296"/>
      <c r="I682" s="296"/>
      <c r="J682" s="296"/>
      <c r="K682" s="296"/>
      <c r="L682" s="296"/>
      <c r="M682" s="296"/>
      <c r="N682" s="296"/>
      <c r="O682" s="269"/>
      <c r="P682" s="269"/>
      <c r="Q682" s="269"/>
      <c r="R682" s="296"/>
      <c r="S682" s="296"/>
      <c r="T682" s="296"/>
      <c r="U682" s="296"/>
      <c r="V682" s="296"/>
      <c r="W682" s="296"/>
      <c r="X682" s="296"/>
      <c r="Y682" s="296"/>
      <c r="Z682" s="296"/>
      <c r="AA682" s="296"/>
      <c r="AB682" s="296"/>
      <c r="AC682" s="296"/>
      <c r="AD682" s="296"/>
      <c r="AE682" s="307"/>
      <c r="AF682" s="273"/>
      <c r="AG682" s="274"/>
    </row>
    <row r="683">
      <c r="A683" s="296"/>
      <c r="B683" s="269"/>
      <c r="C683" s="296"/>
      <c r="D683" s="296"/>
      <c r="E683" s="296"/>
      <c r="F683" s="296"/>
      <c r="G683" s="296"/>
      <c r="H683" s="296"/>
      <c r="I683" s="296"/>
      <c r="J683" s="296"/>
      <c r="K683" s="296"/>
      <c r="L683" s="296"/>
      <c r="M683" s="296"/>
      <c r="N683" s="296"/>
      <c r="O683" s="269"/>
      <c r="P683" s="269"/>
      <c r="Q683" s="269"/>
      <c r="R683" s="296"/>
      <c r="S683" s="296"/>
      <c r="T683" s="296"/>
      <c r="U683" s="296"/>
      <c r="V683" s="296"/>
      <c r="W683" s="296"/>
      <c r="X683" s="296"/>
      <c r="Y683" s="296"/>
      <c r="Z683" s="296"/>
      <c r="AA683" s="296"/>
      <c r="AB683" s="296"/>
      <c r="AC683" s="296"/>
      <c r="AD683" s="296"/>
      <c r="AE683" s="307"/>
      <c r="AF683" s="273"/>
      <c r="AG683" s="274"/>
    </row>
    <row r="684">
      <c r="A684" s="296"/>
      <c r="B684" s="269"/>
      <c r="C684" s="296"/>
      <c r="D684" s="296"/>
      <c r="E684" s="296"/>
      <c r="F684" s="296"/>
      <c r="G684" s="296"/>
      <c r="H684" s="296"/>
      <c r="I684" s="296"/>
      <c r="J684" s="296"/>
      <c r="K684" s="296"/>
      <c r="L684" s="296"/>
      <c r="M684" s="296"/>
      <c r="N684" s="296"/>
      <c r="O684" s="269"/>
      <c r="P684" s="269"/>
      <c r="Q684" s="269"/>
      <c r="R684" s="296"/>
      <c r="S684" s="296"/>
      <c r="T684" s="296"/>
      <c r="U684" s="296"/>
      <c r="V684" s="296"/>
      <c r="W684" s="296"/>
      <c r="X684" s="296"/>
      <c r="Y684" s="296"/>
      <c r="Z684" s="296"/>
      <c r="AA684" s="296"/>
      <c r="AB684" s="296"/>
      <c r="AC684" s="296"/>
      <c r="AD684" s="296"/>
      <c r="AE684" s="307"/>
      <c r="AF684" s="273"/>
      <c r="AG684" s="274"/>
    </row>
    <row r="685">
      <c r="A685" s="296"/>
      <c r="B685" s="269"/>
      <c r="C685" s="296"/>
      <c r="D685" s="296"/>
      <c r="E685" s="296"/>
      <c r="F685" s="296"/>
      <c r="G685" s="296"/>
      <c r="H685" s="296"/>
      <c r="I685" s="296"/>
      <c r="J685" s="296"/>
      <c r="K685" s="296"/>
      <c r="L685" s="296"/>
      <c r="M685" s="296"/>
      <c r="N685" s="296"/>
      <c r="O685" s="269"/>
      <c r="P685" s="269"/>
      <c r="Q685" s="269"/>
      <c r="R685" s="296"/>
      <c r="S685" s="296"/>
      <c r="T685" s="296"/>
      <c r="U685" s="296"/>
      <c r="V685" s="296"/>
      <c r="W685" s="296"/>
      <c r="X685" s="296"/>
      <c r="Y685" s="296"/>
      <c r="Z685" s="296"/>
      <c r="AA685" s="296"/>
      <c r="AB685" s="296"/>
      <c r="AC685" s="296"/>
      <c r="AD685" s="296"/>
      <c r="AE685" s="307"/>
      <c r="AF685" s="273"/>
      <c r="AG685" s="274"/>
    </row>
    <row r="686">
      <c r="A686" s="296"/>
      <c r="B686" s="269"/>
      <c r="C686" s="296"/>
      <c r="D686" s="296"/>
      <c r="E686" s="296"/>
      <c r="F686" s="296"/>
      <c r="G686" s="296"/>
      <c r="H686" s="296"/>
      <c r="I686" s="296"/>
      <c r="J686" s="296"/>
      <c r="K686" s="296"/>
      <c r="L686" s="296"/>
      <c r="M686" s="296"/>
      <c r="N686" s="296"/>
      <c r="O686" s="269"/>
      <c r="P686" s="269"/>
      <c r="Q686" s="269"/>
      <c r="R686" s="296"/>
      <c r="S686" s="296"/>
      <c r="T686" s="296"/>
      <c r="U686" s="296"/>
      <c r="V686" s="296"/>
      <c r="W686" s="296"/>
      <c r="X686" s="296"/>
      <c r="Y686" s="296"/>
      <c r="Z686" s="296"/>
      <c r="AA686" s="296"/>
      <c r="AB686" s="296"/>
      <c r="AC686" s="296"/>
      <c r="AD686" s="296"/>
      <c r="AE686" s="307"/>
      <c r="AF686" s="273"/>
      <c r="AG686" s="274"/>
    </row>
    <row r="687">
      <c r="A687" s="296"/>
      <c r="B687" s="269"/>
      <c r="C687" s="296"/>
      <c r="D687" s="296"/>
      <c r="E687" s="296"/>
      <c r="F687" s="296"/>
      <c r="G687" s="296"/>
      <c r="H687" s="296"/>
      <c r="I687" s="296"/>
      <c r="J687" s="296"/>
      <c r="K687" s="296"/>
      <c r="L687" s="296"/>
      <c r="M687" s="296"/>
      <c r="N687" s="296"/>
      <c r="O687" s="269"/>
      <c r="P687" s="269"/>
      <c r="Q687" s="269"/>
      <c r="R687" s="296"/>
      <c r="S687" s="296"/>
      <c r="T687" s="296"/>
      <c r="U687" s="296"/>
      <c r="V687" s="296"/>
      <c r="W687" s="296"/>
      <c r="X687" s="296"/>
      <c r="Y687" s="296"/>
      <c r="Z687" s="296"/>
      <c r="AA687" s="296"/>
      <c r="AB687" s="296"/>
      <c r="AC687" s="296"/>
      <c r="AD687" s="296"/>
      <c r="AE687" s="307"/>
      <c r="AF687" s="273"/>
      <c r="AG687" s="274"/>
    </row>
    <row r="688">
      <c r="A688" s="296"/>
      <c r="B688" s="269"/>
      <c r="C688" s="296"/>
      <c r="D688" s="296"/>
      <c r="E688" s="296"/>
      <c r="F688" s="296"/>
      <c r="G688" s="296"/>
      <c r="H688" s="296"/>
      <c r="I688" s="296"/>
      <c r="J688" s="296"/>
      <c r="K688" s="296"/>
      <c r="L688" s="296"/>
      <c r="M688" s="296"/>
      <c r="N688" s="296"/>
      <c r="O688" s="269"/>
      <c r="P688" s="269"/>
      <c r="Q688" s="269"/>
      <c r="R688" s="296"/>
      <c r="S688" s="296"/>
      <c r="T688" s="296"/>
      <c r="U688" s="296"/>
      <c r="V688" s="296"/>
      <c r="W688" s="296"/>
      <c r="X688" s="296"/>
      <c r="Y688" s="296"/>
      <c r="Z688" s="296"/>
      <c r="AA688" s="296"/>
      <c r="AB688" s="296"/>
      <c r="AC688" s="296"/>
      <c r="AD688" s="296"/>
      <c r="AE688" s="307"/>
      <c r="AF688" s="273"/>
      <c r="AG688" s="274"/>
    </row>
    <row r="689">
      <c r="A689" s="296"/>
      <c r="B689" s="269"/>
      <c r="C689" s="296"/>
      <c r="D689" s="296"/>
      <c r="E689" s="296"/>
      <c r="F689" s="296"/>
      <c r="G689" s="296"/>
      <c r="H689" s="296"/>
      <c r="I689" s="296"/>
      <c r="J689" s="296"/>
      <c r="K689" s="296"/>
      <c r="L689" s="296"/>
      <c r="M689" s="296"/>
      <c r="N689" s="296"/>
      <c r="O689" s="269"/>
      <c r="P689" s="269"/>
      <c r="Q689" s="269"/>
      <c r="R689" s="296"/>
      <c r="S689" s="296"/>
      <c r="T689" s="296"/>
      <c r="U689" s="296"/>
      <c r="V689" s="296"/>
      <c r="W689" s="296"/>
      <c r="X689" s="296"/>
      <c r="Y689" s="296"/>
      <c r="Z689" s="296"/>
      <c r="AA689" s="296"/>
      <c r="AB689" s="296"/>
      <c r="AC689" s="296"/>
      <c r="AD689" s="296"/>
      <c r="AE689" s="307"/>
      <c r="AF689" s="273"/>
      <c r="AG689" s="274"/>
    </row>
    <row r="690">
      <c r="A690" s="296"/>
      <c r="B690" s="269"/>
      <c r="C690" s="296"/>
      <c r="D690" s="296"/>
      <c r="E690" s="296"/>
      <c r="F690" s="296"/>
      <c r="G690" s="296"/>
      <c r="H690" s="296"/>
      <c r="I690" s="296"/>
      <c r="J690" s="296"/>
      <c r="K690" s="296"/>
      <c r="L690" s="296"/>
      <c r="M690" s="296"/>
      <c r="N690" s="296"/>
      <c r="O690" s="269"/>
      <c r="P690" s="269"/>
      <c r="Q690" s="269"/>
      <c r="R690" s="296"/>
      <c r="S690" s="296"/>
      <c r="T690" s="296"/>
      <c r="U690" s="296"/>
      <c r="V690" s="296"/>
      <c r="W690" s="296"/>
      <c r="X690" s="296"/>
      <c r="Y690" s="296"/>
      <c r="Z690" s="296"/>
      <c r="AA690" s="296"/>
      <c r="AB690" s="296"/>
      <c r="AC690" s="296"/>
      <c r="AD690" s="296"/>
      <c r="AE690" s="307"/>
      <c r="AF690" s="273"/>
      <c r="AG690" s="274"/>
    </row>
    <row r="691">
      <c r="A691" s="296"/>
      <c r="B691" s="269"/>
      <c r="C691" s="296"/>
      <c r="D691" s="296"/>
      <c r="E691" s="296"/>
      <c r="F691" s="296"/>
      <c r="G691" s="296"/>
      <c r="H691" s="296"/>
      <c r="I691" s="296"/>
      <c r="J691" s="296"/>
      <c r="K691" s="296"/>
      <c r="L691" s="296"/>
      <c r="M691" s="296"/>
      <c r="N691" s="296"/>
      <c r="O691" s="269"/>
      <c r="P691" s="269"/>
      <c r="Q691" s="269"/>
      <c r="R691" s="296"/>
      <c r="S691" s="296"/>
      <c r="T691" s="296"/>
      <c r="U691" s="296"/>
      <c r="V691" s="296"/>
      <c r="W691" s="296"/>
      <c r="X691" s="296"/>
      <c r="Y691" s="296"/>
      <c r="Z691" s="296"/>
      <c r="AA691" s="296"/>
      <c r="AB691" s="296"/>
      <c r="AC691" s="296"/>
      <c r="AD691" s="296"/>
      <c r="AE691" s="307"/>
      <c r="AF691" s="273"/>
      <c r="AG691" s="274"/>
    </row>
    <row r="692">
      <c r="A692" s="296"/>
      <c r="B692" s="269"/>
      <c r="C692" s="296"/>
      <c r="D692" s="296"/>
      <c r="E692" s="296"/>
      <c r="F692" s="296"/>
      <c r="G692" s="296"/>
      <c r="H692" s="296"/>
      <c r="I692" s="296"/>
      <c r="J692" s="296"/>
      <c r="K692" s="296"/>
      <c r="L692" s="296"/>
      <c r="M692" s="296"/>
      <c r="N692" s="296"/>
      <c r="O692" s="269"/>
      <c r="P692" s="269"/>
      <c r="Q692" s="269"/>
      <c r="R692" s="296"/>
      <c r="S692" s="296"/>
      <c r="T692" s="296"/>
      <c r="U692" s="296"/>
      <c r="V692" s="296"/>
      <c r="W692" s="296"/>
      <c r="X692" s="296"/>
      <c r="Y692" s="296"/>
      <c r="Z692" s="296"/>
      <c r="AA692" s="296"/>
      <c r="AB692" s="296"/>
      <c r="AC692" s="296"/>
      <c r="AD692" s="296"/>
      <c r="AE692" s="307"/>
      <c r="AF692" s="273"/>
      <c r="AG692" s="274"/>
    </row>
    <row r="693">
      <c r="A693" s="296"/>
      <c r="B693" s="269"/>
      <c r="C693" s="296"/>
      <c r="D693" s="296"/>
      <c r="E693" s="296"/>
      <c r="F693" s="296"/>
      <c r="G693" s="296"/>
      <c r="H693" s="296"/>
      <c r="I693" s="296"/>
      <c r="J693" s="296"/>
      <c r="K693" s="296"/>
      <c r="L693" s="296"/>
      <c r="M693" s="296"/>
      <c r="N693" s="296"/>
      <c r="O693" s="269"/>
      <c r="P693" s="269"/>
      <c r="Q693" s="269"/>
      <c r="R693" s="296"/>
      <c r="S693" s="296"/>
      <c r="T693" s="296"/>
      <c r="U693" s="296"/>
      <c r="V693" s="296"/>
      <c r="W693" s="296"/>
      <c r="X693" s="296"/>
      <c r="Y693" s="296"/>
      <c r="Z693" s="296"/>
      <c r="AA693" s="296"/>
      <c r="AB693" s="296"/>
      <c r="AC693" s="296"/>
      <c r="AD693" s="296"/>
      <c r="AE693" s="307"/>
      <c r="AF693" s="273"/>
      <c r="AG693" s="274"/>
    </row>
    <row r="694">
      <c r="A694" s="296"/>
      <c r="B694" s="269"/>
      <c r="C694" s="296"/>
      <c r="D694" s="296"/>
      <c r="E694" s="296"/>
      <c r="F694" s="296"/>
      <c r="G694" s="296"/>
      <c r="H694" s="296"/>
      <c r="I694" s="296"/>
      <c r="J694" s="296"/>
      <c r="K694" s="296"/>
      <c r="L694" s="296"/>
      <c r="M694" s="296"/>
      <c r="N694" s="296"/>
      <c r="O694" s="269"/>
      <c r="P694" s="269"/>
      <c r="Q694" s="269"/>
      <c r="R694" s="296"/>
      <c r="S694" s="296"/>
      <c r="T694" s="296"/>
      <c r="U694" s="296"/>
      <c r="V694" s="296"/>
      <c r="W694" s="296"/>
      <c r="X694" s="296"/>
      <c r="Y694" s="296"/>
      <c r="Z694" s="296"/>
      <c r="AA694" s="296"/>
      <c r="AB694" s="296"/>
      <c r="AC694" s="296"/>
      <c r="AD694" s="296"/>
      <c r="AE694" s="307"/>
      <c r="AF694" s="273"/>
      <c r="AG694" s="274"/>
    </row>
    <row r="695">
      <c r="A695" s="296"/>
      <c r="B695" s="269"/>
      <c r="C695" s="296"/>
      <c r="D695" s="296"/>
      <c r="E695" s="296"/>
      <c r="F695" s="296"/>
      <c r="G695" s="296"/>
      <c r="H695" s="296"/>
      <c r="I695" s="296"/>
      <c r="J695" s="296"/>
      <c r="K695" s="296"/>
      <c r="L695" s="296"/>
      <c r="M695" s="296"/>
      <c r="N695" s="296"/>
      <c r="O695" s="269"/>
      <c r="P695" s="269"/>
      <c r="Q695" s="269"/>
      <c r="R695" s="296"/>
      <c r="S695" s="296"/>
      <c r="T695" s="296"/>
      <c r="U695" s="296"/>
      <c r="V695" s="296"/>
      <c r="W695" s="296"/>
      <c r="X695" s="296"/>
      <c r="Y695" s="296"/>
      <c r="Z695" s="296"/>
      <c r="AA695" s="296"/>
      <c r="AB695" s="296"/>
      <c r="AC695" s="296"/>
      <c r="AD695" s="296"/>
      <c r="AE695" s="307"/>
      <c r="AF695" s="273"/>
      <c r="AG695" s="274"/>
    </row>
    <row r="696">
      <c r="A696" s="296"/>
      <c r="B696" s="269"/>
      <c r="C696" s="296"/>
      <c r="D696" s="296"/>
      <c r="E696" s="296"/>
      <c r="F696" s="296"/>
      <c r="G696" s="296"/>
      <c r="H696" s="296"/>
      <c r="I696" s="296"/>
      <c r="J696" s="296"/>
      <c r="K696" s="296"/>
      <c r="L696" s="296"/>
      <c r="M696" s="296"/>
      <c r="N696" s="296"/>
      <c r="O696" s="269"/>
      <c r="P696" s="269"/>
      <c r="Q696" s="269"/>
      <c r="R696" s="296"/>
      <c r="S696" s="296"/>
      <c r="T696" s="296"/>
      <c r="U696" s="296"/>
      <c r="V696" s="296"/>
      <c r="W696" s="296"/>
      <c r="X696" s="296"/>
      <c r="Y696" s="296"/>
      <c r="Z696" s="296"/>
      <c r="AA696" s="296"/>
      <c r="AB696" s="296"/>
      <c r="AC696" s="296"/>
      <c r="AD696" s="296"/>
      <c r="AE696" s="307"/>
      <c r="AF696" s="273"/>
      <c r="AG696" s="274"/>
    </row>
    <row r="697">
      <c r="A697" s="296"/>
      <c r="B697" s="269"/>
      <c r="C697" s="296"/>
      <c r="D697" s="296"/>
      <c r="E697" s="296"/>
      <c r="F697" s="296"/>
      <c r="G697" s="296"/>
      <c r="H697" s="296"/>
      <c r="I697" s="296"/>
      <c r="J697" s="296"/>
      <c r="K697" s="296"/>
      <c r="L697" s="296"/>
      <c r="M697" s="296"/>
      <c r="N697" s="296"/>
      <c r="O697" s="269"/>
      <c r="P697" s="269"/>
      <c r="Q697" s="269"/>
      <c r="R697" s="296"/>
      <c r="S697" s="296"/>
      <c r="T697" s="296"/>
      <c r="U697" s="296"/>
      <c r="V697" s="296"/>
      <c r="W697" s="296"/>
      <c r="X697" s="296"/>
      <c r="Y697" s="296"/>
      <c r="Z697" s="296"/>
      <c r="AA697" s="296"/>
      <c r="AB697" s="296"/>
      <c r="AC697" s="296"/>
      <c r="AD697" s="296"/>
      <c r="AE697" s="307"/>
      <c r="AF697" s="273"/>
      <c r="AG697" s="274"/>
    </row>
    <row r="698">
      <c r="A698" s="296"/>
      <c r="B698" s="269"/>
      <c r="C698" s="296"/>
      <c r="D698" s="296"/>
      <c r="E698" s="296"/>
      <c r="F698" s="296"/>
      <c r="G698" s="296"/>
      <c r="H698" s="296"/>
      <c r="I698" s="296"/>
      <c r="J698" s="296"/>
      <c r="K698" s="296"/>
      <c r="L698" s="296"/>
      <c r="M698" s="296"/>
      <c r="N698" s="296"/>
      <c r="O698" s="269"/>
      <c r="P698" s="269"/>
      <c r="Q698" s="269"/>
      <c r="R698" s="296"/>
      <c r="S698" s="296"/>
      <c r="T698" s="296"/>
      <c r="U698" s="296"/>
      <c r="V698" s="296"/>
      <c r="W698" s="296"/>
      <c r="X698" s="296"/>
      <c r="Y698" s="296"/>
      <c r="Z698" s="296"/>
      <c r="AA698" s="296"/>
      <c r="AB698" s="296"/>
      <c r="AC698" s="296"/>
      <c r="AD698" s="296"/>
      <c r="AE698" s="307"/>
      <c r="AF698" s="273"/>
      <c r="AG698" s="274"/>
    </row>
    <row r="699">
      <c r="A699" s="296"/>
      <c r="B699" s="269"/>
      <c r="C699" s="296"/>
      <c r="D699" s="296"/>
      <c r="E699" s="296"/>
      <c r="F699" s="296"/>
      <c r="G699" s="296"/>
      <c r="H699" s="296"/>
      <c r="I699" s="296"/>
      <c r="J699" s="296"/>
      <c r="K699" s="296"/>
      <c r="L699" s="296"/>
      <c r="M699" s="296"/>
      <c r="N699" s="296"/>
      <c r="O699" s="269"/>
      <c r="P699" s="269"/>
      <c r="Q699" s="269"/>
      <c r="R699" s="296"/>
      <c r="S699" s="296"/>
      <c r="T699" s="296"/>
      <c r="U699" s="296"/>
      <c r="V699" s="296"/>
      <c r="W699" s="296"/>
      <c r="X699" s="296"/>
      <c r="Y699" s="296"/>
      <c r="Z699" s="296"/>
      <c r="AA699" s="296"/>
      <c r="AB699" s="296"/>
      <c r="AC699" s="296"/>
      <c r="AD699" s="296"/>
      <c r="AE699" s="307"/>
      <c r="AF699" s="273"/>
      <c r="AG699" s="274"/>
    </row>
    <row r="700">
      <c r="A700" s="296"/>
      <c r="B700" s="269"/>
      <c r="C700" s="296"/>
      <c r="D700" s="296"/>
      <c r="E700" s="296"/>
      <c r="F700" s="296"/>
      <c r="G700" s="296"/>
      <c r="H700" s="296"/>
      <c r="I700" s="296"/>
      <c r="J700" s="296"/>
      <c r="K700" s="296"/>
      <c r="L700" s="296"/>
      <c r="M700" s="296"/>
      <c r="N700" s="296"/>
      <c r="O700" s="269"/>
      <c r="P700" s="269"/>
      <c r="Q700" s="269"/>
      <c r="R700" s="296"/>
      <c r="S700" s="296"/>
      <c r="T700" s="296"/>
      <c r="U700" s="296"/>
      <c r="V700" s="296"/>
      <c r="W700" s="296"/>
      <c r="X700" s="296"/>
      <c r="Y700" s="296"/>
      <c r="Z700" s="296"/>
      <c r="AA700" s="296"/>
      <c r="AB700" s="296"/>
      <c r="AC700" s="296"/>
      <c r="AD700" s="296"/>
      <c r="AE700" s="307"/>
      <c r="AF700" s="273"/>
      <c r="AG700" s="274"/>
    </row>
    <row r="701">
      <c r="A701" s="296"/>
      <c r="B701" s="269"/>
      <c r="C701" s="296"/>
      <c r="D701" s="296"/>
      <c r="E701" s="296"/>
      <c r="F701" s="296"/>
      <c r="G701" s="296"/>
      <c r="H701" s="296"/>
      <c r="I701" s="296"/>
      <c r="J701" s="296"/>
      <c r="K701" s="296"/>
      <c r="L701" s="296"/>
      <c r="M701" s="296"/>
      <c r="N701" s="296"/>
      <c r="O701" s="269"/>
      <c r="P701" s="269"/>
      <c r="Q701" s="269"/>
      <c r="R701" s="296"/>
      <c r="S701" s="296"/>
      <c r="T701" s="296"/>
      <c r="U701" s="296"/>
      <c r="V701" s="296"/>
      <c r="W701" s="296"/>
      <c r="X701" s="296"/>
      <c r="Y701" s="296"/>
      <c r="Z701" s="296"/>
      <c r="AA701" s="296"/>
      <c r="AB701" s="296"/>
      <c r="AC701" s="296"/>
      <c r="AD701" s="296"/>
      <c r="AE701" s="307"/>
      <c r="AF701" s="273"/>
      <c r="AG701" s="274"/>
    </row>
    <row r="702">
      <c r="A702" s="296"/>
      <c r="B702" s="269"/>
      <c r="C702" s="296"/>
      <c r="D702" s="296"/>
      <c r="E702" s="296"/>
      <c r="F702" s="296"/>
      <c r="G702" s="296"/>
      <c r="H702" s="296"/>
      <c r="I702" s="296"/>
      <c r="J702" s="296"/>
      <c r="K702" s="296"/>
      <c r="L702" s="296"/>
      <c r="M702" s="296"/>
      <c r="N702" s="296"/>
      <c r="O702" s="269"/>
      <c r="P702" s="269"/>
      <c r="Q702" s="269"/>
      <c r="R702" s="296"/>
      <c r="S702" s="296"/>
      <c r="T702" s="296"/>
      <c r="U702" s="296"/>
      <c r="V702" s="296"/>
      <c r="W702" s="296"/>
      <c r="X702" s="296"/>
      <c r="Y702" s="296"/>
      <c r="Z702" s="296"/>
      <c r="AA702" s="296"/>
      <c r="AB702" s="296"/>
      <c r="AC702" s="296"/>
      <c r="AD702" s="296"/>
      <c r="AE702" s="307"/>
      <c r="AF702" s="273"/>
      <c r="AG702" s="274"/>
    </row>
    <row r="703">
      <c r="A703" s="296"/>
      <c r="B703" s="269"/>
      <c r="C703" s="296"/>
      <c r="D703" s="296"/>
      <c r="E703" s="296"/>
      <c r="F703" s="296"/>
      <c r="G703" s="296"/>
      <c r="H703" s="296"/>
      <c r="I703" s="296"/>
      <c r="J703" s="296"/>
      <c r="K703" s="296"/>
      <c r="L703" s="296"/>
      <c r="M703" s="296"/>
      <c r="N703" s="296"/>
      <c r="O703" s="269"/>
      <c r="P703" s="269"/>
      <c r="Q703" s="269"/>
      <c r="R703" s="296"/>
      <c r="S703" s="296"/>
      <c r="T703" s="296"/>
      <c r="U703" s="296"/>
      <c r="V703" s="296"/>
      <c r="W703" s="296"/>
      <c r="X703" s="296"/>
      <c r="Y703" s="296"/>
      <c r="Z703" s="296"/>
      <c r="AA703" s="296"/>
      <c r="AB703" s="296"/>
      <c r="AC703" s="296"/>
      <c r="AD703" s="296"/>
      <c r="AE703" s="307"/>
      <c r="AF703" s="273"/>
      <c r="AG703" s="274"/>
    </row>
    <row r="704">
      <c r="A704" s="296"/>
      <c r="B704" s="269"/>
      <c r="C704" s="296"/>
      <c r="D704" s="296"/>
      <c r="E704" s="296"/>
      <c r="F704" s="296"/>
      <c r="G704" s="296"/>
      <c r="H704" s="296"/>
      <c r="I704" s="296"/>
      <c r="J704" s="296"/>
      <c r="K704" s="296"/>
      <c r="L704" s="296"/>
      <c r="M704" s="296"/>
      <c r="N704" s="296"/>
      <c r="O704" s="269"/>
      <c r="P704" s="269"/>
      <c r="Q704" s="269"/>
      <c r="R704" s="296"/>
      <c r="S704" s="296"/>
      <c r="T704" s="296"/>
      <c r="U704" s="296"/>
      <c r="V704" s="296"/>
      <c r="W704" s="296"/>
      <c r="X704" s="296"/>
      <c r="Y704" s="296"/>
      <c r="Z704" s="296"/>
      <c r="AA704" s="296"/>
      <c r="AB704" s="296"/>
      <c r="AC704" s="296"/>
      <c r="AD704" s="296"/>
      <c r="AE704" s="307"/>
      <c r="AF704" s="273"/>
      <c r="AG704" s="274"/>
    </row>
    <row r="705">
      <c r="A705" s="296"/>
      <c r="B705" s="269"/>
      <c r="C705" s="296"/>
      <c r="D705" s="296"/>
      <c r="E705" s="296"/>
      <c r="F705" s="296"/>
      <c r="G705" s="296"/>
      <c r="H705" s="296"/>
      <c r="I705" s="296"/>
      <c r="J705" s="296"/>
      <c r="K705" s="296"/>
      <c r="L705" s="296"/>
      <c r="M705" s="296"/>
      <c r="N705" s="296"/>
      <c r="O705" s="269"/>
      <c r="P705" s="269"/>
      <c r="Q705" s="269"/>
      <c r="R705" s="296"/>
      <c r="S705" s="296"/>
      <c r="T705" s="296"/>
      <c r="U705" s="296"/>
      <c r="V705" s="296"/>
      <c r="W705" s="296"/>
      <c r="X705" s="296"/>
      <c r="Y705" s="296"/>
      <c r="Z705" s="296"/>
      <c r="AA705" s="296"/>
      <c r="AB705" s="296"/>
      <c r="AC705" s="296"/>
      <c r="AD705" s="296"/>
      <c r="AE705" s="307"/>
      <c r="AF705" s="273"/>
      <c r="AG705" s="274"/>
    </row>
    <row r="706">
      <c r="A706" s="296"/>
      <c r="B706" s="269"/>
      <c r="C706" s="296"/>
      <c r="D706" s="296"/>
      <c r="E706" s="296"/>
      <c r="F706" s="296"/>
      <c r="G706" s="296"/>
      <c r="H706" s="296"/>
      <c r="I706" s="296"/>
      <c r="J706" s="296"/>
      <c r="K706" s="296"/>
      <c r="L706" s="296"/>
      <c r="M706" s="296"/>
      <c r="N706" s="296"/>
      <c r="O706" s="269"/>
      <c r="P706" s="269"/>
      <c r="Q706" s="269"/>
      <c r="R706" s="296"/>
      <c r="S706" s="296"/>
      <c r="T706" s="296"/>
      <c r="U706" s="296"/>
      <c r="V706" s="296"/>
      <c r="W706" s="296"/>
      <c r="X706" s="296"/>
      <c r="Y706" s="296"/>
      <c r="Z706" s="296"/>
      <c r="AA706" s="296"/>
      <c r="AB706" s="296"/>
      <c r="AC706" s="296"/>
      <c r="AD706" s="296"/>
      <c r="AE706" s="307"/>
      <c r="AF706" s="273"/>
      <c r="AG706" s="274"/>
    </row>
    <row r="707">
      <c r="A707" s="296"/>
      <c r="B707" s="269"/>
      <c r="C707" s="296"/>
      <c r="D707" s="296"/>
      <c r="E707" s="296"/>
      <c r="F707" s="296"/>
      <c r="G707" s="296"/>
      <c r="H707" s="296"/>
      <c r="I707" s="296"/>
      <c r="J707" s="296"/>
      <c r="K707" s="296"/>
      <c r="L707" s="296"/>
      <c r="M707" s="296"/>
      <c r="N707" s="296"/>
      <c r="O707" s="269"/>
      <c r="P707" s="269"/>
      <c r="Q707" s="269"/>
      <c r="R707" s="296"/>
      <c r="S707" s="296"/>
      <c r="T707" s="296"/>
      <c r="U707" s="296"/>
      <c r="V707" s="296"/>
      <c r="W707" s="296"/>
      <c r="X707" s="296"/>
      <c r="Y707" s="296"/>
      <c r="Z707" s="296"/>
      <c r="AA707" s="296"/>
      <c r="AB707" s="296"/>
      <c r="AC707" s="296"/>
      <c r="AD707" s="296"/>
      <c r="AE707" s="307"/>
      <c r="AF707" s="273"/>
      <c r="AG707" s="274"/>
    </row>
    <row r="708">
      <c r="A708" s="296"/>
      <c r="B708" s="269"/>
      <c r="C708" s="296"/>
      <c r="D708" s="296"/>
      <c r="E708" s="296"/>
      <c r="F708" s="296"/>
      <c r="G708" s="296"/>
      <c r="H708" s="296"/>
      <c r="I708" s="296"/>
      <c r="J708" s="296"/>
      <c r="K708" s="296"/>
      <c r="L708" s="296"/>
      <c r="M708" s="296"/>
      <c r="N708" s="296"/>
      <c r="O708" s="269"/>
      <c r="P708" s="269"/>
      <c r="Q708" s="269"/>
      <c r="R708" s="296"/>
      <c r="S708" s="296"/>
      <c r="T708" s="296"/>
      <c r="U708" s="296"/>
      <c r="V708" s="296"/>
      <c r="W708" s="296"/>
      <c r="X708" s="296"/>
      <c r="Y708" s="296"/>
      <c r="Z708" s="296"/>
      <c r="AA708" s="296"/>
      <c r="AB708" s="296"/>
      <c r="AC708" s="296"/>
      <c r="AD708" s="296"/>
      <c r="AE708" s="307"/>
      <c r="AF708" s="273"/>
      <c r="AG708" s="274"/>
    </row>
    <row r="709">
      <c r="A709" s="296"/>
      <c r="B709" s="269"/>
      <c r="C709" s="296"/>
      <c r="D709" s="296"/>
      <c r="E709" s="296"/>
      <c r="F709" s="296"/>
      <c r="G709" s="296"/>
      <c r="H709" s="296"/>
      <c r="I709" s="296"/>
      <c r="J709" s="296"/>
      <c r="K709" s="296"/>
      <c r="L709" s="296"/>
      <c r="M709" s="296"/>
      <c r="N709" s="296"/>
      <c r="O709" s="269"/>
      <c r="P709" s="269"/>
      <c r="Q709" s="269"/>
      <c r="R709" s="296"/>
      <c r="S709" s="296"/>
      <c r="T709" s="296"/>
      <c r="U709" s="296"/>
      <c r="V709" s="296"/>
      <c r="W709" s="296"/>
      <c r="X709" s="296"/>
      <c r="Y709" s="296"/>
      <c r="Z709" s="296"/>
      <c r="AA709" s="296"/>
      <c r="AB709" s="296"/>
      <c r="AC709" s="296"/>
      <c r="AD709" s="296"/>
      <c r="AE709" s="307"/>
      <c r="AF709" s="273"/>
      <c r="AG709" s="274"/>
    </row>
    <row r="710">
      <c r="A710" s="296"/>
      <c r="B710" s="269"/>
      <c r="C710" s="296"/>
      <c r="D710" s="296"/>
      <c r="E710" s="296"/>
      <c r="F710" s="296"/>
      <c r="G710" s="296"/>
      <c r="H710" s="296"/>
      <c r="I710" s="296"/>
      <c r="J710" s="296"/>
      <c r="K710" s="296"/>
      <c r="L710" s="296"/>
      <c r="M710" s="296"/>
      <c r="N710" s="296"/>
      <c r="O710" s="269"/>
      <c r="P710" s="269"/>
      <c r="Q710" s="269"/>
      <c r="R710" s="296"/>
      <c r="S710" s="296"/>
      <c r="T710" s="296"/>
      <c r="U710" s="296"/>
      <c r="V710" s="296"/>
      <c r="W710" s="296"/>
      <c r="X710" s="296"/>
      <c r="Y710" s="296"/>
      <c r="Z710" s="296"/>
      <c r="AA710" s="296"/>
      <c r="AB710" s="296"/>
      <c r="AC710" s="296"/>
      <c r="AD710" s="296"/>
      <c r="AE710" s="307"/>
      <c r="AF710" s="273"/>
      <c r="AG710" s="274"/>
    </row>
    <row r="711">
      <c r="A711" s="296"/>
      <c r="B711" s="269"/>
      <c r="C711" s="296"/>
      <c r="D711" s="296"/>
      <c r="E711" s="296"/>
      <c r="F711" s="296"/>
      <c r="G711" s="296"/>
      <c r="H711" s="296"/>
      <c r="I711" s="296"/>
      <c r="J711" s="296"/>
      <c r="K711" s="296"/>
      <c r="L711" s="296"/>
      <c r="M711" s="296"/>
      <c r="N711" s="296"/>
      <c r="O711" s="269"/>
      <c r="P711" s="269"/>
      <c r="Q711" s="269"/>
      <c r="R711" s="296"/>
      <c r="S711" s="296"/>
      <c r="T711" s="296"/>
      <c r="U711" s="296"/>
      <c r="V711" s="296"/>
      <c r="W711" s="296"/>
      <c r="X711" s="296"/>
      <c r="Y711" s="296"/>
      <c r="Z711" s="296"/>
      <c r="AA711" s="296"/>
      <c r="AB711" s="296"/>
      <c r="AC711" s="296"/>
      <c r="AD711" s="296"/>
      <c r="AE711" s="307"/>
      <c r="AF711" s="273"/>
      <c r="AG711" s="274"/>
    </row>
    <row r="712">
      <c r="A712" s="296"/>
      <c r="B712" s="269"/>
      <c r="C712" s="296"/>
      <c r="D712" s="296"/>
      <c r="E712" s="296"/>
      <c r="F712" s="296"/>
      <c r="G712" s="296"/>
      <c r="H712" s="296"/>
      <c r="I712" s="296"/>
      <c r="J712" s="296"/>
      <c r="K712" s="296"/>
      <c r="L712" s="296"/>
      <c r="M712" s="296"/>
      <c r="N712" s="296"/>
      <c r="O712" s="269"/>
      <c r="P712" s="269"/>
      <c r="Q712" s="269"/>
      <c r="R712" s="296"/>
      <c r="S712" s="296"/>
      <c r="T712" s="296"/>
      <c r="U712" s="296"/>
      <c r="V712" s="296"/>
      <c r="W712" s="296"/>
      <c r="X712" s="296"/>
      <c r="Y712" s="296"/>
      <c r="Z712" s="296"/>
      <c r="AA712" s="296"/>
      <c r="AB712" s="296"/>
      <c r="AC712" s="296"/>
      <c r="AD712" s="296"/>
      <c r="AE712" s="307"/>
      <c r="AF712" s="273"/>
      <c r="AG712" s="274"/>
    </row>
    <row r="713">
      <c r="A713" s="296"/>
      <c r="B713" s="269"/>
      <c r="C713" s="296"/>
      <c r="D713" s="296"/>
      <c r="E713" s="296"/>
      <c r="F713" s="296"/>
      <c r="G713" s="296"/>
      <c r="H713" s="296"/>
      <c r="I713" s="296"/>
      <c r="J713" s="296"/>
      <c r="K713" s="296"/>
      <c r="L713" s="296"/>
      <c r="M713" s="296"/>
      <c r="N713" s="296"/>
      <c r="O713" s="269"/>
      <c r="P713" s="269"/>
      <c r="Q713" s="269"/>
      <c r="R713" s="296"/>
      <c r="S713" s="296"/>
      <c r="T713" s="296"/>
      <c r="U713" s="296"/>
      <c r="V713" s="296"/>
      <c r="W713" s="296"/>
      <c r="X713" s="296"/>
      <c r="Y713" s="296"/>
      <c r="Z713" s="296"/>
      <c r="AA713" s="296"/>
      <c r="AB713" s="296"/>
      <c r="AC713" s="296"/>
      <c r="AD713" s="296"/>
      <c r="AE713" s="307"/>
      <c r="AF713" s="273"/>
      <c r="AG713" s="274"/>
    </row>
    <row r="714">
      <c r="A714" s="296"/>
      <c r="B714" s="269"/>
      <c r="C714" s="296"/>
      <c r="D714" s="296"/>
      <c r="E714" s="296"/>
      <c r="F714" s="296"/>
      <c r="G714" s="296"/>
      <c r="H714" s="296"/>
      <c r="I714" s="296"/>
      <c r="J714" s="296"/>
      <c r="K714" s="296"/>
      <c r="L714" s="296"/>
      <c r="M714" s="296"/>
      <c r="N714" s="296"/>
      <c r="O714" s="269"/>
      <c r="P714" s="269"/>
      <c r="Q714" s="269"/>
      <c r="R714" s="296"/>
      <c r="S714" s="296"/>
      <c r="T714" s="296"/>
      <c r="U714" s="296"/>
      <c r="V714" s="296"/>
      <c r="W714" s="296"/>
      <c r="X714" s="296"/>
      <c r="Y714" s="296"/>
      <c r="Z714" s="296"/>
      <c r="AA714" s="296"/>
      <c r="AB714" s="296"/>
      <c r="AC714" s="296"/>
      <c r="AD714" s="296"/>
      <c r="AE714" s="307"/>
      <c r="AF714" s="273"/>
      <c r="AG714" s="274"/>
    </row>
    <row r="715">
      <c r="A715" s="296"/>
      <c r="B715" s="269"/>
      <c r="C715" s="296"/>
      <c r="D715" s="296"/>
      <c r="E715" s="296"/>
      <c r="F715" s="296"/>
      <c r="G715" s="296"/>
      <c r="H715" s="296"/>
      <c r="I715" s="296"/>
      <c r="J715" s="296"/>
      <c r="K715" s="296"/>
      <c r="L715" s="296"/>
      <c r="M715" s="296"/>
      <c r="N715" s="296"/>
      <c r="O715" s="269"/>
      <c r="P715" s="269"/>
      <c r="Q715" s="269"/>
      <c r="R715" s="296"/>
      <c r="S715" s="296"/>
      <c r="T715" s="296"/>
      <c r="U715" s="296"/>
      <c r="V715" s="296"/>
      <c r="W715" s="296"/>
      <c r="X715" s="296"/>
      <c r="Y715" s="296"/>
      <c r="Z715" s="296"/>
      <c r="AA715" s="296"/>
      <c r="AB715" s="296"/>
      <c r="AC715" s="296"/>
      <c r="AD715" s="296"/>
      <c r="AE715" s="307"/>
      <c r="AF715" s="273"/>
      <c r="AG715" s="274"/>
    </row>
    <row r="716">
      <c r="A716" s="296"/>
      <c r="B716" s="269"/>
      <c r="C716" s="296"/>
      <c r="D716" s="296"/>
      <c r="E716" s="296"/>
      <c r="F716" s="296"/>
      <c r="G716" s="296"/>
      <c r="H716" s="296"/>
      <c r="I716" s="296"/>
      <c r="J716" s="296"/>
      <c r="K716" s="296"/>
      <c r="L716" s="296"/>
      <c r="M716" s="296"/>
      <c r="N716" s="296"/>
      <c r="O716" s="269"/>
      <c r="P716" s="269"/>
      <c r="Q716" s="269"/>
      <c r="R716" s="296"/>
      <c r="S716" s="296"/>
      <c r="T716" s="296"/>
      <c r="U716" s="296"/>
      <c r="V716" s="296"/>
      <c r="W716" s="296"/>
      <c r="X716" s="296"/>
      <c r="Y716" s="296"/>
      <c r="Z716" s="296"/>
      <c r="AA716" s="296"/>
      <c r="AB716" s="296"/>
      <c r="AC716" s="296"/>
      <c r="AD716" s="296"/>
      <c r="AE716" s="307"/>
      <c r="AF716" s="273"/>
      <c r="AG716" s="274"/>
    </row>
    <row r="717">
      <c r="A717" s="296"/>
      <c r="B717" s="269"/>
      <c r="C717" s="296"/>
      <c r="D717" s="296"/>
      <c r="E717" s="296"/>
      <c r="F717" s="296"/>
      <c r="G717" s="296"/>
      <c r="H717" s="296"/>
      <c r="I717" s="296"/>
      <c r="J717" s="296"/>
      <c r="K717" s="296"/>
      <c r="L717" s="296"/>
      <c r="M717" s="296"/>
      <c r="N717" s="296"/>
      <c r="O717" s="269"/>
      <c r="P717" s="269"/>
      <c r="Q717" s="269"/>
      <c r="R717" s="296"/>
      <c r="S717" s="296"/>
      <c r="T717" s="296"/>
      <c r="U717" s="296"/>
      <c r="V717" s="296"/>
      <c r="W717" s="296"/>
      <c r="X717" s="296"/>
      <c r="Y717" s="296"/>
      <c r="Z717" s="296"/>
      <c r="AA717" s="296"/>
      <c r="AB717" s="296"/>
      <c r="AC717" s="296"/>
      <c r="AD717" s="296"/>
      <c r="AE717" s="307"/>
      <c r="AF717" s="273"/>
      <c r="AG717" s="274"/>
    </row>
    <row r="718">
      <c r="A718" s="296"/>
      <c r="B718" s="269"/>
      <c r="C718" s="296"/>
      <c r="D718" s="296"/>
      <c r="E718" s="296"/>
      <c r="F718" s="296"/>
      <c r="G718" s="296"/>
      <c r="H718" s="296"/>
      <c r="I718" s="296"/>
      <c r="J718" s="296"/>
      <c r="K718" s="296"/>
      <c r="L718" s="296"/>
      <c r="M718" s="296"/>
      <c r="N718" s="296"/>
      <c r="O718" s="269"/>
      <c r="P718" s="269"/>
      <c r="Q718" s="269"/>
      <c r="R718" s="296"/>
      <c r="S718" s="296"/>
      <c r="T718" s="296"/>
      <c r="U718" s="296"/>
      <c r="V718" s="296"/>
      <c r="W718" s="296"/>
      <c r="X718" s="296"/>
      <c r="Y718" s="296"/>
      <c r="Z718" s="296"/>
      <c r="AA718" s="296"/>
      <c r="AB718" s="296"/>
      <c r="AC718" s="296"/>
      <c r="AD718" s="296"/>
      <c r="AE718" s="307"/>
      <c r="AF718" s="273"/>
      <c r="AG718" s="274"/>
    </row>
    <row r="719">
      <c r="A719" s="296"/>
      <c r="B719" s="269"/>
      <c r="C719" s="296"/>
      <c r="D719" s="296"/>
      <c r="E719" s="296"/>
      <c r="F719" s="296"/>
      <c r="G719" s="296"/>
      <c r="H719" s="296"/>
      <c r="I719" s="296"/>
      <c r="J719" s="296"/>
      <c r="K719" s="296"/>
      <c r="L719" s="296"/>
      <c r="M719" s="296"/>
      <c r="N719" s="296"/>
      <c r="O719" s="269"/>
      <c r="P719" s="269"/>
      <c r="Q719" s="269"/>
      <c r="R719" s="296"/>
      <c r="S719" s="296"/>
      <c r="T719" s="296"/>
      <c r="U719" s="296"/>
      <c r="V719" s="296"/>
      <c r="W719" s="296"/>
      <c r="X719" s="296"/>
      <c r="Y719" s="296"/>
      <c r="Z719" s="296"/>
      <c r="AA719" s="296"/>
      <c r="AB719" s="296"/>
      <c r="AC719" s="296"/>
      <c r="AD719" s="296"/>
      <c r="AE719" s="307"/>
      <c r="AF719" s="273"/>
      <c r="AG719" s="274"/>
    </row>
    <row r="720">
      <c r="A720" s="296"/>
      <c r="B720" s="269"/>
      <c r="C720" s="296"/>
      <c r="D720" s="296"/>
      <c r="E720" s="296"/>
      <c r="F720" s="296"/>
      <c r="G720" s="296"/>
      <c r="H720" s="296"/>
      <c r="I720" s="296"/>
      <c r="J720" s="296"/>
      <c r="K720" s="296"/>
      <c r="L720" s="296"/>
      <c r="M720" s="296"/>
      <c r="N720" s="296"/>
      <c r="O720" s="269"/>
      <c r="P720" s="269"/>
      <c r="Q720" s="269"/>
      <c r="R720" s="296"/>
      <c r="S720" s="296"/>
      <c r="T720" s="296"/>
      <c r="U720" s="296"/>
      <c r="V720" s="296"/>
      <c r="W720" s="296"/>
      <c r="X720" s="296"/>
      <c r="Y720" s="296"/>
      <c r="Z720" s="296"/>
      <c r="AA720" s="296"/>
      <c r="AB720" s="296"/>
      <c r="AC720" s="296"/>
      <c r="AD720" s="296"/>
      <c r="AE720" s="307"/>
      <c r="AF720" s="273"/>
      <c r="AG720" s="274"/>
    </row>
    <row r="721">
      <c r="A721" s="296"/>
      <c r="B721" s="269"/>
      <c r="C721" s="296"/>
      <c r="D721" s="296"/>
      <c r="E721" s="296"/>
      <c r="F721" s="296"/>
      <c r="G721" s="296"/>
      <c r="H721" s="296"/>
      <c r="I721" s="296"/>
      <c r="J721" s="296"/>
      <c r="K721" s="296"/>
      <c r="L721" s="296"/>
      <c r="M721" s="296"/>
      <c r="N721" s="296"/>
      <c r="O721" s="269"/>
      <c r="P721" s="269"/>
      <c r="Q721" s="269"/>
      <c r="R721" s="296"/>
      <c r="S721" s="296"/>
      <c r="T721" s="296"/>
      <c r="U721" s="296"/>
      <c r="V721" s="296"/>
      <c r="W721" s="296"/>
      <c r="X721" s="296"/>
      <c r="Y721" s="296"/>
      <c r="Z721" s="296"/>
      <c r="AA721" s="296"/>
      <c r="AB721" s="296"/>
      <c r="AC721" s="296"/>
      <c r="AD721" s="296"/>
      <c r="AE721" s="307"/>
      <c r="AF721" s="273"/>
      <c r="AG721" s="274"/>
    </row>
    <row r="722">
      <c r="A722" s="296"/>
      <c r="B722" s="269"/>
      <c r="C722" s="296"/>
      <c r="D722" s="296"/>
      <c r="E722" s="296"/>
      <c r="F722" s="296"/>
      <c r="G722" s="296"/>
      <c r="H722" s="296"/>
      <c r="I722" s="296"/>
      <c r="J722" s="296"/>
      <c r="K722" s="296"/>
      <c r="L722" s="296"/>
      <c r="M722" s="296"/>
      <c r="N722" s="296"/>
      <c r="O722" s="269"/>
      <c r="P722" s="269"/>
      <c r="Q722" s="269"/>
      <c r="R722" s="296"/>
      <c r="S722" s="296"/>
      <c r="T722" s="296"/>
      <c r="U722" s="296"/>
      <c r="V722" s="296"/>
      <c r="W722" s="296"/>
      <c r="X722" s="296"/>
      <c r="Y722" s="296"/>
      <c r="Z722" s="296"/>
      <c r="AA722" s="296"/>
      <c r="AB722" s="296"/>
      <c r="AC722" s="296"/>
      <c r="AD722" s="296"/>
      <c r="AE722" s="307"/>
      <c r="AF722" s="273"/>
      <c r="AG722" s="274"/>
    </row>
    <row r="723">
      <c r="A723" s="296"/>
      <c r="B723" s="269"/>
      <c r="C723" s="296"/>
      <c r="D723" s="296"/>
      <c r="E723" s="296"/>
      <c r="F723" s="296"/>
      <c r="G723" s="296"/>
      <c r="H723" s="296"/>
      <c r="I723" s="296"/>
      <c r="J723" s="296"/>
      <c r="K723" s="296"/>
      <c r="L723" s="296"/>
      <c r="M723" s="296"/>
      <c r="N723" s="296"/>
      <c r="O723" s="269"/>
      <c r="P723" s="269"/>
      <c r="Q723" s="269"/>
      <c r="R723" s="296"/>
      <c r="S723" s="296"/>
      <c r="T723" s="296"/>
      <c r="U723" s="296"/>
      <c r="V723" s="296"/>
      <c r="W723" s="296"/>
      <c r="X723" s="296"/>
      <c r="Y723" s="296"/>
      <c r="Z723" s="296"/>
      <c r="AA723" s="296"/>
      <c r="AB723" s="296"/>
      <c r="AC723" s="296"/>
      <c r="AD723" s="296"/>
      <c r="AE723" s="307"/>
      <c r="AF723" s="273"/>
      <c r="AG723" s="274"/>
    </row>
    <row r="724">
      <c r="A724" s="296"/>
      <c r="B724" s="269"/>
      <c r="C724" s="296"/>
      <c r="D724" s="296"/>
      <c r="E724" s="296"/>
      <c r="F724" s="296"/>
      <c r="G724" s="296"/>
      <c r="H724" s="296"/>
      <c r="I724" s="296"/>
      <c r="J724" s="296"/>
      <c r="K724" s="296"/>
      <c r="L724" s="296"/>
      <c r="M724" s="296"/>
      <c r="N724" s="296"/>
      <c r="O724" s="269"/>
      <c r="P724" s="269"/>
      <c r="Q724" s="269"/>
      <c r="R724" s="296"/>
      <c r="S724" s="296"/>
      <c r="T724" s="296"/>
      <c r="U724" s="296"/>
      <c r="V724" s="296"/>
      <c r="W724" s="296"/>
      <c r="X724" s="296"/>
      <c r="Y724" s="296"/>
      <c r="Z724" s="296"/>
      <c r="AA724" s="296"/>
      <c r="AB724" s="296"/>
      <c r="AC724" s="296"/>
      <c r="AD724" s="296"/>
      <c r="AE724" s="307"/>
      <c r="AF724" s="273"/>
      <c r="AG724" s="274"/>
    </row>
    <row r="725">
      <c r="A725" s="296"/>
      <c r="B725" s="269"/>
      <c r="C725" s="296"/>
      <c r="D725" s="296"/>
      <c r="E725" s="296"/>
      <c r="F725" s="296"/>
      <c r="G725" s="296"/>
      <c r="H725" s="296"/>
      <c r="I725" s="296"/>
      <c r="J725" s="296"/>
      <c r="K725" s="296"/>
      <c r="L725" s="296"/>
      <c r="M725" s="296"/>
      <c r="N725" s="296"/>
      <c r="O725" s="269"/>
      <c r="P725" s="269"/>
      <c r="Q725" s="269"/>
      <c r="R725" s="296"/>
      <c r="S725" s="296"/>
      <c r="T725" s="296"/>
      <c r="U725" s="296"/>
      <c r="V725" s="296"/>
      <c r="W725" s="296"/>
      <c r="X725" s="296"/>
      <c r="Y725" s="296"/>
      <c r="Z725" s="296"/>
      <c r="AA725" s="296"/>
      <c r="AB725" s="296"/>
      <c r="AC725" s="296"/>
      <c r="AD725" s="296"/>
      <c r="AE725" s="307"/>
      <c r="AF725" s="273"/>
      <c r="AG725" s="274"/>
    </row>
    <row r="726">
      <c r="A726" s="296"/>
      <c r="B726" s="269"/>
      <c r="C726" s="296"/>
      <c r="D726" s="296"/>
      <c r="E726" s="296"/>
      <c r="F726" s="296"/>
      <c r="G726" s="296"/>
      <c r="H726" s="296"/>
      <c r="I726" s="296"/>
      <c r="J726" s="296"/>
      <c r="K726" s="296"/>
      <c r="L726" s="296"/>
      <c r="M726" s="296"/>
      <c r="N726" s="296"/>
      <c r="O726" s="269"/>
      <c r="P726" s="269"/>
      <c r="Q726" s="269"/>
      <c r="R726" s="296"/>
      <c r="S726" s="296"/>
      <c r="T726" s="296"/>
      <c r="U726" s="296"/>
      <c r="V726" s="296"/>
      <c r="W726" s="296"/>
      <c r="X726" s="296"/>
      <c r="Y726" s="296"/>
      <c r="Z726" s="296"/>
      <c r="AA726" s="296"/>
      <c r="AB726" s="296"/>
      <c r="AC726" s="296"/>
      <c r="AD726" s="296"/>
      <c r="AE726" s="307"/>
      <c r="AF726" s="273"/>
      <c r="AG726" s="274"/>
    </row>
    <row r="727">
      <c r="A727" s="296"/>
      <c r="B727" s="269"/>
      <c r="C727" s="296"/>
      <c r="D727" s="296"/>
      <c r="E727" s="296"/>
      <c r="F727" s="296"/>
      <c r="G727" s="296"/>
      <c r="H727" s="296"/>
      <c r="I727" s="296"/>
      <c r="J727" s="296"/>
      <c r="K727" s="296"/>
      <c r="L727" s="296"/>
      <c r="M727" s="296"/>
      <c r="N727" s="296"/>
      <c r="O727" s="269"/>
      <c r="P727" s="269"/>
      <c r="Q727" s="269"/>
      <c r="R727" s="296"/>
      <c r="S727" s="296"/>
      <c r="T727" s="296"/>
      <c r="U727" s="296"/>
      <c r="V727" s="296"/>
      <c r="W727" s="296"/>
      <c r="X727" s="296"/>
      <c r="Y727" s="296"/>
      <c r="Z727" s="296"/>
      <c r="AA727" s="296"/>
      <c r="AB727" s="296"/>
      <c r="AC727" s="296"/>
      <c r="AD727" s="296"/>
      <c r="AE727" s="307"/>
      <c r="AF727" s="273"/>
      <c r="AG727" s="274"/>
    </row>
    <row r="728">
      <c r="A728" s="296"/>
      <c r="B728" s="269"/>
      <c r="C728" s="296"/>
      <c r="D728" s="296"/>
      <c r="E728" s="296"/>
      <c r="F728" s="296"/>
      <c r="G728" s="296"/>
      <c r="H728" s="296"/>
      <c r="I728" s="296"/>
      <c r="J728" s="296"/>
      <c r="K728" s="296"/>
      <c r="L728" s="296"/>
      <c r="M728" s="296"/>
      <c r="N728" s="296"/>
      <c r="O728" s="269"/>
      <c r="P728" s="269"/>
      <c r="Q728" s="269"/>
      <c r="R728" s="296"/>
      <c r="S728" s="296"/>
      <c r="T728" s="296"/>
      <c r="U728" s="296"/>
      <c r="V728" s="296"/>
      <c r="W728" s="296"/>
      <c r="X728" s="296"/>
      <c r="Y728" s="296"/>
      <c r="Z728" s="296"/>
      <c r="AA728" s="296"/>
      <c r="AB728" s="296"/>
      <c r="AC728" s="296"/>
      <c r="AD728" s="296"/>
      <c r="AE728" s="307"/>
      <c r="AF728" s="273"/>
      <c r="AG728" s="274"/>
    </row>
    <row r="729">
      <c r="A729" s="296"/>
      <c r="B729" s="269"/>
      <c r="C729" s="296"/>
      <c r="D729" s="296"/>
      <c r="E729" s="296"/>
      <c r="F729" s="296"/>
      <c r="G729" s="296"/>
      <c r="H729" s="296"/>
      <c r="I729" s="296"/>
      <c r="J729" s="296"/>
      <c r="K729" s="296"/>
      <c r="L729" s="296"/>
      <c r="M729" s="296"/>
      <c r="N729" s="296"/>
      <c r="O729" s="269"/>
      <c r="P729" s="269"/>
      <c r="Q729" s="269"/>
      <c r="R729" s="296"/>
      <c r="S729" s="296"/>
      <c r="T729" s="296"/>
      <c r="U729" s="296"/>
      <c r="V729" s="296"/>
      <c r="W729" s="296"/>
      <c r="X729" s="296"/>
      <c r="Y729" s="296"/>
      <c r="Z729" s="296"/>
      <c r="AA729" s="296"/>
      <c r="AB729" s="296"/>
      <c r="AC729" s="296"/>
      <c r="AD729" s="296"/>
      <c r="AE729" s="307"/>
      <c r="AF729" s="273"/>
      <c r="AG729" s="274"/>
    </row>
    <row r="730">
      <c r="A730" s="296"/>
      <c r="B730" s="269"/>
      <c r="C730" s="296"/>
      <c r="D730" s="296"/>
      <c r="E730" s="296"/>
      <c r="F730" s="296"/>
      <c r="G730" s="296"/>
      <c r="H730" s="296"/>
      <c r="I730" s="296"/>
      <c r="J730" s="296"/>
      <c r="K730" s="296"/>
      <c r="L730" s="296"/>
      <c r="M730" s="296"/>
      <c r="N730" s="296"/>
      <c r="O730" s="269"/>
      <c r="P730" s="269"/>
      <c r="Q730" s="269"/>
      <c r="R730" s="296"/>
      <c r="S730" s="296"/>
      <c r="T730" s="296"/>
      <c r="U730" s="296"/>
      <c r="V730" s="296"/>
      <c r="W730" s="296"/>
      <c r="X730" s="296"/>
      <c r="Y730" s="296"/>
      <c r="Z730" s="296"/>
      <c r="AA730" s="296"/>
      <c r="AB730" s="296"/>
      <c r="AC730" s="296"/>
      <c r="AD730" s="296"/>
      <c r="AE730" s="307"/>
      <c r="AF730" s="273"/>
      <c r="AG730" s="274"/>
    </row>
    <row r="731">
      <c r="A731" s="296"/>
      <c r="B731" s="269"/>
      <c r="C731" s="296"/>
      <c r="D731" s="296"/>
      <c r="E731" s="296"/>
      <c r="F731" s="296"/>
      <c r="G731" s="296"/>
      <c r="H731" s="296"/>
      <c r="I731" s="296"/>
      <c r="J731" s="296"/>
      <c r="K731" s="296"/>
      <c r="L731" s="296"/>
      <c r="M731" s="296"/>
      <c r="N731" s="296"/>
      <c r="O731" s="269"/>
      <c r="P731" s="269"/>
      <c r="Q731" s="269"/>
      <c r="R731" s="296"/>
      <c r="S731" s="296"/>
      <c r="T731" s="296"/>
      <c r="U731" s="296"/>
      <c r="V731" s="296"/>
      <c r="W731" s="296"/>
      <c r="X731" s="296"/>
      <c r="Y731" s="296"/>
      <c r="Z731" s="296"/>
      <c r="AA731" s="296"/>
      <c r="AB731" s="296"/>
      <c r="AC731" s="296"/>
      <c r="AD731" s="296"/>
      <c r="AE731" s="307"/>
      <c r="AF731" s="273"/>
      <c r="AG731" s="274"/>
    </row>
    <row r="732">
      <c r="A732" s="296"/>
      <c r="B732" s="269"/>
      <c r="C732" s="296"/>
      <c r="D732" s="296"/>
      <c r="E732" s="296"/>
      <c r="F732" s="296"/>
      <c r="G732" s="296"/>
      <c r="H732" s="296"/>
      <c r="I732" s="296"/>
      <c r="J732" s="296"/>
      <c r="K732" s="296"/>
      <c r="L732" s="296"/>
      <c r="M732" s="296"/>
      <c r="N732" s="296"/>
      <c r="O732" s="269"/>
      <c r="P732" s="269"/>
      <c r="Q732" s="269"/>
      <c r="R732" s="296"/>
      <c r="S732" s="296"/>
      <c r="T732" s="296"/>
      <c r="U732" s="296"/>
      <c r="V732" s="296"/>
      <c r="W732" s="296"/>
      <c r="X732" s="296"/>
      <c r="Y732" s="296"/>
      <c r="Z732" s="296"/>
      <c r="AA732" s="296"/>
      <c r="AB732" s="296"/>
      <c r="AC732" s="296"/>
      <c r="AD732" s="296"/>
      <c r="AE732" s="307"/>
      <c r="AF732" s="273"/>
      <c r="AG732" s="274"/>
    </row>
    <row r="733">
      <c r="A733" s="296"/>
      <c r="B733" s="269"/>
      <c r="C733" s="296"/>
      <c r="D733" s="296"/>
      <c r="E733" s="296"/>
      <c r="F733" s="296"/>
      <c r="G733" s="296"/>
      <c r="H733" s="296"/>
      <c r="I733" s="296"/>
      <c r="J733" s="296"/>
      <c r="K733" s="296"/>
      <c r="L733" s="296"/>
      <c r="M733" s="296"/>
      <c r="N733" s="296"/>
      <c r="O733" s="269"/>
      <c r="P733" s="269"/>
      <c r="Q733" s="269"/>
      <c r="R733" s="296"/>
      <c r="S733" s="296"/>
      <c r="T733" s="296"/>
      <c r="U733" s="296"/>
      <c r="V733" s="296"/>
      <c r="W733" s="296"/>
      <c r="X733" s="296"/>
      <c r="Y733" s="296"/>
      <c r="Z733" s="296"/>
      <c r="AA733" s="296"/>
      <c r="AB733" s="296"/>
      <c r="AC733" s="296"/>
      <c r="AD733" s="296"/>
      <c r="AE733" s="307"/>
      <c r="AF733" s="273"/>
      <c r="AG733" s="274"/>
    </row>
    <row r="734">
      <c r="A734" s="296"/>
      <c r="B734" s="269"/>
      <c r="C734" s="296"/>
      <c r="D734" s="296"/>
      <c r="E734" s="296"/>
      <c r="F734" s="296"/>
      <c r="G734" s="296"/>
      <c r="H734" s="296"/>
      <c r="I734" s="296"/>
      <c r="J734" s="296"/>
      <c r="K734" s="296"/>
      <c r="L734" s="296"/>
      <c r="M734" s="296"/>
      <c r="N734" s="296"/>
      <c r="O734" s="269"/>
      <c r="P734" s="269"/>
      <c r="Q734" s="269"/>
      <c r="R734" s="296"/>
      <c r="S734" s="296"/>
      <c r="T734" s="296"/>
      <c r="U734" s="296"/>
      <c r="V734" s="296"/>
      <c r="W734" s="296"/>
      <c r="X734" s="296"/>
      <c r="Y734" s="296"/>
      <c r="Z734" s="296"/>
      <c r="AA734" s="296"/>
      <c r="AB734" s="296"/>
      <c r="AC734" s="296"/>
      <c r="AD734" s="296"/>
      <c r="AE734" s="307"/>
      <c r="AF734" s="273"/>
      <c r="AG734" s="274"/>
    </row>
    <row r="735">
      <c r="A735" s="296"/>
      <c r="B735" s="269"/>
      <c r="C735" s="296"/>
      <c r="D735" s="296"/>
      <c r="E735" s="296"/>
      <c r="F735" s="296"/>
      <c r="G735" s="296"/>
      <c r="H735" s="296"/>
      <c r="I735" s="296"/>
      <c r="J735" s="296"/>
      <c r="K735" s="296"/>
      <c r="L735" s="296"/>
      <c r="M735" s="296"/>
      <c r="N735" s="296"/>
      <c r="O735" s="269"/>
      <c r="P735" s="269"/>
      <c r="Q735" s="269"/>
      <c r="R735" s="296"/>
      <c r="S735" s="296"/>
      <c r="T735" s="296"/>
      <c r="U735" s="296"/>
      <c r="V735" s="296"/>
      <c r="W735" s="296"/>
      <c r="X735" s="296"/>
      <c r="Y735" s="296"/>
      <c r="Z735" s="296"/>
      <c r="AA735" s="296"/>
      <c r="AB735" s="296"/>
      <c r="AC735" s="296"/>
      <c r="AD735" s="296"/>
      <c r="AE735" s="307"/>
      <c r="AF735" s="273"/>
      <c r="AG735" s="274"/>
    </row>
    <row r="736">
      <c r="A736" s="296"/>
      <c r="B736" s="269"/>
      <c r="C736" s="296"/>
      <c r="D736" s="296"/>
      <c r="E736" s="296"/>
      <c r="F736" s="296"/>
      <c r="G736" s="296"/>
      <c r="H736" s="296"/>
      <c r="I736" s="296"/>
      <c r="J736" s="296"/>
      <c r="K736" s="296"/>
      <c r="L736" s="296"/>
      <c r="M736" s="296"/>
      <c r="N736" s="296"/>
      <c r="O736" s="269"/>
      <c r="P736" s="269"/>
      <c r="Q736" s="269"/>
      <c r="R736" s="296"/>
      <c r="S736" s="296"/>
      <c r="T736" s="296"/>
      <c r="U736" s="296"/>
      <c r="V736" s="296"/>
      <c r="W736" s="296"/>
      <c r="X736" s="296"/>
      <c r="Y736" s="296"/>
      <c r="Z736" s="296"/>
      <c r="AA736" s="296"/>
      <c r="AB736" s="296"/>
      <c r="AC736" s="296"/>
      <c r="AD736" s="296"/>
      <c r="AE736" s="307"/>
      <c r="AF736" s="273"/>
      <c r="AG736" s="274"/>
    </row>
    <row r="737">
      <c r="A737" s="296"/>
      <c r="B737" s="269"/>
      <c r="C737" s="296"/>
      <c r="D737" s="296"/>
      <c r="E737" s="296"/>
      <c r="F737" s="296"/>
      <c r="G737" s="296"/>
      <c r="H737" s="296"/>
      <c r="I737" s="296"/>
      <c r="J737" s="296"/>
      <c r="K737" s="296"/>
      <c r="L737" s="296"/>
      <c r="M737" s="296"/>
      <c r="N737" s="296"/>
      <c r="O737" s="269"/>
      <c r="P737" s="269"/>
      <c r="Q737" s="269"/>
      <c r="R737" s="296"/>
      <c r="S737" s="296"/>
      <c r="T737" s="296"/>
      <c r="U737" s="296"/>
      <c r="V737" s="296"/>
      <c r="W737" s="296"/>
      <c r="X737" s="296"/>
      <c r="Y737" s="296"/>
      <c r="Z737" s="296"/>
      <c r="AA737" s="296"/>
      <c r="AB737" s="296"/>
      <c r="AC737" s="296"/>
      <c r="AD737" s="296"/>
      <c r="AE737" s="307"/>
      <c r="AF737" s="273"/>
      <c r="AG737" s="274"/>
    </row>
    <row r="738">
      <c r="A738" s="296"/>
      <c r="B738" s="269"/>
      <c r="C738" s="296"/>
      <c r="D738" s="296"/>
      <c r="E738" s="296"/>
      <c r="F738" s="296"/>
      <c r="G738" s="296"/>
      <c r="H738" s="296"/>
      <c r="I738" s="296"/>
      <c r="J738" s="296"/>
      <c r="K738" s="296"/>
      <c r="L738" s="296"/>
      <c r="M738" s="296"/>
      <c r="N738" s="296"/>
      <c r="O738" s="269"/>
      <c r="P738" s="269"/>
      <c r="Q738" s="269"/>
      <c r="R738" s="296"/>
      <c r="S738" s="296"/>
      <c r="T738" s="296"/>
      <c r="U738" s="296"/>
      <c r="V738" s="296"/>
      <c r="W738" s="296"/>
      <c r="X738" s="296"/>
      <c r="Y738" s="296"/>
      <c r="Z738" s="296"/>
      <c r="AA738" s="296"/>
      <c r="AB738" s="296"/>
      <c r="AC738" s="296"/>
      <c r="AD738" s="296"/>
      <c r="AE738" s="307"/>
      <c r="AF738" s="273"/>
      <c r="AG738" s="274"/>
    </row>
    <row r="739">
      <c r="A739" s="296"/>
      <c r="B739" s="269"/>
      <c r="C739" s="296"/>
      <c r="D739" s="296"/>
      <c r="E739" s="296"/>
      <c r="F739" s="296"/>
      <c r="G739" s="296"/>
      <c r="H739" s="296"/>
      <c r="I739" s="296"/>
      <c r="J739" s="296"/>
      <c r="K739" s="296"/>
      <c r="L739" s="296"/>
      <c r="M739" s="296"/>
      <c r="N739" s="296"/>
      <c r="O739" s="269"/>
      <c r="P739" s="269"/>
      <c r="Q739" s="269"/>
      <c r="R739" s="296"/>
      <c r="S739" s="296"/>
      <c r="T739" s="296"/>
      <c r="U739" s="296"/>
      <c r="V739" s="296"/>
      <c r="W739" s="296"/>
      <c r="X739" s="296"/>
      <c r="Y739" s="296"/>
      <c r="Z739" s="296"/>
      <c r="AA739" s="296"/>
      <c r="AB739" s="296"/>
      <c r="AC739" s="296"/>
      <c r="AD739" s="296"/>
      <c r="AE739" s="307"/>
      <c r="AF739" s="273"/>
      <c r="AG739" s="274"/>
    </row>
    <row r="740">
      <c r="A740" s="296"/>
      <c r="B740" s="269"/>
      <c r="C740" s="296"/>
      <c r="D740" s="296"/>
      <c r="E740" s="296"/>
      <c r="F740" s="296"/>
      <c r="G740" s="296"/>
      <c r="H740" s="296"/>
      <c r="I740" s="296"/>
      <c r="J740" s="296"/>
      <c r="K740" s="296"/>
      <c r="L740" s="296"/>
      <c r="M740" s="296"/>
      <c r="N740" s="296"/>
      <c r="O740" s="269"/>
      <c r="P740" s="269"/>
      <c r="Q740" s="269"/>
      <c r="R740" s="296"/>
      <c r="S740" s="296"/>
      <c r="T740" s="296"/>
      <c r="U740" s="296"/>
      <c r="V740" s="296"/>
      <c r="W740" s="296"/>
      <c r="X740" s="296"/>
      <c r="Y740" s="296"/>
      <c r="Z740" s="296"/>
      <c r="AA740" s="296"/>
      <c r="AB740" s="296"/>
      <c r="AC740" s="296"/>
      <c r="AD740" s="296"/>
      <c r="AE740" s="307"/>
      <c r="AF740" s="273"/>
      <c r="AG740" s="274"/>
    </row>
    <row r="741">
      <c r="A741" s="296"/>
      <c r="B741" s="269"/>
      <c r="C741" s="296"/>
      <c r="D741" s="296"/>
      <c r="E741" s="296"/>
      <c r="F741" s="296"/>
      <c r="G741" s="296"/>
      <c r="H741" s="296"/>
      <c r="I741" s="296"/>
      <c r="J741" s="296"/>
      <c r="K741" s="296"/>
      <c r="L741" s="296"/>
      <c r="M741" s="296"/>
      <c r="N741" s="296"/>
      <c r="O741" s="269"/>
      <c r="P741" s="269"/>
      <c r="Q741" s="269"/>
      <c r="R741" s="296"/>
      <c r="S741" s="296"/>
      <c r="T741" s="296"/>
      <c r="U741" s="296"/>
      <c r="V741" s="296"/>
      <c r="W741" s="296"/>
      <c r="X741" s="296"/>
      <c r="Y741" s="296"/>
      <c r="Z741" s="296"/>
      <c r="AA741" s="296"/>
      <c r="AB741" s="296"/>
      <c r="AC741" s="296"/>
      <c r="AD741" s="296"/>
      <c r="AE741" s="307"/>
      <c r="AF741" s="273"/>
      <c r="AG741" s="274"/>
    </row>
    <row r="742">
      <c r="A742" s="296"/>
      <c r="B742" s="269"/>
      <c r="C742" s="296"/>
      <c r="D742" s="296"/>
      <c r="E742" s="296"/>
      <c r="F742" s="296"/>
      <c r="G742" s="296"/>
      <c r="H742" s="296"/>
      <c r="I742" s="296"/>
      <c r="J742" s="296"/>
      <c r="K742" s="296"/>
      <c r="L742" s="296"/>
      <c r="M742" s="296"/>
      <c r="N742" s="296"/>
      <c r="O742" s="269"/>
      <c r="P742" s="269"/>
      <c r="Q742" s="269"/>
      <c r="R742" s="296"/>
      <c r="S742" s="296"/>
      <c r="T742" s="296"/>
      <c r="U742" s="296"/>
      <c r="V742" s="296"/>
      <c r="W742" s="296"/>
      <c r="X742" s="296"/>
      <c r="Y742" s="296"/>
      <c r="Z742" s="296"/>
      <c r="AA742" s="296"/>
      <c r="AB742" s="296"/>
      <c r="AC742" s="296"/>
      <c r="AD742" s="296"/>
      <c r="AE742" s="307"/>
      <c r="AF742" s="273"/>
      <c r="AG742" s="274"/>
    </row>
    <row r="743">
      <c r="A743" s="296"/>
      <c r="B743" s="269"/>
      <c r="C743" s="296"/>
      <c r="D743" s="296"/>
      <c r="E743" s="296"/>
      <c r="F743" s="296"/>
      <c r="G743" s="296"/>
      <c r="H743" s="296"/>
      <c r="I743" s="296"/>
      <c r="J743" s="296"/>
      <c r="K743" s="296"/>
      <c r="L743" s="296"/>
      <c r="M743" s="296"/>
      <c r="N743" s="296"/>
      <c r="O743" s="269"/>
      <c r="P743" s="269"/>
      <c r="Q743" s="269"/>
      <c r="R743" s="296"/>
      <c r="S743" s="296"/>
      <c r="T743" s="296"/>
      <c r="U743" s="296"/>
      <c r="V743" s="296"/>
      <c r="W743" s="296"/>
      <c r="X743" s="296"/>
      <c r="Y743" s="296"/>
      <c r="Z743" s="296"/>
      <c r="AA743" s="296"/>
      <c r="AB743" s="296"/>
      <c r="AC743" s="296"/>
      <c r="AD743" s="296"/>
      <c r="AE743" s="307"/>
      <c r="AF743" s="273"/>
      <c r="AG743" s="274"/>
    </row>
    <row r="744">
      <c r="A744" s="296"/>
      <c r="B744" s="269"/>
      <c r="C744" s="296"/>
      <c r="D744" s="296"/>
      <c r="E744" s="296"/>
      <c r="F744" s="296"/>
      <c r="G744" s="296"/>
      <c r="H744" s="296"/>
      <c r="I744" s="296"/>
      <c r="J744" s="296"/>
      <c r="K744" s="296"/>
      <c r="L744" s="296"/>
      <c r="M744" s="296"/>
      <c r="N744" s="296"/>
      <c r="O744" s="269"/>
      <c r="P744" s="269"/>
      <c r="Q744" s="269"/>
      <c r="R744" s="296"/>
      <c r="S744" s="296"/>
      <c r="T744" s="296"/>
      <c r="U744" s="296"/>
      <c r="V744" s="296"/>
      <c r="W744" s="296"/>
      <c r="X744" s="296"/>
      <c r="Y744" s="296"/>
      <c r="Z744" s="296"/>
      <c r="AA744" s="296"/>
      <c r="AB744" s="296"/>
      <c r="AC744" s="296"/>
      <c r="AD744" s="296"/>
      <c r="AE744" s="307"/>
      <c r="AF744" s="273"/>
      <c r="AG744" s="274"/>
    </row>
    <row r="745">
      <c r="A745" s="296"/>
      <c r="B745" s="269"/>
      <c r="C745" s="296"/>
      <c r="D745" s="296"/>
      <c r="E745" s="296"/>
      <c r="F745" s="296"/>
      <c r="G745" s="296"/>
      <c r="H745" s="296"/>
      <c r="I745" s="296"/>
      <c r="J745" s="296"/>
      <c r="K745" s="296"/>
      <c r="L745" s="296"/>
      <c r="M745" s="296"/>
      <c r="N745" s="296"/>
      <c r="O745" s="269"/>
      <c r="P745" s="269"/>
      <c r="Q745" s="269"/>
      <c r="R745" s="296"/>
      <c r="S745" s="296"/>
      <c r="T745" s="296"/>
      <c r="U745" s="296"/>
      <c r="V745" s="296"/>
      <c r="W745" s="296"/>
      <c r="X745" s="296"/>
      <c r="Y745" s="296"/>
      <c r="Z745" s="296"/>
      <c r="AA745" s="296"/>
      <c r="AB745" s="296"/>
      <c r="AC745" s="296"/>
      <c r="AD745" s="296"/>
      <c r="AE745" s="307"/>
      <c r="AF745" s="273"/>
      <c r="AG745" s="274"/>
    </row>
    <row r="746">
      <c r="A746" s="296"/>
      <c r="B746" s="269"/>
      <c r="C746" s="296"/>
      <c r="D746" s="296"/>
      <c r="E746" s="296"/>
      <c r="F746" s="296"/>
      <c r="G746" s="296"/>
      <c r="H746" s="296"/>
      <c r="I746" s="296"/>
      <c r="J746" s="296"/>
      <c r="K746" s="296"/>
      <c r="L746" s="296"/>
      <c r="M746" s="296"/>
      <c r="N746" s="296"/>
      <c r="O746" s="269"/>
      <c r="P746" s="269"/>
      <c r="Q746" s="269"/>
      <c r="R746" s="296"/>
      <c r="S746" s="296"/>
      <c r="T746" s="296"/>
      <c r="U746" s="296"/>
      <c r="V746" s="296"/>
      <c r="W746" s="296"/>
      <c r="X746" s="296"/>
      <c r="Y746" s="296"/>
      <c r="Z746" s="296"/>
      <c r="AA746" s="296"/>
      <c r="AB746" s="296"/>
      <c r="AC746" s="296"/>
      <c r="AD746" s="296"/>
      <c r="AE746" s="307"/>
      <c r="AF746" s="273"/>
      <c r="AG746" s="274"/>
    </row>
    <row r="747">
      <c r="A747" s="296"/>
      <c r="B747" s="269"/>
      <c r="C747" s="296"/>
      <c r="D747" s="296"/>
      <c r="E747" s="296"/>
      <c r="F747" s="296"/>
      <c r="G747" s="296"/>
      <c r="H747" s="296"/>
      <c r="I747" s="296"/>
      <c r="J747" s="296"/>
      <c r="K747" s="296"/>
      <c r="L747" s="296"/>
      <c r="M747" s="296"/>
      <c r="N747" s="296"/>
      <c r="O747" s="269"/>
      <c r="P747" s="269"/>
      <c r="Q747" s="269"/>
      <c r="R747" s="296"/>
      <c r="S747" s="296"/>
      <c r="T747" s="296"/>
      <c r="U747" s="296"/>
      <c r="V747" s="296"/>
      <c r="W747" s="296"/>
      <c r="X747" s="296"/>
      <c r="Y747" s="296"/>
      <c r="Z747" s="296"/>
      <c r="AA747" s="296"/>
      <c r="AB747" s="296"/>
      <c r="AC747" s="296"/>
      <c r="AD747" s="296"/>
      <c r="AE747" s="307"/>
      <c r="AF747" s="273"/>
      <c r="AG747" s="274"/>
    </row>
    <row r="748">
      <c r="A748" s="296"/>
      <c r="B748" s="269"/>
      <c r="C748" s="296"/>
      <c r="D748" s="296"/>
      <c r="E748" s="296"/>
      <c r="F748" s="296"/>
      <c r="G748" s="296"/>
      <c r="H748" s="296"/>
      <c r="I748" s="296"/>
      <c r="J748" s="296"/>
      <c r="K748" s="296"/>
      <c r="L748" s="296"/>
      <c r="M748" s="296"/>
      <c r="N748" s="296"/>
      <c r="O748" s="269"/>
      <c r="P748" s="269"/>
      <c r="Q748" s="269"/>
      <c r="R748" s="296"/>
      <c r="S748" s="296"/>
      <c r="T748" s="296"/>
      <c r="U748" s="296"/>
      <c r="V748" s="296"/>
      <c r="W748" s="296"/>
      <c r="X748" s="296"/>
      <c r="Y748" s="296"/>
      <c r="Z748" s="296"/>
      <c r="AA748" s="296"/>
      <c r="AB748" s="296"/>
      <c r="AC748" s="296"/>
      <c r="AD748" s="296"/>
      <c r="AE748" s="307"/>
      <c r="AF748" s="273"/>
      <c r="AG748" s="274"/>
    </row>
    <row r="749">
      <c r="A749" s="296"/>
      <c r="B749" s="269"/>
      <c r="C749" s="296"/>
      <c r="D749" s="296"/>
      <c r="E749" s="296"/>
      <c r="F749" s="296"/>
      <c r="G749" s="296"/>
      <c r="H749" s="296"/>
      <c r="I749" s="296"/>
      <c r="J749" s="296"/>
      <c r="K749" s="296"/>
      <c r="L749" s="296"/>
      <c r="M749" s="296"/>
      <c r="N749" s="296"/>
      <c r="O749" s="269"/>
      <c r="P749" s="269"/>
      <c r="Q749" s="269"/>
      <c r="R749" s="296"/>
      <c r="S749" s="296"/>
      <c r="T749" s="296"/>
      <c r="U749" s="296"/>
      <c r="V749" s="296"/>
      <c r="W749" s="296"/>
      <c r="X749" s="296"/>
      <c r="Y749" s="296"/>
      <c r="Z749" s="296"/>
      <c r="AA749" s="296"/>
      <c r="AB749" s="296"/>
      <c r="AC749" s="296"/>
      <c r="AD749" s="296"/>
      <c r="AE749" s="307"/>
      <c r="AF749" s="273"/>
      <c r="AG749" s="274"/>
    </row>
    <row r="750">
      <c r="A750" s="296"/>
      <c r="B750" s="269"/>
      <c r="C750" s="296"/>
      <c r="D750" s="296"/>
      <c r="E750" s="296"/>
      <c r="F750" s="296"/>
      <c r="G750" s="296"/>
      <c r="H750" s="296"/>
      <c r="I750" s="296"/>
      <c r="J750" s="296"/>
      <c r="K750" s="296"/>
      <c r="L750" s="296"/>
      <c r="M750" s="296"/>
      <c r="N750" s="296"/>
      <c r="O750" s="269"/>
      <c r="P750" s="269"/>
      <c r="Q750" s="269"/>
      <c r="R750" s="296"/>
      <c r="S750" s="296"/>
      <c r="T750" s="296"/>
      <c r="U750" s="296"/>
      <c r="V750" s="296"/>
      <c r="W750" s="296"/>
      <c r="X750" s="296"/>
      <c r="Y750" s="296"/>
      <c r="Z750" s="296"/>
      <c r="AA750" s="296"/>
      <c r="AB750" s="296"/>
      <c r="AC750" s="296"/>
      <c r="AD750" s="296"/>
      <c r="AE750" s="307"/>
      <c r="AF750" s="273"/>
      <c r="AG750" s="274"/>
    </row>
    <row r="751">
      <c r="A751" s="296"/>
      <c r="B751" s="269"/>
      <c r="C751" s="296"/>
      <c r="D751" s="296"/>
      <c r="E751" s="296"/>
      <c r="F751" s="296"/>
      <c r="G751" s="296"/>
      <c r="H751" s="296"/>
      <c r="I751" s="296"/>
      <c r="J751" s="296"/>
      <c r="K751" s="296"/>
      <c r="L751" s="296"/>
      <c r="M751" s="296"/>
      <c r="N751" s="296"/>
      <c r="O751" s="269"/>
      <c r="P751" s="269"/>
      <c r="Q751" s="269"/>
      <c r="R751" s="296"/>
      <c r="S751" s="296"/>
      <c r="T751" s="296"/>
      <c r="U751" s="296"/>
      <c r="V751" s="296"/>
      <c r="W751" s="296"/>
      <c r="X751" s="296"/>
      <c r="Y751" s="296"/>
      <c r="Z751" s="296"/>
      <c r="AA751" s="296"/>
      <c r="AB751" s="296"/>
      <c r="AC751" s="296"/>
      <c r="AD751" s="296"/>
      <c r="AE751" s="307"/>
      <c r="AF751" s="273"/>
      <c r="AG751" s="274"/>
    </row>
    <row r="752">
      <c r="A752" s="296"/>
      <c r="B752" s="269"/>
      <c r="C752" s="296"/>
      <c r="D752" s="296"/>
      <c r="E752" s="296"/>
      <c r="F752" s="296"/>
      <c r="G752" s="296"/>
      <c r="H752" s="296"/>
      <c r="I752" s="296"/>
      <c r="J752" s="296"/>
      <c r="K752" s="296"/>
      <c r="L752" s="296"/>
      <c r="M752" s="296"/>
      <c r="N752" s="296"/>
      <c r="O752" s="269"/>
      <c r="P752" s="269"/>
      <c r="Q752" s="269"/>
      <c r="R752" s="296"/>
      <c r="S752" s="296"/>
      <c r="T752" s="296"/>
      <c r="U752" s="296"/>
      <c r="V752" s="296"/>
      <c r="W752" s="296"/>
      <c r="X752" s="296"/>
      <c r="Y752" s="296"/>
      <c r="Z752" s="296"/>
      <c r="AA752" s="296"/>
      <c r="AB752" s="296"/>
      <c r="AC752" s="296"/>
      <c r="AD752" s="296"/>
      <c r="AE752" s="307"/>
      <c r="AF752" s="273"/>
      <c r="AG752" s="274"/>
    </row>
    <row r="753">
      <c r="A753" s="296"/>
      <c r="B753" s="269"/>
      <c r="C753" s="296"/>
      <c r="D753" s="296"/>
      <c r="E753" s="296"/>
      <c r="F753" s="296"/>
      <c r="G753" s="296"/>
      <c r="H753" s="296"/>
      <c r="I753" s="296"/>
      <c r="J753" s="296"/>
      <c r="K753" s="296"/>
      <c r="L753" s="296"/>
      <c r="M753" s="296"/>
      <c r="N753" s="296"/>
      <c r="O753" s="269"/>
      <c r="P753" s="269"/>
      <c r="Q753" s="269"/>
      <c r="R753" s="296"/>
      <c r="S753" s="296"/>
      <c r="T753" s="296"/>
      <c r="U753" s="296"/>
      <c r="V753" s="296"/>
      <c r="W753" s="296"/>
      <c r="X753" s="296"/>
      <c r="Y753" s="296"/>
      <c r="Z753" s="296"/>
      <c r="AA753" s="296"/>
      <c r="AB753" s="296"/>
      <c r="AC753" s="296"/>
      <c r="AD753" s="296"/>
      <c r="AE753" s="307"/>
      <c r="AF753" s="273"/>
      <c r="AG753" s="274"/>
    </row>
    <row r="754">
      <c r="A754" s="296"/>
      <c r="B754" s="269"/>
      <c r="C754" s="296"/>
      <c r="D754" s="296"/>
      <c r="E754" s="296"/>
      <c r="F754" s="296"/>
      <c r="G754" s="296"/>
      <c r="H754" s="296"/>
      <c r="I754" s="296"/>
      <c r="J754" s="296"/>
      <c r="K754" s="296"/>
      <c r="L754" s="296"/>
      <c r="M754" s="296"/>
      <c r="N754" s="296"/>
      <c r="O754" s="269"/>
      <c r="P754" s="269"/>
      <c r="Q754" s="269"/>
      <c r="R754" s="296"/>
      <c r="S754" s="296"/>
      <c r="T754" s="296"/>
      <c r="U754" s="296"/>
      <c r="V754" s="296"/>
      <c r="W754" s="296"/>
      <c r="X754" s="296"/>
      <c r="Y754" s="296"/>
      <c r="Z754" s="296"/>
      <c r="AA754" s="296"/>
      <c r="AB754" s="296"/>
      <c r="AC754" s="296"/>
      <c r="AD754" s="296"/>
      <c r="AE754" s="307"/>
      <c r="AF754" s="273"/>
      <c r="AG754" s="274"/>
    </row>
    <row r="755">
      <c r="A755" s="296"/>
      <c r="B755" s="269"/>
      <c r="C755" s="296"/>
      <c r="D755" s="296"/>
      <c r="E755" s="296"/>
      <c r="F755" s="296"/>
      <c r="G755" s="296"/>
      <c r="H755" s="296"/>
      <c r="I755" s="296"/>
      <c r="J755" s="296"/>
      <c r="K755" s="296"/>
      <c r="L755" s="296"/>
      <c r="M755" s="296"/>
      <c r="N755" s="296"/>
      <c r="O755" s="269"/>
      <c r="P755" s="269"/>
      <c r="Q755" s="269"/>
      <c r="R755" s="296"/>
      <c r="S755" s="296"/>
      <c r="T755" s="296"/>
      <c r="U755" s="296"/>
      <c r="V755" s="296"/>
      <c r="W755" s="296"/>
      <c r="X755" s="296"/>
      <c r="Y755" s="296"/>
      <c r="Z755" s="296"/>
      <c r="AA755" s="296"/>
      <c r="AB755" s="296"/>
      <c r="AC755" s="296"/>
      <c r="AD755" s="296"/>
      <c r="AE755" s="307"/>
      <c r="AF755" s="273"/>
      <c r="AG755" s="274"/>
    </row>
    <row r="756">
      <c r="A756" s="296"/>
      <c r="B756" s="269"/>
      <c r="C756" s="296"/>
      <c r="D756" s="296"/>
      <c r="E756" s="296"/>
      <c r="F756" s="296"/>
      <c r="G756" s="296"/>
      <c r="H756" s="296"/>
      <c r="I756" s="296"/>
      <c r="J756" s="296"/>
      <c r="K756" s="296"/>
      <c r="L756" s="296"/>
      <c r="M756" s="296"/>
      <c r="N756" s="296"/>
      <c r="O756" s="269"/>
      <c r="P756" s="269"/>
      <c r="Q756" s="269"/>
      <c r="R756" s="296"/>
      <c r="S756" s="296"/>
      <c r="T756" s="296"/>
      <c r="U756" s="296"/>
      <c r="V756" s="296"/>
      <c r="W756" s="296"/>
      <c r="X756" s="296"/>
      <c r="Y756" s="296"/>
      <c r="Z756" s="296"/>
      <c r="AA756" s="296"/>
      <c r="AB756" s="296"/>
      <c r="AC756" s="296"/>
      <c r="AD756" s="296"/>
      <c r="AE756" s="307"/>
      <c r="AF756" s="273"/>
      <c r="AG756" s="274"/>
    </row>
    <row r="757">
      <c r="A757" s="296"/>
      <c r="B757" s="269"/>
      <c r="C757" s="296"/>
      <c r="D757" s="296"/>
      <c r="E757" s="296"/>
      <c r="F757" s="296"/>
      <c r="G757" s="296"/>
      <c r="H757" s="296"/>
      <c r="I757" s="296"/>
      <c r="J757" s="296"/>
      <c r="K757" s="296"/>
      <c r="L757" s="296"/>
      <c r="M757" s="296"/>
      <c r="N757" s="296"/>
      <c r="O757" s="269"/>
      <c r="P757" s="269"/>
      <c r="Q757" s="269"/>
      <c r="R757" s="296"/>
      <c r="S757" s="296"/>
      <c r="T757" s="296"/>
      <c r="U757" s="296"/>
      <c r="V757" s="296"/>
      <c r="W757" s="296"/>
      <c r="X757" s="296"/>
      <c r="Y757" s="296"/>
      <c r="Z757" s="296"/>
      <c r="AA757" s="296"/>
      <c r="AB757" s="296"/>
      <c r="AC757" s="296"/>
      <c r="AD757" s="296"/>
      <c r="AE757" s="307"/>
      <c r="AF757" s="273"/>
      <c r="AG757" s="274"/>
    </row>
    <row r="758">
      <c r="A758" s="296"/>
      <c r="B758" s="269"/>
      <c r="C758" s="296"/>
      <c r="D758" s="296"/>
      <c r="E758" s="296"/>
      <c r="F758" s="296"/>
      <c r="G758" s="296"/>
      <c r="H758" s="296"/>
      <c r="I758" s="296"/>
      <c r="J758" s="296"/>
      <c r="K758" s="296"/>
      <c r="L758" s="296"/>
      <c r="M758" s="296"/>
      <c r="N758" s="296"/>
      <c r="O758" s="269"/>
      <c r="P758" s="269"/>
      <c r="Q758" s="269"/>
      <c r="R758" s="296"/>
      <c r="S758" s="296"/>
      <c r="T758" s="296"/>
      <c r="U758" s="296"/>
      <c r="V758" s="296"/>
      <c r="W758" s="296"/>
      <c r="X758" s="296"/>
      <c r="Y758" s="296"/>
      <c r="Z758" s="296"/>
      <c r="AA758" s="296"/>
      <c r="AB758" s="296"/>
      <c r="AC758" s="296"/>
      <c r="AD758" s="296"/>
      <c r="AE758" s="307"/>
      <c r="AF758" s="273"/>
      <c r="AG758" s="274"/>
    </row>
    <row r="759">
      <c r="A759" s="296"/>
      <c r="B759" s="269"/>
      <c r="C759" s="296"/>
      <c r="D759" s="296"/>
      <c r="E759" s="296"/>
      <c r="F759" s="296"/>
      <c r="G759" s="296"/>
      <c r="H759" s="296"/>
      <c r="I759" s="296"/>
      <c r="J759" s="296"/>
      <c r="K759" s="296"/>
      <c r="L759" s="296"/>
      <c r="M759" s="296"/>
      <c r="N759" s="296"/>
      <c r="O759" s="269"/>
      <c r="P759" s="269"/>
      <c r="Q759" s="269"/>
      <c r="R759" s="296"/>
      <c r="S759" s="296"/>
      <c r="T759" s="296"/>
      <c r="U759" s="296"/>
      <c r="V759" s="296"/>
      <c r="W759" s="296"/>
      <c r="X759" s="296"/>
      <c r="Y759" s="296"/>
      <c r="Z759" s="296"/>
      <c r="AA759" s="296"/>
      <c r="AB759" s="296"/>
      <c r="AC759" s="296"/>
      <c r="AD759" s="296"/>
      <c r="AE759" s="307"/>
      <c r="AF759" s="273"/>
      <c r="AG759" s="274"/>
    </row>
    <row r="760">
      <c r="A760" s="296"/>
      <c r="B760" s="269"/>
      <c r="C760" s="296"/>
      <c r="D760" s="296"/>
      <c r="E760" s="296"/>
      <c r="F760" s="296"/>
      <c r="G760" s="296"/>
      <c r="H760" s="296"/>
      <c r="I760" s="296"/>
      <c r="J760" s="296"/>
      <c r="K760" s="296"/>
      <c r="L760" s="296"/>
      <c r="M760" s="296"/>
      <c r="N760" s="296"/>
      <c r="O760" s="269"/>
      <c r="P760" s="269"/>
      <c r="Q760" s="269"/>
      <c r="R760" s="296"/>
      <c r="S760" s="296"/>
      <c r="T760" s="296"/>
      <c r="U760" s="296"/>
      <c r="V760" s="296"/>
      <c r="W760" s="296"/>
      <c r="X760" s="296"/>
      <c r="Y760" s="296"/>
      <c r="Z760" s="296"/>
      <c r="AA760" s="296"/>
      <c r="AB760" s="296"/>
      <c r="AC760" s="296"/>
      <c r="AD760" s="296"/>
      <c r="AE760" s="307"/>
      <c r="AF760" s="273"/>
      <c r="AG760" s="274"/>
    </row>
    <row r="761">
      <c r="A761" s="296"/>
      <c r="B761" s="269"/>
      <c r="C761" s="296"/>
      <c r="D761" s="296"/>
      <c r="E761" s="296"/>
      <c r="F761" s="296"/>
      <c r="G761" s="296"/>
      <c r="H761" s="296"/>
      <c r="I761" s="296"/>
      <c r="J761" s="296"/>
      <c r="K761" s="296"/>
      <c r="L761" s="296"/>
      <c r="M761" s="296"/>
      <c r="N761" s="296"/>
      <c r="O761" s="269"/>
      <c r="P761" s="269"/>
      <c r="Q761" s="269"/>
      <c r="R761" s="296"/>
      <c r="S761" s="296"/>
      <c r="T761" s="296"/>
      <c r="U761" s="296"/>
      <c r="V761" s="296"/>
      <c r="W761" s="296"/>
      <c r="X761" s="296"/>
      <c r="Y761" s="296"/>
      <c r="Z761" s="296"/>
      <c r="AA761" s="296"/>
      <c r="AB761" s="296"/>
      <c r="AC761" s="296"/>
      <c r="AD761" s="296"/>
      <c r="AE761" s="307"/>
      <c r="AF761" s="273"/>
      <c r="AG761" s="274"/>
    </row>
    <row r="762">
      <c r="A762" s="296"/>
      <c r="B762" s="269"/>
      <c r="C762" s="296"/>
      <c r="D762" s="296"/>
      <c r="E762" s="296"/>
      <c r="F762" s="296"/>
      <c r="G762" s="296"/>
      <c r="H762" s="296"/>
      <c r="I762" s="296"/>
      <c r="J762" s="296"/>
      <c r="K762" s="296"/>
      <c r="L762" s="296"/>
      <c r="M762" s="296"/>
      <c r="N762" s="296"/>
      <c r="O762" s="269"/>
      <c r="P762" s="269"/>
      <c r="Q762" s="269"/>
      <c r="R762" s="296"/>
      <c r="S762" s="296"/>
      <c r="T762" s="296"/>
      <c r="U762" s="296"/>
      <c r="V762" s="296"/>
      <c r="W762" s="296"/>
      <c r="X762" s="296"/>
      <c r="Y762" s="296"/>
      <c r="Z762" s="296"/>
      <c r="AA762" s="296"/>
      <c r="AB762" s="296"/>
      <c r="AC762" s="296"/>
      <c r="AD762" s="296"/>
      <c r="AE762" s="307"/>
      <c r="AF762" s="273"/>
      <c r="AG762" s="274"/>
    </row>
    <row r="763">
      <c r="A763" s="296"/>
      <c r="B763" s="269"/>
      <c r="C763" s="296"/>
      <c r="D763" s="296"/>
      <c r="E763" s="296"/>
      <c r="F763" s="296"/>
      <c r="G763" s="296"/>
      <c r="H763" s="296"/>
      <c r="I763" s="296"/>
      <c r="J763" s="296"/>
      <c r="K763" s="296"/>
      <c r="L763" s="296"/>
      <c r="M763" s="296"/>
      <c r="N763" s="296"/>
      <c r="O763" s="269"/>
      <c r="P763" s="269"/>
      <c r="Q763" s="269"/>
      <c r="R763" s="296"/>
      <c r="S763" s="296"/>
      <c r="T763" s="296"/>
      <c r="U763" s="296"/>
      <c r="V763" s="296"/>
      <c r="W763" s="296"/>
      <c r="X763" s="296"/>
      <c r="Y763" s="296"/>
      <c r="Z763" s="296"/>
      <c r="AA763" s="296"/>
      <c r="AB763" s="296"/>
      <c r="AC763" s="296"/>
      <c r="AD763" s="296"/>
      <c r="AE763" s="307"/>
      <c r="AF763" s="273"/>
      <c r="AG763" s="274"/>
    </row>
    <row r="764">
      <c r="A764" s="296"/>
      <c r="B764" s="269"/>
      <c r="C764" s="296"/>
      <c r="D764" s="296"/>
      <c r="E764" s="296"/>
      <c r="F764" s="296"/>
      <c r="G764" s="296"/>
      <c r="H764" s="296"/>
      <c r="I764" s="296"/>
      <c r="J764" s="296"/>
      <c r="K764" s="296"/>
      <c r="L764" s="296"/>
      <c r="M764" s="296"/>
      <c r="N764" s="296"/>
      <c r="O764" s="269"/>
      <c r="P764" s="269"/>
      <c r="Q764" s="269"/>
      <c r="R764" s="296"/>
      <c r="S764" s="296"/>
      <c r="T764" s="296"/>
      <c r="U764" s="296"/>
      <c r="V764" s="296"/>
      <c r="W764" s="296"/>
      <c r="X764" s="296"/>
      <c r="Y764" s="296"/>
      <c r="Z764" s="296"/>
      <c r="AA764" s="296"/>
      <c r="AB764" s="296"/>
      <c r="AC764" s="296"/>
      <c r="AD764" s="296"/>
      <c r="AE764" s="307"/>
      <c r="AF764" s="273"/>
      <c r="AG764" s="274"/>
    </row>
    <row r="765">
      <c r="A765" s="296"/>
      <c r="B765" s="269"/>
      <c r="C765" s="296"/>
      <c r="D765" s="296"/>
      <c r="E765" s="296"/>
      <c r="F765" s="296"/>
      <c r="G765" s="296"/>
      <c r="H765" s="296"/>
      <c r="I765" s="296"/>
      <c r="J765" s="296"/>
      <c r="K765" s="296"/>
      <c r="L765" s="296"/>
      <c r="M765" s="296"/>
      <c r="N765" s="296"/>
      <c r="O765" s="269"/>
      <c r="P765" s="269"/>
      <c r="Q765" s="269"/>
      <c r="R765" s="296"/>
      <c r="S765" s="296"/>
      <c r="T765" s="296"/>
      <c r="U765" s="296"/>
      <c r="V765" s="296"/>
      <c r="W765" s="296"/>
      <c r="X765" s="296"/>
      <c r="Y765" s="296"/>
      <c r="Z765" s="296"/>
      <c r="AA765" s="296"/>
      <c r="AB765" s="296"/>
      <c r="AC765" s="296"/>
      <c r="AD765" s="296"/>
      <c r="AE765" s="307"/>
      <c r="AF765" s="273"/>
      <c r="AG765" s="274"/>
    </row>
    <row r="766">
      <c r="A766" s="296"/>
      <c r="B766" s="269"/>
      <c r="C766" s="296"/>
      <c r="D766" s="296"/>
      <c r="E766" s="296"/>
      <c r="F766" s="296"/>
      <c r="G766" s="296"/>
      <c r="H766" s="296"/>
      <c r="I766" s="296"/>
      <c r="J766" s="296"/>
      <c r="K766" s="296"/>
      <c r="L766" s="296"/>
      <c r="M766" s="296"/>
      <c r="N766" s="296"/>
      <c r="O766" s="269"/>
      <c r="P766" s="269"/>
      <c r="Q766" s="269"/>
      <c r="R766" s="296"/>
      <c r="S766" s="296"/>
      <c r="T766" s="296"/>
      <c r="U766" s="296"/>
      <c r="V766" s="296"/>
      <c r="W766" s="296"/>
      <c r="X766" s="296"/>
      <c r="Y766" s="296"/>
      <c r="Z766" s="296"/>
      <c r="AA766" s="296"/>
      <c r="AB766" s="296"/>
      <c r="AC766" s="296"/>
      <c r="AD766" s="296"/>
      <c r="AE766" s="307"/>
      <c r="AF766" s="273"/>
      <c r="AG766" s="274"/>
    </row>
    <row r="767">
      <c r="A767" s="296"/>
      <c r="B767" s="269"/>
      <c r="C767" s="296"/>
      <c r="D767" s="296"/>
      <c r="E767" s="296"/>
      <c r="F767" s="296"/>
      <c r="G767" s="296"/>
      <c r="H767" s="296"/>
      <c r="I767" s="296"/>
      <c r="J767" s="296"/>
      <c r="K767" s="296"/>
      <c r="L767" s="296"/>
      <c r="M767" s="296"/>
      <c r="N767" s="296"/>
      <c r="O767" s="269"/>
      <c r="P767" s="269"/>
      <c r="Q767" s="269"/>
      <c r="R767" s="296"/>
      <c r="S767" s="296"/>
      <c r="T767" s="296"/>
      <c r="U767" s="296"/>
      <c r="V767" s="296"/>
      <c r="W767" s="296"/>
      <c r="X767" s="296"/>
      <c r="Y767" s="296"/>
      <c r="Z767" s="296"/>
      <c r="AA767" s="296"/>
      <c r="AB767" s="296"/>
      <c r="AC767" s="296"/>
      <c r="AD767" s="296"/>
      <c r="AE767" s="307"/>
      <c r="AF767" s="273"/>
      <c r="AG767" s="274"/>
    </row>
    <row r="768">
      <c r="A768" s="296"/>
      <c r="B768" s="269"/>
      <c r="C768" s="296"/>
      <c r="D768" s="296"/>
      <c r="E768" s="296"/>
      <c r="F768" s="296"/>
      <c r="G768" s="296"/>
      <c r="H768" s="296"/>
      <c r="I768" s="296"/>
      <c r="J768" s="296"/>
      <c r="K768" s="296"/>
      <c r="L768" s="296"/>
      <c r="M768" s="296"/>
      <c r="N768" s="296"/>
      <c r="O768" s="269"/>
      <c r="P768" s="269"/>
      <c r="Q768" s="269"/>
      <c r="R768" s="296"/>
      <c r="S768" s="296"/>
      <c r="T768" s="296"/>
      <c r="U768" s="296"/>
      <c r="V768" s="296"/>
      <c r="W768" s="296"/>
      <c r="X768" s="296"/>
      <c r="Y768" s="296"/>
      <c r="Z768" s="296"/>
      <c r="AA768" s="296"/>
      <c r="AB768" s="296"/>
      <c r="AC768" s="296"/>
      <c r="AD768" s="296"/>
      <c r="AE768" s="307"/>
      <c r="AF768" s="273"/>
      <c r="AG768" s="274"/>
    </row>
    <row r="769">
      <c r="A769" s="296"/>
      <c r="B769" s="269"/>
      <c r="C769" s="296"/>
      <c r="D769" s="296"/>
      <c r="E769" s="296"/>
      <c r="F769" s="296"/>
      <c r="G769" s="296"/>
      <c r="H769" s="296"/>
      <c r="I769" s="296"/>
      <c r="J769" s="296"/>
      <c r="K769" s="296"/>
      <c r="L769" s="296"/>
      <c r="M769" s="296"/>
      <c r="N769" s="296"/>
      <c r="O769" s="269"/>
      <c r="P769" s="269"/>
      <c r="Q769" s="269"/>
      <c r="R769" s="296"/>
      <c r="S769" s="296"/>
      <c r="T769" s="296"/>
      <c r="U769" s="296"/>
      <c r="V769" s="296"/>
      <c r="W769" s="296"/>
      <c r="X769" s="296"/>
      <c r="Y769" s="296"/>
      <c r="Z769" s="296"/>
      <c r="AA769" s="296"/>
      <c r="AB769" s="296"/>
      <c r="AC769" s="296"/>
      <c r="AD769" s="296"/>
      <c r="AE769" s="307"/>
      <c r="AF769" s="273"/>
      <c r="AG769" s="274"/>
    </row>
    <row r="770">
      <c r="A770" s="296"/>
      <c r="B770" s="269"/>
      <c r="C770" s="296"/>
      <c r="D770" s="296"/>
      <c r="E770" s="296"/>
      <c r="F770" s="296"/>
      <c r="G770" s="296"/>
      <c r="H770" s="296"/>
      <c r="I770" s="296"/>
      <c r="J770" s="296"/>
      <c r="K770" s="296"/>
      <c r="L770" s="296"/>
      <c r="M770" s="296"/>
      <c r="N770" s="296"/>
      <c r="O770" s="269"/>
      <c r="P770" s="269"/>
      <c r="Q770" s="269"/>
      <c r="R770" s="296"/>
      <c r="S770" s="296"/>
      <c r="T770" s="296"/>
      <c r="U770" s="296"/>
      <c r="V770" s="296"/>
      <c r="W770" s="296"/>
      <c r="X770" s="296"/>
      <c r="Y770" s="296"/>
      <c r="Z770" s="296"/>
      <c r="AA770" s="296"/>
      <c r="AB770" s="296"/>
      <c r="AC770" s="296"/>
      <c r="AD770" s="296"/>
      <c r="AE770" s="307"/>
      <c r="AF770" s="273"/>
      <c r="AG770" s="274"/>
    </row>
    <row r="771">
      <c r="A771" s="296"/>
      <c r="B771" s="269"/>
      <c r="C771" s="296"/>
      <c r="D771" s="296"/>
      <c r="E771" s="296"/>
      <c r="F771" s="296"/>
      <c r="G771" s="296"/>
      <c r="H771" s="296"/>
      <c r="I771" s="296"/>
      <c r="J771" s="296"/>
      <c r="K771" s="296"/>
      <c r="L771" s="296"/>
      <c r="M771" s="296"/>
      <c r="N771" s="296"/>
      <c r="O771" s="269"/>
      <c r="P771" s="269"/>
      <c r="Q771" s="269"/>
      <c r="R771" s="296"/>
      <c r="S771" s="296"/>
      <c r="T771" s="296"/>
      <c r="U771" s="296"/>
      <c r="V771" s="296"/>
      <c r="W771" s="296"/>
      <c r="X771" s="296"/>
      <c r="Y771" s="296"/>
      <c r="Z771" s="296"/>
      <c r="AA771" s="296"/>
      <c r="AB771" s="296"/>
      <c r="AC771" s="296"/>
      <c r="AD771" s="296"/>
      <c r="AE771" s="307"/>
      <c r="AF771" s="273"/>
      <c r="AG771" s="274"/>
    </row>
    <row r="772">
      <c r="A772" s="296"/>
      <c r="B772" s="269"/>
      <c r="C772" s="296"/>
      <c r="D772" s="296"/>
      <c r="E772" s="296"/>
      <c r="F772" s="296"/>
      <c r="G772" s="296"/>
      <c r="H772" s="296"/>
      <c r="I772" s="296"/>
      <c r="J772" s="296"/>
      <c r="K772" s="296"/>
      <c r="L772" s="296"/>
      <c r="M772" s="296"/>
      <c r="N772" s="296"/>
      <c r="O772" s="269"/>
      <c r="P772" s="269"/>
      <c r="Q772" s="269"/>
      <c r="R772" s="296"/>
      <c r="S772" s="296"/>
      <c r="T772" s="296"/>
      <c r="U772" s="296"/>
      <c r="V772" s="296"/>
      <c r="W772" s="296"/>
      <c r="X772" s="296"/>
      <c r="Y772" s="296"/>
      <c r="Z772" s="296"/>
      <c r="AA772" s="296"/>
      <c r="AB772" s="296"/>
      <c r="AC772" s="296"/>
      <c r="AD772" s="296"/>
      <c r="AE772" s="307"/>
      <c r="AF772" s="273"/>
      <c r="AG772" s="274"/>
    </row>
    <row r="773">
      <c r="A773" s="296"/>
      <c r="B773" s="269"/>
      <c r="C773" s="296"/>
      <c r="D773" s="296"/>
      <c r="E773" s="296"/>
      <c r="F773" s="296"/>
      <c r="G773" s="296"/>
      <c r="H773" s="296"/>
      <c r="I773" s="296"/>
      <c r="J773" s="296"/>
      <c r="K773" s="296"/>
      <c r="L773" s="296"/>
      <c r="M773" s="296"/>
      <c r="N773" s="296"/>
      <c r="O773" s="269"/>
      <c r="P773" s="269"/>
      <c r="Q773" s="269"/>
      <c r="R773" s="296"/>
      <c r="S773" s="296"/>
      <c r="T773" s="296"/>
      <c r="U773" s="296"/>
      <c r="V773" s="296"/>
      <c r="W773" s="296"/>
      <c r="X773" s="296"/>
      <c r="Y773" s="296"/>
      <c r="Z773" s="296"/>
      <c r="AA773" s="296"/>
      <c r="AB773" s="296"/>
      <c r="AC773" s="296"/>
      <c r="AD773" s="296"/>
      <c r="AE773" s="307"/>
      <c r="AF773" s="273"/>
      <c r="AG773" s="274"/>
    </row>
    <row r="774">
      <c r="A774" s="296"/>
      <c r="B774" s="269"/>
      <c r="C774" s="296"/>
      <c r="D774" s="296"/>
      <c r="E774" s="296"/>
      <c r="F774" s="296"/>
      <c r="G774" s="296"/>
      <c r="H774" s="296"/>
      <c r="I774" s="296"/>
      <c r="J774" s="296"/>
      <c r="K774" s="296"/>
      <c r="L774" s="296"/>
      <c r="M774" s="296"/>
      <c r="N774" s="296"/>
      <c r="O774" s="269"/>
      <c r="P774" s="269"/>
      <c r="Q774" s="269"/>
      <c r="R774" s="296"/>
      <c r="S774" s="296"/>
      <c r="T774" s="296"/>
      <c r="U774" s="296"/>
      <c r="V774" s="296"/>
      <c r="W774" s="296"/>
      <c r="X774" s="296"/>
      <c r="Y774" s="296"/>
      <c r="Z774" s="296"/>
      <c r="AA774" s="296"/>
      <c r="AB774" s="296"/>
      <c r="AC774" s="296"/>
      <c r="AD774" s="296"/>
      <c r="AE774" s="307"/>
      <c r="AF774" s="273"/>
      <c r="AG774" s="274"/>
    </row>
    <row r="775">
      <c r="A775" s="296"/>
      <c r="B775" s="269"/>
      <c r="C775" s="296"/>
      <c r="D775" s="296"/>
      <c r="E775" s="296"/>
      <c r="F775" s="296"/>
      <c r="G775" s="296"/>
      <c r="H775" s="296"/>
      <c r="I775" s="296"/>
      <c r="J775" s="296"/>
      <c r="K775" s="296"/>
      <c r="L775" s="296"/>
      <c r="M775" s="296"/>
      <c r="N775" s="296"/>
      <c r="O775" s="269"/>
      <c r="P775" s="269"/>
      <c r="Q775" s="269"/>
      <c r="R775" s="296"/>
      <c r="S775" s="296"/>
      <c r="T775" s="296"/>
      <c r="U775" s="296"/>
      <c r="V775" s="296"/>
      <c r="W775" s="296"/>
      <c r="X775" s="296"/>
      <c r="Y775" s="296"/>
      <c r="Z775" s="296"/>
      <c r="AA775" s="296"/>
      <c r="AB775" s="296"/>
      <c r="AC775" s="296"/>
      <c r="AD775" s="296"/>
      <c r="AE775" s="307"/>
      <c r="AF775" s="273"/>
      <c r="AG775" s="274"/>
    </row>
    <row r="776">
      <c r="A776" s="296"/>
      <c r="B776" s="269"/>
      <c r="C776" s="296"/>
      <c r="D776" s="296"/>
      <c r="E776" s="296"/>
      <c r="F776" s="296"/>
      <c r="G776" s="296"/>
      <c r="H776" s="296"/>
      <c r="I776" s="296"/>
      <c r="J776" s="296"/>
      <c r="K776" s="296"/>
      <c r="L776" s="296"/>
      <c r="M776" s="296"/>
      <c r="N776" s="296"/>
      <c r="O776" s="269"/>
      <c r="P776" s="269"/>
      <c r="Q776" s="269"/>
      <c r="R776" s="296"/>
      <c r="S776" s="296"/>
      <c r="T776" s="296"/>
      <c r="U776" s="296"/>
      <c r="V776" s="296"/>
      <c r="W776" s="296"/>
      <c r="X776" s="296"/>
      <c r="Y776" s="296"/>
      <c r="Z776" s="296"/>
      <c r="AA776" s="296"/>
      <c r="AB776" s="296"/>
      <c r="AC776" s="296"/>
      <c r="AD776" s="296"/>
      <c r="AE776" s="307"/>
      <c r="AF776" s="273"/>
      <c r="AG776" s="274"/>
    </row>
    <row r="777">
      <c r="A777" s="296"/>
      <c r="B777" s="269"/>
      <c r="C777" s="296"/>
      <c r="D777" s="296"/>
      <c r="E777" s="296"/>
      <c r="F777" s="296"/>
      <c r="G777" s="296"/>
      <c r="H777" s="296"/>
      <c r="I777" s="296"/>
      <c r="J777" s="296"/>
      <c r="K777" s="296"/>
      <c r="L777" s="296"/>
      <c r="M777" s="296"/>
      <c r="N777" s="296"/>
      <c r="O777" s="269"/>
      <c r="P777" s="269"/>
      <c r="Q777" s="269"/>
      <c r="R777" s="296"/>
      <c r="S777" s="296"/>
      <c r="T777" s="296"/>
      <c r="U777" s="296"/>
      <c r="V777" s="296"/>
      <c r="W777" s="296"/>
      <c r="X777" s="296"/>
      <c r="Y777" s="296"/>
      <c r="Z777" s="296"/>
      <c r="AA777" s="296"/>
      <c r="AB777" s="296"/>
      <c r="AC777" s="296"/>
      <c r="AD777" s="296"/>
      <c r="AE777" s="307"/>
      <c r="AF777" s="273"/>
      <c r="AG777" s="274"/>
    </row>
    <row r="778">
      <c r="A778" s="296"/>
      <c r="B778" s="269"/>
      <c r="C778" s="296"/>
      <c r="D778" s="296"/>
      <c r="E778" s="296"/>
      <c r="F778" s="296"/>
      <c r="G778" s="296"/>
      <c r="H778" s="296"/>
      <c r="I778" s="296"/>
      <c r="J778" s="296"/>
      <c r="K778" s="296"/>
      <c r="L778" s="296"/>
      <c r="M778" s="296"/>
      <c r="N778" s="296"/>
      <c r="O778" s="269"/>
      <c r="P778" s="269"/>
      <c r="Q778" s="269"/>
      <c r="R778" s="296"/>
      <c r="S778" s="296"/>
      <c r="T778" s="296"/>
      <c r="U778" s="296"/>
      <c r="V778" s="296"/>
      <c r="W778" s="296"/>
      <c r="X778" s="296"/>
      <c r="Y778" s="296"/>
      <c r="Z778" s="296"/>
      <c r="AA778" s="296"/>
      <c r="AB778" s="296"/>
      <c r="AC778" s="296"/>
      <c r="AD778" s="296"/>
      <c r="AE778" s="307"/>
      <c r="AF778" s="273"/>
      <c r="AG778" s="274"/>
    </row>
    <row r="779">
      <c r="A779" s="296"/>
      <c r="B779" s="269"/>
      <c r="C779" s="296"/>
      <c r="D779" s="296"/>
      <c r="E779" s="296"/>
      <c r="F779" s="296"/>
      <c r="G779" s="296"/>
      <c r="H779" s="296"/>
      <c r="I779" s="296"/>
      <c r="J779" s="296"/>
      <c r="K779" s="296"/>
      <c r="L779" s="296"/>
      <c r="M779" s="296"/>
      <c r="N779" s="296"/>
      <c r="O779" s="269"/>
      <c r="P779" s="269"/>
      <c r="Q779" s="269"/>
      <c r="R779" s="296"/>
      <c r="S779" s="296"/>
      <c r="T779" s="296"/>
      <c r="U779" s="296"/>
      <c r="V779" s="296"/>
      <c r="W779" s="296"/>
      <c r="X779" s="296"/>
      <c r="Y779" s="296"/>
      <c r="Z779" s="296"/>
      <c r="AA779" s="296"/>
      <c r="AB779" s="296"/>
      <c r="AC779" s="296"/>
      <c r="AD779" s="296"/>
      <c r="AE779" s="307"/>
      <c r="AF779" s="273"/>
      <c r="AG779" s="274"/>
    </row>
    <row r="780">
      <c r="A780" s="296"/>
      <c r="B780" s="269"/>
      <c r="C780" s="296"/>
      <c r="D780" s="296"/>
      <c r="E780" s="296"/>
      <c r="F780" s="296"/>
      <c r="G780" s="296"/>
      <c r="H780" s="296"/>
      <c r="I780" s="296"/>
      <c r="J780" s="296"/>
      <c r="K780" s="296"/>
      <c r="L780" s="296"/>
      <c r="M780" s="296"/>
      <c r="N780" s="296"/>
      <c r="O780" s="269"/>
      <c r="P780" s="269"/>
      <c r="Q780" s="269"/>
      <c r="R780" s="296"/>
      <c r="S780" s="296"/>
      <c r="T780" s="296"/>
      <c r="U780" s="296"/>
      <c r="V780" s="296"/>
      <c r="W780" s="296"/>
      <c r="X780" s="296"/>
      <c r="Y780" s="296"/>
      <c r="Z780" s="296"/>
      <c r="AA780" s="296"/>
      <c r="AB780" s="296"/>
      <c r="AC780" s="296"/>
      <c r="AD780" s="296"/>
      <c r="AE780" s="307"/>
      <c r="AF780" s="273"/>
      <c r="AG780" s="274"/>
    </row>
    <row r="781">
      <c r="A781" s="296"/>
      <c r="B781" s="269"/>
      <c r="C781" s="296"/>
      <c r="D781" s="296"/>
      <c r="E781" s="296"/>
      <c r="F781" s="296"/>
      <c r="G781" s="296"/>
      <c r="H781" s="296"/>
      <c r="I781" s="296"/>
      <c r="J781" s="296"/>
      <c r="K781" s="296"/>
      <c r="L781" s="296"/>
      <c r="M781" s="296"/>
      <c r="N781" s="296"/>
      <c r="O781" s="269"/>
      <c r="P781" s="269"/>
      <c r="Q781" s="269"/>
      <c r="R781" s="296"/>
      <c r="S781" s="296"/>
      <c r="T781" s="296"/>
      <c r="U781" s="296"/>
      <c r="V781" s="296"/>
      <c r="W781" s="296"/>
      <c r="X781" s="296"/>
      <c r="Y781" s="296"/>
      <c r="Z781" s="296"/>
      <c r="AA781" s="296"/>
      <c r="AB781" s="296"/>
      <c r="AC781" s="296"/>
      <c r="AD781" s="296"/>
      <c r="AE781" s="307"/>
      <c r="AF781" s="273"/>
      <c r="AG781" s="274"/>
    </row>
    <row r="782">
      <c r="A782" s="296"/>
      <c r="B782" s="269"/>
      <c r="C782" s="296"/>
      <c r="D782" s="296"/>
      <c r="E782" s="296"/>
      <c r="F782" s="296"/>
      <c r="G782" s="296"/>
      <c r="H782" s="296"/>
      <c r="I782" s="296"/>
      <c r="J782" s="296"/>
      <c r="K782" s="296"/>
      <c r="L782" s="296"/>
      <c r="M782" s="296"/>
      <c r="N782" s="296"/>
      <c r="O782" s="269"/>
      <c r="P782" s="269"/>
      <c r="Q782" s="269"/>
      <c r="R782" s="296"/>
      <c r="S782" s="296"/>
      <c r="T782" s="296"/>
      <c r="U782" s="296"/>
      <c r="V782" s="296"/>
      <c r="W782" s="296"/>
      <c r="X782" s="296"/>
      <c r="Y782" s="296"/>
      <c r="Z782" s="296"/>
      <c r="AA782" s="296"/>
      <c r="AB782" s="296"/>
      <c r="AC782" s="296"/>
      <c r="AD782" s="296"/>
      <c r="AE782" s="307"/>
      <c r="AF782" s="273"/>
      <c r="AG782" s="274"/>
    </row>
    <row r="783">
      <c r="A783" s="296"/>
      <c r="B783" s="269"/>
      <c r="C783" s="296"/>
      <c r="D783" s="296"/>
      <c r="E783" s="296"/>
      <c r="F783" s="296"/>
      <c r="G783" s="296"/>
      <c r="H783" s="296"/>
      <c r="I783" s="296"/>
      <c r="J783" s="296"/>
      <c r="K783" s="296"/>
      <c r="L783" s="296"/>
      <c r="M783" s="296"/>
      <c r="N783" s="296"/>
      <c r="O783" s="269"/>
      <c r="P783" s="269"/>
      <c r="Q783" s="269"/>
      <c r="R783" s="296"/>
      <c r="S783" s="296"/>
      <c r="T783" s="296"/>
      <c r="U783" s="296"/>
      <c r="V783" s="296"/>
      <c r="W783" s="296"/>
      <c r="X783" s="296"/>
      <c r="Y783" s="296"/>
      <c r="Z783" s="296"/>
      <c r="AA783" s="296"/>
      <c r="AB783" s="296"/>
      <c r="AC783" s="296"/>
      <c r="AD783" s="296"/>
      <c r="AE783" s="307"/>
      <c r="AF783" s="273"/>
      <c r="AG783" s="274"/>
    </row>
    <row r="784">
      <c r="A784" s="296"/>
      <c r="B784" s="269"/>
      <c r="C784" s="296"/>
      <c r="D784" s="296"/>
      <c r="E784" s="296"/>
      <c r="F784" s="296"/>
      <c r="G784" s="296"/>
      <c r="H784" s="296"/>
      <c r="I784" s="296"/>
      <c r="J784" s="296"/>
      <c r="K784" s="296"/>
      <c r="L784" s="296"/>
      <c r="M784" s="296"/>
      <c r="N784" s="296"/>
      <c r="O784" s="269"/>
      <c r="P784" s="269"/>
      <c r="Q784" s="269"/>
      <c r="R784" s="296"/>
      <c r="S784" s="296"/>
      <c r="T784" s="296"/>
      <c r="U784" s="296"/>
      <c r="V784" s="296"/>
      <c r="W784" s="296"/>
      <c r="X784" s="296"/>
      <c r="Y784" s="296"/>
      <c r="Z784" s="296"/>
      <c r="AA784" s="296"/>
      <c r="AB784" s="296"/>
      <c r="AC784" s="296"/>
      <c r="AD784" s="296"/>
      <c r="AE784" s="307"/>
      <c r="AF784" s="273"/>
      <c r="AG784" s="274"/>
    </row>
    <row r="785">
      <c r="A785" s="296"/>
      <c r="B785" s="269"/>
      <c r="C785" s="296"/>
      <c r="D785" s="296"/>
      <c r="E785" s="296"/>
      <c r="F785" s="296"/>
      <c r="G785" s="296"/>
      <c r="H785" s="296"/>
      <c r="I785" s="296"/>
      <c r="J785" s="296"/>
      <c r="K785" s="296"/>
      <c r="L785" s="296"/>
      <c r="M785" s="296"/>
      <c r="N785" s="296"/>
      <c r="O785" s="269"/>
      <c r="P785" s="269"/>
      <c r="Q785" s="269"/>
      <c r="R785" s="296"/>
      <c r="S785" s="296"/>
      <c r="T785" s="296"/>
      <c r="U785" s="296"/>
      <c r="V785" s="296"/>
      <c r="W785" s="296"/>
      <c r="X785" s="296"/>
      <c r="Y785" s="296"/>
      <c r="Z785" s="296"/>
      <c r="AA785" s="296"/>
      <c r="AB785" s="296"/>
      <c r="AC785" s="296"/>
      <c r="AD785" s="296"/>
      <c r="AE785" s="307"/>
      <c r="AF785" s="273"/>
      <c r="AG785" s="274"/>
    </row>
    <row r="786">
      <c r="A786" s="296"/>
      <c r="B786" s="269"/>
      <c r="C786" s="296"/>
      <c r="D786" s="296"/>
      <c r="E786" s="296"/>
      <c r="F786" s="296"/>
      <c r="G786" s="296"/>
      <c r="H786" s="296"/>
      <c r="I786" s="296"/>
      <c r="J786" s="296"/>
      <c r="K786" s="296"/>
      <c r="L786" s="296"/>
      <c r="M786" s="296"/>
      <c r="N786" s="296"/>
      <c r="O786" s="269"/>
      <c r="P786" s="269"/>
      <c r="Q786" s="269"/>
      <c r="R786" s="296"/>
      <c r="S786" s="296"/>
      <c r="T786" s="296"/>
      <c r="U786" s="296"/>
      <c r="V786" s="296"/>
      <c r="W786" s="296"/>
      <c r="X786" s="296"/>
      <c r="Y786" s="296"/>
      <c r="Z786" s="296"/>
      <c r="AA786" s="296"/>
      <c r="AB786" s="296"/>
      <c r="AC786" s="296"/>
      <c r="AD786" s="296"/>
      <c r="AE786" s="307"/>
      <c r="AF786" s="273"/>
      <c r="AG786" s="274"/>
    </row>
    <row r="787">
      <c r="A787" s="296"/>
      <c r="B787" s="269"/>
      <c r="C787" s="296"/>
      <c r="D787" s="296"/>
      <c r="E787" s="296"/>
      <c r="F787" s="296"/>
      <c r="G787" s="296"/>
      <c r="H787" s="296"/>
      <c r="I787" s="296"/>
      <c r="J787" s="296"/>
      <c r="K787" s="296"/>
      <c r="L787" s="296"/>
      <c r="M787" s="296"/>
      <c r="N787" s="296"/>
      <c r="O787" s="269"/>
      <c r="P787" s="269"/>
      <c r="Q787" s="269"/>
      <c r="R787" s="296"/>
      <c r="S787" s="296"/>
      <c r="T787" s="296"/>
      <c r="U787" s="296"/>
      <c r="V787" s="296"/>
      <c r="W787" s="296"/>
      <c r="X787" s="296"/>
      <c r="Y787" s="296"/>
      <c r="Z787" s="296"/>
      <c r="AA787" s="296"/>
      <c r="AB787" s="296"/>
      <c r="AC787" s="296"/>
      <c r="AD787" s="296"/>
      <c r="AE787" s="307"/>
      <c r="AF787" s="273"/>
      <c r="AG787" s="274"/>
    </row>
    <row r="788">
      <c r="A788" s="296"/>
      <c r="B788" s="269"/>
      <c r="C788" s="296"/>
      <c r="D788" s="296"/>
      <c r="E788" s="296"/>
      <c r="F788" s="296"/>
      <c r="G788" s="296"/>
      <c r="H788" s="296"/>
      <c r="I788" s="296"/>
      <c r="J788" s="296"/>
      <c r="K788" s="296"/>
      <c r="L788" s="296"/>
      <c r="M788" s="296"/>
      <c r="N788" s="296"/>
      <c r="O788" s="269"/>
      <c r="P788" s="269"/>
      <c r="Q788" s="269"/>
      <c r="R788" s="296"/>
      <c r="S788" s="296"/>
      <c r="T788" s="296"/>
      <c r="U788" s="296"/>
      <c r="V788" s="296"/>
      <c r="W788" s="296"/>
      <c r="X788" s="296"/>
      <c r="Y788" s="296"/>
      <c r="Z788" s="296"/>
      <c r="AA788" s="296"/>
      <c r="AB788" s="296"/>
      <c r="AC788" s="296"/>
      <c r="AD788" s="296"/>
      <c r="AE788" s="307"/>
      <c r="AF788" s="273"/>
      <c r="AG788" s="274"/>
    </row>
    <row r="789">
      <c r="A789" s="296"/>
      <c r="B789" s="269"/>
      <c r="C789" s="296"/>
      <c r="D789" s="296"/>
      <c r="E789" s="296"/>
      <c r="F789" s="296"/>
      <c r="G789" s="296"/>
      <c r="H789" s="296"/>
      <c r="I789" s="296"/>
      <c r="J789" s="296"/>
      <c r="K789" s="296"/>
      <c r="L789" s="296"/>
      <c r="M789" s="296"/>
      <c r="N789" s="296"/>
      <c r="O789" s="269"/>
      <c r="P789" s="269"/>
      <c r="Q789" s="269"/>
      <c r="R789" s="296"/>
      <c r="S789" s="296"/>
      <c r="T789" s="296"/>
      <c r="U789" s="296"/>
      <c r="V789" s="296"/>
      <c r="W789" s="296"/>
      <c r="X789" s="296"/>
      <c r="Y789" s="296"/>
      <c r="Z789" s="296"/>
      <c r="AA789" s="296"/>
      <c r="AB789" s="296"/>
      <c r="AC789" s="296"/>
      <c r="AD789" s="296"/>
      <c r="AE789" s="307"/>
      <c r="AF789" s="273"/>
      <c r="AG789" s="274"/>
    </row>
    <row r="790">
      <c r="A790" s="296"/>
      <c r="B790" s="269"/>
      <c r="C790" s="296"/>
      <c r="D790" s="296"/>
      <c r="E790" s="296"/>
      <c r="F790" s="296"/>
      <c r="G790" s="296"/>
      <c r="H790" s="296"/>
      <c r="I790" s="296"/>
      <c r="J790" s="296"/>
      <c r="K790" s="296"/>
      <c r="L790" s="296"/>
      <c r="M790" s="296"/>
      <c r="N790" s="296"/>
      <c r="O790" s="269"/>
      <c r="P790" s="269"/>
      <c r="Q790" s="269"/>
      <c r="R790" s="296"/>
      <c r="S790" s="296"/>
      <c r="T790" s="296"/>
      <c r="U790" s="296"/>
      <c r="V790" s="296"/>
      <c r="W790" s="296"/>
      <c r="X790" s="296"/>
      <c r="Y790" s="296"/>
      <c r="Z790" s="296"/>
      <c r="AA790" s="296"/>
      <c r="AB790" s="296"/>
      <c r="AC790" s="296"/>
      <c r="AD790" s="296"/>
      <c r="AE790" s="307"/>
      <c r="AF790" s="273"/>
      <c r="AG790" s="274"/>
    </row>
    <row r="791">
      <c r="A791" s="296"/>
      <c r="B791" s="269"/>
      <c r="C791" s="296"/>
      <c r="D791" s="296"/>
      <c r="E791" s="296"/>
      <c r="F791" s="296"/>
      <c r="G791" s="296"/>
      <c r="H791" s="296"/>
      <c r="I791" s="296"/>
      <c r="J791" s="296"/>
      <c r="K791" s="296"/>
      <c r="L791" s="296"/>
      <c r="M791" s="296"/>
      <c r="N791" s="296"/>
      <c r="O791" s="269"/>
      <c r="P791" s="269"/>
      <c r="Q791" s="269"/>
      <c r="R791" s="296"/>
      <c r="S791" s="296"/>
      <c r="T791" s="296"/>
      <c r="U791" s="296"/>
      <c r="V791" s="296"/>
      <c r="W791" s="296"/>
      <c r="X791" s="296"/>
      <c r="Y791" s="296"/>
      <c r="Z791" s="296"/>
      <c r="AA791" s="296"/>
      <c r="AB791" s="296"/>
      <c r="AC791" s="296"/>
      <c r="AD791" s="296"/>
      <c r="AE791" s="307"/>
      <c r="AF791" s="273"/>
      <c r="AG791" s="274"/>
    </row>
    <row r="792">
      <c r="A792" s="296"/>
      <c r="B792" s="269"/>
      <c r="C792" s="296"/>
      <c r="D792" s="296"/>
      <c r="E792" s="296"/>
      <c r="F792" s="296"/>
      <c r="G792" s="296"/>
      <c r="H792" s="296"/>
      <c r="I792" s="296"/>
      <c r="J792" s="296"/>
      <c r="K792" s="296"/>
      <c r="L792" s="296"/>
      <c r="M792" s="296"/>
      <c r="N792" s="296"/>
      <c r="O792" s="269"/>
      <c r="P792" s="269"/>
      <c r="Q792" s="269"/>
      <c r="R792" s="296"/>
      <c r="S792" s="296"/>
      <c r="T792" s="296"/>
      <c r="U792" s="296"/>
      <c r="V792" s="296"/>
      <c r="W792" s="296"/>
      <c r="X792" s="296"/>
      <c r="Y792" s="296"/>
      <c r="Z792" s="296"/>
      <c r="AA792" s="296"/>
      <c r="AB792" s="296"/>
      <c r="AC792" s="296"/>
      <c r="AD792" s="296"/>
      <c r="AE792" s="307"/>
      <c r="AF792" s="273"/>
      <c r="AG792" s="274"/>
    </row>
    <row r="793">
      <c r="A793" s="296"/>
      <c r="B793" s="269"/>
      <c r="C793" s="296"/>
      <c r="D793" s="296"/>
      <c r="E793" s="296"/>
      <c r="F793" s="296"/>
      <c r="G793" s="296"/>
      <c r="H793" s="296"/>
      <c r="I793" s="296"/>
      <c r="J793" s="296"/>
      <c r="K793" s="296"/>
      <c r="L793" s="296"/>
      <c r="M793" s="296"/>
      <c r="N793" s="296"/>
      <c r="O793" s="269"/>
      <c r="P793" s="269"/>
      <c r="Q793" s="269"/>
      <c r="R793" s="296"/>
      <c r="S793" s="296"/>
      <c r="T793" s="296"/>
      <c r="U793" s="296"/>
      <c r="V793" s="296"/>
      <c r="W793" s="296"/>
      <c r="X793" s="296"/>
      <c r="Y793" s="296"/>
      <c r="Z793" s="296"/>
      <c r="AA793" s="296"/>
      <c r="AB793" s="296"/>
      <c r="AC793" s="296"/>
      <c r="AD793" s="296"/>
      <c r="AE793" s="307"/>
      <c r="AF793" s="273"/>
      <c r="AG793" s="274"/>
    </row>
    <row r="794">
      <c r="A794" s="296"/>
      <c r="B794" s="269"/>
      <c r="C794" s="296"/>
      <c r="D794" s="296"/>
      <c r="E794" s="296"/>
      <c r="F794" s="296"/>
      <c r="G794" s="296"/>
      <c r="H794" s="296"/>
      <c r="I794" s="296"/>
      <c r="J794" s="296"/>
      <c r="K794" s="296"/>
      <c r="L794" s="296"/>
      <c r="M794" s="296"/>
      <c r="N794" s="296"/>
      <c r="O794" s="269"/>
      <c r="P794" s="269"/>
      <c r="Q794" s="269"/>
      <c r="R794" s="296"/>
      <c r="S794" s="296"/>
      <c r="T794" s="296"/>
      <c r="U794" s="296"/>
      <c r="V794" s="296"/>
      <c r="W794" s="296"/>
      <c r="X794" s="296"/>
      <c r="Y794" s="296"/>
      <c r="Z794" s="296"/>
      <c r="AA794" s="296"/>
      <c r="AB794" s="296"/>
      <c r="AC794" s="296"/>
      <c r="AD794" s="296"/>
      <c r="AE794" s="307"/>
      <c r="AF794" s="273"/>
      <c r="AG794" s="274"/>
    </row>
    <row r="795">
      <c r="A795" s="296"/>
      <c r="B795" s="269"/>
      <c r="C795" s="296"/>
      <c r="D795" s="296"/>
      <c r="E795" s="296"/>
      <c r="F795" s="296"/>
      <c r="G795" s="296"/>
      <c r="H795" s="296"/>
      <c r="I795" s="296"/>
      <c r="J795" s="296"/>
      <c r="K795" s="296"/>
      <c r="L795" s="296"/>
      <c r="M795" s="296"/>
      <c r="N795" s="296"/>
      <c r="O795" s="269"/>
      <c r="P795" s="269"/>
      <c r="Q795" s="269"/>
      <c r="R795" s="296"/>
      <c r="S795" s="296"/>
      <c r="T795" s="296"/>
      <c r="U795" s="296"/>
      <c r="V795" s="296"/>
      <c r="W795" s="296"/>
      <c r="X795" s="296"/>
      <c r="Y795" s="296"/>
      <c r="Z795" s="296"/>
      <c r="AA795" s="296"/>
      <c r="AB795" s="296"/>
      <c r="AC795" s="296"/>
      <c r="AD795" s="296"/>
      <c r="AE795" s="307"/>
      <c r="AF795" s="273"/>
      <c r="AG795" s="274"/>
    </row>
    <row r="796">
      <c r="A796" s="296"/>
      <c r="B796" s="269"/>
      <c r="C796" s="296"/>
      <c r="D796" s="296"/>
      <c r="E796" s="296"/>
      <c r="F796" s="296"/>
      <c r="G796" s="296"/>
      <c r="H796" s="296"/>
      <c r="I796" s="296"/>
      <c r="J796" s="296"/>
      <c r="K796" s="296"/>
      <c r="L796" s="296"/>
      <c r="M796" s="296"/>
      <c r="N796" s="296"/>
      <c r="O796" s="269"/>
      <c r="P796" s="269"/>
      <c r="Q796" s="269"/>
      <c r="R796" s="296"/>
      <c r="S796" s="296"/>
      <c r="T796" s="296"/>
      <c r="U796" s="296"/>
      <c r="V796" s="296"/>
      <c r="W796" s="296"/>
      <c r="X796" s="296"/>
      <c r="Y796" s="296"/>
      <c r="Z796" s="296"/>
      <c r="AA796" s="296"/>
      <c r="AB796" s="296"/>
      <c r="AC796" s="296"/>
      <c r="AD796" s="296"/>
      <c r="AE796" s="307"/>
      <c r="AF796" s="273"/>
      <c r="AG796" s="274"/>
    </row>
    <row r="797">
      <c r="A797" s="296"/>
      <c r="B797" s="269"/>
      <c r="C797" s="296"/>
      <c r="D797" s="296"/>
      <c r="E797" s="296"/>
      <c r="F797" s="296"/>
      <c r="G797" s="296"/>
      <c r="H797" s="296"/>
      <c r="I797" s="296"/>
      <c r="J797" s="296"/>
      <c r="K797" s="296"/>
      <c r="L797" s="296"/>
      <c r="M797" s="296"/>
      <c r="N797" s="296"/>
      <c r="O797" s="269"/>
      <c r="P797" s="269"/>
      <c r="Q797" s="269"/>
      <c r="R797" s="296"/>
      <c r="S797" s="296"/>
      <c r="T797" s="296"/>
      <c r="U797" s="296"/>
      <c r="V797" s="296"/>
      <c r="W797" s="296"/>
      <c r="X797" s="296"/>
      <c r="Y797" s="296"/>
      <c r="Z797" s="296"/>
      <c r="AA797" s="296"/>
      <c r="AB797" s="296"/>
      <c r="AC797" s="296"/>
      <c r="AD797" s="296"/>
      <c r="AE797" s="307"/>
      <c r="AF797" s="273"/>
      <c r="AG797" s="274"/>
    </row>
    <row r="798">
      <c r="A798" s="296"/>
      <c r="B798" s="269"/>
      <c r="C798" s="296"/>
      <c r="D798" s="296"/>
      <c r="E798" s="296"/>
      <c r="F798" s="296"/>
      <c r="G798" s="296"/>
      <c r="H798" s="296"/>
      <c r="I798" s="296"/>
      <c r="J798" s="296"/>
      <c r="K798" s="296"/>
      <c r="L798" s="296"/>
      <c r="M798" s="296"/>
      <c r="N798" s="296"/>
      <c r="O798" s="269"/>
      <c r="P798" s="269"/>
      <c r="Q798" s="269"/>
      <c r="R798" s="296"/>
      <c r="S798" s="296"/>
      <c r="T798" s="296"/>
      <c r="U798" s="296"/>
      <c r="V798" s="296"/>
      <c r="W798" s="296"/>
      <c r="X798" s="296"/>
      <c r="Y798" s="296"/>
      <c r="Z798" s="296"/>
      <c r="AA798" s="296"/>
      <c r="AB798" s="296"/>
      <c r="AC798" s="296"/>
      <c r="AD798" s="296"/>
      <c r="AE798" s="307"/>
      <c r="AF798" s="273"/>
      <c r="AG798" s="274"/>
    </row>
    <row r="799">
      <c r="A799" s="296"/>
      <c r="B799" s="269"/>
      <c r="C799" s="296"/>
      <c r="D799" s="296"/>
      <c r="E799" s="296"/>
      <c r="F799" s="296"/>
      <c r="G799" s="296"/>
      <c r="H799" s="296"/>
      <c r="I799" s="296"/>
      <c r="J799" s="296"/>
      <c r="K799" s="296"/>
      <c r="L799" s="296"/>
      <c r="M799" s="296"/>
      <c r="N799" s="296"/>
      <c r="O799" s="269"/>
      <c r="P799" s="269"/>
      <c r="Q799" s="269"/>
      <c r="R799" s="296"/>
      <c r="S799" s="296"/>
      <c r="T799" s="296"/>
      <c r="U799" s="296"/>
      <c r="V799" s="296"/>
      <c r="W799" s="296"/>
      <c r="X799" s="296"/>
      <c r="Y799" s="296"/>
      <c r="Z799" s="296"/>
      <c r="AA799" s="296"/>
      <c r="AB799" s="296"/>
      <c r="AC799" s="296"/>
      <c r="AD799" s="296"/>
      <c r="AE799" s="307"/>
      <c r="AF799" s="273"/>
      <c r="AG799" s="274"/>
    </row>
    <row r="800">
      <c r="A800" s="296"/>
      <c r="B800" s="269"/>
      <c r="C800" s="296"/>
      <c r="D800" s="296"/>
      <c r="E800" s="296"/>
      <c r="F800" s="296"/>
      <c r="G800" s="296"/>
      <c r="H800" s="296"/>
      <c r="I800" s="296"/>
      <c r="J800" s="296"/>
      <c r="K800" s="296"/>
      <c r="L800" s="296"/>
      <c r="M800" s="296"/>
      <c r="N800" s="296"/>
      <c r="O800" s="269"/>
      <c r="P800" s="269"/>
      <c r="Q800" s="269"/>
      <c r="R800" s="296"/>
      <c r="S800" s="296"/>
      <c r="T800" s="296"/>
      <c r="U800" s="296"/>
      <c r="V800" s="296"/>
      <c r="W800" s="296"/>
      <c r="X800" s="296"/>
      <c r="Y800" s="296"/>
      <c r="Z800" s="296"/>
      <c r="AA800" s="296"/>
      <c r="AB800" s="296"/>
      <c r="AC800" s="296"/>
      <c r="AD800" s="296"/>
      <c r="AE800" s="307"/>
      <c r="AF800" s="273"/>
      <c r="AG800" s="274"/>
    </row>
    <row r="801">
      <c r="A801" s="296"/>
      <c r="B801" s="269"/>
      <c r="C801" s="296"/>
      <c r="D801" s="296"/>
      <c r="E801" s="296"/>
      <c r="F801" s="296"/>
      <c r="G801" s="296"/>
      <c r="H801" s="296"/>
      <c r="I801" s="296"/>
      <c r="J801" s="296"/>
      <c r="K801" s="296"/>
      <c r="L801" s="296"/>
      <c r="M801" s="296"/>
      <c r="N801" s="296"/>
      <c r="O801" s="269"/>
      <c r="P801" s="269"/>
      <c r="Q801" s="269"/>
      <c r="R801" s="296"/>
      <c r="S801" s="296"/>
      <c r="T801" s="296"/>
      <c r="U801" s="296"/>
      <c r="V801" s="296"/>
      <c r="W801" s="296"/>
      <c r="X801" s="296"/>
      <c r="Y801" s="296"/>
      <c r="Z801" s="296"/>
      <c r="AA801" s="296"/>
      <c r="AB801" s="296"/>
      <c r="AC801" s="296"/>
      <c r="AD801" s="296"/>
      <c r="AE801" s="307"/>
      <c r="AF801" s="273"/>
      <c r="AG801" s="274"/>
    </row>
    <row r="802">
      <c r="A802" s="296"/>
      <c r="B802" s="269"/>
      <c r="C802" s="296"/>
      <c r="D802" s="296"/>
      <c r="E802" s="296"/>
      <c r="F802" s="296"/>
      <c r="G802" s="296"/>
      <c r="H802" s="296"/>
      <c r="I802" s="296"/>
      <c r="J802" s="296"/>
      <c r="K802" s="296"/>
      <c r="L802" s="296"/>
      <c r="M802" s="296"/>
      <c r="N802" s="296"/>
      <c r="O802" s="269"/>
      <c r="P802" s="269"/>
      <c r="Q802" s="269"/>
      <c r="R802" s="296"/>
      <c r="S802" s="296"/>
      <c r="T802" s="296"/>
      <c r="U802" s="296"/>
      <c r="V802" s="296"/>
      <c r="W802" s="296"/>
      <c r="X802" s="296"/>
      <c r="Y802" s="296"/>
      <c r="Z802" s="296"/>
      <c r="AA802" s="296"/>
      <c r="AB802" s="296"/>
      <c r="AC802" s="296"/>
      <c r="AD802" s="296"/>
      <c r="AE802" s="307"/>
      <c r="AF802" s="273"/>
      <c r="AG802" s="274"/>
    </row>
    <row r="803">
      <c r="A803" s="296"/>
      <c r="B803" s="269"/>
      <c r="C803" s="296"/>
      <c r="D803" s="296"/>
      <c r="E803" s="296"/>
      <c r="F803" s="296"/>
      <c r="G803" s="296"/>
      <c r="H803" s="296"/>
      <c r="I803" s="296"/>
      <c r="J803" s="296"/>
      <c r="K803" s="296"/>
      <c r="L803" s="296"/>
      <c r="M803" s="296"/>
      <c r="N803" s="296"/>
      <c r="O803" s="269"/>
      <c r="P803" s="269"/>
      <c r="Q803" s="269"/>
      <c r="R803" s="296"/>
      <c r="S803" s="296"/>
      <c r="T803" s="296"/>
      <c r="U803" s="296"/>
      <c r="V803" s="296"/>
      <c r="W803" s="296"/>
      <c r="X803" s="296"/>
      <c r="Y803" s="296"/>
      <c r="Z803" s="296"/>
      <c r="AA803" s="296"/>
      <c r="AB803" s="296"/>
      <c r="AC803" s="296"/>
      <c r="AD803" s="296"/>
      <c r="AE803" s="307"/>
      <c r="AF803" s="273"/>
      <c r="AG803" s="274"/>
    </row>
    <row r="804">
      <c r="A804" s="296"/>
      <c r="B804" s="269"/>
      <c r="C804" s="296"/>
      <c r="D804" s="296"/>
      <c r="E804" s="296"/>
      <c r="F804" s="296"/>
      <c r="G804" s="296"/>
      <c r="H804" s="296"/>
      <c r="I804" s="296"/>
      <c r="J804" s="296"/>
      <c r="K804" s="296"/>
      <c r="L804" s="296"/>
      <c r="M804" s="296"/>
      <c r="N804" s="296"/>
      <c r="O804" s="269"/>
      <c r="P804" s="269"/>
      <c r="Q804" s="269"/>
      <c r="R804" s="296"/>
      <c r="S804" s="296"/>
      <c r="T804" s="296"/>
      <c r="U804" s="296"/>
      <c r="V804" s="296"/>
      <c r="W804" s="296"/>
      <c r="X804" s="296"/>
      <c r="Y804" s="296"/>
      <c r="Z804" s="296"/>
      <c r="AA804" s="296"/>
      <c r="AB804" s="296"/>
      <c r="AC804" s="296"/>
      <c r="AD804" s="296"/>
      <c r="AE804" s="307"/>
      <c r="AF804" s="273"/>
      <c r="AG804" s="274"/>
    </row>
    <row r="805">
      <c r="A805" s="296"/>
      <c r="B805" s="269"/>
      <c r="C805" s="296"/>
      <c r="D805" s="296"/>
      <c r="E805" s="296"/>
      <c r="F805" s="296"/>
      <c r="G805" s="296"/>
      <c r="H805" s="296"/>
      <c r="I805" s="296"/>
      <c r="J805" s="296"/>
      <c r="K805" s="296"/>
      <c r="L805" s="296"/>
      <c r="M805" s="296"/>
      <c r="N805" s="296"/>
      <c r="O805" s="269"/>
      <c r="P805" s="269"/>
      <c r="Q805" s="269"/>
      <c r="R805" s="296"/>
      <c r="S805" s="296"/>
      <c r="T805" s="296"/>
      <c r="U805" s="296"/>
      <c r="V805" s="296"/>
      <c r="W805" s="296"/>
      <c r="X805" s="296"/>
      <c r="Y805" s="296"/>
      <c r="Z805" s="296"/>
      <c r="AA805" s="296"/>
      <c r="AB805" s="296"/>
      <c r="AC805" s="296"/>
      <c r="AD805" s="296"/>
      <c r="AE805" s="307"/>
      <c r="AF805" s="273"/>
      <c r="AG805" s="274"/>
    </row>
    <row r="806">
      <c r="A806" s="296"/>
      <c r="B806" s="269"/>
      <c r="C806" s="296"/>
      <c r="D806" s="296"/>
      <c r="E806" s="296"/>
      <c r="F806" s="296"/>
      <c r="G806" s="296"/>
      <c r="H806" s="296"/>
      <c r="I806" s="296"/>
      <c r="J806" s="296"/>
      <c r="K806" s="296"/>
      <c r="L806" s="296"/>
      <c r="M806" s="296"/>
      <c r="N806" s="296"/>
      <c r="O806" s="269"/>
      <c r="P806" s="269"/>
      <c r="Q806" s="269"/>
      <c r="R806" s="296"/>
      <c r="S806" s="296"/>
      <c r="T806" s="296"/>
      <c r="U806" s="296"/>
      <c r="V806" s="296"/>
      <c r="W806" s="296"/>
      <c r="X806" s="296"/>
      <c r="Y806" s="296"/>
      <c r="Z806" s="296"/>
      <c r="AA806" s="296"/>
      <c r="AB806" s="296"/>
      <c r="AC806" s="296"/>
      <c r="AD806" s="296"/>
      <c r="AE806" s="307"/>
      <c r="AF806" s="273"/>
      <c r="AG806" s="274"/>
    </row>
    <row r="807">
      <c r="A807" s="296"/>
      <c r="B807" s="269"/>
      <c r="C807" s="296"/>
      <c r="D807" s="296"/>
      <c r="E807" s="296"/>
      <c r="F807" s="296"/>
      <c r="G807" s="296"/>
      <c r="H807" s="296"/>
      <c r="I807" s="296"/>
      <c r="J807" s="296"/>
      <c r="K807" s="296"/>
      <c r="L807" s="296"/>
      <c r="M807" s="296"/>
      <c r="N807" s="296"/>
      <c r="O807" s="269"/>
      <c r="P807" s="269"/>
      <c r="Q807" s="269"/>
      <c r="R807" s="296"/>
      <c r="S807" s="296"/>
      <c r="T807" s="296"/>
      <c r="U807" s="296"/>
      <c r="V807" s="296"/>
      <c r="W807" s="296"/>
      <c r="X807" s="296"/>
      <c r="Y807" s="296"/>
      <c r="Z807" s="296"/>
      <c r="AA807" s="296"/>
      <c r="AB807" s="296"/>
      <c r="AC807" s="296"/>
      <c r="AD807" s="296"/>
      <c r="AE807" s="307"/>
      <c r="AF807" s="273"/>
      <c r="AG807" s="274"/>
    </row>
    <row r="808">
      <c r="A808" s="296"/>
      <c r="B808" s="269"/>
      <c r="C808" s="296"/>
      <c r="D808" s="296"/>
      <c r="E808" s="296"/>
      <c r="F808" s="296"/>
      <c r="G808" s="296"/>
      <c r="H808" s="296"/>
      <c r="I808" s="296"/>
      <c r="J808" s="296"/>
      <c r="K808" s="296"/>
      <c r="L808" s="296"/>
      <c r="M808" s="296"/>
      <c r="N808" s="296"/>
      <c r="O808" s="269"/>
      <c r="P808" s="269"/>
      <c r="Q808" s="269"/>
      <c r="R808" s="296"/>
      <c r="S808" s="296"/>
      <c r="T808" s="296"/>
      <c r="U808" s="296"/>
      <c r="V808" s="296"/>
      <c r="W808" s="296"/>
      <c r="X808" s="296"/>
      <c r="Y808" s="296"/>
      <c r="Z808" s="296"/>
      <c r="AA808" s="296"/>
      <c r="AB808" s="296"/>
      <c r="AC808" s="296"/>
      <c r="AD808" s="296"/>
      <c r="AE808" s="307"/>
      <c r="AF808" s="273"/>
      <c r="AG808" s="274"/>
    </row>
    <row r="809">
      <c r="A809" s="296"/>
      <c r="B809" s="269"/>
      <c r="C809" s="296"/>
      <c r="D809" s="296"/>
      <c r="E809" s="296"/>
      <c r="F809" s="296"/>
      <c r="G809" s="296"/>
      <c r="H809" s="296"/>
      <c r="I809" s="296"/>
      <c r="J809" s="296"/>
      <c r="K809" s="296"/>
      <c r="L809" s="296"/>
      <c r="M809" s="296"/>
      <c r="N809" s="296"/>
      <c r="O809" s="269"/>
      <c r="P809" s="269"/>
      <c r="Q809" s="269"/>
      <c r="R809" s="296"/>
      <c r="S809" s="296"/>
      <c r="T809" s="296"/>
      <c r="U809" s="296"/>
      <c r="V809" s="296"/>
      <c r="W809" s="296"/>
      <c r="X809" s="296"/>
      <c r="Y809" s="296"/>
      <c r="Z809" s="296"/>
      <c r="AA809" s="296"/>
      <c r="AB809" s="296"/>
      <c r="AC809" s="296"/>
      <c r="AD809" s="296"/>
      <c r="AE809" s="307"/>
      <c r="AF809" s="273"/>
      <c r="AG809" s="274"/>
    </row>
    <row r="810">
      <c r="A810" s="296"/>
      <c r="B810" s="269"/>
      <c r="C810" s="296"/>
      <c r="D810" s="296"/>
      <c r="E810" s="296"/>
      <c r="F810" s="296"/>
      <c r="G810" s="296"/>
      <c r="H810" s="296"/>
      <c r="I810" s="296"/>
      <c r="J810" s="296"/>
      <c r="K810" s="296"/>
      <c r="L810" s="296"/>
      <c r="M810" s="296"/>
      <c r="N810" s="296"/>
      <c r="O810" s="269"/>
      <c r="P810" s="269"/>
      <c r="Q810" s="269"/>
      <c r="R810" s="296"/>
      <c r="S810" s="296"/>
      <c r="T810" s="296"/>
      <c r="U810" s="296"/>
      <c r="V810" s="296"/>
      <c r="W810" s="296"/>
      <c r="X810" s="296"/>
      <c r="Y810" s="296"/>
      <c r="Z810" s="296"/>
      <c r="AA810" s="296"/>
      <c r="AB810" s="296"/>
      <c r="AC810" s="296"/>
      <c r="AD810" s="296"/>
      <c r="AE810" s="307"/>
      <c r="AF810" s="273"/>
      <c r="AG810" s="274"/>
    </row>
    <row r="811">
      <c r="A811" s="296"/>
      <c r="B811" s="269"/>
      <c r="C811" s="296"/>
      <c r="D811" s="296"/>
      <c r="E811" s="296"/>
      <c r="F811" s="296"/>
      <c r="G811" s="296"/>
      <c r="H811" s="296"/>
      <c r="I811" s="296"/>
      <c r="J811" s="296"/>
      <c r="K811" s="296"/>
      <c r="L811" s="296"/>
      <c r="M811" s="296"/>
      <c r="N811" s="296"/>
      <c r="O811" s="269"/>
      <c r="P811" s="269"/>
      <c r="Q811" s="269"/>
      <c r="R811" s="296"/>
      <c r="S811" s="296"/>
      <c r="T811" s="296"/>
      <c r="U811" s="296"/>
      <c r="V811" s="296"/>
      <c r="W811" s="296"/>
      <c r="X811" s="296"/>
      <c r="Y811" s="296"/>
      <c r="Z811" s="296"/>
      <c r="AA811" s="296"/>
      <c r="AB811" s="296"/>
      <c r="AC811" s="296"/>
      <c r="AD811" s="296"/>
      <c r="AE811" s="307"/>
      <c r="AF811" s="273"/>
      <c r="AG811" s="274"/>
    </row>
    <row r="812">
      <c r="A812" s="296"/>
      <c r="B812" s="269"/>
      <c r="C812" s="296"/>
      <c r="D812" s="296"/>
      <c r="E812" s="296"/>
      <c r="F812" s="296"/>
      <c r="G812" s="296"/>
      <c r="H812" s="296"/>
      <c r="I812" s="296"/>
      <c r="J812" s="296"/>
      <c r="K812" s="296"/>
      <c r="L812" s="296"/>
      <c r="M812" s="296"/>
      <c r="N812" s="296"/>
      <c r="O812" s="269"/>
      <c r="P812" s="269"/>
      <c r="Q812" s="269"/>
      <c r="R812" s="296"/>
      <c r="S812" s="296"/>
      <c r="T812" s="296"/>
      <c r="U812" s="296"/>
      <c r="V812" s="296"/>
      <c r="W812" s="296"/>
      <c r="X812" s="296"/>
      <c r="Y812" s="296"/>
      <c r="Z812" s="296"/>
      <c r="AA812" s="296"/>
      <c r="AB812" s="296"/>
      <c r="AC812" s="296"/>
      <c r="AD812" s="296"/>
      <c r="AE812" s="307"/>
      <c r="AF812" s="273"/>
      <c r="AG812" s="274"/>
    </row>
    <row r="813">
      <c r="A813" s="296"/>
      <c r="B813" s="269"/>
      <c r="C813" s="296"/>
      <c r="D813" s="296"/>
      <c r="E813" s="296"/>
      <c r="F813" s="296"/>
      <c r="G813" s="296"/>
      <c r="H813" s="296"/>
      <c r="I813" s="296"/>
      <c r="J813" s="296"/>
      <c r="K813" s="296"/>
      <c r="L813" s="296"/>
      <c r="M813" s="296"/>
      <c r="N813" s="296"/>
      <c r="O813" s="269"/>
      <c r="P813" s="269"/>
      <c r="Q813" s="269"/>
      <c r="R813" s="296"/>
      <c r="S813" s="296"/>
      <c r="T813" s="296"/>
      <c r="U813" s="296"/>
      <c r="V813" s="296"/>
      <c r="W813" s="296"/>
      <c r="X813" s="296"/>
      <c r="Y813" s="296"/>
      <c r="Z813" s="296"/>
      <c r="AA813" s="296"/>
      <c r="AB813" s="296"/>
      <c r="AC813" s="296"/>
      <c r="AD813" s="296"/>
      <c r="AE813" s="307"/>
      <c r="AF813" s="273"/>
      <c r="AG813" s="274"/>
    </row>
    <row r="814">
      <c r="A814" s="296"/>
      <c r="B814" s="269"/>
      <c r="C814" s="296"/>
      <c r="D814" s="296"/>
      <c r="E814" s="296"/>
      <c r="F814" s="296"/>
      <c r="G814" s="296"/>
      <c r="H814" s="296"/>
      <c r="I814" s="296"/>
      <c r="J814" s="296"/>
      <c r="K814" s="296"/>
      <c r="L814" s="296"/>
      <c r="M814" s="296"/>
      <c r="N814" s="296"/>
      <c r="O814" s="269"/>
      <c r="P814" s="269"/>
      <c r="Q814" s="269"/>
      <c r="R814" s="296"/>
      <c r="S814" s="296"/>
      <c r="T814" s="296"/>
      <c r="U814" s="296"/>
      <c r="V814" s="296"/>
      <c r="W814" s="296"/>
      <c r="X814" s="296"/>
      <c r="Y814" s="296"/>
      <c r="Z814" s="296"/>
      <c r="AA814" s="296"/>
      <c r="AB814" s="296"/>
      <c r="AC814" s="296"/>
      <c r="AD814" s="296"/>
      <c r="AE814" s="307"/>
      <c r="AF814" s="273"/>
      <c r="AG814" s="274"/>
    </row>
    <row r="815">
      <c r="A815" s="296"/>
      <c r="B815" s="269"/>
      <c r="C815" s="296"/>
      <c r="D815" s="296"/>
      <c r="E815" s="296"/>
      <c r="F815" s="296"/>
      <c r="G815" s="296"/>
      <c r="H815" s="296"/>
      <c r="I815" s="296"/>
      <c r="J815" s="296"/>
      <c r="K815" s="296"/>
      <c r="L815" s="296"/>
      <c r="M815" s="296"/>
      <c r="N815" s="296"/>
      <c r="O815" s="269"/>
      <c r="P815" s="269"/>
      <c r="Q815" s="269"/>
      <c r="R815" s="296"/>
      <c r="S815" s="296"/>
      <c r="T815" s="296"/>
      <c r="U815" s="296"/>
      <c r="V815" s="296"/>
      <c r="W815" s="296"/>
      <c r="X815" s="296"/>
      <c r="Y815" s="296"/>
      <c r="Z815" s="296"/>
      <c r="AA815" s="296"/>
      <c r="AB815" s="296"/>
      <c r="AC815" s="296"/>
      <c r="AD815" s="296"/>
      <c r="AE815" s="307"/>
      <c r="AF815" s="273"/>
      <c r="AG815" s="274"/>
    </row>
    <row r="816">
      <c r="A816" s="296"/>
      <c r="B816" s="269"/>
      <c r="C816" s="296"/>
      <c r="D816" s="296"/>
      <c r="E816" s="296"/>
      <c r="F816" s="296"/>
      <c r="G816" s="296"/>
      <c r="H816" s="296"/>
      <c r="I816" s="296"/>
      <c r="J816" s="296"/>
      <c r="K816" s="296"/>
      <c r="L816" s="296"/>
      <c r="M816" s="296"/>
      <c r="N816" s="296"/>
      <c r="O816" s="269"/>
      <c r="P816" s="269"/>
      <c r="Q816" s="269"/>
      <c r="R816" s="296"/>
      <c r="S816" s="296"/>
      <c r="T816" s="296"/>
      <c r="U816" s="296"/>
      <c r="V816" s="296"/>
      <c r="W816" s="296"/>
      <c r="X816" s="296"/>
      <c r="Y816" s="296"/>
      <c r="Z816" s="296"/>
      <c r="AA816" s="296"/>
      <c r="AB816" s="296"/>
      <c r="AC816" s="296"/>
      <c r="AD816" s="296"/>
      <c r="AE816" s="307"/>
      <c r="AF816" s="273"/>
      <c r="AG816" s="274"/>
    </row>
    <row r="817">
      <c r="A817" s="296"/>
      <c r="B817" s="269"/>
      <c r="C817" s="296"/>
      <c r="D817" s="296"/>
      <c r="E817" s="296"/>
      <c r="F817" s="296"/>
      <c r="G817" s="296"/>
      <c r="H817" s="296"/>
      <c r="I817" s="296"/>
      <c r="J817" s="296"/>
      <c r="K817" s="296"/>
      <c r="L817" s="296"/>
      <c r="M817" s="296"/>
      <c r="N817" s="296"/>
      <c r="O817" s="269"/>
      <c r="P817" s="269"/>
      <c r="Q817" s="269"/>
      <c r="R817" s="296"/>
      <c r="S817" s="296"/>
      <c r="T817" s="296"/>
      <c r="U817" s="296"/>
      <c r="V817" s="296"/>
      <c r="W817" s="296"/>
      <c r="X817" s="296"/>
      <c r="Y817" s="296"/>
      <c r="Z817" s="296"/>
      <c r="AA817" s="296"/>
      <c r="AB817" s="296"/>
      <c r="AC817" s="296"/>
      <c r="AD817" s="296"/>
      <c r="AE817" s="307"/>
      <c r="AF817" s="273"/>
      <c r="AG817" s="274"/>
    </row>
    <row r="818">
      <c r="A818" s="296"/>
      <c r="B818" s="269"/>
      <c r="C818" s="296"/>
      <c r="D818" s="296"/>
      <c r="E818" s="296"/>
      <c r="F818" s="296"/>
      <c r="G818" s="296"/>
      <c r="H818" s="296"/>
      <c r="I818" s="296"/>
      <c r="J818" s="296"/>
      <c r="K818" s="296"/>
      <c r="L818" s="296"/>
      <c r="M818" s="296"/>
      <c r="N818" s="296"/>
      <c r="O818" s="269"/>
      <c r="P818" s="269"/>
      <c r="Q818" s="269"/>
      <c r="R818" s="296"/>
      <c r="S818" s="296"/>
      <c r="T818" s="296"/>
      <c r="U818" s="296"/>
      <c r="V818" s="296"/>
      <c r="W818" s="296"/>
      <c r="X818" s="296"/>
      <c r="Y818" s="296"/>
      <c r="Z818" s="296"/>
      <c r="AA818" s="296"/>
      <c r="AB818" s="296"/>
      <c r="AC818" s="296"/>
      <c r="AD818" s="296"/>
      <c r="AE818" s="307"/>
      <c r="AF818" s="273"/>
      <c r="AG818" s="274"/>
    </row>
    <row r="819">
      <c r="A819" s="296"/>
      <c r="B819" s="269"/>
      <c r="C819" s="296"/>
      <c r="D819" s="296"/>
      <c r="E819" s="296"/>
      <c r="F819" s="296"/>
      <c r="G819" s="296"/>
      <c r="H819" s="296"/>
      <c r="I819" s="296"/>
      <c r="J819" s="296"/>
      <c r="K819" s="296"/>
      <c r="L819" s="296"/>
      <c r="M819" s="296"/>
      <c r="N819" s="296"/>
      <c r="O819" s="269"/>
      <c r="P819" s="269"/>
      <c r="Q819" s="269"/>
      <c r="R819" s="296"/>
      <c r="S819" s="296"/>
      <c r="T819" s="296"/>
      <c r="U819" s="296"/>
      <c r="V819" s="296"/>
      <c r="W819" s="296"/>
      <c r="X819" s="296"/>
      <c r="Y819" s="296"/>
      <c r="Z819" s="296"/>
      <c r="AA819" s="296"/>
      <c r="AB819" s="296"/>
      <c r="AC819" s="296"/>
      <c r="AD819" s="296"/>
      <c r="AE819" s="307"/>
      <c r="AF819" s="273"/>
      <c r="AG819" s="274"/>
    </row>
    <row r="820">
      <c r="A820" s="296"/>
      <c r="B820" s="269"/>
      <c r="C820" s="296"/>
      <c r="D820" s="296"/>
      <c r="E820" s="296"/>
      <c r="F820" s="296"/>
      <c r="G820" s="296"/>
      <c r="H820" s="296"/>
      <c r="I820" s="296"/>
      <c r="J820" s="296"/>
      <c r="K820" s="296"/>
      <c r="L820" s="296"/>
      <c r="M820" s="296"/>
      <c r="N820" s="296"/>
      <c r="O820" s="269"/>
      <c r="P820" s="269"/>
      <c r="Q820" s="269"/>
      <c r="R820" s="296"/>
      <c r="S820" s="296"/>
      <c r="T820" s="296"/>
      <c r="U820" s="296"/>
      <c r="V820" s="296"/>
      <c r="W820" s="296"/>
      <c r="X820" s="296"/>
      <c r="Y820" s="296"/>
      <c r="Z820" s="296"/>
      <c r="AA820" s="296"/>
      <c r="AB820" s="296"/>
      <c r="AC820" s="296"/>
      <c r="AD820" s="296"/>
      <c r="AE820" s="307"/>
      <c r="AF820" s="273"/>
      <c r="AG820" s="274"/>
    </row>
    <row r="821">
      <c r="A821" s="296"/>
      <c r="B821" s="269"/>
      <c r="C821" s="296"/>
      <c r="D821" s="296"/>
      <c r="E821" s="296"/>
      <c r="F821" s="296"/>
      <c r="G821" s="296"/>
      <c r="H821" s="296"/>
      <c r="I821" s="296"/>
      <c r="J821" s="296"/>
      <c r="K821" s="296"/>
      <c r="L821" s="296"/>
      <c r="M821" s="296"/>
      <c r="N821" s="296"/>
      <c r="O821" s="269"/>
      <c r="P821" s="269"/>
      <c r="Q821" s="269"/>
      <c r="R821" s="296"/>
      <c r="S821" s="296"/>
      <c r="T821" s="296"/>
      <c r="U821" s="296"/>
      <c r="V821" s="296"/>
      <c r="W821" s="296"/>
      <c r="X821" s="296"/>
      <c r="Y821" s="296"/>
      <c r="Z821" s="296"/>
      <c r="AA821" s="296"/>
      <c r="AB821" s="296"/>
      <c r="AC821" s="296"/>
      <c r="AD821" s="296"/>
      <c r="AE821" s="307"/>
      <c r="AF821" s="273"/>
      <c r="AG821" s="274"/>
    </row>
    <row r="822">
      <c r="A822" s="296"/>
      <c r="B822" s="269"/>
      <c r="C822" s="296"/>
      <c r="D822" s="296"/>
      <c r="E822" s="296"/>
      <c r="F822" s="296"/>
      <c r="G822" s="296"/>
      <c r="H822" s="296"/>
      <c r="I822" s="296"/>
      <c r="J822" s="296"/>
      <c r="K822" s="296"/>
      <c r="L822" s="296"/>
      <c r="M822" s="296"/>
      <c r="N822" s="296"/>
      <c r="O822" s="269"/>
      <c r="P822" s="269"/>
      <c r="Q822" s="269"/>
      <c r="R822" s="296"/>
      <c r="S822" s="296"/>
      <c r="T822" s="296"/>
      <c r="U822" s="296"/>
      <c r="V822" s="296"/>
      <c r="W822" s="296"/>
      <c r="X822" s="296"/>
      <c r="Y822" s="296"/>
      <c r="Z822" s="296"/>
      <c r="AA822" s="296"/>
      <c r="AB822" s="296"/>
      <c r="AC822" s="296"/>
      <c r="AD822" s="296"/>
      <c r="AE822" s="307"/>
      <c r="AF822" s="273"/>
      <c r="AG822" s="274"/>
    </row>
    <row r="823">
      <c r="A823" s="296"/>
      <c r="B823" s="269"/>
      <c r="C823" s="296"/>
      <c r="D823" s="296"/>
      <c r="E823" s="296"/>
      <c r="F823" s="296"/>
      <c r="G823" s="296"/>
      <c r="H823" s="296"/>
      <c r="I823" s="296"/>
      <c r="J823" s="296"/>
      <c r="K823" s="296"/>
      <c r="L823" s="296"/>
      <c r="M823" s="296"/>
      <c r="N823" s="296"/>
      <c r="O823" s="269"/>
      <c r="P823" s="269"/>
      <c r="Q823" s="269"/>
      <c r="R823" s="296"/>
      <c r="S823" s="296"/>
      <c r="T823" s="296"/>
      <c r="U823" s="296"/>
      <c r="V823" s="296"/>
      <c r="W823" s="296"/>
      <c r="X823" s="296"/>
      <c r="Y823" s="296"/>
      <c r="Z823" s="296"/>
      <c r="AA823" s="296"/>
      <c r="AB823" s="296"/>
      <c r="AC823" s="296"/>
      <c r="AD823" s="296"/>
      <c r="AE823" s="307"/>
      <c r="AF823" s="273"/>
      <c r="AG823" s="274"/>
    </row>
    <row r="824">
      <c r="A824" s="296"/>
      <c r="B824" s="269"/>
      <c r="C824" s="296"/>
      <c r="D824" s="296"/>
      <c r="E824" s="296"/>
      <c r="F824" s="296"/>
      <c r="G824" s="296"/>
      <c r="H824" s="296"/>
      <c r="I824" s="296"/>
      <c r="J824" s="296"/>
      <c r="K824" s="296"/>
      <c r="L824" s="296"/>
      <c r="M824" s="296"/>
      <c r="N824" s="296"/>
      <c r="O824" s="269"/>
      <c r="P824" s="269"/>
      <c r="Q824" s="269"/>
      <c r="R824" s="296"/>
      <c r="S824" s="296"/>
      <c r="T824" s="296"/>
      <c r="U824" s="296"/>
      <c r="V824" s="296"/>
      <c r="W824" s="296"/>
      <c r="X824" s="296"/>
      <c r="Y824" s="296"/>
      <c r="Z824" s="296"/>
      <c r="AA824" s="296"/>
      <c r="AB824" s="296"/>
      <c r="AC824" s="296"/>
      <c r="AD824" s="296"/>
      <c r="AE824" s="307"/>
      <c r="AF824" s="273"/>
      <c r="AG824" s="274"/>
    </row>
    <row r="825">
      <c r="A825" s="296"/>
      <c r="B825" s="269"/>
      <c r="C825" s="296"/>
      <c r="D825" s="296"/>
      <c r="E825" s="296"/>
      <c r="F825" s="296"/>
      <c r="G825" s="296"/>
      <c r="H825" s="296"/>
      <c r="I825" s="296"/>
      <c r="J825" s="296"/>
      <c r="K825" s="296"/>
      <c r="L825" s="296"/>
      <c r="M825" s="296"/>
      <c r="N825" s="296"/>
      <c r="O825" s="269"/>
      <c r="P825" s="269"/>
      <c r="Q825" s="269"/>
      <c r="R825" s="296"/>
      <c r="S825" s="296"/>
      <c r="T825" s="296"/>
      <c r="U825" s="296"/>
      <c r="V825" s="296"/>
      <c r="W825" s="296"/>
      <c r="X825" s="296"/>
      <c r="Y825" s="296"/>
      <c r="Z825" s="296"/>
      <c r="AA825" s="296"/>
      <c r="AB825" s="296"/>
      <c r="AC825" s="296"/>
      <c r="AD825" s="296"/>
      <c r="AE825" s="307"/>
      <c r="AF825" s="273"/>
      <c r="AG825" s="274"/>
    </row>
    <row r="826">
      <c r="A826" s="296"/>
      <c r="B826" s="269"/>
      <c r="C826" s="296"/>
      <c r="D826" s="296"/>
      <c r="E826" s="296"/>
      <c r="F826" s="296"/>
      <c r="G826" s="296"/>
      <c r="H826" s="296"/>
      <c r="I826" s="296"/>
      <c r="J826" s="296"/>
      <c r="K826" s="296"/>
      <c r="L826" s="296"/>
      <c r="M826" s="296"/>
      <c r="N826" s="296"/>
      <c r="O826" s="269"/>
      <c r="P826" s="269"/>
      <c r="Q826" s="269"/>
      <c r="R826" s="296"/>
      <c r="S826" s="296"/>
      <c r="T826" s="296"/>
      <c r="U826" s="296"/>
      <c r="V826" s="296"/>
      <c r="W826" s="296"/>
      <c r="X826" s="296"/>
      <c r="Y826" s="296"/>
      <c r="Z826" s="296"/>
      <c r="AA826" s="296"/>
      <c r="AB826" s="296"/>
      <c r="AC826" s="296"/>
      <c r="AD826" s="296"/>
      <c r="AE826" s="307"/>
      <c r="AF826" s="273"/>
      <c r="AG826" s="274"/>
    </row>
    <row r="827">
      <c r="A827" s="296"/>
      <c r="B827" s="269"/>
      <c r="C827" s="296"/>
      <c r="D827" s="296"/>
      <c r="E827" s="296"/>
      <c r="F827" s="296"/>
      <c r="G827" s="296"/>
      <c r="H827" s="296"/>
      <c r="I827" s="296"/>
      <c r="J827" s="296"/>
      <c r="K827" s="296"/>
      <c r="L827" s="296"/>
      <c r="M827" s="296"/>
      <c r="N827" s="296"/>
      <c r="O827" s="269"/>
      <c r="P827" s="269"/>
      <c r="Q827" s="269"/>
      <c r="R827" s="296"/>
      <c r="S827" s="296"/>
      <c r="T827" s="296"/>
      <c r="U827" s="296"/>
      <c r="V827" s="296"/>
      <c r="W827" s="296"/>
      <c r="X827" s="296"/>
      <c r="Y827" s="296"/>
      <c r="Z827" s="296"/>
      <c r="AA827" s="296"/>
      <c r="AB827" s="296"/>
      <c r="AC827" s="296"/>
      <c r="AD827" s="296"/>
      <c r="AE827" s="307"/>
      <c r="AF827" s="273"/>
      <c r="AG827" s="274"/>
    </row>
    <row r="828">
      <c r="A828" s="296"/>
      <c r="B828" s="269"/>
      <c r="C828" s="296"/>
      <c r="D828" s="296"/>
      <c r="E828" s="296"/>
      <c r="F828" s="296"/>
      <c r="G828" s="296"/>
      <c r="H828" s="296"/>
      <c r="I828" s="296"/>
      <c r="J828" s="296"/>
      <c r="K828" s="296"/>
      <c r="L828" s="296"/>
      <c r="M828" s="296"/>
      <c r="N828" s="296"/>
      <c r="O828" s="269"/>
      <c r="P828" s="269"/>
      <c r="Q828" s="269"/>
      <c r="R828" s="296"/>
      <c r="S828" s="296"/>
      <c r="T828" s="296"/>
      <c r="U828" s="296"/>
      <c r="V828" s="296"/>
      <c r="W828" s="296"/>
      <c r="X828" s="296"/>
      <c r="Y828" s="296"/>
      <c r="Z828" s="296"/>
      <c r="AA828" s="296"/>
      <c r="AB828" s="296"/>
      <c r="AC828" s="296"/>
      <c r="AD828" s="296"/>
      <c r="AE828" s="307"/>
      <c r="AF828" s="273"/>
      <c r="AG828" s="274"/>
    </row>
    <row r="829">
      <c r="A829" s="296"/>
      <c r="B829" s="269"/>
      <c r="C829" s="296"/>
      <c r="D829" s="296"/>
      <c r="E829" s="296"/>
      <c r="F829" s="296"/>
      <c r="G829" s="296"/>
      <c r="H829" s="296"/>
      <c r="I829" s="296"/>
      <c r="J829" s="296"/>
      <c r="K829" s="296"/>
      <c r="L829" s="296"/>
      <c r="M829" s="296"/>
      <c r="N829" s="296"/>
      <c r="O829" s="269"/>
      <c r="P829" s="269"/>
      <c r="Q829" s="269"/>
      <c r="R829" s="296"/>
      <c r="S829" s="296"/>
      <c r="T829" s="296"/>
      <c r="U829" s="296"/>
      <c r="V829" s="296"/>
      <c r="W829" s="296"/>
      <c r="X829" s="296"/>
      <c r="Y829" s="296"/>
      <c r="Z829" s="296"/>
      <c r="AA829" s="296"/>
      <c r="AB829" s="296"/>
      <c r="AC829" s="296"/>
      <c r="AD829" s="296"/>
      <c r="AE829" s="307"/>
      <c r="AF829" s="273"/>
      <c r="AG829" s="274"/>
    </row>
    <row r="830">
      <c r="A830" s="296"/>
      <c r="B830" s="269"/>
      <c r="C830" s="296"/>
      <c r="D830" s="296"/>
      <c r="E830" s="296"/>
      <c r="F830" s="296"/>
      <c r="G830" s="296"/>
      <c r="H830" s="296"/>
      <c r="I830" s="296"/>
      <c r="J830" s="296"/>
      <c r="K830" s="296"/>
      <c r="L830" s="296"/>
      <c r="M830" s="296"/>
      <c r="N830" s="296"/>
      <c r="O830" s="269"/>
      <c r="P830" s="269"/>
      <c r="Q830" s="269"/>
      <c r="R830" s="296"/>
      <c r="S830" s="296"/>
      <c r="T830" s="296"/>
      <c r="U830" s="296"/>
      <c r="V830" s="296"/>
      <c r="W830" s="296"/>
      <c r="X830" s="296"/>
      <c r="Y830" s="296"/>
      <c r="Z830" s="296"/>
      <c r="AA830" s="296"/>
      <c r="AB830" s="296"/>
      <c r="AC830" s="296"/>
      <c r="AD830" s="296"/>
      <c r="AE830" s="307"/>
      <c r="AF830" s="273"/>
      <c r="AG830" s="274"/>
    </row>
    <row r="831">
      <c r="A831" s="296"/>
      <c r="B831" s="269"/>
      <c r="C831" s="296"/>
      <c r="D831" s="296"/>
      <c r="E831" s="296"/>
      <c r="F831" s="296"/>
      <c r="G831" s="296"/>
      <c r="H831" s="296"/>
      <c r="I831" s="296"/>
      <c r="J831" s="296"/>
      <c r="K831" s="296"/>
      <c r="L831" s="296"/>
      <c r="M831" s="296"/>
      <c r="N831" s="296"/>
      <c r="O831" s="269"/>
      <c r="P831" s="269"/>
      <c r="Q831" s="269"/>
      <c r="R831" s="296"/>
      <c r="S831" s="296"/>
      <c r="T831" s="296"/>
      <c r="U831" s="296"/>
      <c r="V831" s="296"/>
      <c r="W831" s="296"/>
      <c r="X831" s="296"/>
      <c r="Y831" s="296"/>
      <c r="Z831" s="296"/>
      <c r="AA831" s="296"/>
      <c r="AB831" s="296"/>
      <c r="AC831" s="296"/>
      <c r="AD831" s="296"/>
      <c r="AE831" s="307"/>
      <c r="AF831" s="273"/>
      <c r="AG831" s="274"/>
    </row>
    <row r="832">
      <c r="A832" s="296"/>
      <c r="B832" s="269"/>
      <c r="C832" s="296"/>
      <c r="D832" s="296"/>
      <c r="E832" s="296"/>
      <c r="F832" s="296"/>
      <c r="G832" s="296"/>
      <c r="H832" s="296"/>
      <c r="I832" s="296"/>
      <c r="J832" s="296"/>
      <c r="K832" s="296"/>
      <c r="L832" s="296"/>
      <c r="M832" s="296"/>
      <c r="N832" s="296"/>
      <c r="O832" s="269"/>
      <c r="P832" s="269"/>
      <c r="Q832" s="269"/>
      <c r="R832" s="296"/>
      <c r="S832" s="296"/>
      <c r="T832" s="296"/>
      <c r="U832" s="296"/>
      <c r="V832" s="296"/>
      <c r="W832" s="296"/>
      <c r="X832" s="296"/>
      <c r="Y832" s="296"/>
      <c r="Z832" s="296"/>
      <c r="AA832" s="296"/>
      <c r="AB832" s="296"/>
      <c r="AC832" s="296"/>
      <c r="AD832" s="296"/>
      <c r="AE832" s="307"/>
      <c r="AF832" s="273"/>
      <c r="AG832" s="274"/>
    </row>
    <row r="833">
      <c r="A833" s="296"/>
      <c r="B833" s="269"/>
      <c r="C833" s="296"/>
      <c r="D833" s="296"/>
      <c r="E833" s="296"/>
      <c r="F833" s="296"/>
      <c r="G833" s="296"/>
      <c r="H833" s="296"/>
      <c r="I833" s="296"/>
      <c r="J833" s="296"/>
      <c r="K833" s="296"/>
      <c r="L833" s="296"/>
      <c r="M833" s="296"/>
      <c r="N833" s="296"/>
      <c r="O833" s="269"/>
      <c r="P833" s="269"/>
      <c r="Q833" s="269"/>
      <c r="R833" s="296"/>
      <c r="S833" s="296"/>
      <c r="T833" s="296"/>
      <c r="U833" s="296"/>
      <c r="V833" s="296"/>
      <c r="W833" s="296"/>
      <c r="X833" s="296"/>
      <c r="Y833" s="296"/>
      <c r="Z833" s="296"/>
      <c r="AA833" s="296"/>
      <c r="AB833" s="296"/>
      <c r="AC833" s="296"/>
      <c r="AD833" s="296"/>
      <c r="AE833" s="307"/>
      <c r="AF833" s="273"/>
      <c r="AG833" s="274"/>
    </row>
    <row r="834">
      <c r="A834" s="296"/>
      <c r="B834" s="269"/>
      <c r="C834" s="296"/>
      <c r="D834" s="296"/>
      <c r="E834" s="296"/>
      <c r="F834" s="296"/>
      <c r="G834" s="296"/>
      <c r="H834" s="296"/>
      <c r="I834" s="296"/>
      <c r="J834" s="296"/>
      <c r="K834" s="296"/>
      <c r="L834" s="296"/>
      <c r="M834" s="296"/>
      <c r="N834" s="296"/>
      <c r="O834" s="269"/>
      <c r="P834" s="269"/>
      <c r="Q834" s="269"/>
      <c r="R834" s="296"/>
      <c r="S834" s="296"/>
      <c r="T834" s="296"/>
      <c r="U834" s="296"/>
      <c r="V834" s="296"/>
      <c r="W834" s="296"/>
      <c r="X834" s="296"/>
      <c r="Y834" s="296"/>
      <c r="Z834" s="296"/>
      <c r="AA834" s="296"/>
      <c r="AB834" s="296"/>
      <c r="AC834" s="296"/>
      <c r="AD834" s="296"/>
      <c r="AE834" s="307"/>
      <c r="AF834" s="273"/>
      <c r="AG834" s="274"/>
    </row>
    <row r="835">
      <c r="A835" s="296"/>
      <c r="B835" s="269"/>
      <c r="C835" s="296"/>
      <c r="D835" s="296"/>
      <c r="E835" s="296"/>
      <c r="F835" s="296"/>
      <c r="G835" s="296"/>
      <c r="H835" s="296"/>
      <c r="I835" s="296"/>
      <c r="J835" s="296"/>
      <c r="K835" s="296"/>
      <c r="L835" s="296"/>
      <c r="M835" s="296"/>
      <c r="N835" s="296"/>
      <c r="O835" s="269"/>
      <c r="P835" s="269"/>
      <c r="Q835" s="269"/>
      <c r="R835" s="296"/>
      <c r="S835" s="296"/>
      <c r="T835" s="296"/>
      <c r="U835" s="296"/>
      <c r="V835" s="296"/>
      <c r="W835" s="296"/>
      <c r="X835" s="296"/>
      <c r="Y835" s="296"/>
      <c r="Z835" s="296"/>
      <c r="AA835" s="296"/>
      <c r="AB835" s="296"/>
      <c r="AC835" s="296"/>
      <c r="AD835" s="296"/>
      <c r="AE835" s="307"/>
      <c r="AF835" s="273"/>
      <c r="AG835" s="274"/>
    </row>
    <row r="836">
      <c r="A836" s="296"/>
      <c r="B836" s="269"/>
      <c r="C836" s="296"/>
      <c r="D836" s="296"/>
      <c r="E836" s="296"/>
      <c r="F836" s="296"/>
      <c r="G836" s="296"/>
      <c r="H836" s="296"/>
      <c r="I836" s="296"/>
      <c r="J836" s="296"/>
      <c r="K836" s="296"/>
      <c r="L836" s="296"/>
      <c r="M836" s="296"/>
      <c r="N836" s="296"/>
      <c r="O836" s="269"/>
      <c r="P836" s="269"/>
      <c r="Q836" s="269"/>
      <c r="R836" s="296"/>
      <c r="S836" s="296"/>
      <c r="T836" s="296"/>
      <c r="U836" s="296"/>
      <c r="V836" s="296"/>
      <c r="W836" s="296"/>
      <c r="X836" s="296"/>
      <c r="Y836" s="296"/>
      <c r="Z836" s="296"/>
      <c r="AA836" s="296"/>
      <c r="AB836" s="296"/>
      <c r="AC836" s="296"/>
      <c r="AD836" s="296"/>
      <c r="AE836" s="307"/>
      <c r="AF836" s="273"/>
      <c r="AG836" s="274"/>
    </row>
    <row r="837">
      <c r="A837" s="296"/>
      <c r="B837" s="269"/>
      <c r="C837" s="296"/>
      <c r="D837" s="296"/>
      <c r="E837" s="296"/>
      <c r="F837" s="296"/>
      <c r="G837" s="296"/>
      <c r="H837" s="296"/>
      <c r="I837" s="296"/>
      <c r="J837" s="296"/>
      <c r="K837" s="296"/>
      <c r="L837" s="296"/>
      <c r="M837" s="296"/>
      <c r="N837" s="296"/>
      <c r="O837" s="269"/>
      <c r="P837" s="269"/>
      <c r="Q837" s="269"/>
      <c r="R837" s="296"/>
      <c r="S837" s="296"/>
      <c r="T837" s="296"/>
      <c r="U837" s="296"/>
      <c r="V837" s="296"/>
      <c r="W837" s="296"/>
      <c r="X837" s="296"/>
      <c r="Y837" s="296"/>
      <c r="Z837" s="296"/>
      <c r="AA837" s="296"/>
      <c r="AB837" s="296"/>
      <c r="AC837" s="296"/>
      <c r="AD837" s="296"/>
      <c r="AE837" s="307"/>
      <c r="AF837" s="273"/>
      <c r="AG837" s="274"/>
    </row>
    <row r="838">
      <c r="A838" s="296"/>
      <c r="B838" s="269"/>
      <c r="C838" s="296"/>
      <c r="D838" s="296"/>
      <c r="E838" s="296"/>
      <c r="F838" s="296"/>
      <c r="G838" s="296"/>
      <c r="H838" s="296"/>
      <c r="I838" s="296"/>
      <c r="J838" s="296"/>
      <c r="K838" s="296"/>
      <c r="L838" s="296"/>
      <c r="M838" s="296"/>
      <c r="N838" s="296"/>
      <c r="O838" s="269"/>
      <c r="P838" s="269"/>
      <c r="Q838" s="269"/>
      <c r="R838" s="296"/>
      <c r="S838" s="296"/>
      <c r="T838" s="296"/>
      <c r="U838" s="296"/>
      <c r="V838" s="296"/>
      <c r="W838" s="296"/>
      <c r="X838" s="296"/>
      <c r="Y838" s="296"/>
      <c r="Z838" s="296"/>
      <c r="AA838" s="296"/>
      <c r="AB838" s="296"/>
      <c r="AC838" s="296"/>
      <c r="AD838" s="296"/>
      <c r="AE838" s="307"/>
      <c r="AF838" s="273"/>
      <c r="AG838" s="274"/>
    </row>
    <row r="839">
      <c r="A839" s="296"/>
      <c r="B839" s="269"/>
      <c r="C839" s="296"/>
      <c r="D839" s="296"/>
      <c r="E839" s="296"/>
      <c r="F839" s="296"/>
      <c r="G839" s="296"/>
      <c r="H839" s="296"/>
      <c r="I839" s="296"/>
      <c r="J839" s="296"/>
      <c r="K839" s="296"/>
      <c r="L839" s="296"/>
      <c r="M839" s="296"/>
      <c r="N839" s="296"/>
      <c r="O839" s="269"/>
      <c r="P839" s="269"/>
      <c r="Q839" s="269"/>
      <c r="R839" s="296"/>
      <c r="S839" s="296"/>
      <c r="T839" s="296"/>
      <c r="U839" s="296"/>
      <c r="V839" s="296"/>
      <c r="W839" s="296"/>
      <c r="X839" s="296"/>
      <c r="Y839" s="296"/>
      <c r="Z839" s="296"/>
      <c r="AA839" s="296"/>
      <c r="AB839" s="296"/>
      <c r="AC839" s="296"/>
      <c r="AD839" s="296"/>
      <c r="AE839" s="307"/>
      <c r="AF839" s="273"/>
      <c r="AG839" s="274"/>
    </row>
    <row r="840">
      <c r="A840" s="296"/>
      <c r="B840" s="269"/>
      <c r="C840" s="296"/>
      <c r="D840" s="296"/>
      <c r="E840" s="296"/>
      <c r="F840" s="296"/>
      <c r="G840" s="296"/>
      <c r="H840" s="296"/>
      <c r="I840" s="296"/>
      <c r="J840" s="296"/>
      <c r="K840" s="296"/>
      <c r="L840" s="296"/>
      <c r="M840" s="296"/>
      <c r="N840" s="296"/>
      <c r="O840" s="269"/>
      <c r="P840" s="269"/>
      <c r="Q840" s="269"/>
      <c r="R840" s="296"/>
      <c r="S840" s="296"/>
      <c r="T840" s="296"/>
      <c r="U840" s="296"/>
      <c r="V840" s="296"/>
      <c r="W840" s="296"/>
      <c r="X840" s="296"/>
      <c r="Y840" s="296"/>
      <c r="Z840" s="296"/>
      <c r="AA840" s="296"/>
      <c r="AB840" s="296"/>
      <c r="AC840" s="296"/>
      <c r="AD840" s="296"/>
      <c r="AE840" s="307"/>
      <c r="AF840" s="273"/>
      <c r="AG840" s="274"/>
    </row>
    <row r="841">
      <c r="A841" s="296"/>
      <c r="B841" s="269"/>
      <c r="C841" s="296"/>
      <c r="D841" s="296"/>
      <c r="E841" s="296"/>
      <c r="F841" s="296"/>
      <c r="G841" s="296"/>
      <c r="H841" s="296"/>
      <c r="I841" s="296"/>
      <c r="J841" s="296"/>
      <c r="K841" s="296"/>
      <c r="L841" s="296"/>
      <c r="M841" s="296"/>
      <c r="N841" s="296"/>
      <c r="O841" s="269"/>
      <c r="P841" s="269"/>
      <c r="Q841" s="269"/>
      <c r="R841" s="296"/>
      <c r="S841" s="296"/>
      <c r="T841" s="296"/>
      <c r="U841" s="296"/>
      <c r="V841" s="296"/>
      <c r="W841" s="296"/>
      <c r="X841" s="296"/>
      <c r="Y841" s="296"/>
      <c r="Z841" s="296"/>
      <c r="AA841" s="296"/>
      <c r="AB841" s="296"/>
      <c r="AC841" s="296"/>
      <c r="AD841" s="296"/>
      <c r="AE841" s="307"/>
      <c r="AF841" s="273"/>
      <c r="AG841" s="274"/>
    </row>
    <row r="842">
      <c r="A842" s="296"/>
      <c r="B842" s="269"/>
      <c r="C842" s="296"/>
      <c r="D842" s="296"/>
      <c r="E842" s="296"/>
      <c r="F842" s="296"/>
      <c r="G842" s="296"/>
      <c r="H842" s="296"/>
      <c r="I842" s="296"/>
      <c r="J842" s="296"/>
      <c r="K842" s="296"/>
      <c r="L842" s="296"/>
      <c r="M842" s="296"/>
      <c r="N842" s="296"/>
      <c r="O842" s="269"/>
      <c r="P842" s="269"/>
      <c r="Q842" s="269"/>
      <c r="R842" s="296"/>
      <c r="S842" s="296"/>
      <c r="T842" s="296"/>
      <c r="U842" s="296"/>
      <c r="V842" s="296"/>
      <c r="W842" s="296"/>
      <c r="X842" s="296"/>
      <c r="Y842" s="296"/>
      <c r="Z842" s="296"/>
      <c r="AA842" s="296"/>
      <c r="AB842" s="296"/>
      <c r="AC842" s="296"/>
      <c r="AD842" s="296"/>
      <c r="AE842" s="307"/>
      <c r="AF842" s="273"/>
      <c r="AG842" s="274"/>
    </row>
    <row r="843">
      <c r="A843" s="296"/>
      <c r="B843" s="269"/>
      <c r="C843" s="296"/>
      <c r="D843" s="296"/>
      <c r="E843" s="296"/>
      <c r="F843" s="296"/>
      <c r="G843" s="296"/>
      <c r="H843" s="296"/>
      <c r="I843" s="296"/>
      <c r="J843" s="296"/>
      <c r="K843" s="296"/>
      <c r="L843" s="296"/>
      <c r="M843" s="296"/>
      <c r="N843" s="296"/>
      <c r="O843" s="269"/>
      <c r="P843" s="269"/>
      <c r="Q843" s="269"/>
      <c r="R843" s="296"/>
      <c r="S843" s="296"/>
      <c r="T843" s="296"/>
      <c r="U843" s="296"/>
      <c r="V843" s="296"/>
      <c r="W843" s="296"/>
      <c r="X843" s="296"/>
      <c r="Y843" s="296"/>
      <c r="Z843" s="296"/>
      <c r="AA843" s="296"/>
      <c r="AB843" s="296"/>
      <c r="AC843" s="296"/>
      <c r="AD843" s="296"/>
      <c r="AE843" s="307"/>
      <c r="AF843" s="273"/>
      <c r="AG843" s="274"/>
    </row>
    <row r="844">
      <c r="A844" s="296"/>
      <c r="B844" s="269"/>
      <c r="C844" s="296"/>
      <c r="D844" s="296"/>
      <c r="E844" s="296"/>
      <c r="F844" s="296"/>
      <c r="G844" s="296"/>
      <c r="H844" s="296"/>
      <c r="I844" s="296"/>
      <c r="J844" s="296"/>
      <c r="K844" s="296"/>
      <c r="L844" s="296"/>
      <c r="M844" s="296"/>
      <c r="N844" s="296"/>
      <c r="O844" s="269"/>
      <c r="P844" s="269"/>
      <c r="Q844" s="269"/>
      <c r="R844" s="296"/>
      <c r="S844" s="296"/>
      <c r="T844" s="296"/>
      <c r="U844" s="296"/>
      <c r="V844" s="296"/>
      <c r="W844" s="296"/>
      <c r="X844" s="296"/>
      <c r="Y844" s="296"/>
      <c r="Z844" s="296"/>
      <c r="AA844" s="296"/>
      <c r="AB844" s="296"/>
      <c r="AC844" s="296"/>
      <c r="AD844" s="296"/>
      <c r="AE844" s="307"/>
      <c r="AF844" s="273"/>
      <c r="AG844" s="274"/>
    </row>
    <row r="845">
      <c r="A845" s="296"/>
      <c r="B845" s="269"/>
      <c r="C845" s="296"/>
      <c r="D845" s="296"/>
      <c r="E845" s="296"/>
      <c r="F845" s="296"/>
      <c r="G845" s="296"/>
      <c r="H845" s="296"/>
      <c r="I845" s="296"/>
      <c r="J845" s="296"/>
      <c r="K845" s="296"/>
      <c r="L845" s="296"/>
      <c r="M845" s="296"/>
      <c r="N845" s="296"/>
      <c r="O845" s="269"/>
      <c r="P845" s="269"/>
      <c r="Q845" s="269"/>
      <c r="R845" s="296"/>
      <c r="S845" s="296"/>
      <c r="T845" s="296"/>
      <c r="U845" s="296"/>
      <c r="V845" s="296"/>
      <c r="W845" s="296"/>
      <c r="X845" s="296"/>
      <c r="Y845" s="296"/>
      <c r="Z845" s="296"/>
      <c r="AA845" s="296"/>
      <c r="AB845" s="296"/>
      <c r="AC845" s="296"/>
      <c r="AD845" s="296"/>
      <c r="AE845" s="307"/>
      <c r="AF845" s="273"/>
      <c r="AG845" s="274"/>
    </row>
    <row r="846">
      <c r="A846" s="296"/>
      <c r="B846" s="269"/>
      <c r="C846" s="296"/>
      <c r="D846" s="296"/>
      <c r="E846" s="296"/>
      <c r="F846" s="296"/>
      <c r="G846" s="296"/>
      <c r="H846" s="296"/>
      <c r="I846" s="296"/>
      <c r="J846" s="296"/>
      <c r="K846" s="296"/>
      <c r="L846" s="296"/>
      <c r="M846" s="296"/>
      <c r="N846" s="296"/>
      <c r="O846" s="269"/>
      <c r="P846" s="269"/>
      <c r="Q846" s="269"/>
      <c r="R846" s="296"/>
      <c r="S846" s="296"/>
      <c r="T846" s="296"/>
      <c r="U846" s="296"/>
      <c r="V846" s="296"/>
      <c r="W846" s="296"/>
      <c r="X846" s="296"/>
      <c r="Y846" s="296"/>
      <c r="Z846" s="296"/>
      <c r="AA846" s="296"/>
      <c r="AB846" s="296"/>
      <c r="AC846" s="296"/>
      <c r="AD846" s="296"/>
      <c r="AE846" s="307"/>
      <c r="AF846" s="273"/>
      <c r="AG846" s="274"/>
    </row>
    <row r="847">
      <c r="A847" s="296"/>
      <c r="B847" s="269"/>
      <c r="C847" s="296"/>
      <c r="D847" s="296"/>
      <c r="E847" s="296"/>
      <c r="F847" s="296"/>
      <c r="G847" s="296"/>
      <c r="H847" s="296"/>
      <c r="I847" s="296"/>
      <c r="J847" s="296"/>
      <c r="K847" s="296"/>
      <c r="L847" s="296"/>
      <c r="M847" s="296"/>
      <c r="N847" s="296"/>
      <c r="O847" s="269"/>
      <c r="P847" s="269"/>
      <c r="Q847" s="269"/>
      <c r="R847" s="296"/>
      <c r="S847" s="296"/>
      <c r="T847" s="296"/>
      <c r="U847" s="296"/>
      <c r="V847" s="296"/>
      <c r="W847" s="296"/>
      <c r="X847" s="296"/>
      <c r="Y847" s="296"/>
      <c r="Z847" s="296"/>
      <c r="AA847" s="296"/>
      <c r="AB847" s="296"/>
      <c r="AC847" s="296"/>
      <c r="AD847" s="296"/>
      <c r="AE847" s="307"/>
      <c r="AF847" s="273"/>
      <c r="AG847" s="274"/>
    </row>
    <row r="848">
      <c r="A848" s="296"/>
      <c r="B848" s="269"/>
      <c r="C848" s="296"/>
      <c r="D848" s="296"/>
      <c r="E848" s="296"/>
      <c r="F848" s="296"/>
      <c r="G848" s="296"/>
      <c r="H848" s="296"/>
      <c r="I848" s="296"/>
      <c r="J848" s="296"/>
      <c r="K848" s="296"/>
      <c r="L848" s="296"/>
      <c r="M848" s="296"/>
      <c r="N848" s="296"/>
      <c r="O848" s="269"/>
      <c r="P848" s="269"/>
      <c r="Q848" s="269"/>
      <c r="R848" s="296"/>
      <c r="S848" s="296"/>
      <c r="T848" s="296"/>
      <c r="U848" s="296"/>
      <c r="V848" s="296"/>
      <c r="W848" s="296"/>
      <c r="X848" s="296"/>
      <c r="Y848" s="296"/>
      <c r="Z848" s="296"/>
      <c r="AA848" s="296"/>
      <c r="AB848" s="296"/>
      <c r="AC848" s="296"/>
      <c r="AD848" s="296"/>
      <c r="AE848" s="307"/>
      <c r="AF848" s="273"/>
      <c r="AG848" s="274"/>
    </row>
    <row r="849">
      <c r="A849" s="296"/>
      <c r="B849" s="269"/>
      <c r="C849" s="296"/>
      <c r="D849" s="296"/>
      <c r="E849" s="296"/>
      <c r="F849" s="296"/>
      <c r="G849" s="296"/>
      <c r="H849" s="296"/>
      <c r="I849" s="296"/>
      <c r="J849" s="296"/>
      <c r="K849" s="296"/>
      <c r="L849" s="296"/>
      <c r="M849" s="296"/>
      <c r="N849" s="296"/>
      <c r="O849" s="269"/>
      <c r="P849" s="269"/>
      <c r="Q849" s="269"/>
      <c r="R849" s="296"/>
      <c r="S849" s="296"/>
      <c r="T849" s="296"/>
      <c r="U849" s="296"/>
      <c r="V849" s="296"/>
      <c r="W849" s="296"/>
      <c r="X849" s="296"/>
      <c r="Y849" s="296"/>
      <c r="Z849" s="296"/>
      <c r="AA849" s="296"/>
      <c r="AB849" s="296"/>
      <c r="AC849" s="296"/>
      <c r="AD849" s="296"/>
      <c r="AE849" s="307"/>
      <c r="AF849" s="273"/>
      <c r="AG849" s="274"/>
    </row>
    <row r="850">
      <c r="A850" s="296"/>
      <c r="B850" s="269"/>
      <c r="C850" s="296"/>
      <c r="D850" s="296"/>
      <c r="E850" s="296"/>
      <c r="F850" s="296"/>
      <c r="G850" s="296"/>
      <c r="H850" s="296"/>
      <c r="I850" s="296"/>
      <c r="J850" s="296"/>
      <c r="K850" s="296"/>
      <c r="L850" s="296"/>
      <c r="M850" s="296"/>
      <c r="N850" s="296"/>
      <c r="O850" s="269"/>
      <c r="P850" s="269"/>
      <c r="Q850" s="269"/>
      <c r="R850" s="296"/>
      <c r="S850" s="296"/>
      <c r="T850" s="296"/>
      <c r="U850" s="296"/>
      <c r="V850" s="296"/>
      <c r="W850" s="296"/>
      <c r="X850" s="296"/>
      <c r="Y850" s="296"/>
      <c r="Z850" s="296"/>
      <c r="AA850" s="296"/>
      <c r="AB850" s="296"/>
      <c r="AC850" s="296"/>
      <c r="AD850" s="296"/>
      <c r="AE850" s="307"/>
      <c r="AF850" s="273"/>
      <c r="AG850" s="274"/>
    </row>
    <row r="851">
      <c r="A851" s="296"/>
      <c r="B851" s="269"/>
      <c r="C851" s="296"/>
      <c r="D851" s="296"/>
      <c r="E851" s="296"/>
      <c r="F851" s="296"/>
      <c r="G851" s="296"/>
      <c r="H851" s="296"/>
      <c r="I851" s="296"/>
      <c r="J851" s="296"/>
      <c r="K851" s="296"/>
      <c r="L851" s="296"/>
      <c r="M851" s="296"/>
      <c r="N851" s="296"/>
      <c r="O851" s="269"/>
      <c r="P851" s="269"/>
      <c r="Q851" s="269"/>
      <c r="R851" s="296"/>
      <c r="S851" s="296"/>
      <c r="T851" s="296"/>
      <c r="U851" s="296"/>
      <c r="V851" s="296"/>
      <c r="W851" s="296"/>
      <c r="X851" s="296"/>
      <c r="Y851" s="296"/>
      <c r="Z851" s="296"/>
      <c r="AA851" s="296"/>
      <c r="AB851" s="296"/>
      <c r="AC851" s="296"/>
      <c r="AD851" s="296"/>
      <c r="AE851" s="307"/>
      <c r="AF851" s="273"/>
      <c r="AG851" s="274"/>
    </row>
    <row r="852">
      <c r="A852" s="296"/>
      <c r="B852" s="269"/>
      <c r="C852" s="296"/>
      <c r="D852" s="296"/>
      <c r="E852" s="296"/>
      <c r="F852" s="296"/>
      <c r="G852" s="296"/>
      <c r="H852" s="296"/>
      <c r="I852" s="296"/>
      <c r="J852" s="296"/>
      <c r="K852" s="296"/>
      <c r="L852" s="296"/>
      <c r="M852" s="296"/>
      <c r="N852" s="296"/>
      <c r="O852" s="269"/>
      <c r="P852" s="269"/>
      <c r="Q852" s="269"/>
      <c r="R852" s="296"/>
      <c r="S852" s="296"/>
      <c r="T852" s="296"/>
      <c r="U852" s="296"/>
      <c r="V852" s="296"/>
      <c r="W852" s="296"/>
      <c r="X852" s="296"/>
      <c r="Y852" s="296"/>
      <c r="Z852" s="296"/>
      <c r="AA852" s="296"/>
      <c r="AB852" s="296"/>
      <c r="AC852" s="296"/>
      <c r="AD852" s="296"/>
      <c r="AE852" s="307"/>
      <c r="AF852" s="273"/>
      <c r="AG852" s="274"/>
    </row>
    <row r="853">
      <c r="A853" s="296"/>
      <c r="B853" s="269"/>
      <c r="C853" s="296"/>
      <c r="D853" s="296"/>
      <c r="E853" s="296"/>
      <c r="F853" s="296"/>
      <c r="G853" s="296"/>
      <c r="H853" s="296"/>
      <c r="I853" s="296"/>
      <c r="J853" s="296"/>
      <c r="K853" s="296"/>
      <c r="L853" s="296"/>
      <c r="M853" s="296"/>
      <c r="N853" s="296"/>
      <c r="O853" s="269"/>
      <c r="P853" s="269"/>
      <c r="Q853" s="269"/>
      <c r="R853" s="296"/>
      <c r="S853" s="296"/>
      <c r="T853" s="296"/>
      <c r="U853" s="296"/>
      <c r="V853" s="296"/>
      <c r="W853" s="296"/>
      <c r="X853" s="296"/>
      <c r="Y853" s="296"/>
      <c r="Z853" s="296"/>
      <c r="AA853" s="296"/>
      <c r="AB853" s="296"/>
      <c r="AC853" s="296"/>
      <c r="AD853" s="296"/>
      <c r="AE853" s="307"/>
      <c r="AF853" s="273"/>
      <c r="AG853" s="274"/>
    </row>
    <row r="854">
      <c r="A854" s="296"/>
      <c r="B854" s="269"/>
      <c r="C854" s="296"/>
      <c r="D854" s="296"/>
      <c r="E854" s="296"/>
      <c r="F854" s="296"/>
      <c r="G854" s="296"/>
      <c r="H854" s="296"/>
      <c r="I854" s="296"/>
      <c r="J854" s="296"/>
      <c r="K854" s="296"/>
      <c r="L854" s="296"/>
      <c r="M854" s="296"/>
      <c r="N854" s="296"/>
      <c r="O854" s="269"/>
      <c r="P854" s="269"/>
      <c r="Q854" s="269"/>
      <c r="R854" s="296"/>
      <c r="S854" s="296"/>
      <c r="T854" s="296"/>
      <c r="U854" s="296"/>
      <c r="V854" s="296"/>
      <c r="W854" s="296"/>
      <c r="X854" s="296"/>
      <c r="Y854" s="296"/>
      <c r="Z854" s="296"/>
      <c r="AA854" s="296"/>
      <c r="AB854" s="296"/>
      <c r="AC854" s="296"/>
      <c r="AD854" s="296"/>
      <c r="AE854" s="307"/>
      <c r="AF854" s="273"/>
      <c r="AG854" s="274"/>
    </row>
    <row r="855">
      <c r="A855" s="296"/>
      <c r="B855" s="269"/>
      <c r="C855" s="296"/>
      <c r="D855" s="296"/>
      <c r="E855" s="296"/>
      <c r="F855" s="296"/>
      <c r="G855" s="296"/>
      <c r="H855" s="296"/>
      <c r="I855" s="296"/>
      <c r="J855" s="296"/>
      <c r="K855" s="296"/>
      <c r="L855" s="296"/>
      <c r="M855" s="296"/>
      <c r="N855" s="296"/>
      <c r="O855" s="269"/>
      <c r="P855" s="269"/>
      <c r="Q855" s="269"/>
      <c r="R855" s="296"/>
      <c r="S855" s="296"/>
      <c r="T855" s="296"/>
      <c r="U855" s="296"/>
      <c r="V855" s="296"/>
      <c r="W855" s="296"/>
      <c r="X855" s="296"/>
      <c r="Y855" s="296"/>
      <c r="Z855" s="296"/>
      <c r="AA855" s="296"/>
      <c r="AB855" s="296"/>
      <c r="AC855" s="296"/>
      <c r="AD855" s="296"/>
      <c r="AE855" s="307"/>
      <c r="AF855" s="273"/>
      <c r="AG855" s="274"/>
    </row>
    <row r="856">
      <c r="A856" s="296"/>
      <c r="B856" s="269"/>
      <c r="C856" s="296"/>
      <c r="D856" s="296"/>
      <c r="E856" s="296"/>
      <c r="F856" s="296"/>
      <c r="G856" s="296"/>
      <c r="H856" s="296"/>
      <c r="I856" s="296"/>
      <c r="J856" s="296"/>
      <c r="K856" s="296"/>
      <c r="L856" s="296"/>
      <c r="M856" s="296"/>
      <c r="N856" s="296"/>
      <c r="O856" s="269"/>
      <c r="P856" s="269"/>
      <c r="Q856" s="269"/>
      <c r="R856" s="296"/>
      <c r="S856" s="296"/>
      <c r="T856" s="296"/>
      <c r="U856" s="296"/>
      <c r="V856" s="296"/>
      <c r="W856" s="296"/>
      <c r="X856" s="296"/>
      <c r="Y856" s="296"/>
      <c r="Z856" s="296"/>
      <c r="AA856" s="296"/>
      <c r="AB856" s="296"/>
      <c r="AC856" s="296"/>
      <c r="AD856" s="296"/>
      <c r="AE856" s="307"/>
      <c r="AF856" s="273"/>
      <c r="AG856" s="274"/>
    </row>
    <row r="857">
      <c r="A857" s="296"/>
      <c r="B857" s="269"/>
      <c r="C857" s="296"/>
      <c r="D857" s="296"/>
      <c r="E857" s="296"/>
      <c r="F857" s="296"/>
      <c r="G857" s="296"/>
      <c r="H857" s="296"/>
      <c r="I857" s="296"/>
      <c r="J857" s="296"/>
      <c r="K857" s="296"/>
      <c r="L857" s="296"/>
      <c r="M857" s="296"/>
      <c r="N857" s="296"/>
      <c r="O857" s="269"/>
      <c r="P857" s="269"/>
      <c r="Q857" s="269"/>
      <c r="R857" s="296"/>
      <c r="S857" s="296"/>
      <c r="T857" s="296"/>
      <c r="U857" s="296"/>
      <c r="V857" s="296"/>
      <c r="W857" s="296"/>
      <c r="X857" s="296"/>
      <c r="Y857" s="296"/>
      <c r="Z857" s="296"/>
      <c r="AA857" s="296"/>
      <c r="AB857" s="296"/>
      <c r="AC857" s="296"/>
      <c r="AD857" s="296"/>
      <c r="AE857" s="307"/>
      <c r="AF857" s="273"/>
      <c r="AG857" s="274"/>
    </row>
    <row r="858">
      <c r="A858" s="296"/>
      <c r="B858" s="269"/>
      <c r="C858" s="296"/>
      <c r="D858" s="296"/>
      <c r="E858" s="296"/>
      <c r="F858" s="296"/>
      <c r="G858" s="296"/>
      <c r="H858" s="296"/>
      <c r="I858" s="296"/>
      <c r="J858" s="296"/>
      <c r="K858" s="296"/>
      <c r="L858" s="296"/>
      <c r="M858" s="296"/>
      <c r="N858" s="296"/>
      <c r="O858" s="269"/>
      <c r="P858" s="269"/>
      <c r="Q858" s="269"/>
      <c r="R858" s="296"/>
      <c r="S858" s="296"/>
      <c r="T858" s="296"/>
      <c r="U858" s="296"/>
      <c r="V858" s="296"/>
      <c r="W858" s="296"/>
      <c r="X858" s="296"/>
      <c r="Y858" s="296"/>
      <c r="Z858" s="296"/>
      <c r="AA858" s="296"/>
      <c r="AB858" s="296"/>
      <c r="AC858" s="296"/>
      <c r="AD858" s="296"/>
      <c r="AE858" s="307"/>
      <c r="AF858" s="273"/>
      <c r="AG858" s="274"/>
    </row>
    <row r="859">
      <c r="A859" s="296"/>
      <c r="B859" s="269"/>
      <c r="C859" s="296"/>
      <c r="D859" s="296"/>
      <c r="E859" s="296"/>
      <c r="F859" s="296"/>
      <c r="G859" s="296"/>
      <c r="H859" s="296"/>
      <c r="I859" s="296"/>
      <c r="J859" s="296"/>
      <c r="K859" s="296"/>
      <c r="L859" s="296"/>
      <c r="M859" s="296"/>
      <c r="N859" s="296"/>
      <c r="O859" s="269"/>
      <c r="P859" s="269"/>
      <c r="Q859" s="269"/>
      <c r="R859" s="296"/>
      <c r="S859" s="296"/>
      <c r="T859" s="296"/>
      <c r="U859" s="296"/>
      <c r="V859" s="296"/>
      <c r="W859" s="296"/>
      <c r="X859" s="296"/>
      <c r="Y859" s="296"/>
      <c r="Z859" s="296"/>
      <c r="AA859" s="296"/>
      <c r="AB859" s="296"/>
      <c r="AC859" s="296"/>
      <c r="AD859" s="296"/>
      <c r="AE859" s="307"/>
      <c r="AF859" s="273"/>
      <c r="AG859" s="274"/>
    </row>
    <row r="860">
      <c r="A860" s="296"/>
      <c r="B860" s="269"/>
      <c r="C860" s="296"/>
      <c r="D860" s="296"/>
      <c r="E860" s="296"/>
      <c r="F860" s="296"/>
      <c r="G860" s="296"/>
      <c r="H860" s="296"/>
      <c r="I860" s="296"/>
      <c r="J860" s="296"/>
      <c r="K860" s="296"/>
      <c r="L860" s="296"/>
      <c r="M860" s="296"/>
      <c r="N860" s="296"/>
      <c r="O860" s="269"/>
      <c r="P860" s="269"/>
      <c r="Q860" s="269"/>
      <c r="R860" s="296"/>
      <c r="S860" s="296"/>
      <c r="T860" s="296"/>
      <c r="U860" s="296"/>
      <c r="V860" s="296"/>
      <c r="W860" s="296"/>
      <c r="X860" s="296"/>
      <c r="Y860" s="296"/>
      <c r="Z860" s="296"/>
      <c r="AA860" s="296"/>
      <c r="AB860" s="296"/>
      <c r="AC860" s="296"/>
      <c r="AD860" s="296"/>
      <c r="AE860" s="307"/>
      <c r="AF860" s="273"/>
      <c r="AG860" s="274"/>
    </row>
    <row r="861">
      <c r="A861" s="296"/>
      <c r="B861" s="269"/>
      <c r="C861" s="296"/>
      <c r="D861" s="296"/>
      <c r="E861" s="296"/>
      <c r="F861" s="296"/>
      <c r="G861" s="296"/>
      <c r="H861" s="296"/>
      <c r="I861" s="296"/>
      <c r="J861" s="296"/>
      <c r="K861" s="296"/>
      <c r="L861" s="296"/>
      <c r="M861" s="296"/>
      <c r="N861" s="296"/>
      <c r="O861" s="269"/>
      <c r="P861" s="269"/>
      <c r="Q861" s="269"/>
      <c r="R861" s="296"/>
      <c r="S861" s="296"/>
      <c r="T861" s="296"/>
      <c r="U861" s="296"/>
      <c r="V861" s="296"/>
      <c r="W861" s="296"/>
      <c r="X861" s="296"/>
      <c r="Y861" s="296"/>
      <c r="Z861" s="296"/>
      <c r="AA861" s="296"/>
      <c r="AB861" s="296"/>
      <c r="AC861" s="296"/>
      <c r="AD861" s="296"/>
      <c r="AE861" s="307"/>
      <c r="AF861" s="273"/>
      <c r="AG861" s="274"/>
    </row>
    <row r="862">
      <c r="A862" s="296"/>
      <c r="B862" s="269"/>
      <c r="C862" s="296"/>
      <c r="D862" s="296"/>
      <c r="E862" s="296"/>
      <c r="F862" s="296"/>
      <c r="G862" s="296"/>
      <c r="H862" s="296"/>
      <c r="I862" s="296"/>
      <c r="J862" s="296"/>
      <c r="K862" s="296"/>
      <c r="L862" s="296"/>
      <c r="M862" s="296"/>
      <c r="N862" s="296"/>
      <c r="O862" s="269"/>
      <c r="P862" s="269"/>
      <c r="Q862" s="269"/>
      <c r="R862" s="296"/>
      <c r="S862" s="296"/>
      <c r="T862" s="296"/>
      <c r="U862" s="296"/>
      <c r="V862" s="296"/>
      <c r="W862" s="296"/>
      <c r="X862" s="296"/>
      <c r="Y862" s="296"/>
      <c r="Z862" s="296"/>
      <c r="AA862" s="296"/>
      <c r="AB862" s="296"/>
      <c r="AC862" s="296"/>
      <c r="AD862" s="296"/>
      <c r="AE862" s="307"/>
      <c r="AF862" s="273"/>
      <c r="AG862" s="274"/>
    </row>
    <row r="863">
      <c r="A863" s="296"/>
      <c r="B863" s="269"/>
      <c r="C863" s="296"/>
      <c r="D863" s="296"/>
      <c r="E863" s="296"/>
      <c r="F863" s="296"/>
      <c r="G863" s="296"/>
      <c r="H863" s="296"/>
      <c r="I863" s="296"/>
      <c r="J863" s="296"/>
      <c r="K863" s="296"/>
      <c r="L863" s="296"/>
      <c r="M863" s="296"/>
      <c r="N863" s="296"/>
      <c r="O863" s="269"/>
      <c r="P863" s="269"/>
      <c r="Q863" s="269"/>
      <c r="R863" s="296"/>
      <c r="S863" s="296"/>
      <c r="T863" s="296"/>
      <c r="U863" s="296"/>
      <c r="V863" s="296"/>
      <c r="W863" s="296"/>
      <c r="X863" s="296"/>
      <c r="Y863" s="296"/>
      <c r="Z863" s="296"/>
      <c r="AA863" s="296"/>
      <c r="AB863" s="296"/>
      <c r="AC863" s="296"/>
      <c r="AD863" s="296"/>
      <c r="AE863" s="307"/>
      <c r="AF863" s="273"/>
      <c r="AG863" s="274"/>
    </row>
    <row r="864">
      <c r="A864" s="296"/>
      <c r="B864" s="269"/>
      <c r="C864" s="296"/>
      <c r="D864" s="296"/>
      <c r="E864" s="296"/>
      <c r="F864" s="296"/>
      <c r="G864" s="296"/>
      <c r="H864" s="296"/>
      <c r="I864" s="296"/>
      <c r="J864" s="296"/>
      <c r="K864" s="296"/>
      <c r="L864" s="296"/>
      <c r="M864" s="296"/>
      <c r="N864" s="296"/>
      <c r="O864" s="269"/>
      <c r="P864" s="269"/>
      <c r="Q864" s="269"/>
      <c r="R864" s="296"/>
      <c r="S864" s="296"/>
      <c r="T864" s="296"/>
      <c r="U864" s="296"/>
      <c r="V864" s="296"/>
      <c r="W864" s="296"/>
      <c r="X864" s="296"/>
      <c r="Y864" s="296"/>
      <c r="Z864" s="296"/>
      <c r="AA864" s="296"/>
      <c r="AB864" s="296"/>
      <c r="AC864" s="296"/>
      <c r="AD864" s="296"/>
      <c r="AE864" s="307"/>
      <c r="AF864" s="273"/>
      <c r="AG864" s="274"/>
    </row>
    <row r="865">
      <c r="A865" s="296"/>
      <c r="B865" s="269"/>
      <c r="C865" s="296"/>
      <c r="D865" s="296"/>
      <c r="E865" s="296"/>
      <c r="F865" s="296"/>
      <c r="G865" s="296"/>
      <c r="H865" s="296"/>
      <c r="I865" s="296"/>
      <c r="J865" s="296"/>
      <c r="K865" s="296"/>
      <c r="L865" s="296"/>
      <c r="M865" s="296"/>
      <c r="N865" s="296"/>
      <c r="O865" s="269"/>
      <c r="P865" s="269"/>
      <c r="Q865" s="269"/>
      <c r="R865" s="296"/>
      <c r="S865" s="296"/>
      <c r="T865" s="296"/>
      <c r="U865" s="296"/>
      <c r="V865" s="296"/>
      <c r="W865" s="296"/>
      <c r="X865" s="296"/>
      <c r="Y865" s="296"/>
      <c r="Z865" s="296"/>
      <c r="AA865" s="296"/>
      <c r="AB865" s="296"/>
      <c r="AC865" s="296"/>
      <c r="AD865" s="296"/>
      <c r="AE865" s="307"/>
      <c r="AF865" s="273"/>
      <c r="AG865" s="274"/>
    </row>
    <row r="866">
      <c r="A866" s="296"/>
      <c r="B866" s="269"/>
      <c r="C866" s="296"/>
      <c r="D866" s="296"/>
      <c r="E866" s="296"/>
      <c r="F866" s="296"/>
      <c r="G866" s="296"/>
      <c r="H866" s="296"/>
      <c r="I866" s="296"/>
      <c r="J866" s="296"/>
      <c r="K866" s="296"/>
      <c r="L866" s="296"/>
      <c r="M866" s="296"/>
      <c r="N866" s="296"/>
      <c r="O866" s="269"/>
      <c r="P866" s="269"/>
      <c r="Q866" s="269"/>
      <c r="R866" s="296"/>
      <c r="S866" s="296"/>
      <c r="T866" s="296"/>
      <c r="U866" s="296"/>
      <c r="V866" s="296"/>
      <c r="W866" s="296"/>
      <c r="X866" s="296"/>
      <c r="Y866" s="296"/>
      <c r="Z866" s="296"/>
      <c r="AA866" s="296"/>
      <c r="AB866" s="296"/>
      <c r="AC866" s="296"/>
      <c r="AD866" s="296"/>
      <c r="AE866" s="307"/>
      <c r="AF866" s="273"/>
      <c r="AG866" s="274"/>
    </row>
    <row r="867">
      <c r="A867" s="296"/>
      <c r="B867" s="269"/>
      <c r="C867" s="296"/>
      <c r="D867" s="296"/>
      <c r="E867" s="296"/>
      <c r="F867" s="296"/>
      <c r="G867" s="296"/>
      <c r="H867" s="296"/>
      <c r="I867" s="296"/>
      <c r="J867" s="296"/>
      <c r="K867" s="296"/>
      <c r="L867" s="296"/>
      <c r="M867" s="296"/>
      <c r="N867" s="296"/>
      <c r="O867" s="269"/>
      <c r="P867" s="269"/>
      <c r="Q867" s="269"/>
      <c r="R867" s="296"/>
      <c r="S867" s="296"/>
      <c r="T867" s="296"/>
      <c r="U867" s="296"/>
      <c r="V867" s="296"/>
      <c r="W867" s="296"/>
      <c r="X867" s="296"/>
      <c r="Y867" s="296"/>
      <c r="Z867" s="296"/>
      <c r="AA867" s="296"/>
      <c r="AB867" s="296"/>
      <c r="AC867" s="296"/>
      <c r="AD867" s="296"/>
      <c r="AE867" s="307"/>
      <c r="AF867" s="273"/>
      <c r="AG867" s="274"/>
    </row>
    <row r="868">
      <c r="A868" s="296"/>
      <c r="B868" s="269"/>
      <c r="C868" s="296"/>
      <c r="D868" s="296"/>
      <c r="E868" s="296"/>
      <c r="F868" s="296"/>
      <c r="G868" s="296"/>
      <c r="H868" s="296"/>
      <c r="I868" s="296"/>
      <c r="J868" s="296"/>
      <c r="K868" s="296"/>
      <c r="L868" s="296"/>
      <c r="M868" s="296"/>
      <c r="N868" s="296"/>
      <c r="O868" s="269"/>
      <c r="P868" s="269"/>
      <c r="Q868" s="269"/>
      <c r="R868" s="296"/>
      <c r="S868" s="296"/>
      <c r="T868" s="296"/>
      <c r="U868" s="296"/>
      <c r="V868" s="296"/>
      <c r="W868" s="296"/>
      <c r="X868" s="296"/>
      <c r="Y868" s="296"/>
      <c r="Z868" s="296"/>
      <c r="AA868" s="296"/>
      <c r="AB868" s="296"/>
      <c r="AC868" s="296"/>
      <c r="AD868" s="296"/>
      <c r="AE868" s="307"/>
      <c r="AF868" s="273"/>
      <c r="AG868" s="274"/>
    </row>
    <row r="869">
      <c r="A869" s="296"/>
      <c r="B869" s="269"/>
      <c r="C869" s="296"/>
      <c r="D869" s="296"/>
      <c r="E869" s="296"/>
      <c r="F869" s="296"/>
      <c r="G869" s="296"/>
      <c r="H869" s="296"/>
      <c r="I869" s="296"/>
      <c r="J869" s="296"/>
      <c r="K869" s="296"/>
      <c r="L869" s="296"/>
      <c r="M869" s="296"/>
      <c r="N869" s="296"/>
      <c r="O869" s="269"/>
      <c r="P869" s="269"/>
      <c r="Q869" s="269"/>
      <c r="R869" s="296"/>
      <c r="S869" s="296"/>
      <c r="T869" s="296"/>
      <c r="U869" s="296"/>
      <c r="V869" s="296"/>
      <c r="W869" s="296"/>
      <c r="X869" s="296"/>
      <c r="Y869" s="296"/>
      <c r="Z869" s="296"/>
      <c r="AA869" s="296"/>
      <c r="AB869" s="296"/>
      <c r="AC869" s="296"/>
      <c r="AD869" s="296"/>
      <c r="AE869" s="307"/>
      <c r="AF869" s="273"/>
      <c r="AG869" s="274"/>
    </row>
    <row r="870">
      <c r="A870" s="296"/>
      <c r="B870" s="269"/>
      <c r="C870" s="296"/>
      <c r="D870" s="296"/>
      <c r="E870" s="296"/>
      <c r="F870" s="296"/>
      <c r="G870" s="296"/>
      <c r="H870" s="296"/>
      <c r="I870" s="296"/>
      <c r="J870" s="296"/>
      <c r="K870" s="296"/>
      <c r="L870" s="296"/>
      <c r="M870" s="296"/>
      <c r="N870" s="296"/>
      <c r="O870" s="269"/>
      <c r="P870" s="269"/>
      <c r="Q870" s="269"/>
      <c r="R870" s="296"/>
      <c r="S870" s="296"/>
      <c r="T870" s="296"/>
      <c r="U870" s="296"/>
      <c r="V870" s="296"/>
      <c r="W870" s="296"/>
      <c r="X870" s="296"/>
      <c r="Y870" s="296"/>
      <c r="Z870" s="296"/>
      <c r="AA870" s="296"/>
      <c r="AB870" s="296"/>
      <c r="AC870" s="296"/>
      <c r="AD870" s="296"/>
      <c r="AE870" s="307"/>
      <c r="AF870" s="273"/>
      <c r="AG870" s="274"/>
    </row>
    <row r="871">
      <c r="A871" s="296"/>
      <c r="B871" s="269"/>
      <c r="C871" s="296"/>
      <c r="D871" s="296"/>
      <c r="E871" s="296"/>
      <c r="F871" s="296"/>
      <c r="G871" s="296"/>
      <c r="H871" s="296"/>
      <c r="I871" s="296"/>
      <c r="J871" s="296"/>
      <c r="K871" s="296"/>
      <c r="L871" s="296"/>
      <c r="M871" s="296"/>
      <c r="N871" s="296"/>
      <c r="O871" s="269"/>
      <c r="P871" s="269"/>
      <c r="Q871" s="269"/>
      <c r="R871" s="296"/>
      <c r="S871" s="296"/>
      <c r="T871" s="296"/>
      <c r="U871" s="296"/>
      <c r="V871" s="296"/>
      <c r="W871" s="296"/>
      <c r="X871" s="296"/>
      <c r="Y871" s="296"/>
      <c r="Z871" s="296"/>
      <c r="AA871" s="296"/>
      <c r="AB871" s="296"/>
      <c r="AC871" s="296"/>
      <c r="AD871" s="296"/>
      <c r="AE871" s="307"/>
      <c r="AF871" s="273"/>
      <c r="AG871" s="274"/>
    </row>
    <row r="872">
      <c r="A872" s="296"/>
      <c r="B872" s="269"/>
      <c r="C872" s="296"/>
      <c r="D872" s="296"/>
      <c r="E872" s="296"/>
      <c r="F872" s="296"/>
      <c r="G872" s="296"/>
      <c r="H872" s="296"/>
      <c r="I872" s="296"/>
      <c r="J872" s="296"/>
      <c r="K872" s="296"/>
      <c r="L872" s="296"/>
      <c r="M872" s="296"/>
      <c r="N872" s="296"/>
      <c r="O872" s="269"/>
      <c r="P872" s="269"/>
      <c r="Q872" s="269"/>
      <c r="R872" s="296"/>
      <c r="S872" s="296"/>
      <c r="T872" s="296"/>
      <c r="U872" s="296"/>
      <c r="V872" s="296"/>
      <c r="W872" s="296"/>
      <c r="X872" s="296"/>
      <c r="Y872" s="296"/>
      <c r="Z872" s="296"/>
      <c r="AA872" s="296"/>
      <c r="AB872" s="296"/>
      <c r="AC872" s="296"/>
      <c r="AD872" s="296"/>
      <c r="AE872" s="307"/>
      <c r="AF872" s="273"/>
      <c r="AG872" s="274"/>
    </row>
    <row r="873">
      <c r="A873" s="296"/>
      <c r="B873" s="269"/>
      <c r="C873" s="296"/>
      <c r="D873" s="296"/>
      <c r="E873" s="296"/>
      <c r="F873" s="296"/>
      <c r="G873" s="296"/>
      <c r="H873" s="296"/>
      <c r="I873" s="296"/>
      <c r="J873" s="296"/>
      <c r="K873" s="296"/>
      <c r="L873" s="296"/>
      <c r="M873" s="296"/>
      <c r="N873" s="296"/>
      <c r="O873" s="269"/>
      <c r="P873" s="269"/>
      <c r="Q873" s="269"/>
      <c r="R873" s="296"/>
      <c r="S873" s="296"/>
      <c r="T873" s="296"/>
      <c r="U873" s="296"/>
      <c r="V873" s="296"/>
      <c r="W873" s="296"/>
      <c r="X873" s="296"/>
      <c r="Y873" s="296"/>
      <c r="Z873" s="296"/>
      <c r="AA873" s="296"/>
      <c r="AB873" s="296"/>
      <c r="AC873" s="296"/>
      <c r="AD873" s="296"/>
      <c r="AE873" s="307"/>
      <c r="AF873" s="273"/>
      <c r="AG873" s="274"/>
    </row>
    <row r="874">
      <c r="A874" s="296"/>
      <c r="B874" s="269"/>
      <c r="C874" s="296"/>
      <c r="D874" s="296"/>
      <c r="E874" s="296"/>
      <c r="F874" s="296"/>
      <c r="G874" s="296"/>
      <c r="H874" s="296"/>
      <c r="I874" s="296"/>
      <c r="J874" s="296"/>
      <c r="K874" s="296"/>
      <c r="L874" s="296"/>
      <c r="M874" s="296"/>
      <c r="N874" s="296"/>
      <c r="O874" s="269"/>
      <c r="P874" s="269"/>
      <c r="Q874" s="269"/>
      <c r="R874" s="296"/>
      <c r="S874" s="296"/>
      <c r="T874" s="296"/>
      <c r="U874" s="296"/>
      <c r="V874" s="296"/>
      <c r="W874" s="296"/>
      <c r="X874" s="296"/>
      <c r="Y874" s="296"/>
      <c r="Z874" s="296"/>
      <c r="AA874" s="296"/>
      <c r="AB874" s="296"/>
      <c r="AC874" s="296"/>
      <c r="AD874" s="296"/>
      <c r="AE874" s="307"/>
      <c r="AF874" s="273"/>
      <c r="AG874" s="274"/>
    </row>
    <row r="875">
      <c r="A875" s="296"/>
      <c r="B875" s="269"/>
      <c r="C875" s="296"/>
      <c r="D875" s="296"/>
      <c r="E875" s="296"/>
      <c r="F875" s="296"/>
      <c r="G875" s="296"/>
      <c r="H875" s="296"/>
      <c r="I875" s="296"/>
      <c r="J875" s="296"/>
      <c r="K875" s="296"/>
      <c r="L875" s="296"/>
      <c r="M875" s="296"/>
      <c r="N875" s="296"/>
      <c r="O875" s="269"/>
      <c r="P875" s="269"/>
      <c r="Q875" s="269"/>
      <c r="R875" s="296"/>
      <c r="S875" s="296"/>
      <c r="T875" s="296"/>
      <c r="U875" s="296"/>
      <c r="V875" s="296"/>
      <c r="W875" s="296"/>
      <c r="X875" s="296"/>
      <c r="Y875" s="296"/>
      <c r="Z875" s="296"/>
      <c r="AA875" s="296"/>
      <c r="AB875" s="296"/>
      <c r="AC875" s="296"/>
      <c r="AD875" s="296"/>
      <c r="AE875" s="307"/>
      <c r="AF875" s="273"/>
      <c r="AG875" s="274"/>
    </row>
    <row r="876">
      <c r="A876" s="296"/>
      <c r="B876" s="269"/>
      <c r="C876" s="296"/>
      <c r="D876" s="296"/>
      <c r="E876" s="296"/>
      <c r="F876" s="296"/>
      <c r="G876" s="296"/>
      <c r="H876" s="296"/>
      <c r="I876" s="296"/>
      <c r="J876" s="296"/>
      <c r="K876" s="296"/>
      <c r="L876" s="296"/>
      <c r="M876" s="296"/>
      <c r="N876" s="296"/>
      <c r="O876" s="269"/>
      <c r="P876" s="269"/>
      <c r="Q876" s="269"/>
      <c r="R876" s="296"/>
      <c r="S876" s="296"/>
      <c r="T876" s="296"/>
      <c r="U876" s="296"/>
      <c r="V876" s="296"/>
      <c r="W876" s="296"/>
      <c r="X876" s="296"/>
      <c r="Y876" s="296"/>
      <c r="Z876" s="296"/>
      <c r="AA876" s="296"/>
      <c r="AB876" s="296"/>
      <c r="AC876" s="296"/>
      <c r="AD876" s="296"/>
      <c r="AE876" s="307"/>
      <c r="AF876" s="273"/>
      <c r="AG876" s="274"/>
    </row>
    <row r="877">
      <c r="A877" s="296"/>
      <c r="B877" s="269"/>
      <c r="C877" s="296"/>
      <c r="D877" s="296"/>
      <c r="E877" s="296"/>
      <c r="F877" s="296"/>
      <c r="G877" s="296"/>
      <c r="H877" s="296"/>
      <c r="I877" s="296"/>
      <c r="J877" s="296"/>
      <c r="K877" s="296"/>
      <c r="L877" s="296"/>
      <c r="M877" s="296"/>
      <c r="N877" s="296"/>
      <c r="O877" s="269"/>
      <c r="P877" s="269"/>
      <c r="Q877" s="269"/>
      <c r="R877" s="296"/>
      <c r="S877" s="296"/>
      <c r="T877" s="296"/>
      <c r="U877" s="296"/>
      <c r="V877" s="296"/>
      <c r="W877" s="296"/>
      <c r="X877" s="296"/>
      <c r="Y877" s="296"/>
      <c r="Z877" s="296"/>
      <c r="AA877" s="296"/>
      <c r="AB877" s="296"/>
      <c r="AC877" s="296"/>
      <c r="AD877" s="296"/>
      <c r="AE877" s="307"/>
      <c r="AF877" s="273"/>
      <c r="AG877" s="274"/>
    </row>
    <row r="878">
      <c r="A878" s="296"/>
      <c r="B878" s="269"/>
      <c r="C878" s="296"/>
      <c r="D878" s="296"/>
      <c r="E878" s="296"/>
      <c r="F878" s="296"/>
      <c r="G878" s="296"/>
      <c r="H878" s="296"/>
      <c r="I878" s="296"/>
      <c r="J878" s="296"/>
      <c r="K878" s="296"/>
      <c r="L878" s="296"/>
      <c r="M878" s="296"/>
      <c r="N878" s="296"/>
      <c r="O878" s="269"/>
      <c r="P878" s="269"/>
      <c r="Q878" s="269"/>
      <c r="R878" s="296"/>
      <c r="S878" s="296"/>
      <c r="T878" s="296"/>
      <c r="U878" s="296"/>
      <c r="V878" s="296"/>
      <c r="W878" s="296"/>
      <c r="X878" s="296"/>
      <c r="Y878" s="296"/>
      <c r="Z878" s="296"/>
      <c r="AA878" s="296"/>
      <c r="AB878" s="296"/>
      <c r="AC878" s="296"/>
      <c r="AD878" s="296"/>
      <c r="AE878" s="307"/>
      <c r="AF878" s="273"/>
      <c r="AG878" s="274"/>
    </row>
    <row r="879">
      <c r="A879" s="296"/>
      <c r="B879" s="269"/>
      <c r="C879" s="296"/>
      <c r="D879" s="296"/>
      <c r="E879" s="296"/>
      <c r="F879" s="296"/>
      <c r="G879" s="296"/>
      <c r="H879" s="296"/>
      <c r="I879" s="296"/>
      <c r="J879" s="296"/>
      <c r="K879" s="296"/>
      <c r="L879" s="296"/>
      <c r="M879" s="296"/>
      <c r="N879" s="296"/>
      <c r="O879" s="269"/>
      <c r="P879" s="269"/>
      <c r="Q879" s="269"/>
      <c r="R879" s="296"/>
      <c r="S879" s="296"/>
      <c r="T879" s="296"/>
      <c r="U879" s="296"/>
      <c r="V879" s="296"/>
      <c r="W879" s="296"/>
      <c r="X879" s="296"/>
      <c r="Y879" s="296"/>
      <c r="Z879" s="296"/>
      <c r="AA879" s="296"/>
      <c r="AB879" s="296"/>
      <c r="AC879" s="296"/>
      <c r="AD879" s="296"/>
      <c r="AE879" s="307"/>
      <c r="AF879" s="273"/>
      <c r="AG879" s="274"/>
    </row>
    <row r="880">
      <c r="A880" s="296"/>
      <c r="B880" s="269"/>
      <c r="C880" s="296"/>
      <c r="D880" s="296"/>
      <c r="E880" s="296"/>
      <c r="F880" s="296"/>
      <c r="G880" s="296"/>
      <c r="H880" s="296"/>
      <c r="I880" s="296"/>
      <c r="J880" s="296"/>
      <c r="K880" s="296"/>
      <c r="L880" s="296"/>
      <c r="M880" s="296"/>
      <c r="N880" s="296"/>
      <c r="O880" s="269"/>
      <c r="P880" s="269"/>
      <c r="Q880" s="269"/>
      <c r="R880" s="296"/>
      <c r="S880" s="296"/>
      <c r="T880" s="296"/>
      <c r="U880" s="296"/>
      <c r="V880" s="296"/>
      <c r="W880" s="296"/>
      <c r="X880" s="296"/>
      <c r="Y880" s="296"/>
      <c r="Z880" s="296"/>
      <c r="AA880" s="296"/>
      <c r="AB880" s="296"/>
      <c r="AC880" s="296"/>
      <c r="AD880" s="296"/>
      <c r="AE880" s="307"/>
      <c r="AF880" s="273"/>
      <c r="AG880" s="274"/>
    </row>
    <row r="881">
      <c r="A881" s="296"/>
      <c r="B881" s="269"/>
      <c r="C881" s="296"/>
      <c r="D881" s="296"/>
      <c r="E881" s="296"/>
      <c r="F881" s="296"/>
      <c r="G881" s="296"/>
      <c r="H881" s="296"/>
      <c r="I881" s="296"/>
      <c r="J881" s="296"/>
      <c r="K881" s="296"/>
      <c r="L881" s="296"/>
      <c r="M881" s="296"/>
      <c r="N881" s="296"/>
      <c r="O881" s="269"/>
      <c r="P881" s="269"/>
      <c r="Q881" s="269"/>
      <c r="R881" s="296"/>
      <c r="S881" s="296"/>
      <c r="T881" s="296"/>
      <c r="U881" s="296"/>
      <c r="V881" s="296"/>
      <c r="W881" s="296"/>
      <c r="X881" s="296"/>
      <c r="Y881" s="296"/>
      <c r="Z881" s="296"/>
      <c r="AA881" s="296"/>
      <c r="AB881" s="296"/>
      <c r="AC881" s="296"/>
      <c r="AD881" s="296"/>
      <c r="AE881" s="307"/>
      <c r="AF881" s="273"/>
      <c r="AG881" s="274"/>
    </row>
    <row r="882">
      <c r="A882" s="296"/>
      <c r="B882" s="269"/>
      <c r="C882" s="296"/>
      <c r="D882" s="296"/>
      <c r="E882" s="296"/>
      <c r="F882" s="296"/>
      <c r="G882" s="296"/>
      <c r="H882" s="296"/>
      <c r="I882" s="296"/>
      <c r="J882" s="296"/>
      <c r="K882" s="296"/>
      <c r="L882" s="296"/>
      <c r="M882" s="296"/>
      <c r="N882" s="296"/>
      <c r="O882" s="269"/>
      <c r="P882" s="269"/>
      <c r="Q882" s="269"/>
      <c r="R882" s="296"/>
      <c r="S882" s="296"/>
      <c r="T882" s="296"/>
      <c r="U882" s="296"/>
      <c r="V882" s="296"/>
      <c r="W882" s="296"/>
      <c r="X882" s="296"/>
      <c r="Y882" s="296"/>
      <c r="Z882" s="296"/>
      <c r="AA882" s="296"/>
      <c r="AB882" s="296"/>
      <c r="AC882" s="296"/>
      <c r="AD882" s="296"/>
      <c r="AE882" s="307"/>
      <c r="AF882" s="273"/>
      <c r="AG882" s="274"/>
    </row>
    <row r="883">
      <c r="A883" s="296"/>
      <c r="B883" s="269"/>
      <c r="C883" s="296"/>
      <c r="D883" s="296"/>
      <c r="E883" s="296"/>
      <c r="F883" s="296"/>
      <c r="G883" s="296"/>
      <c r="H883" s="296"/>
      <c r="I883" s="296"/>
      <c r="J883" s="296"/>
      <c r="K883" s="296"/>
      <c r="L883" s="296"/>
      <c r="M883" s="296"/>
      <c r="N883" s="296"/>
      <c r="O883" s="269"/>
      <c r="P883" s="269"/>
      <c r="Q883" s="269"/>
      <c r="R883" s="296"/>
      <c r="S883" s="296"/>
      <c r="T883" s="296"/>
      <c r="U883" s="296"/>
      <c r="V883" s="296"/>
      <c r="W883" s="296"/>
      <c r="X883" s="296"/>
      <c r="Y883" s="296"/>
      <c r="Z883" s="296"/>
      <c r="AA883" s="296"/>
      <c r="AB883" s="296"/>
      <c r="AC883" s="296"/>
      <c r="AD883" s="296"/>
      <c r="AE883" s="307"/>
      <c r="AF883" s="273"/>
      <c r="AG883" s="274"/>
    </row>
    <row r="884">
      <c r="A884" s="296"/>
      <c r="B884" s="269"/>
      <c r="C884" s="296"/>
      <c r="D884" s="296"/>
      <c r="E884" s="296"/>
      <c r="F884" s="296"/>
      <c r="G884" s="296"/>
      <c r="H884" s="296"/>
      <c r="I884" s="296"/>
      <c r="J884" s="296"/>
      <c r="K884" s="296"/>
      <c r="L884" s="296"/>
      <c r="M884" s="296"/>
      <c r="N884" s="296"/>
      <c r="O884" s="269"/>
      <c r="P884" s="269"/>
      <c r="Q884" s="269"/>
      <c r="R884" s="296"/>
      <c r="S884" s="296"/>
      <c r="T884" s="296"/>
      <c r="U884" s="296"/>
      <c r="V884" s="296"/>
      <c r="W884" s="296"/>
      <c r="X884" s="296"/>
      <c r="Y884" s="296"/>
      <c r="Z884" s="296"/>
      <c r="AA884" s="296"/>
      <c r="AB884" s="296"/>
      <c r="AC884" s="296"/>
      <c r="AD884" s="296"/>
      <c r="AE884" s="307"/>
      <c r="AF884" s="273"/>
      <c r="AG884" s="274"/>
    </row>
    <row r="885">
      <c r="A885" s="296"/>
      <c r="B885" s="269"/>
      <c r="C885" s="296"/>
      <c r="D885" s="296"/>
      <c r="E885" s="296"/>
      <c r="F885" s="296"/>
      <c r="G885" s="296"/>
      <c r="H885" s="296"/>
      <c r="I885" s="296"/>
      <c r="J885" s="296"/>
      <c r="K885" s="296"/>
      <c r="L885" s="296"/>
      <c r="M885" s="296"/>
      <c r="N885" s="296"/>
      <c r="O885" s="269"/>
      <c r="P885" s="269"/>
      <c r="Q885" s="269"/>
      <c r="R885" s="296"/>
      <c r="S885" s="296"/>
      <c r="T885" s="296"/>
      <c r="U885" s="296"/>
      <c r="V885" s="296"/>
      <c r="W885" s="296"/>
      <c r="X885" s="296"/>
      <c r="Y885" s="296"/>
      <c r="Z885" s="296"/>
      <c r="AA885" s="296"/>
      <c r="AB885" s="296"/>
      <c r="AC885" s="296"/>
      <c r="AD885" s="296"/>
      <c r="AE885" s="307"/>
      <c r="AF885" s="273"/>
      <c r="AG885" s="274"/>
    </row>
    <row r="886">
      <c r="A886" s="296"/>
      <c r="B886" s="269"/>
      <c r="C886" s="296"/>
      <c r="D886" s="296"/>
      <c r="E886" s="296"/>
      <c r="F886" s="296"/>
      <c r="G886" s="296"/>
      <c r="H886" s="296"/>
      <c r="I886" s="296"/>
      <c r="J886" s="296"/>
      <c r="K886" s="296"/>
      <c r="L886" s="296"/>
      <c r="M886" s="296"/>
      <c r="N886" s="296"/>
      <c r="O886" s="269"/>
      <c r="P886" s="269"/>
      <c r="Q886" s="269"/>
      <c r="R886" s="296"/>
      <c r="S886" s="296"/>
      <c r="T886" s="296"/>
      <c r="U886" s="296"/>
      <c r="V886" s="296"/>
      <c r="W886" s="296"/>
      <c r="X886" s="296"/>
      <c r="Y886" s="296"/>
      <c r="Z886" s="296"/>
      <c r="AA886" s="296"/>
      <c r="AB886" s="296"/>
      <c r="AC886" s="296"/>
      <c r="AD886" s="296"/>
      <c r="AE886" s="307"/>
      <c r="AF886" s="273"/>
      <c r="AG886" s="274"/>
    </row>
    <row r="887">
      <c r="A887" s="296"/>
      <c r="B887" s="269"/>
      <c r="C887" s="296"/>
      <c r="D887" s="296"/>
      <c r="E887" s="296"/>
      <c r="F887" s="296"/>
      <c r="G887" s="296"/>
      <c r="H887" s="296"/>
      <c r="I887" s="296"/>
      <c r="J887" s="296"/>
      <c r="K887" s="296"/>
      <c r="L887" s="296"/>
      <c r="M887" s="296"/>
      <c r="N887" s="296"/>
      <c r="O887" s="269"/>
      <c r="P887" s="269"/>
      <c r="Q887" s="269"/>
      <c r="R887" s="296"/>
      <c r="S887" s="296"/>
      <c r="T887" s="296"/>
      <c r="U887" s="296"/>
      <c r="V887" s="296"/>
      <c r="W887" s="296"/>
      <c r="X887" s="296"/>
      <c r="Y887" s="296"/>
      <c r="Z887" s="296"/>
      <c r="AA887" s="296"/>
      <c r="AB887" s="296"/>
      <c r="AC887" s="296"/>
      <c r="AD887" s="296"/>
      <c r="AE887" s="307"/>
      <c r="AF887" s="273"/>
      <c r="AG887" s="274"/>
    </row>
    <row r="888">
      <c r="A888" s="296"/>
      <c r="B888" s="269"/>
      <c r="C888" s="296"/>
      <c r="D888" s="296"/>
      <c r="E888" s="296"/>
      <c r="F888" s="296"/>
      <c r="G888" s="296"/>
      <c r="H888" s="296"/>
      <c r="I888" s="296"/>
      <c r="J888" s="296"/>
      <c r="K888" s="296"/>
      <c r="L888" s="296"/>
      <c r="M888" s="296"/>
      <c r="N888" s="296"/>
      <c r="O888" s="269"/>
      <c r="P888" s="269"/>
      <c r="Q888" s="269"/>
      <c r="R888" s="296"/>
      <c r="S888" s="296"/>
      <c r="T888" s="296"/>
      <c r="U888" s="296"/>
      <c r="V888" s="296"/>
      <c r="W888" s="296"/>
      <c r="X888" s="296"/>
      <c r="Y888" s="296"/>
      <c r="Z888" s="296"/>
      <c r="AA888" s="296"/>
      <c r="AB888" s="296"/>
      <c r="AC888" s="296"/>
      <c r="AD888" s="296"/>
      <c r="AE888" s="307"/>
      <c r="AF888" s="273"/>
      <c r="AG888" s="274"/>
    </row>
    <row r="889">
      <c r="A889" s="296"/>
      <c r="B889" s="269"/>
      <c r="C889" s="296"/>
      <c r="D889" s="296"/>
      <c r="E889" s="296"/>
      <c r="F889" s="296"/>
      <c r="G889" s="296"/>
      <c r="H889" s="296"/>
      <c r="I889" s="296"/>
      <c r="J889" s="296"/>
      <c r="K889" s="296"/>
      <c r="L889" s="296"/>
      <c r="M889" s="296"/>
      <c r="N889" s="296"/>
      <c r="O889" s="269"/>
      <c r="P889" s="269"/>
      <c r="Q889" s="269"/>
      <c r="R889" s="296"/>
      <c r="S889" s="296"/>
      <c r="T889" s="296"/>
      <c r="U889" s="296"/>
      <c r="V889" s="296"/>
      <c r="W889" s="296"/>
      <c r="X889" s="296"/>
      <c r="Y889" s="296"/>
      <c r="Z889" s="296"/>
      <c r="AA889" s="296"/>
      <c r="AB889" s="296"/>
      <c r="AC889" s="296"/>
      <c r="AD889" s="296"/>
      <c r="AE889" s="307"/>
      <c r="AF889" s="273"/>
      <c r="AG889" s="274"/>
    </row>
    <row r="890">
      <c r="A890" s="296"/>
      <c r="B890" s="269"/>
      <c r="C890" s="296"/>
      <c r="D890" s="296"/>
      <c r="E890" s="296"/>
      <c r="F890" s="296"/>
      <c r="G890" s="296"/>
      <c r="H890" s="296"/>
      <c r="I890" s="296"/>
      <c r="J890" s="296"/>
      <c r="K890" s="296"/>
      <c r="L890" s="296"/>
      <c r="M890" s="296"/>
      <c r="N890" s="296"/>
      <c r="O890" s="269"/>
      <c r="P890" s="269"/>
      <c r="Q890" s="269"/>
      <c r="R890" s="296"/>
      <c r="S890" s="296"/>
      <c r="T890" s="296"/>
      <c r="U890" s="296"/>
      <c r="V890" s="296"/>
      <c r="W890" s="296"/>
      <c r="X890" s="296"/>
      <c r="Y890" s="296"/>
      <c r="Z890" s="296"/>
      <c r="AA890" s="296"/>
      <c r="AB890" s="296"/>
      <c r="AC890" s="296"/>
      <c r="AD890" s="296"/>
      <c r="AE890" s="307"/>
      <c r="AF890" s="273"/>
      <c r="AG890" s="274"/>
    </row>
    <row r="891">
      <c r="A891" s="296"/>
      <c r="B891" s="269"/>
      <c r="C891" s="296"/>
      <c r="D891" s="296"/>
      <c r="E891" s="296"/>
      <c r="F891" s="296"/>
      <c r="G891" s="296"/>
      <c r="H891" s="296"/>
      <c r="I891" s="296"/>
      <c r="J891" s="296"/>
      <c r="K891" s="296"/>
      <c r="L891" s="296"/>
      <c r="M891" s="296"/>
      <c r="N891" s="296"/>
      <c r="O891" s="269"/>
      <c r="P891" s="269"/>
      <c r="Q891" s="269"/>
      <c r="R891" s="296"/>
      <c r="S891" s="296"/>
      <c r="T891" s="296"/>
      <c r="U891" s="296"/>
      <c r="V891" s="296"/>
      <c r="W891" s="296"/>
      <c r="X891" s="296"/>
      <c r="Y891" s="296"/>
      <c r="Z891" s="296"/>
      <c r="AA891" s="296"/>
      <c r="AB891" s="296"/>
      <c r="AC891" s="296"/>
      <c r="AD891" s="296"/>
      <c r="AE891" s="307"/>
      <c r="AF891" s="273"/>
      <c r="AG891" s="274"/>
    </row>
    <row r="892">
      <c r="A892" s="296"/>
      <c r="B892" s="269"/>
      <c r="C892" s="296"/>
      <c r="D892" s="296"/>
      <c r="E892" s="296"/>
      <c r="F892" s="296"/>
      <c r="G892" s="296"/>
      <c r="H892" s="296"/>
      <c r="I892" s="296"/>
      <c r="J892" s="296"/>
      <c r="K892" s="296"/>
      <c r="L892" s="296"/>
      <c r="M892" s="296"/>
      <c r="N892" s="296"/>
      <c r="O892" s="269"/>
      <c r="P892" s="269"/>
      <c r="Q892" s="269"/>
      <c r="R892" s="296"/>
      <c r="S892" s="296"/>
      <c r="T892" s="296"/>
      <c r="U892" s="296"/>
      <c r="V892" s="296"/>
      <c r="W892" s="296"/>
      <c r="X892" s="296"/>
      <c r="Y892" s="296"/>
      <c r="Z892" s="296"/>
      <c r="AA892" s="296"/>
      <c r="AB892" s="296"/>
      <c r="AC892" s="296"/>
      <c r="AD892" s="296"/>
      <c r="AE892" s="307"/>
      <c r="AF892" s="273"/>
      <c r="AG892" s="274"/>
    </row>
    <row r="893">
      <c r="A893" s="296"/>
      <c r="B893" s="269"/>
      <c r="C893" s="296"/>
      <c r="D893" s="296"/>
      <c r="E893" s="296"/>
      <c r="F893" s="296"/>
      <c r="G893" s="296"/>
      <c r="H893" s="296"/>
      <c r="I893" s="296"/>
      <c r="J893" s="296"/>
      <c r="K893" s="296"/>
      <c r="L893" s="296"/>
      <c r="M893" s="296"/>
      <c r="N893" s="296"/>
      <c r="O893" s="269"/>
      <c r="P893" s="269"/>
      <c r="Q893" s="269"/>
      <c r="R893" s="296"/>
      <c r="S893" s="296"/>
      <c r="T893" s="296"/>
      <c r="U893" s="296"/>
      <c r="V893" s="296"/>
      <c r="W893" s="296"/>
      <c r="X893" s="296"/>
      <c r="Y893" s="296"/>
      <c r="Z893" s="296"/>
      <c r="AA893" s="296"/>
      <c r="AB893" s="296"/>
      <c r="AC893" s="296"/>
      <c r="AD893" s="296"/>
      <c r="AE893" s="307"/>
      <c r="AF893" s="273"/>
      <c r="AG893" s="274"/>
    </row>
    <row r="894">
      <c r="A894" s="296"/>
      <c r="B894" s="269"/>
      <c r="C894" s="296"/>
      <c r="D894" s="296"/>
      <c r="E894" s="296"/>
      <c r="F894" s="296"/>
      <c r="G894" s="296"/>
      <c r="H894" s="296"/>
      <c r="I894" s="296"/>
      <c r="J894" s="296"/>
      <c r="K894" s="296"/>
      <c r="L894" s="296"/>
      <c r="M894" s="296"/>
      <c r="N894" s="296"/>
      <c r="O894" s="269"/>
      <c r="P894" s="269"/>
      <c r="Q894" s="269"/>
      <c r="R894" s="296"/>
      <c r="S894" s="296"/>
      <c r="T894" s="296"/>
      <c r="U894" s="296"/>
      <c r="V894" s="296"/>
      <c r="W894" s="296"/>
      <c r="X894" s="296"/>
      <c r="Y894" s="296"/>
      <c r="Z894" s="296"/>
      <c r="AA894" s="296"/>
      <c r="AB894" s="296"/>
      <c r="AC894" s="296"/>
      <c r="AD894" s="296"/>
      <c r="AE894" s="307"/>
      <c r="AF894" s="273"/>
      <c r="AG894" s="274"/>
    </row>
    <row r="895">
      <c r="A895" s="296"/>
      <c r="B895" s="269"/>
      <c r="C895" s="296"/>
      <c r="D895" s="296"/>
      <c r="E895" s="296"/>
      <c r="F895" s="296"/>
      <c r="G895" s="296"/>
      <c r="H895" s="296"/>
      <c r="I895" s="296"/>
      <c r="J895" s="296"/>
      <c r="K895" s="296"/>
      <c r="L895" s="296"/>
      <c r="M895" s="296"/>
      <c r="N895" s="296"/>
      <c r="O895" s="269"/>
      <c r="P895" s="269"/>
      <c r="Q895" s="269"/>
      <c r="R895" s="296"/>
      <c r="S895" s="296"/>
      <c r="T895" s="296"/>
      <c r="U895" s="296"/>
      <c r="V895" s="296"/>
      <c r="W895" s="296"/>
      <c r="X895" s="296"/>
      <c r="Y895" s="296"/>
      <c r="Z895" s="296"/>
      <c r="AA895" s="296"/>
      <c r="AB895" s="296"/>
      <c r="AC895" s="296"/>
      <c r="AD895" s="296"/>
      <c r="AE895" s="307"/>
      <c r="AF895" s="273"/>
      <c r="AG895" s="274"/>
    </row>
    <row r="896">
      <c r="A896" s="296"/>
      <c r="B896" s="269"/>
      <c r="C896" s="296"/>
      <c r="D896" s="296"/>
      <c r="E896" s="296"/>
      <c r="F896" s="296"/>
      <c r="G896" s="296"/>
      <c r="H896" s="296"/>
      <c r="I896" s="296"/>
      <c r="J896" s="296"/>
      <c r="K896" s="296"/>
      <c r="L896" s="296"/>
      <c r="M896" s="296"/>
      <c r="N896" s="296"/>
      <c r="O896" s="269"/>
      <c r="P896" s="269"/>
      <c r="Q896" s="269"/>
      <c r="R896" s="296"/>
      <c r="S896" s="296"/>
      <c r="T896" s="296"/>
      <c r="U896" s="296"/>
      <c r="V896" s="296"/>
      <c r="W896" s="296"/>
      <c r="X896" s="296"/>
      <c r="Y896" s="296"/>
      <c r="Z896" s="296"/>
      <c r="AA896" s="296"/>
      <c r="AB896" s="296"/>
      <c r="AC896" s="296"/>
      <c r="AD896" s="296"/>
      <c r="AE896" s="307"/>
      <c r="AF896" s="273"/>
      <c r="AG896" s="274"/>
    </row>
    <row r="897">
      <c r="A897" s="296"/>
      <c r="B897" s="269"/>
      <c r="C897" s="296"/>
      <c r="D897" s="296"/>
      <c r="E897" s="296"/>
      <c r="F897" s="296"/>
      <c r="G897" s="296"/>
      <c r="H897" s="296"/>
      <c r="I897" s="296"/>
      <c r="J897" s="296"/>
      <c r="K897" s="296"/>
      <c r="L897" s="296"/>
      <c r="M897" s="296"/>
      <c r="N897" s="296"/>
      <c r="O897" s="269"/>
      <c r="P897" s="269"/>
      <c r="Q897" s="269"/>
      <c r="R897" s="296"/>
      <c r="S897" s="296"/>
      <c r="T897" s="296"/>
      <c r="U897" s="296"/>
      <c r="V897" s="296"/>
      <c r="W897" s="296"/>
      <c r="X897" s="296"/>
      <c r="Y897" s="296"/>
      <c r="Z897" s="296"/>
      <c r="AA897" s="296"/>
      <c r="AB897" s="296"/>
      <c r="AC897" s="296"/>
      <c r="AD897" s="296"/>
      <c r="AE897" s="307"/>
      <c r="AF897" s="273"/>
      <c r="AG897" s="274"/>
    </row>
    <row r="898">
      <c r="A898" s="296"/>
      <c r="B898" s="269"/>
      <c r="C898" s="296"/>
      <c r="D898" s="296"/>
      <c r="E898" s="296"/>
      <c r="F898" s="296"/>
      <c r="G898" s="296"/>
      <c r="H898" s="296"/>
      <c r="I898" s="296"/>
      <c r="J898" s="296"/>
      <c r="K898" s="296"/>
      <c r="L898" s="296"/>
      <c r="M898" s="296"/>
      <c r="N898" s="296"/>
      <c r="O898" s="269"/>
      <c r="P898" s="269"/>
      <c r="Q898" s="269"/>
      <c r="R898" s="296"/>
      <c r="S898" s="296"/>
      <c r="T898" s="296"/>
      <c r="U898" s="296"/>
      <c r="V898" s="296"/>
      <c r="W898" s="296"/>
      <c r="X898" s="296"/>
      <c r="Y898" s="296"/>
      <c r="Z898" s="296"/>
      <c r="AA898" s="296"/>
      <c r="AB898" s="296"/>
      <c r="AC898" s="296"/>
      <c r="AD898" s="296"/>
      <c r="AE898" s="307"/>
      <c r="AF898" s="273"/>
      <c r="AG898" s="274"/>
    </row>
    <row r="899">
      <c r="A899" s="296"/>
      <c r="B899" s="269"/>
      <c r="C899" s="296"/>
      <c r="D899" s="296"/>
      <c r="E899" s="296"/>
      <c r="F899" s="296"/>
      <c r="G899" s="296"/>
      <c r="H899" s="296"/>
      <c r="I899" s="296"/>
      <c r="J899" s="296"/>
      <c r="K899" s="296"/>
      <c r="L899" s="296"/>
      <c r="M899" s="296"/>
      <c r="N899" s="296"/>
      <c r="O899" s="269"/>
      <c r="P899" s="269"/>
      <c r="Q899" s="269"/>
      <c r="R899" s="296"/>
      <c r="S899" s="296"/>
      <c r="T899" s="296"/>
      <c r="U899" s="296"/>
      <c r="V899" s="296"/>
      <c r="W899" s="296"/>
      <c r="X899" s="296"/>
      <c r="Y899" s="296"/>
      <c r="Z899" s="296"/>
      <c r="AA899" s="296"/>
      <c r="AB899" s="296"/>
      <c r="AC899" s="296"/>
      <c r="AD899" s="296"/>
      <c r="AE899" s="307"/>
      <c r="AF899" s="273"/>
      <c r="AG899" s="274"/>
    </row>
    <row r="900">
      <c r="A900" s="296"/>
      <c r="B900" s="269"/>
      <c r="C900" s="296"/>
      <c r="D900" s="296"/>
      <c r="E900" s="296"/>
      <c r="F900" s="296"/>
      <c r="G900" s="296"/>
      <c r="H900" s="296"/>
      <c r="I900" s="296"/>
      <c r="J900" s="296"/>
      <c r="K900" s="296"/>
      <c r="L900" s="296"/>
      <c r="M900" s="296"/>
      <c r="N900" s="296"/>
      <c r="O900" s="269"/>
      <c r="P900" s="269"/>
      <c r="Q900" s="269"/>
      <c r="R900" s="296"/>
      <c r="S900" s="296"/>
      <c r="T900" s="296"/>
      <c r="U900" s="296"/>
      <c r="V900" s="296"/>
      <c r="W900" s="296"/>
      <c r="X900" s="296"/>
      <c r="Y900" s="296"/>
      <c r="Z900" s="296"/>
      <c r="AA900" s="296"/>
      <c r="AB900" s="296"/>
      <c r="AC900" s="296"/>
      <c r="AD900" s="296"/>
      <c r="AE900" s="307"/>
      <c r="AF900" s="273"/>
      <c r="AG900" s="274"/>
    </row>
    <row r="901">
      <c r="A901" s="296"/>
      <c r="B901" s="269"/>
      <c r="C901" s="296"/>
      <c r="D901" s="296"/>
      <c r="E901" s="296"/>
      <c r="F901" s="296"/>
      <c r="G901" s="296"/>
      <c r="H901" s="296"/>
      <c r="I901" s="296"/>
      <c r="J901" s="296"/>
      <c r="K901" s="296"/>
      <c r="L901" s="296"/>
      <c r="M901" s="296"/>
      <c r="N901" s="296"/>
      <c r="O901" s="269"/>
      <c r="P901" s="269"/>
      <c r="Q901" s="269"/>
      <c r="R901" s="296"/>
      <c r="S901" s="296"/>
      <c r="T901" s="296"/>
      <c r="U901" s="296"/>
      <c r="V901" s="296"/>
      <c r="W901" s="296"/>
      <c r="X901" s="296"/>
      <c r="Y901" s="296"/>
      <c r="Z901" s="296"/>
      <c r="AA901" s="296"/>
      <c r="AB901" s="296"/>
      <c r="AC901" s="296"/>
      <c r="AD901" s="296"/>
      <c r="AE901" s="307"/>
      <c r="AF901" s="273"/>
      <c r="AG901" s="274"/>
    </row>
    <row r="902">
      <c r="A902" s="296"/>
      <c r="B902" s="269"/>
      <c r="C902" s="296"/>
      <c r="D902" s="296"/>
      <c r="E902" s="296"/>
      <c r="F902" s="296"/>
      <c r="G902" s="296"/>
      <c r="H902" s="296"/>
      <c r="I902" s="296"/>
      <c r="J902" s="296"/>
      <c r="K902" s="296"/>
      <c r="L902" s="296"/>
      <c r="M902" s="296"/>
      <c r="N902" s="296"/>
      <c r="O902" s="269"/>
      <c r="P902" s="269"/>
      <c r="Q902" s="269"/>
      <c r="R902" s="296"/>
      <c r="S902" s="296"/>
      <c r="T902" s="296"/>
      <c r="U902" s="296"/>
      <c r="V902" s="296"/>
      <c r="W902" s="296"/>
      <c r="X902" s="296"/>
      <c r="Y902" s="296"/>
      <c r="Z902" s="296"/>
      <c r="AA902" s="296"/>
      <c r="AB902" s="296"/>
      <c r="AC902" s="296"/>
      <c r="AD902" s="296"/>
      <c r="AE902" s="307"/>
      <c r="AF902" s="273"/>
      <c r="AG902" s="274"/>
    </row>
    <row r="903">
      <c r="A903" s="296"/>
      <c r="B903" s="269"/>
      <c r="C903" s="296"/>
      <c r="D903" s="296"/>
      <c r="E903" s="296"/>
      <c r="F903" s="296"/>
      <c r="G903" s="296"/>
      <c r="H903" s="296"/>
      <c r="I903" s="296"/>
      <c r="J903" s="296"/>
      <c r="K903" s="296"/>
      <c r="L903" s="296"/>
      <c r="M903" s="296"/>
      <c r="N903" s="296"/>
      <c r="O903" s="269"/>
      <c r="P903" s="269"/>
      <c r="Q903" s="269"/>
      <c r="R903" s="296"/>
      <c r="S903" s="296"/>
      <c r="T903" s="296"/>
      <c r="U903" s="296"/>
      <c r="V903" s="296"/>
      <c r="W903" s="296"/>
      <c r="X903" s="296"/>
      <c r="Y903" s="296"/>
      <c r="Z903" s="296"/>
      <c r="AA903" s="296"/>
      <c r="AB903" s="296"/>
      <c r="AC903" s="296"/>
      <c r="AD903" s="296"/>
      <c r="AE903" s="307"/>
      <c r="AF903" s="273"/>
      <c r="AG903" s="274"/>
    </row>
    <row r="904">
      <c r="A904" s="296"/>
      <c r="B904" s="269"/>
      <c r="C904" s="296"/>
      <c r="D904" s="296"/>
      <c r="E904" s="296"/>
      <c r="F904" s="296"/>
      <c r="G904" s="296"/>
      <c r="H904" s="296"/>
      <c r="I904" s="296"/>
      <c r="J904" s="296"/>
      <c r="K904" s="296"/>
      <c r="L904" s="296"/>
      <c r="M904" s="296"/>
      <c r="N904" s="296"/>
      <c r="O904" s="269"/>
      <c r="P904" s="269"/>
      <c r="Q904" s="269"/>
      <c r="R904" s="296"/>
      <c r="S904" s="296"/>
      <c r="T904" s="296"/>
      <c r="U904" s="296"/>
      <c r="V904" s="296"/>
      <c r="W904" s="296"/>
      <c r="X904" s="296"/>
      <c r="Y904" s="296"/>
      <c r="Z904" s="296"/>
      <c r="AA904" s="296"/>
      <c r="AB904" s="296"/>
      <c r="AC904" s="296"/>
      <c r="AD904" s="296"/>
      <c r="AE904" s="307"/>
      <c r="AF904" s="273"/>
      <c r="AG904" s="274"/>
    </row>
    <row r="905">
      <c r="A905" s="296"/>
      <c r="B905" s="269"/>
      <c r="C905" s="296"/>
      <c r="D905" s="296"/>
      <c r="E905" s="296"/>
      <c r="F905" s="296"/>
      <c r="G905" s="296"/>
      <c r="H905" s="296"/>
      <c r="I905" s="296"/>
      <c r="J905" s="296"/>
      <c r="K905" s="296"/>
      <c r="L905" s="296"/>
      <c r="M905" s="296"/>
      <c r="N905" s="296"/>
      <c r="O905" s="269"/>
      <c r="P905" s="269"/>
      <c r="Q905" s="269"/>
      <c r="R905" s="296"/>
      <c r="S905" s="296"/>
      <c r="T905" s="296"/>
      <c r="U905" s="296"/>
      <c r="V905" s="296"/>
      <c r="W905" s="296"/>
      <c r="X905" s="296"/>
      <c r="Y905" s="296"/>
      <c r="Z905" s="296"/>
      <c r="AA905" s="296"/>
      <c r="AB905" s="296"/>
      <c r="AC905" s="296"/>
      <c r="AD905" s="296"/>
      <c r="AE905" s="307"/>
      <c r="AF905" s="273"/>
      <c r="AG905" s="274"/>
    </row>
    <row r="906">
      <c r="A906" s="296"/>
      <c r="B906" s="269"/>
      <c r="C906" s="296"/>
      <c r="D906" s="296"/>
      <c r="E906" s="296"/>
      <c r="F906" s="296"/>
      <c r="G906" s="296"/>
      <c r="H906" s="296"/>
      <c r="I906" s="296"/>
      <c r="J906" s="296"/>
      <c r="K906" s="296"/>
      <c r="L906" s="296"/>
      <c r="M906" s="296"/>
      <c r="N906" s="296"/>
      <c r="O906" s="269"/>
      <c r="P906" s="269"/>
      <c r="Q906" s="269"/>
      <c r="R906" s="296"/>
      <c r="S906" s="296"/>
      <c r="T906" s="296"/>
      <c r="U906" s="296"/>
      <c r="V906" s="296"/>
      <c r="W906" s="296"/>
      <c r="X906" s="296"/>
      <c r="Y906" s="296"/>
      <c r="Z906" s="296"/>
      <c r="AA906" s="296"/>
      <c r="AB906" s="296"/>
      <c r="AC906" s="296"/>
      <c r="AD906" s="296"/>
      <c r="AE906" s="307"/>
      <c r="AF906" s="273"/>
      <c r="AG906" s="274"/>
    </row>
    <row r="907">
      <c r="A907" s="296"/>
      <c r="B907" s="269"/>
      <c r="C907" s="296"/>
      <c r="D907" s="296"/>
      <c r="E907" s="296"/>
      <c r="F907" s="296"/>
      <c r="G907" s="296"/>
      <c r="H907" s="296"/>
      <c r="I907" s="296"/>
      <c r="J907" s="296"/>
      <c r="K907" s="296"/>
      <c r="L907" s="296"/>
      <c r="M907" s="296"/>
      <c r="N907" s="296"/>
      <c r="O907" s="269"/>
      <c r="P907" s="269"/>
      <c r="Q907" s="269"/>
      <c r="R907" s="296"/>
      <c r="S907" s="296"/>
      <c r="T907" s="296"/>
      <c r="U907" s="296"/>
      <c r="V907" s="296"/>
      <c r="W907" s="296"/>
      <c r="X907" s="296"/>
      <c r="Y907" s="296"/>
      <c r="Z907" s="296"/>
      <c r="AA907" s="296"/>
      <c r="AB907" s="296"/>
      <c r="AC907" s="296"/>
      <c r="AD907" s="296"/>
      <c r="AE907" s="307"/>
      <c r="AF907" s="273"/>
      <c r="AG907" s="274"/>
    </row>
    <row r="908">
      <c r="A908" s="296"/>
      <c r="B908" s="269"/>
      <c r="C908" s="296"/>
      <c r="D908" s="296"/>
      <c r="E908" s="296"/>
      <c r="F908" s="296"/>
      <c r="G908" s="296"/>
      <c r="H908" s="296"/>
      <c r="I908" s="296"/>
      <c r="J908" s="296"/>
      <c r="K908" s="296"/>
      <c r="L908" s="296"/>
      <c r="M908" s="296"/>
      <c r="N908" s="296"/>
      <c r="O908" s="269"/>
      <c r="P908" s="269"/>
      <c r="Q908" s="269"/>
      <c r="R908" s="296"/>
      <c r="S908" s="296"/>
      <c r="T908" s="296"/>
      <c r="U908" s="296"/>
      <c r="V908" s="296"/>
      <c r="W908" s="296"/>
      <c r="X908" s="296"/>
      <c r="Y908" s="296"/>
      <c r="Z908" s="296"/>
      <c r="AA908" s="296"/>
      <c r="AB908" s="296"/>
      <c r="AC908" s="296"/>
      <c r="AD908" s="296"/>
      <c r="AE908" s="307"/>
      <c r="AF908" s="273"/>
      <c r="AG908" s="274"/>
    </row>
    <row r="909">
      <c r="A909" s="296"/>
      <c r="B909" s="269"/>
      <c r="C909" s="296"/>
      <c r="D909" s="296"/>
      <c r="E909" s="296"/>
      <c r="F909" s="296"/>
      <c r="G909" s="296"/>
      <c r="H909" s="296"/>
      <c r="I909" s="296"/>
      <c r="J909" s="296"/>
      <c r="K909" s="296"/>
      <c r="L909" s="296"/>
      <c r="M909" s="296"/>
      <c r="N909" s="296"/>
      <c r="O909" s="269"/>
      <c r="P909" s="269"/>
      <c r="Q909" s="269"/>
      <c r="R909" s="296"/>
      <c r="S909" s="296"/>
      <c r="T909" s="296"/>
      <c r="U909" s="296"/>
      <c r="V909" s="296"/>
      <c r="W909" s="296"/>
      <c r="X909" s="296"/>
      <c r="Y909" s="296"/>
      <c r="Z909" s="296"/>
      <c r="AA909" s="296"/>
      <c r="AB909" s="296"/>
      <c r="AC909" s="296"/>
      <c r="AD909" s="296"/>
      <c r="AE909" s="307"/>
      <c r="AF909" s="273"/>
      <c r="AG909" s="274"/>
    </row>
    <row r="910">
      <c r="A910" s="296"/>
      <c r="B910" s="269"/>
      <c r="C910" s="296"/>
      <c r="D910" s="296"/>
      <c r="E910" s="296"/>
      <c r="F910" s="296"/>
      <c r="G910" s="296"/>
      <c r="H910" s="296"/>
      <c r="I910" s="296"/>
      <c r="J910" s="296"/>
      <c r="K910" s="296"/>
      <c r="L910" s="296"/>
      <c r="M910" s="296"/>
      <c r="N910" s="296"/>
      <c r="O910" s="269"/>
      <c r="P910" s="269"/>
      <c r="Q910" s="269"/>
      <c r="R910" s="296"/>
      <c r="S910" s="296"/>
      <c r="T910" s="296"/>
      <c r="U910" s="296"/>
      <c r="V910" s="296"/>
      <c r="W910" s="296"/>
      <c r="X910" s="296"/>
      <c r="Y910" s="296"/>
      <c r="Z910" s="296"/>
      <c r="AA910" s="296"/>
      <c r="AB910" s="296"/>
      <c r="AC910" s="296"/>
      <c r="AD910" s="296"/>
      <c r="AE910" s="307"/>
      <c r="AF910" s="273"/>
      <c r="AG910" s="274"/>
    </row>
    <row r="911">
      <c r="A911" s="296"/>
      <c r="B911" s="269"/>
      <c r="C911" s="296"/>
      <c r="D911" s="296"/>
      <c r="E911" s="296"/>
      <c r="F911" s="296"/>
      <c r="G911" s="296"/>
      <c r="H911" s="296"/>
      <c r="I911" s="296"/>
      <c r="J911" s="296"/>
      <c r="K911" s="296"/>
      <c r="L911" s="296"/>
      <c r="M911" s="296"/>
      <c r="N911" s="296"/>
      <c r="O911" s="269"/>
      <c r="P911" s="269"/>
      <c r="Q911" s="269"/>
      <c r="R911" s="296"/>
      <c r="S911" s="296"/>
      <c r="T911" s="296"/>
      <c r="U911" s="296"/>
      <c r="V911" s="296"/>
      <c r="W911" s="296"/>
      <c r="X911" s="296"/>
      <c r="Y911" s="296"/>
      <c r="Z911" s="296"/>
      <c r="AA911" s="296"/>
      <c r="AB911" s="296"/>
      <c r="AC911" s="296"/>
      <c r="AD911" s="296"/>
      <c r="AE911" s="307"/>
      <c r="AF911" s="273"/>
      <c r="AG911" s="274"/>
    </row>
    <row r="912">
      <c r="A912" s="296"/>
      <c r="B912" s="269"/>
      <c r="C912" s="296"/>
      <c r="D912" s="296"/>
      <c r="E912" s="296"/>
      <c r="F912" s="296"/>
      <c r="G912" s="296"/>
      <c r="H912" s="296"/>
      <c r="I912" s="296"/>
      <c r="J912" s="296"/>
      <c r="K912" s="296"/>
      <c r="L912" s="296"/>
      <c r="M912" s="296"/>
      <c r="N912" s="296"/>
      <c r="O912" s="269"/>
      <c r="P912" s="269"/>
      <c r="Q912" s="269"/>
      <c r="R912" s="296"/>
      <c r="S912" s="296"/>
      <c r="T912" s="296"/>
      <c r="U912" s="296"/>
      <c r="V912" s="296"/>
      <c r="W912" s="296"/>
      <c r="X912" s="296"/>
      <c r="Y912" s="296"/>
      <c r="Z912" s="296"/>
      <c r="AA912" s="296"/>
      <c r="AB912" s="296"/>
      <c r="AC912" s="296"/>
      <c r="AD912" s="296"/>
      <c r="AE912" s="307"/>
      <c r="AF912" s="273"/>
      <c r="AG912" s="274"/>
    </row>
    <row r="913">
      <c r="A913" s="296"/>
      <c r="B913" s="269"/>
      <c r="C913" s="296"/>
      <c r="D913" s="296"/>
      <c r="E913" s="296"/>
      <c r="F913" s="296"/>
      <c r="G913" s="296"/>
      <c r="H913" s="296"/>
      <c r="I913" s="296"/>
      <c r="J913" s="296"/>
      <c r="K913" s="296"/>
      <c r="L913" s="296"/>
      <c r="M913" s="296"/>
      <c r="N913" s="296"/>
      <c r="O913" s="269"/>
      <c r="P913" s="269"/>
      <c r="Q913" s="269"/>
      <c r="R913" s="296"/>
      <c r="S913" s="296"/>
      <c r="T913" s="296"/>
      <c r="U913" s="296"/>
      <c r="V913" s="296"/>
      <c r="W913" s="296"/>
      <c r="X913" s="296"/>
      <c r="Y913" s="296"/>
      <c r="Z913" s="296"/>
      <c r="AA913" s="296"/>
      <c r="AB913" s="296"/>
      <c r="AC913" s="296"/>
      <c r="AD913" s="296"/>
      <c r="AE913" s="307"/>
      <c r="AF913" s="273"/>
      <c r="AG913" s="274"/>
    </row>
    <row r="914">
      <c r="A914" s="296"/>
      <c r="B914" s="269"/>
      <c r="C914" s="296"/>
      <c r="D914" s="296"/>
      <c r="E914" s="296"/>
      <c r="F914" s="296"/>
      <c r="G914" s="296"/>
      <c r="H914" s="296"/>
      <c r="I914" s="296"/>
      <c r="J914" s="296"/>
      <c r="K914" s="296"/>
      <c r="L914" s="296"/>
      <c r="M914" s="296"/>
      <c r="N914" s="296"/>
      <c r="O914" s="269"/>
      <c r="P914" s="269"/>
      <c r="Q914" s="269"/>
      <c r="R914" s="296"/>
      <c r="S914" s="296"/>
      <c r="T914" s="296"/>
      <c r="U914" s="296"/>
      <c r="V914" s="296"/>
      <c r="W914" s="296"/>
      <c r="X914" s="296"/>
      <c r="Y914" s="296"/>
      <c r="Z914" s="296"/>
      <c r="AA914" s="296"/>
      <c r="AB914" s="296"/>
      <c r="AC914" s="296"/>
      <c r="AD914" s="296"/>
      <c r="AE914" s="307"/>
      <c r="AF914" s="273"/>
      <c r="AG914" s="274"/>
    </row>
    <row r="915">
      <c r="A915" s="296"/>
      <c r="B915" s="269"/>
      <c r="C915" s="296"/>
      <c r="D915" s="296"/>
      <c r="E915" s="296"/>
      <c r="F915" s="296"/>
      <c r="G915" s="296"/>
      <c r="H915" s="296"/>
      <c r="I915" s="296"/>
      <c r="J915" s="296"/>
      <c r="K915" s="296"/>
      <c r="L915" s="296"/>
      <c r="M915" s="296"/>
      <c r="N915" s="296"/>
      <c r="O915" s="269"/>
      <c r="P915" s="269"/>
      <c r="Q915" s="269"/>
      <c r="R915" s="296"/>
      <c r="S915" s="296"/>
      <c r="T915" s="296"/>
      <c r="U915" s="296"/>
      <c r="V915" s="296"/>
      <c r="W915" s="296"/>
      <c r="X915" s="296"/>
      <c r="Y915" s="296"/>
      <c r="Z915" s="296"/>
      <c r="AA915" s="296"/>
      <c r="AB915" s="296"/>
      <c r="AC915" s="296"/>
      <c r="AD915" s="296"/>
      <c r="AE915" s="307"/>
      <c r="AF915" s="273"/>
      <c r="AG915" s="274"/>
    </row>
    <row r="916">
      <c r="A916" s="296"/>
      <c r="B916" s="269"/>
      <c r="C916" s="296"/>
      <c r="D916" s="296"/>
      <c r="E916" s="296"/>
      <c r="F916" s="296"/>
      <c r="G916" s="296"/>
      <c r="H916" s="296"/>
      <c r="I916" s="296"/>
      <c r="J916" s="296"/>
      <c r="K916" s="296"/>
      <c r="L916" s="296"/>
      <c r="M916" s="296"/>
      <c r="N916" s="296"/>
      <c r="O916" s="269"/>
      <c r="P916" s="269"/>
      <c r="Q916" s="269"/>
      <c r="R916" s="296"/>
      <c r="S916" s="296"/>
      <c r="T916" s="296"/>
      <c r="U916" s="296"/>
      <c r="V916" s="296"/>
      <c r="W916" s="296"/>
      <c r="X916" s="296"/>
      <c r="Y916" s="296"/>
      <c r="Z916" s="296"/>
      <c r="AA916" s="296"/>
      <c r="AB916" s="296"/>
      <c r="AC916" s="296"/>
      <c r="AD916" s="296"/>
      <c r="AE916" s="307"/>
      <c r="AF916" s="273"/>
      <c r="AG916" s="274"/>
    </row>
    <row r="917">
      <c r="A917" s="296"/>
      <c r="B917" s="269"/>
      <c r="C917" s="296"/>
      <c r="D917" s="296"/>
      <c r="E917" s="296"/>
      <c r="F917" s="296"/>
      <c r="G917" s="296"/>
      <c r="H917" s="296"/>
      <c r="I917" s="296"/>
      <c r="J917" s="296"/>
      <c r="K917" s="296"/>
      <c r="L917" s="296"/>
      <c r="M917" s="296"/>
      <c r="N917" s="296"/>
      <c r="O917" s="269"/>
      <c r="P917" s="269"/>
      <c r="Q917" s="269"/>
      <c r="R917" s="296"/>
      <c r="S917" s="296"/>
      <c r="T917" s="296"/>
      <c r="U917" s="296"/>
      <c r="V917" s="296"/>
      <c r="W917" s="296"/>
      <c r="X917" s="296"/>
      <c r="Y917" s="296"/>
      <c r="Z917" s="296"/>
      <c r="AA917" s="296"/>
      <c r="AB917" s="296"/>
      <c r="AC917" s="296"/>
      <c r="AD917" s="296"/>
      <c r="AE917" s="307"/>
      <c r="AF917" s="273"/>
      <c r="AG917" s="274"/>
    </row>
    <row r="918">
      <c r="A918" s="296"/>
      <c r="B918" s="269"/>
      <c r="C918" s="296"/>
      <c r="D918" s="296"/>
      <c r="E918" s="296"/>
      <c r="F918" s="296"/>
      <c r="G918" s="296"/>
      <c r="H918" s="296"/>
      <c r="I918" s="296"/>
      <c r="J918" s="296"/>
      <c r="K918" s="296"/>
      <c r="L918" s="296"/>
      <c r="M918" s="296"/>
      <c r="N918" s="296"/>
      <c r="O918" s="269"/>
      <c r="P918" s="269"/>
      <c r="Q918" s="269"/>
      <c r="R918" s="296"/>
      <c r="S918" s="296"/>
      <c r="T918" s="296"/>
      <c r="U918" s="296"/>
      <c r="V918" s="296"/>
      <c r="W918" s="296"/>
      <c r="X918" s="296"/>
      <c r="Y918" s="296"/>
      <c r="Z918" s="296"/>
      <c r="AA918" s="296"/>
      <c r="AB918" s="296"/>
      <c r="AC918" s="296"/>
      <c r="AD918" s="296"/>
      <c r="AE918" s="307"/>
      <c r="AF918" s="273"/>
      <c r="AG918" s="274"/>
    </row>
    <row r="919">
      <c r="A919" s="296"/>
      <c r="B919" s="269"/>
      <c r="C919" s="296"/>
      <c r="D919" s="296"/>
      <c r="E919" s="296"/>
      <c r="F919" s="296"/>
      <c r="G919" s="296"/>
      <c r="H919" s="296"/>
      <c r="I919" s="296"/>
      <c r="J919" s="296"/>
      <c r="K919" s="296"/>
      <c r="L919" s="296"/>
      <c r="M919" s="296"/>
      <c r="N919" s="296"/>
      <c r="O919" s="269"/>
      <c r="P919" s="269"/>
      <c r="Q919" s="269"/>
      <c r="R919" s="296"/>
      <c r="S919" s="296"/>
      <c r="T919" s="296"/>
      <c r="U919" s="296"/>
      <c r="V919" s="296"/>
      <c r="W919" s="296"/>
      <c r="X919" s="296"/>
      <c r="Y919" s="296"/>
      <c r="Z919" s="296"/>
      <c r="AA919" s="296"/>
      <c r="AB919" s="296"/>
      <c r="AC919" s="296"/>
      <c r="AD919" s="296"/>
      <c r="AE919" s="307"/>
      <c r="AF919" s="273"/>
      <c r="AG919" s="274"/>
    </row>
    <row r="920">
      <c r="A920" s="296"/>
      <c r="B920" s="269"/>
      <c r="C920" s="296"/>
      <c r="D920" s="296"/>
      <c r="E920" s="296"/>
      <c r="F920" s="296"/>
      <c r="G920" s="296"/>
      <c r="H920" s="296"/>
      <c r="I920" s="296"/>
      <c r="J920" s="296"/>
      <c r="K920" s="296"/>
      <c r="L920" s="296"/>
      <c r="M920" s="296"/>
      <c r="N920" s="296"/>
      <c r="O920" s="269"/>
      <c r="P920" s="269"/>
      <c r="Q920" s="269"/>
      <c r="R920" s="296"/>
      <c r="S920" s="296"/>
      <c r="T920" s="296"/>
      <c r="U920" s="296"/>
      <c r="V920" s="296"/>
      <c r="W920" s="296"/>
      <c r="X920" s="296"/>
      <c r="Y920" s="296"/>
      <c r="Z920" s="296"/>
      <c r="AA920" s="296"/>
      <c r="AB920" s="296"/>
      <c r="AC920" s="296"/>
      <c r="AD920" s="296"/>
      <c r="AE920" s="307"/>
      <c r="AF920" s="273"/>
      <c r="AG920" s="274"/>
    </row>
    <row r="921">
      <c r="A921" s="296"/>
      <c r="B921" s="269"/>
      <c r="C921" s="296"/>
      <c r="D921" s="296"/>
      <c r="E921" s="296"/>
      <c r="F921" s="296"/>
      <c r="G921" s="296"/>
      <c r="H921" s="296"/>
      <c r="I921" s="296"/>
      <c r="J921" s="296"/>
      <c r="K921" s="296"/>
      <c r="L921" s="296"/>
      <c r="M921" s="296"/>
      <c r="N921" s="296"/>
      <c r="O921" s="269"/>
      <c r="P921" s="269"/>
      <c r="Q921" s="269"/>
      <c r="R921" s="296"/>
      <c r="S921" s="296"/>
      <c r="T921" s="296"/>
      <c r="U921" s="296"/>
      <c r="V921" s="296"/>
      <c r="W921" s="296"/>
      <c r="X921" s="296"/>
      <c r="Y921" s="296"/>
      <c r="Z921" s="296"/>
      <c r="AA921" s="296"/>
      <c r="AB921" s="296"/>
      <c r="AC921" s="296"/>
      <c r="AD921" s="296"/>
      <c r="AE921" s="307"/>
      <c r="AF921" s="273"/>
      <c r="AG921" s="274"/>
    </row>
    <row r="922">
      <c r="A922" s="296"/>
      <c r="B922" s="269"/>
      <c r="C922" s="296"/>
      <c r="D922" s="296"/>
      <c r="E922" s="296"/>
      <c r="F922" s="296"/>
      <c r="G922" s="296"/>
      <c r="H922" s="296"/>
      <c r="I922" s="296"/>
      <c r="J922" s="296"/>
      <c r="K922" s="296"/>
      <c r="L922" s="296"/>
      <c r="M922" s="296"/>
      <c r="N922" s="296"/>
      <c r="O922" s="269"/>
      <c r="P922" s="269"/>
      <c r="Q922" s="269"/>
      <c r="R922" s="296"/>
      <c r="S922" s="296"/>
      <c r="T922" s="296"/>
      <c r="U922" s="296"/>
      <c r="V922" s="296"/>
      <c r="W922" s="296"/>
      <c r="X922" s="296"/>
      <c r="Y922" s="296"/>
      <c r="Z922" s="296"/>
      <c r="AA922" s="296"/>
      <c r="AB922" s="296"/>
      <c r="AC922" s="296"/>
      <c r="AD922" s="296"/>
      <c r="AE922" s="307"/>
      <c r="AF922" s="273"/>
      <c r="AG922" s="274"/>
    </row>
    <row r="923">
      <c r="A923" s="296"/>
      <c r="B923" s="269"/>
      <c r="C923" s="296"/>
      <c r="D923" s="296"/>
      <c r="E923" s="296"/>
      <c r="F923" s="296"/>
      <c r="G923" s="296"/>
      <c r="H923" s="296"/>
      <c r="I923" s="296"/>
      <c r="J923" s="296"/>
      <c r="K923" s="296"/>
      <c r="L923" s="296"/>
      <c r="M923" s="296"/>
      <c r="N923" s="296"/>
      <c r="O923" s="269"/>
      <c r="P923" s="269"/>
      <c r="Q923" s="269"/>
      <c r="R923" s="296"/>
      <c r="S923" s="296"/>
      <c r="T923" s="296"/>
      <c r="U923" s="296"/>
      <c r="V923" s="296"/>
      <c r="W923" s="296"/>
      <c r="X923" s="296"/>
      <c r="Y923" s="296"/>
      <c r="Z923" s="296"/>
      <c r="AA923" s="296"/>
      <c r="AB923" s="296"/>
      <c r="AC923" s="296"/>
      <c r="AD923" s="296"/>
      <c r="AE923" s="307"/>
      <c r="AF923" s="273"/>
      <c r="AG923" s="274"/>
    </row>
    <row r="924">
      <c r="A924" s="296"/>
      <c r="B924" s="269"/>
      <c r="C924" s="296"/>
      <c r="D924" s="296"/>
      <c r="E924" s="296"/>
      <c r="F924" s="296"/>
      <c r="G924" s="296"/>
      <c r="H924" s="296"/>
      <c r="I924" s="296"/>
      <c r="J924" s="296"/>
      <c r="K924" s="296"/>
      <c r="L924" s="296"/>
      <c r="M924" s="296"/>
      <c r="N924" s="296"/>
      <c r="O924" s="269"/>
      <c r="P924" s="269"/>
      <c r="Q924" s="269"/>
      <c r="R924" s="296"/>
      <c r="S924" s="296"/>
      <c r="T924" s="296"/>
      <c r="U924" s="296"/>
      <c r="V924" s="296"/>
      <c r="W924" s="296"/>
      <c r="X924" s="296"/>
      <c r="Y924" s="296"/>
      <c r="Z924" s="296"/>
      <c r="AA924" s="296"/>
      <c r="AB924" s="296"/>
      <c r="AC924" s="296"/>
      <c r="AD924" s="296"/>
      <c r="AE924" s="307"/>
      <c r="AF924" s="273"/>
      <c r="AG924" s="274"/>
    </row>
    <row r="925">
      <c r="A925" s="296"/>
      <c r="B925" s="269"/>
      <c r="C925" s="296"/>
      <c r="D925" s="296"/>
      <c r="E925" s="296"/>
      <c r="F925" s="296"/>
      <c r="G925" s="296"/>
      <c r="H925" s="296"/>
      <c r="I925" s="296"/>
      <c r="J925" s="296"/>
      <c r="K925" s="296"/>
      <c r="L925" s="296"/>
      <c r="M925" s="296"/>
      <c r="N925" s="296"/>
      <c r="O925" s="269"/>
      <c r="P925" s="269"/>
      <c r="Q925" s="269"/>
      <c r="R925" s="296"/>
      <c r="S925" s="296"/>
      <c r="T925" s="296"/>
      <c r="U925" s="296"/>
      <c r="V925" s="296"/>
      <c r="W925" s="296"/>
      <c r="X925" s="296"/>
      <c r="Y925" s="296"/>
      <c r="Z925" s="296"/>
      <c r="AA925" s="296"/>
      <c r="AB925" s="296"/>
      <c r="AC925" s="296"/>
      <c r="AD925" s="296"/>
      <c r="AE925" s="307"/>
      <c r="AF925" s="273"/>
      <c r="AG925" s="274"/>
    </row>
    <row r="926">
      <c r="A926" s="296"/>
      <c r="B926" s="269"/>
      <c r="C926" s="296"/>
      <c r="D926" s="296"/>
      <c r="E926" s="296"/>
      <c r="F926" s="296"/>
      <c r="G926" s="296"/>
      <c r="H926" s="296"/>
      <c r="I926" s="296"/>
      <c r="J926" s="296"/>
      <c r="K926" s="296"/>
      <c r="L926" s="296"/>
      <c r="M926" s="296"/>
      <c r="N926" s="296"/>
      <c r="O926" s="269"/>
      <c r="P926" s="269"/>
      <c r="Q926" s="269"/>
      <c r="R926" s="296"/>
      <c r="S926" s="296"/>
      <c r="T926" s="296"/>
      <c r="U926" s="296"/>
      <c r="V926" s="296"/>
      <c r="W926" s="296"/>
      <c r="X926" s="296"/>
      <c r="Y926" s="296"/>
      <c r="Z926" s="296"/>
      <c r="AA926" s="296"/>
      <c r="AB926" s="296"/>
      <c r="AC926" s="296"/>
      <c r="AD926" s="296"/>
      <c r="AE926" s="307"/>
      <c r="AF926" s="273"/>
      <c r="AG926" s="274"/>
    </row>
    <row r="927">
      <c r="A927" s="296"/>
      <c r="B927" s="269"/>
      <c r="C927" s="296"/>
      <c r="D927" s="296"/>
      <c r="E927" s="296"/>
      <c r="F927" s="296"/>
      <c r="G927" s="296"/>
      <c r="H927" s="296"/>
      <c r="I927" s="296"/>
      <c r="J927" s="296"/>
      <c r="K927" s="296"/>
      <c r="L927" s="296"/>
      <c r="M927" s="296"/>
      <c r="N927" s="296"/>
      <c r="O927" s="269"/>
      <c r="P927" s="269"/>
      <c r="Q927" s="269"/>
      <c r="R927" s="296"/>
      <c r="S927" s="296"/>
      <c r="T927" s="296"/>
      <c r="U927" s="296"/>
      <c r="V927" s="296"/>
      <c r="W927" s="296"/>
      <c r="X927" s="296"/>
      <c r="Y927" s="296"/>
      <c r="Z927" s="296"/>
      <c r="AA927" s="296"/>
      <c r="AB927" s="296"/>
      <c r="AC927" s="296"/>
      <c r="AD927" s="296"/>
      <c r="AE927" s="307"/>
      <c r="AF927" s="273"/>
      <c r="AG927" s="274"/>
    </row>
    <row r="928">
      <c r="A928" s="296"/>
      <c r="B928" s="269"/>
      <c r="C928" s="296"/>
      <c r="D928" s="296"/>
      <c r="E928" s="296"/>
      <c r="F928" s="296"/>
      <c r="G928" s="296"/>
      <c r="H928" s="296"/>
      <c r="I928" s="296"/>
      <c r="J928" s="296"/>
      <c r="K928" s="296"/>
      <c r="L928" s="296"/>
      <c r="M928" s="296"/>
      <c r="N928" s="296"/>
      <c r="O928" s="269"/>
      <c r="P928" s="269"/>
      <c r="Q928" s="269"/>
      <c r="R928" s="296"/>
      <c r="S928" s="296"/>
      <c r="T928" s="296"/>
      <c r="U928" s="296"/>
      <c r="V928" s="296"/>
      <c r="W928" s="296"/>
      <c r="X928" s="296"/>
      <c r="Y928" s="296"/>
      <c r="Z928" s="296"/>
      <c r="AA928" s="296"/>
      <c r="AB928" s="296"/>
      <c r="AC928" s="296"/>
      <c r="AD928" s="296"/>
      <c r="AE928" s="307"/>
      <c r="AF928" s="273"/>
      <c r="AG928" s="274"/>
    </row>
    <row r="929">
      <c r="A929" s="296"/>
      <c r="B929" s="269"/>
      <c r="C929" s="296"/>
      <c r="D929" s="296"/>
      <c r="E929" s="296"/>
      <c r="F929" s="296"/>
      <c r="G929" s="296"/>
      <c r="H929" s="296"/>
      <c r="I929" s="296"/>
      <c r="J929" s="296"/>
      <c r="K929" s="296"/>
      <c r="L929" s="296"/>
      <c r="M929" s="296"/>
      <c r="N929" s="296"/>
      <c r="O929" s="269"/>
      <c r="P929" s="269"/>
      <c r="Q929" s="269"/>
      <c r="R929" s="296"/>
      <c r="S929" s="296"/>
      <c r="T929" s="296"/>
      <c r="U929" s="296"/>
      <c r="V929" s="296"/>
      <c r="W929" s="296"/>
      <c r="X929" s="296"/>
      <c r="Y929" s="296"/>
      <c r="Z929" s="296"/>
      <c r="AA929" s="296"/>
      <c r="AB929" s="296"/>
      <c r="AC929" s="296"/>
      <c r="AD929" s="296"/>
      <c r="AE929" s="307"/>
      <c r="AF929" s="273"/>
      <c r="AG929" s="274"/>
    </row>
    <row r="930">
      <c r="A930" s="296"/>
      <c r="B930" s="269"/>
      <c r="C930" s="296"/>
      <c r="D930" s="296"/>
      <c r="E930" s="296"/>
      <c r="F930" s="296"/>
      <c r="G930" s="296"/>
      <c r="H930" s="296"/>
      <c r="I930" s="296"/>
      <c r="J930" s="296"/>
      <c r="K930" s="296"/>
      <c r="L930" s="296"/>
      <c r="M930" s="296"/>
      <c r="N930" s="296"/>
      <c r="O930" s="269"/>
      <c r="P930" s="269"/>
      <c r="Q930" s="269"/>
      <c r="R930" s="296"/>
      <c r="S930" s="296"/>
      <c r="T930" s="296"/>
      <c r="U930" s="296"/>
      <c r="V930" s="296"/>
      <c r="W930" s="296"/>
      <c r="X930" s="296"/>
      <c r="Y930" s="296"/>
      <c r="Z930" s="296"/>
      <c r="AA930" s="296"/>
      <c r="AB930" s="296"/>
      <c r="AC930" s="296"/>
      <c r="AD930" s="296"/>
      <c r="AE930" s="307"/>
      <c r="AF930" s="273"/>
      <c r="AG930" s="274"/>
    </row>
    <row r="931">
      <c r="A931" s="296"/>
      <c r="B931" s="269"/>
      <c r="C931" s="296"/>
      <c r="D931" s="296"/>
      <c r="E931" s="296"/>
      <c r="F931" s="296"/>
      <c r="G931" s="296"/>
      <c r="H931" s="296"/>
      <c r="I931" s="296"/>
      <c r="J931" s="296"/>
      <c r="K931" s="296"/>
      <c r="L931" s="296"/>
      <c r="M931" s="296"/>
      <c r="N931" s="296"/>
      <c r="O931" s="269"/>
      <c r="P931" s="269"/>
      <c r="Q931" s="269"/>
      <c r="R931" s="296"/>
      <c r="S931" s="296"/>
      <c r="T931" s="296"/>
      <c r="U931" s="296"/>
      <c r="V931" s="296"/>
      <c r="W931" s="296"/>
      <c r="X931" s="296"/>
      <c r="Y931" s="296"/>
      <c r="Z931" s="296"/>
      <c r="AA931" s="296"/>
      <c r="AB931" s="296"/>
      <c r="AC931" s="296"/>
      <c r="AD931" s="296"/>
      <c r="AE931" s="307"/>
      <c r="AF931" s="273"/>
      <c r="AG931" s="274"/>
    </row>
    <row r="932">
      <c r="A932" s="296"/>
      <c r="B932" s="269"/>
      <c r="C932" s="296"/>
      <c r="D932" s="296"/>
      <c r="E932" s="296"/>
      <c r="F932" s="296"/>
      <c r="G932" s="296"/>
      <c r="H932" s="296"/>
      <c r="I932" s="296"/>
      <c r="J932" s="296"/>
      <c r="K932" s="296"/>
      <c r="L932" s="296"/>
      <c r="M932" s="296"/>
      <c r="N932" s="296"/>
      <c r="O932" s="269"/>
      <c r="P932" s="269"/>
      <c r="Q932" s="269"/>
      <c r="R932" s="296"/>
      <c r="S932" s="296"/>
      <c r="T932" s="296"/>
      <c r="U932" s="296"/>
      <c r="V932" s="296"/>
      <c r="W932" s="296"/>
      <c r="X932" s="296"/>
      <c r="Y932" s="296"/>
      <c r="Z932" s="296"/>
      <c r="AA932" s="296"/>
      <c r="AB932" s="296"/>
      <c r="AC932" s="296"/>
      <c r="AD932" s="296"/>
      <c r="AE932" s="307"/>
      <c r="AF932" s="273"/>
      <c r="AG932" s="274"/>
    </row>
    <row r="933">
      <c r="A933" s="296"/>
      <c r="B933" s="269"/>
      <c r="C933" s="296"/>
      <c r="D933" s="296"/>
      <c r="E933" s="296"/>
      <c r="F933" s="296"/>
      <c r="G933" s="296"/>
      <c r="H933" s="296"/>
      <c r="I933" s="296"/>
      <c r="J933" s="296"/>
      <c r="K933" s="296"/>
      <c r="L933" s="296"/>
      <c r="M933" s="296"/>
      <c r="N933" s="296"/>
      <c r="O933" s="269"/>
      <c r="P933" s="269"/>
      <c r="Q933" s="269"/>
      <c r="R933" s="296"/>
      <c r="S933" s="296"/>
      <c r="T933" s="296"/>
      <c r="U933" s="296"/>
      <c r="V933" s="296"/>
      <c r="W933" s="296"/>
      <c r="X933" s="296"/>
      <c r="Y933" s="296"/>
      <c r="Z933" s="296"/>
      <c r="AA933" s="296"/>
      <c r="AB933" s="296"/>
      <c r="AC933" s="296"/>
      <c r="AD933" s="296"/>
      <c r="AE933" s="307"/>
      <c r="AF933" s="273"/>
      <c r="AG933" s="274"/>
    </row>
    <row r="934">
      <c r="A934" s="296"/>
      <c r="B934" s="269"/>
      <c r="C934" s="296"/>
      <c r="D934" s="296"/>
      <c r="E934" s="296"/>
      <c r="F934" s="296"/>
      <c r="G934" s="296"/>
      <c r="H934" s="296"/>
      <c r="I934" s="296"/>
      <c r="J934" s="296"/>
      <c r="K934" s="296"/>
      <c r="L934" s="296"/>
      <c r="M934" s="296"/>
      <c r="N934" s="296"/>
      <c r="O934" s="269"/>
      <c r="P934" s="269"/>
      <c r="Q934" s="269"/>
      <c r="R934" s="296"/>
      <c r="S934" s="296"/>
      <c r="T934" s="296"/>
      <c r="U934" s="296"/>
      <c r="V934" s="296"/>
      <c r="W934" s="296"/>
      <c r="X934" s="296"/>
      <c r="Y934" s="296"/>
      <c r="Z934" s="296"/>
      <c r="AA934" s="296"/>
      <c r="AB934" s="296"/>
      <c r="AC934" s="296"/>
      <c r="AD934" s="296"/>
      <c r="AE934" s="307"/>
      <c r="AF934" s="273"/>
      <c r="AG934" s="274"/>
    </row>
    <row r="935">
      <c r="A935" s="296"/>
      <c r="B935" s="269"/>
      <c r="C935" s="296"/>
      <c r="D935" s="296"/>
      <c r="E935" s="296"/>
      <c r="F935" s="296"/>
      <c r="G935" s="296"/>
      <c r="H935" s="296"/>
      <c r="I935" s="296"/>
      <c r="J935" s="296"/>
      <c r="K935" s="296"/>
      <c r="L935" s="296"/>
      <c r="M935" s="296"/>
      <c r="N935" s="296"/>
      <c r="O935" s="269"/>
      <c r="P935" s="269"/>
      <c r="Q935" s="269"/>
      <c r="R935" s="296"/>
      <c r="S935" s="296"/>
      <c r="T935" s="296"/>
      <c r="U935" s="296"/>
      <c r="V935" s="296"/>
      <c r="W935" s="296"/>
      <c r="X935" s="296"/>
      <c r="Y935" s="296"/>
      <c r="Z935" s="296"/>
      <c r="AA935" s="296"/>
      <c r="AB935" s="296"/>
      <c r="AC935" s="296"/>
      <c r="AD935" s="296"/>
      <c r="AE935" s="307"/>
      <c r="AF935" s="273"/>
      <c r="AG935" s="274"/>
    </row>
    <row r="936">
      <c r="A936" s="296"/>
      <c r="B936" s="269"/>
      <c r="C936" s="296"/>
      <c r="D936" s="296"/>
      <c r="E936" s="296"/>
      <c r="F936" s="296"/>
      <c r="G936" s="296"/>
      <c r="H936" s="296"/>
      <c r="I936" s="296"/>
      <c r="J936" s="296"/>
      <c r="K936" s="296"/>
      <c r="L936" s="296"/>
      <c r="M936" s="296"/>
      <c r="N936" s="296"/>
      <c r="O936" s="269"/>
      <c r="P936" s="269"/>
      <c r="Q936" s="269"/>
      <c r="R936" s="296"/>
      <c r="S936" s="296"/>
      <c r="T936" s="296"/>
      <c r="U936" s="296"/>
      <c r="V936" s="296"/>
      <c r="W936" s="296"/>
      <c r="X936" s="296"/>
      <c r="Y936" s="296"/>
      <c r="Z936" s="296"/>
      <c r="AA936" s="296"/>
      <c r="AB936" s="296"/>
      <c r="AC936" s="296"/>
      <c r="AD936" s="296"/>
      <c r="AE936" s="307"/>
      <c r="AF936" s="273"/>
      <c r="AG936" s="274"/>
    </row>
    <row r="937">
      <c r="A937" s="296"/>
      <c r="B937" s="269"/>
      <c r="C937" s="296"/>
      <c r="D937" s="296"/>
      <c r="E937" s="296"/>
      <c r="F937" s="296"/>
      <c r="G937" s="296"/>
      <c r="H937" s="296"/>
      <c r="I937" s="296"/>
      <c r="J937" s="296"/>
      <c r="K937" s="296"/>
      <c r="L937" s="296"/>
      <c r="M937" s="296"/>
      <c r="N937" s="296"/>
      <c r="O937" s="269"/>
      <c r="P937" s="269"/>
      <c r="Q937" s="269"/>
      <c r="R937" s="296"/>
      <c r="S937" s="296"/>
      <c r="T937" s="296"/>
      <c r="U937" s="296"/>
      <c r="V937" s="296"/>
      <c r="W937" s="296"/>
      <c r="X937" s="296"/>
      <c r="Y937" s="296"/>
      <c r="Z937" s="296"/>
      <c r="AA937" s="296"/>
      <c r="AB937" s="296"/>
      <c r="AC937" s="296"/>
      <c r="AD937" s="296"/>
      <c r="AE937" s="307"/>
      <c r="AF937" s="273"/>
      <c r="AG937" s="274"/>
    </row>
    <row r="938">
      <c r="A938" s="296"/>
      <c r="B938" s="269"/>
      <c r="C938" s="296"/>
      <c r="D938" s="296"/>
      <c r="E938" s="296"/>
      <c r="F938" s="296"/>
      <c r="G938" s="296"/>
      <c r="H938" s="296"/>
      <c r="I938" s="296"/>
      <c r="J938" s="296"/>
      <c r="K938" s="296"/>
      <c r="L938" s="296"/>
      <c r="M938" s="296"/>
      <c r="N938" s="296"/>
      <c r="O938" s="269"/>
      <c r="P938" s="269"/>
      <c r="Q938" s="269"/>
      <c r="R938" s="296"/>
      <c r="S938" s="296"/>
      <c r="T938" s="296"/>
      <c r="U938" s="296"/>
      <c r="V938" s="296"/>
      <c r="W938" s="296"/>
      <c r="X938" s="296"/>
      <c r="Y938" s="296"/>
      <c r="Z938" s="296"/>
      <c r="AA938" s="296"/>
      <c r="AB938" s="296"/>
      <c r="AC938" s="296"/>
      <c r="AD938" s="296"/>
      <c r="AE938" s="307"/>
      <c r="AF938" s="273"/>
      <c r="AG938" s="274"/>
    </row>
    <row r="939">
      <c r="A939" s="296"/>
      <c r="B939" s="269"/>
      <c r="C939" s="296"/>
      <c r="D939" s="296"/>
      <c r="E939" s="296"/>
      <c r="F939" s="296"/>
      <c r="G939" s="296"/>
      <c r="H939" s="296"/>
      <c r="I939" s="296"/>
      <c r="J939" s="296"/>
      <c r="K939" s="296"/>
      <c r="L939" s="296"/>
      <c r="M939" s="296"/>
      <c r="N939" s="296"/>
      <c r="O939" s="269"/>
      <c r="P939" s="269"/>
      <c r="Q939" s="269"/>
      <c r="R939" s="296"/>
      <c r="S939" s="296"/>
      <c r="T939" s="296"/>
      <c r="U939" s="296"/>
      <c r="V939" s="296"/>
      <c r="W939" s="296"/>
      <c r="X939" s="296"/>
      <c r="Y939" s="296"/>
      <c r="Z939" s="296"/>
      <c r="AA939" s="296"/>
      <c r="AB939" s="296"/>
      <c r="AC939" s="296"/>
      <c r="AD939" s="296"/>
      <c r="AE939" s="307"/>
      <c r="AF939" s="273"/>
      <c r="AG939" s="274"/>
    </row>
    <row r="940">
      <c r="A940" s="296"/>
      <c r="B940" s="269"/>
      <c r="C940" s="296"/>
      <c r="D940" s="296"/>
      <c r="E940" s="296"/>
      <c r="F940" s="296"/>
      <c r="G940" s="296"/>
      <c r="H940" s="296"/>
      <c r="I940" s="296"/>
      <c r="J940" s="296"/>
      <c r="K940" s="296"/>
      <c r="L940" s="296"/>
      <c r="M940" s="296"/>
      <c r="N940" s="296"/>
      <c r="O940" s="269"/>
      <c r="P940" s="269"/>
      <c r="Q940" s="269"/>
      <c r="R940" s="296"/>
      <c r="S940" s="296"/>
      <c r="T940" s="296"/>
      <c r="U940" s="296"/>
      <c r="V940" s="296"/>
      <c r="W940" s="296"/>
      <c r="X940" s="296"/>
      <c r="Y940" s="296"/>
      <c r="Z940" s="296"/>
      <c r="AA940" s="296"/>
      <c r="AB940" s="296"/>
      <c r="AC940" s="296"/>
      <c r="AD940" s="296"/>
      <c r="AE940" s="307"/>
      <c r="AF940" s="273"/>
      <c r="AG940" s="274"/>
    </row>
    <row r="941">
      <c r="A941" s="296"/>
      <c r="B941" s="269"/>
      <c r="C941" s="296"/>
      <c r="D941" s="296"/>
      <c r="E941" s="296"/>
      <c r="F941" s="296"/>
      <c r="G941" s="296"/>
      <c r="H941" s="296"/>
      <c r="I941" s="296"/>
      <c r="J941" s="296"/>
      <c r="K941" s="296"/>
      <c r="L941" s="296"/>
      <c r="M941" s="296"/>
      <c r="N941" s="296"/>
      <c r="O941" s="269"/>
      <c r="P941" s="269"/>
      <c r="Q941" s="269"/>
      <c r="R941" s="296"/>
      <c r="S941" s="296"/>
      <c r="T941" s="296"/>
      <c r="U941" s="296"/>
      <c r="V941" s="296"/>
      <c r="W941" s="296"/>
      <c r="X941" s="296"/>
      <c r="Y941" s="296"/>
      <c r="Z941" s="296"/>
      <c r="AA941" s="296"/>
      <c r="AB941" s="296"/>
      <c r="AC941" s="296"/>
      <c r="AD941" s="296"/>
      <c r="AE941" s="307"/>
      <c r="AF941" s="273"/>
      <c r="AG941" s="274"/>
    </row>
    <row r="942">
      <c r="A942" s="296"/>
      <c r="B942" s="269"/>
      <c r="C942" s="296"/>
      <c r="D942" s="296"/>
      <c r="E942" s="296"/>
      <c r="F942" s="296"/>
      <c r="G942" s="296"/>
      <c r="H942" s="296"/>
      <c r="I942" s="296"/>
      <c r="J942" s="296"/>
      <c r="K942" s="296"/>
      <c r="L942" s="296"/>
      <c r="M942" s="296"/>
      <c r="N942" s="296"/>
      <c r="O942" s="269"/>
      <c r="P942" s="269"/>
      <c r="Q942" s="269"/>
      <c r="R942" s="296"/>
      <c r="S942" s="296"/>
      <c r="T942" s="296"/>
      <c r="U942" s="296"/>
      <c r="V942" s="296"/>
      <c r="W942" s="296"/>
      <c r="X942" s="296"/>
      <c r="Y942" s="296"/>
      <c r="Z942" s="296"/>
      <c r="AA942" s="296"/>
      <c r="AB942" s="296"/>
      <c r="AC942" s="296"/>
      <c r="AD942" s="296"/>
      <c r="AE942" s="307"/>
      <c r="AF942" s="273"/>
      <c r="AG942" s="274"/>
    </row>
    <row r="943">
      <c r="A943" s="296"/>
      <c r="B943" s="269"/>
      <c r="C943" s="296"/>
      <c r="D943" s="296"/>
      <c r="E943" s="296"/>
      <c r="F943" s="296"/>
      <c r="G943" s="296"/>
      <c r="H943" s="296"/>
      <c r="I943" s="296"/>
      <c r="J943" s="296"/>
      <c r="K943" s="296"/>
      <c r="L943" s="296"/>
      <c r="M943" s="296"/>
      <c r="N943" s="296"/>
      <c r="O943" s="269"/>
      <c r="P943" s="269"/>
      <c r="Q943" s="269"/>
      <c r="R943" s="296"/>
      <c r="S943" s="296"/>
      <c r="T943" s="296"/>
      <c r="U943" s="296"/>
      <c r="V943" s="296"/>
      <c r="W943" s="296"/>
      <c r="X943" s="296"/>
      <c r="Y943" s="296"/>
      <c r="Z943" s="296"/>
      <c r="AA943" s="296"/>
      <c r="AB943" s="296"/>
      <c r="AC943" s="296"/>
      <c r="AD943" s="296"/>
      <c r="AE943" s="307"/>
      <c r="AF943" s="273"/>
      <c r="AG943" s="274"/>
    </row>
    <row r="944">
      <c r="A944" s="296"/>
      <c r="B944" s="269"/>
      <c r="C944" s="296"/>
      <c r="D944" s="296"/>
      <c r="E944" s="296"/>
      <c r="F944" s="296"/>
      <c r="G944" s="296"/>
      <c r="H944" s="296"/>
      <c r="I944" s="296"/>
      <c r="J944" s="296"/>
      <c r="K944" s="296"/>
      <c r="L944" s="296"/>
      <c r="M944" s="296"/>
      <c r="N944" s="296"/>
      <c r="O944" s="269"/>
      <c r="P944" s="269"/>
      <c r="Q944" s="269"/>
      <c r="R944" s="296"/>
      <c r="S944" s="296"/>
      <c r="T944" s="296"/>
      <c r="U944" s="296"/>
      <c r="V944" s="296"/>
      <c r="W944" s="296"/>
      <c r="X944" s="296"/>
      <c r="Y944" s="296"/>
      <c r="Z944" s="296"/>
      <c r="AA944" s="296"/>
      <c r="AB944" s="296"/>
      <c r="AC944" s="296"/>
      <c r="AD944" s="296"/>
      <c r="AE944" s="307"/>
      <c r="AF944" s="273"/>
      <c r="AG944" s="274"/>
    </row>
    <row r="945">
      <c r="A945" s="296"/>
      <c r="B945" s="269"/>
      <c r="C945" s="296"/>
      <c r="D945" s="296"/>
      <c r="E945" s="296"/>
      <c r="F945" s="296"/>
      <c r="G945" s="296"/>
      <c r="H945" s="296"/>
      <c r="I945" s="296"/>
      <c r="J945" s="296"/>
      <c r="K945" s="296"/>
      <c r="L945" s="296"/>
      <c r="M945" s="296"/>
      <c r="N945" s="296"/>
      <c r="O945" s="269"/>
      <c r="P945" s="269"/>
      <c r="Q945" s="269"/>
      <c r="R945" s="296"/>
      <c r="S945" s="296"/>
      <c r="T945" s="296"/>
      <c r="U945" s="296"/>
      <c r="V945" s="296"/>
      <c r="W945" s="296"/>
      <c r="X945" s="296"/>
      <c r="Y945" s="296"/>
      <c r="Z945" s="296"/>
      <c r="AA945" s="296"/>
      <c r="AB945" s="296"/>
      <c r="AC945" s="296"/>
      <c r="AD945" s="296"/>
      <c r="AE945" s="307"/>
      <c r="AF945" s="273"/>
      <c r="AG945" s="274"/>
    </row>
    <row r="946">
      <c r="A946" s="296"/>
      <c r="B946" s="269"/>
      <c r="C946" s="296"/>
      <c r="D946" s="296"/>
      <c r="E946" s="296"/>
      <c r="F946" s="296"/>
      <c r="G946" s="296"/>
      <c r="H946" s="296"/>
      <c r="I946" s="296"/>
      <c r="J946" s="296"/>
      <c r="K946" s="296"/>
      <c r="L946" s="296"/>
      <c r="M946" s="296"/>
      <c r="N946" s="296"/>
      <c r="O946" s="269"/>
      <c r="P946" s="269"/>
      <c r="Q946" s="269"/>
      <c r="R946" s="296"/>
      <c r="S946" s="296"/>
      <c r="T946" s="296"/>
      <c r="U946" s="296"/>
      <c r="V946" s="296"/>
      <c r="W946" s="296"/>
      <c r="X946" s="296"/>
      <c r="Y946" s="296"/>
      <c r="Z946" s="296"/>
      <c r="AA946" s="296"/>
      <c r="AB946" s="296"/>
      <c r="AC946" s="296"/>
      <c r="AD946" s="296"/>
      <c r="AE946" s="307"/>
      <c r="AF946" s="273"/>
      <c r="AG946" s="274"/>
    </row>
    <row r="947">
      <c r="A947" s="296"/>
      <c r="B947" s="269"/>
      <c r="C947" s="296"/>
      <c r="D947" s="296"/>
      <c r="E947" s="296"/>
      <c r="F947" s="296"/>
      <c r="G947" s="296"/>
      <c r="H947" s="296"/>
      <c r="I947" s="296"/>
      <c r="J947" s="296"/>
      <c r="K947" s="296"/>
      <c r="L947" s="296"/>
      <c r="M947" s="296"/>
      <c r="N947" s="296"/>
      <c r="O947" s="269"/>
      <c r="P947" s="269"/>
      <c r="Q947" s="269"/>
      <c r="R947" s="296"/>
      <c r="S947" s="296"/>
      <c r="T947" s="296"/>
      <c r="U947" s="296"/>
      <c r="V947" s="296"/>
      <c r="W947" s="296"/>
      <c r="X947" s="296"/>
      <c r="Y947" s="296"/>
      <c r="Z947" s="296"/>
      <c r="AA947" s="296"/>
      <c r="AB947" s="296"/>
      <c r="AC947" s="296"/>
      <c r="AD947" s="296"/>
      <c r="AE947" s="307"/>
      <c r="AF947" s="273"/>
      <c r="AG947" s="274"/>
    </row>
    <row r="948">
      <c r="A948" s="296"/>
      <c r="B948" s="269"/>
      <c r="C948" s="296"/>
      <c r="D948" s="296"/>
      <c r="E948" s="296"/>
      <c r="F948" s="296"/>
      <c r="G948" s="296"/>
      <c r="H948" s="296"/>
      <c r="I948" s="296"/>
      <c r="J948" s="296"/>
      <c r="K948" s="296"/>
      <c r="L948" s="296"/>
      <c r="M948" s="296"/>
      <c r="N948" s="296"/>
      <c r="O948" s="269"/>
      <c r="P948" s="269"/>
      <c r="Q948" s="269"/>
      <c r="R948" s="296"/>
      <c r="S948" s="296"/>
      <c r="T948" s="296"/>
      <c r="U948" s="296"/>
      <c r="V948" s="296"/>
      <c r="W948" s="296"/>
      <c r="X948" s="296"/>
      <c r="Y948" s="296"/>
      <c r="Z948" s="296"/>
      <c r="AA948" s="296"/>
      <c r="AB948" s="296"/>
      <c r="AC948" s="296"/>
      <c r="AD948" s="296"/>
      <c r="AE948" s="307"/>
      <c r="AF948" s="273"/>
      <c r="AG948" s="274"/>
    </row>
    <row r="949">
      <c r="A949" s="296"/>
      <c r="B949" s="269"/>
      <c r="C949" s="296"/>
      <c r="D949" s="296"/>
      <c r="E949" s="296"/>
      <c r="F949" s="296"/>
      <c r="G949" s="296"/>
      <c r="H949" s="296"/>
      <c r="I949" s="296"/>
      <c r="J949" s="296"/>
      <c r="K949" s="296"/>
      <c r="L949" s="296"/>
      <c r="M949" s="296"/>
      <c r="N949" s="296"/>
      <c r="O949" s="269"/>
      <c r="P949" s="269"/>
      <c r="Q949" s="269"/>
      <c r="R949" s="296"/>
      <c r="S949" s="296"/>
      <c r="T949" s="296"/>
      <c r="U949" s="296"/>
      <c r="V949" s="296"/>
      <c r="W949" s="296"/>
      <c r="X949" s="296"/>
      <c r="Y949" s="296"/>
      <c r="Z949" s="296"/>
      <c r="AA949" s="296"/>
      <c r="AB949" s="296"/>
      <c r="AC949" s="296"/>
      <c r="AD949" s="296"/>
      <c r="AE949" s="307"/>
      <c r="AF949" s="273"/>
      <c r="AG949" s="274"/>
    </row>
    <row r="950">
      <c r="A950" s="296"/>
      <c r="B950" s="269"/>
      <c r="C950" s="296"/>
      <c r="D950" s="296"/>
      <c r="E950" s="296"/>
      <c r="F950" s="296"/>
      <c r="G950" s="296"/>
      <c r="H950" s="296"/>
      <c r="I950" s="296"/>
      <c r="J950" s="296"/>
      <c r="K950" s="296"/>
      <c r="L950" s="296"/>
      <c r="M950" s="296"/>
      <c r="N950" s="296"/>
      <c r="O950" s="269"/>
      <c r="P950" s="269"/>
      <c r="Q950" s="269"/>
      <c r="R950" s="296"/>
      <c r="S950" s="296"/>
      <c r="T950" s="296"/>
      <c r="U950" s="296"/>
      <c r="V950" s="296"/>
      <c r="W950" s="296"/>
      <c r="X950" s="296"/>
      <c r="Y950" s="296"/>
      <c r="Z950" s="296"/>
      <c r="AA950" s="296"/>
      <c r="AB950" s="296"/>
      <c r="AC950" s="296"/>
      <c r="AD950" s="296"/>
      <c r="AE950" s="307"/>
      <c r="AF950" s="273"/>
      <c r="AG950" s="274"/>
    </row>
    <row r="951">
      <c r="A951" s="296"/>
      <c r="B951" s="269"/>
      <c r="C951" s="296"/>
      <c r="D951" s="296"/>
      <c r="E951" s="296"/>
      <c r="F951" s="296"/>
      <c r="G951" s="296"/>
      <c r="H951" s="296"/>
      <c r="I951" s="296"/>
      <c r="J951" s="296"/>
      <c r="K951" s="296"/>
      <c r="L951" s="296"/>
      <c r="M951" s="296"/>
      <c r="N951" s="296"/>
      <c r="O951" s="269"/>
      <c r="P951" s="269"/>
      <c r="Q951" s="269"/>
      <c r="R951" s="296"/>
      <c r="S951" s="296"/>
      <c r="T951" s="296"/>
      <c r="U951" s="296"/>
      <c r="V951" s="296"/>
      <c r="W951" s="296"/>
      <c r="X951" s="296"/>
      <c r="Y951" s="296"/>
      <c r="Z951" s="296"/>
      <c r="AA951" s="296"/>
      <c r="AB951" s="296"/>
      <c r="AC951" s="296"/>
      <c r="AD951" s="296"/>
      <c r="AE951" s="307"/>
      <c r="AF951" s="273"/>
      <c r="AG951" s="274"/>
    </row>
    <row r="952">
      <c r="A952" s="296"/>
      <c r="B952" s="269"/>
      <c r="C952" s="296"/>
      <c r="D952" s="296"/>
      <c r="E952" s="296"/>
      <c r="F952" s="296"/>
      <c r="G952" s="296"/>
      <c r="H952" s="296"/>
      <c r="I952" s="296"/>
      <c r="J952" s="296"/>
      <c r="K952" s="296"/>
      <c r="L952" s="296"/>
      <c r="M952" s="296"/>
      <c r="N952" s="296"/>
      <c r="O952" s="269"/>
      <c r="P952" s="269"/>
      <c r="Q952" s="269"/>
      <c r="R952" s="296"/>
      <c r="S952" s="296"/>
      <c r="T952" s="296"/>
      <c r="U952" s="296"/>
      <c r="V952" s="296"/>
      <c r="W952" s="296"/>
      <c r="X952" s="296"/>
      <c r="Y952" s="296"/>
      <c r="Z952" s="296"/>
      <c r="AA952" s="296"/>
      <c r="AB952" s="296"/>
      <c r="AC952" s="296"/>
      <c r="AD952" s="296"/>
      <c r="AE952" s="307"/>
      <c r="AF952" s="273"/>
      <c r="AG952" s="274"/>
    </row>
    <row r="953">
      <c r="A953" s="296"/>
      <c r="B953" s="269"/>
      <c r="C953" s="296"/>
      <c r="D953" s="296"/>
      <c r="E953" s="296"/>
      <c r="F953" s="296"/>
      <c r="G953" s="296"/>
      <c r="H953" s="296"/>
      <c r="I953" s="296"/>
      <c r="J953" s="296"/>
      <c r="K953" s="296"/>
      <c r="L953" s="296"/>
      <c r="M953" s="296"/>
      <c r="N953" s="296"/>
      <c r="O953" s="269"/>
      <c r="P953" s="269"/>
      <c r="Q953" s="269"/>
      <c r="R953" s="296"/>
      <c r="S953" s="296"/>
      <c r="T953" s="296"/>
      <c r="U953" s="296"/>
      <c r="V953" s="296"/>
      <c r="W953" s="296"/>
      <c r="X953" s="296"/>
      <c r="Y953" s="296"/>
      <c r="Z953" s="296"/>
      <c r="AA953" s="296"/>
      <c r="AB953" s="296"/>
      <c r="AC953" s="296"/>
      <c r="AD953" s="296"/>
      <c r="AE953" s="307"/>
      <c r="AF953" s="273"/>
      <c r="AG953" s="274"/>
    </row>
    <row r="954">
      <c r="A954" s="296"/>
      <c r="B954" s="269"/>
      <c r="C954" s="296"/>
      <c r="D954" s="296"/>
      <c r="E954" s="296"/>
      <c r="F954" s="296"/>
      <c r="G954" s="296"/>
      <c r="H954" s="296"/>
      <c r="I954" s="296"/>
      <c r="J954" s="296"/>
      <c r="K954" s="296"/>
      <c r="L954" s="296"/>
      <c r="M954" s="296"/>
      <c r="N954" s="296"/>
      <c r="O954" s="269"/>
      <c r="P954" s="269"/>
      <c r="Q954" s="269"/>
      <c r="R954" s="296"/>
      <c r="S954" s="296"/>
      <c r="T954" s="296"/>
      <c r="U954" s="296"/>
      <c r="V954" s="296"/>
      <c r="W954" s="296"/>
      <c r="X954" s="296"/>
      <c r="Y954" s="296"/>
      <c r="Z954" s="296"/>
      <c r="AA954" s="296"/>
      <c r="AB954" s="296"/>
      <c r="AC954" s="296"/>
      <c r="AD954" s="296"/>
      <c r="AE954" s="307"/>
      <c r="AF954" s="273"/>
      <c r="AG954" s="274"/>
    </row>
    <row r="955">
      <c r="A955" s="296"/>
      <c r="B955" s="269"/>
      <c r="C955" s="296"/>
      <c r="D955" s="296"/>
      <c r="E955" s="296"/>
      <c r="F955" s="296"/>
      <c r="G955" s="296"/>
      <c r="H955" s="296"/>
      <c r="I955" s="296"/>
      <c r="J955" s="296"/>
      <c r="K955" s="296"/>
      <c r="L955" s="296"/>
      <c r="M955" s="296"/>
      <c r="N955" s="296"/>
      <c r="O955" s="269"/>
      <c r="P955" s="269"/>
      <c r="Q955" s="269"/>
      <c r="R955" s="296"/>
      <c r="S955" s="296"/>
      <c r="T955" s="296"/>
      <c r="U955" s="296"/>
      <c r="V955" s="296"/>
      <c r="W955" s="296"/>
      <c r="X955" s="296"/>
      <c r="Y955" s="296"/>
      <c r="Z955" s="296"/>
      <c r="AA955" s="296"/>
      <c r="AB955" s="296"/>
      <c r="AC955" s="296"/>
      <c r="AD955" s="296"/>
      <c r="AE955" s="307"/>
      <c r="AF955" s="273"/>
      <c r="AG955" s="274"/>
    </row>
    <row r="956">
      <c r="A956" s="296"/>
      <c r="B956" s="269"/>
      <c r="C956" s="296"/>
      <c r="D956" s="296"/>
      <c r="E956" s="296"/>
      <c r="F956" s="296"/>
      <c r="G956" s="296"/>
      <c r="H956" s="296"/>
      <c r="I956" s="296"/>
      <c r="J956" s="296"/>
      <c r="K956" s="296"/>
      <c r="L956" s="296"/>
      <c r="M956" s="296"/>
      <c r="N956" s="296"/>
      <c r="O956" s="269"/>
      <c r="P956" s="269"/>
      <c r="Q956" s="269"/>
      <c r="R956" s="296"/>
      <c r="S956" s="296"/>
      <c r="T956" s="296"/>
      <c r="U956" s="296"/>
      <c r="V956" s="296"/>
      <c r="W956" s="296"/>
      <c r="X956" s="296"/>
      <c r="Y956" s="296"/>
      <c r="Z956" s="296"/>
      <c r="AA956" s="296"/>
      <c r="AB956" s="296"/>
      <c r="AC956" s="296"/>
      <c r="AD956" s="296"/>
      <c r="AE956" s="307"/>
      <c r="AF956" s="273"/>
      <c r="AG956" s="274"/>
    </row>
    <row r="957">
      <c r="A957" s="296"/>
      <c r="B957" s="269"/>
      <c r="C957" s="296"/>
      <c r="D957" s="296"/>
      <c r="E957" s="296"/>
      <c r="F957" s="296"/>
      <c r="G957" s="296"/>
      <c r="H957" s="296"/>
      <c r="I957" s="296"/>
      <c r="J957" s="296"/>
      <c r="K957" s="296"/>
      <c r="L957" s="296"/>
      <c r="M957" s="296"/>
      <c r="N957" s="296"/>
      <c r="O957" s="269"/>
      <c r="P957" s="269"/>
      <c r="Q957" s="269"/>
      <c r="R957" s="296"/>
      <c r="S957" s="296"/>
      <c r="T957" s="296"/>
      <c r="U957" s="296"/>
      <c r="V957" s="296"/>
      <c r="W957" s="296"/>
      <c r="X957" s="296"/>
      <c r="Y957" s="296"/>
      <c r="Z957" s="296"/>
      <c r="AA957" s="296"/>
      <c r="AB957" s="296"/>
      <c r="AC957" s="296"/>
      <c r="AD957" s="296"/>
      <c r="AE957" s="307"/>
      <c r="AF957" s="273"/>
      <c r="AG957" s="274"/>
    </row>
    <row r="958">
      <c r="A958" s="296"/>
      <c r="B958" s="269"/>
      <c r="C958" s="296"/>
      <c r="D958" s="296"/>
      <c r="E958" s="296"/>
      <c r="F958" s="296"/>
      <c r="G958" s="296"/>
      <c r="H958" s="296"/>
      <c r="I958" s="296"/>
      <c r="J958" s="296"/>
      <c r="K958" s="296"/>
      <c r="L958" s="296"/>
      <c r="M958" s="296"/>
      <c r="N958" s="296"/>
      <c r="O958" s="269"/>
      <c r="P958" s="269"/>
      <c r="Q958" s="269"/>
      <c r="R958" s="296"/>
      <c r="S958" s="296"/>
      <c r="T958" s="296"/>
      <c r="U958" s="296"/>
      <c r="V958" s="296"/>
      <c r="W958" s="296"/>
      <c r="X958" s="296"/>
      <c r="Y958" s="296"/>
      <c r="Z958" s="296"/>
      <c r="AA958" s="296"/>
      <c r="AB958" s="296"/>
      <c r="AC958" s="296"/>
      <c r="AD958" s="296"/>
      <c r="AE958" s="307"/>
      <c r="AF958" s="273"/>
      <c r="AG958" s="274"/>
    </row>
    <row r="959">
      <c r="A959" s="296"/>
      <c r="B959" s="269"/>
      <c r="C959" s="296"/>
      <c r="D959" s="296"/>
      <c r="E959" s="296"/>
      <c r="F959" s="296"/>
      <c r="G959" s="296"/>
      <c r="H959" s="296"/>
      <c r="I959" s="296"/>
      <c r="J959" s="296"/>
      <c r="K959" s="296"/>
      <c r="L959" s="296"/>
      <c r="M959" s="296"/>
      <c r="N959" s="296"/>
      <c r="O959" s="269"/>
      <c r="P959" s="269"/>
      <c r="Q959" s="269"/>
      <c r="R959" s="296"/>
      <c r="S959" s="296"/>
      <c r="T959" s="296"/>
      <c r="U959" s="296"/>
      <c r="V959" s="296"/>
      <c r="W959" s="296"/>
      <c r="X959" s="296"/>
      <c r="Y959" s="296"/>
      <c r="Z959" s="296"/>
      <c r="AA959" s="296"/>
      <c r="AB959" s="296"/>
      <c r="AC959" s="296"/>
      <c r="AD959" s="296"/>
      <c r="AE959" s="307"/>
      <c r="AF959" s="273"/>
      <c r="AG959" s="274"/>
    </row>
    <row r="960">
      <c r="A960" s="296"/>
      <c r="B960" s="269"/>
      <c r="C960" s="296"/>
      <c r="D960" s="296"/>
      <c r="E960" s="296"/>
      <c r="F960" s="296"/>
      <c r="G960" s="296"/>
      <c r="H960" s="296"/>
      <c r="I960" s="296"/>
      <c r="J960" s="296"/>
      <c r="K960" s="296"/>
      <c r="L960" s="296"/>
      <c r="M960" s="296"/>
      <c r="N960" s="296"/>
      <c r="O960" s="269"/>
      <c r="P960" s="269"/>
      <c r="Q960" s="269"/>
      <c r="R960" s="296"/>
      <c r="S960" s="296"/>
      <c r="T960" s="296"/>
      <c r="U960" s="296"/>
      <c r="V960" s="296"/>
      <c r="W960" s="296"/>
      <c r="X960" s="296"/>
      <c r="Y960" s="296"/>
      <c r="Z960" s="296"/>
      <c r="AA960" s="296"/>
      <c r="AB960" s="296"/>
      <c r="AC960" s="296"/>
      <c r="AD960" s="296"/>
      <c r="AE960" s="307"/>
      <c r="AF960" s="273"/>
      <c r="AG960" s="274"/>
    </row>
    <row r="961">
      <c r="A961" s="296"/>
      <c r="B961" s="269"/>
      <c r="C961" s="296"/>
      <c r="D961" s="296"/>
      <c r="E961" s="296"/>
      <c r="F961" s="296"/>
      <c r="G961" s="296"/>
      <c r="H961" s="296"/>
      <c r="I961" s="296"/>
      <c r="J961" s="296"/>
      <c r="K961" s="296"/>
      <c r="L961" s="296"/>
      <c r="M961" s="296"/>
      <c r="N961" s="296"/>
      <c r="O961" s="269"/>
      <c r="P961" s="269"/>
      <c r="Q961" s="269"/>
      <c r="R961" s="296"/>
      <c r="S961" s="296"/>
      <c r="T961" s="296"/>
      <c r="U961" s="296"/>
      <c r="V961" s="296"/>
      <c r="W961" s="296"/>
      <c r="X961" s="296"/>
      <c r="Y961" s="296"/>
      <c r="Z961" s="296"/>
      <c r="AA961" s="296"/>
      <c r="AB961" s="296"/>
      <c r="AC961" s="296"/>
      <c r="AD961" s="296"/>
      <c r="AE961" s="307"/>
      <c r="AF961" s="273"/>
      <c r="AG961" s="274"/>
    </row>
    <row r="962">
      <c r="A962" s="296"/>
      <c r="B962" s="269"/>
      <c r="C962" s="296"/>
      <c r="D962" s="296"/>
      <c r="E962" s="296"/>
      <c r="F962" s="296"/>
      <c r="G962" s="296"/>
      <c r="H962" s="296"/>
      <c r="I962" s="296"/>
      <c r="J962" s="296"/>
      <c r="K962" s="296"/>
      <c r="L962" s="296"/>
      <c r="M962" s="296"/>
      <c r="N962" s="296"/>
      <c r="O962" s="269"/>
      <c r="P962" s="269"/>
      <c r="Q962" s="269"/>
      <c r="R962" s="296"/>
      <c r="S962" s="296"/>
      <c r="T962" s="296"/>
      <c r="U962" s="296"/>
      <c r="V962" s="296"/>
      <c r="W962" s="296"/>
      <c r="X962" s="296"/>
      <c r="Y962" s="296"/>
      <c r="Z962" s="296"/>
      <c r="AA962" s="296"/>
      <c r="AB962" s="296"/>
      <c r="AC962" s="296"/>
      <c r="AD962" s="296"/>
      <c r="AE962" s="307"/>
      <c r="AF962" s="273"/>
      <c r="AG962" s="274"/>
    </row>
    <row r="963">
      <c r="A963" s="296"/>
      <c r="B963" s="269"/>
      <c r="C963" s="296"/>
      <c r="D963" s="296"/>
      <c r="E963" s="296"/>
      <c r="F963" s="296"/>
      <c r="G963" s="296"/>
      <c r="H963" s="296"/>
      <c r="I963" s="296"/>
      <c r="J963" s="296"/>
      <c r="K963" s="296"/>
      <c r="L963" s="296"/>
      <c r="M963" s="296"/>
      <c r="N963" s="296"/>
      <c r="O963" s="269"/>
      <c r="P963" s="269"/>
      <c r="Q963" s="269"/>
      <c r="R963" s="296"/>
      <c r="S963" s="296"/>
      <c r="T963" s="296"/>
      <c r="U963" s="296"/>
      <c r="V963" s="296"/>
      <c r="W963" s="296"/>
      <c r="X963" s="296"/>
      <c r="Y963" s="296"/>
      <c r="Z963" s="296"/>
      <c r="AA963" s="296"/>
      <c r="AB963" s="296"/>
      <c r="AC963" s="296"/>
      <c r="AD963" s="296"/>
      <c r="AE963" s="307"/>
      <c r="AF963" s="273"/>
      <c r="AG963" s="274"/>
    </row>
    <row r="964">
      <c r="A964" s="296"/>
      <c r="B964" s="269"/>
      <c r="C964" s="296"/>
      <c r="D964" s="296"/>
      <c r="E964" s="296"/>
      <c r="F964" s="296"/>
      <c r="G964" s="296"/>
      <c r="H964" s="296"/>
      <c r="I964" s="296"/>
      <c r="J964" s="296"/>
      <c r="K964" s="296"/>
      <c r="L964" s="296"/>
      <c r="M964" s="296"/>
      <c r="N964" s="296"/>
      <c r="O964" s="269"/>
      <c r="P964" s="269"/>
      <c r="Q964" s="269"/>
      <c r="R964" s="296"/>
      <c r="S964" s="296"/>
      <c r="T964" s="296"/>
      <c r="U964" s="296"/>
      <c r="V964" s="296"/>
      <c r="W964" s="296"/>
      <c r="X964" s="296"/>
      <c r="Y964" s="296"/>
      <c r="Z964" s="296"/>
      <c r="AA964" s="296"/>
      <c r="AB964" s="296"/>
      <c r="AC964" s="296"/>
      <c r="AD964" s="296"/>
      <c r="AE964" s="307"/>
      <c r="AF964" s="273"/>
      <c r="AG964" s="274"/>
    </row>
    <row r="965">
      <c r="A965" s="296"/>
      <c r="B965" s="269"/>
      <c r="C965" s="296"/>
      <c r="D965" s="296"/>
      <c r="E965" s="296"/>
      <c r="F965" s="296"/>
      <c r="G965" s="296"/>
      <c r="H965" s="296"/>
      <c r="I965" s="296"/>
      <c r="J965" s="296"/>
      <c r="K965" s="296"/>
      <c r="L965" s="296"/>
      <c r="M965" s="296"/>
      <c r="N965" s="296"/>
      <c r="O965" s="269"/>
      <c r="P965" s="269"/>
      <c r="Q965" s="269"/>
      <c r="R965" s="296"/>
      <c r="S965" s="296"/>
      <c r="T965" s="296"/>
      <c r="U965" s="296"/>
      <c r="V965" s="296"/>
      <c r="W965" s="296"/>
      <c r="X965" s="296"/>
      <c r="Y965" s="296"/>
      <c r="Z965" s="296"/>
      <c r="AA965" s="296"/>
      <c r="AB965" s="296"/>
      <c r="AC965" s="296"/>
      <c r="AD965" s="296"/>
      <c r="AE965" s="307"/>
      <c r="AF965" s="273"/>
      <c r="AG965" s="274"/>
    </row>
    <row r="966">
      <c r="A966" s="296"/>
      <c r="B966" s="269"/>
      <c r="C966" s="296"/>
      <c r="D966" s="296"/>
      <c r="E966" s="296"/>
      <c r="F966" s="296"/>
      <c r="G966" s="296"/>
      <c r="H966" s="296"/>
      <c r="I966" s="296"/>
      <c r="J966" s="296"/>
      <c r="K966" s="296"/>
      <c r="L966" s="296"/>
      <c r="M966" s="296"/>
      <c r="N966" s="296"/>
      <c r="O966" s="269"/>
      <c r="P966" s="269"/>
      <c r="Q966" s="269"/>
      <c r="R966" s="296"/>
      <c r="S966" s="296"/>
      <c r="T966" s="296"/>
      <c r="U966" s="296"/>
      <c r="V966" s="296"/>
      <c r="W966" s="296"/>
      <c r="X966" s="296"/>
      <c r="Y966" s="296"/>
      <c r="Z966" s="296"/>
      <c r="AA966" s="296"/>
      <c r="AB966" s="296"/>
      <c r="AC966" s="296"/>
      <c r="AD966" s="296"/>
      <c r="AE966" s="307"/>
      <c r="AF966" s="273"/>
      <c r="AG966" s="274"/>
    </row>
    <row r="967">
      <c r="A967" s="296"/>
      <c r="B967" s="269"/>
      <c r="C967" s="296"/>
      <c r="D967" s="296"/>
      <c r="E967" s="296"/>
      <c r="F967" s="296"/>
      <c r="G967" s="296"/>
      <c r="H967" s="296"/>
      <c r="I967" s="296"/>
      <c r="J967" s="296"/>
      <c r="K967" s="296"/>
      <c r="L967" s="296"/>
      <c r="M967" s="296"/>
      <c r="N967" s="296"/>
      <c r="O967" s="269"/>
      <c r="P967" s="269"/>
      <c r="Q967" s="269"/>
      <c r="R967" s="296"/>
      <c r="S967" s="296"/>
      <c r="T967" s="296"/>
      <c r="U967" s="296"/>
      <c r="V967" s="296"/>
      <c r="W967" s="296"/>
      <c r="X967" s="296"/>
      <c r="Y967" s="296"/>
      <c r="Z967" s="296"/>
      <c r="AA967" s="296"/>
      <c r="AB967" s="296"/>
      <c r="AC967" s="296"/>
      <c r="AD967" s="296"/>
      <c r="AE967" s="307"/>
      <c r="AF967" s="273"/>
      <c r="AG967" s="274"/>
    </row>
    <row r="968">
      <c r="A968" s="296"/>
      <c r="B968" s="269"/>
      <c r="C968" s="296"/>
      <c r="D968" s="296"/>
      <c r="E968" s="296"/>
      <c r="F968" s="296"/>
      <c r="G968" s="296"/>
      <c r="H968" s="296"/>
      <c r="I968" s="296"/>
      <c r="J968" s="296"/>
      <c r="K968" s="296"/>
      <c r="L968" s="296"/>
      <c r="M968" s="296"/>
      <c r="N968" s="296"/>
      <c r="O968" s="269"/>
      <c r="P968" s="269"/>
      <c r="Q968" s="269"/>
      <c r="R968" s="296"/>
      <c r="S968" s="296"/>
      <c r="T968" s="296"/>
      <c r="U968" s="296"/>
      <c r="V968" s="296"/>
      <c r="W968" s="296"/>
      <c r="X968" s="296"/>
      <c r="Y968" s="296"/>
      <c r="Z968" s="296"/>
      <c r="AA968" s="296"/>
      <c r="AB968" s="296"/>
      <c r="AC968" s="296"/>
      <c r="AD968" s="296"/>
      <c r="AE968" s="307"/>
      <c r="AF968" s="273"/>
      <c r="AG968" s="274"/>
    </row>
    <row r="969">
      <c r="A969" s="296"/>
      <c r="B969" s="269"/>
      <c r="C969" s="296"/>
      <c r="D969" s="296"/>
      <c r="E969" s="296"/>
      <c r="F969" s="296"/>
      <c r="G969" s="296"/>
      <c r="H969" s="296"/>
      <c r="I969" s="296"/>
      <c r="J969" s="296"/>
      <c r="K969" s="296"/>
      <c r="L969" s="296"/>
      <c r="M969" s="296"/>
      <c r="N969" s="296"/>
      <c r="O969" s="269"/>
      <c r="P969" s="269"/>
      <c r="Q969" s="269"/>
      <c r="R969" s="296"/>
      <c r="S969" s="296"/>
      <c r="T969" s="296"/>
      <c r="U969" s="296"/>
      <c r="V969" s="296"/>
      <c r="W969" s="296"/>
      <c r="X969" s="296"/>
      <c r="Y969" s="296"/>
      <c r="Z969" s="296"/>
      <c r="AA969" s="296"/>
      <c r="AB969" s="296"/>
      <c r="AC969" s="296"/>
      <c r="AD969" s="296"/>
      <c r="AE969" s="307"/>
      <c r="AF969" s="273"/>
      <c r="AG969" s="274"/>
    </row>
    <row r="970">
      <c r="A970" s="296"/>
      <c r="B970" s="269"/>
      <c r="C970" s="296"/>
      <c r="D970" s="296"/>
      <c r="E970" s="296"/>
      <c r="F970" s="296"/>
      <c r="G970" s="296"/>
      <c r="H970" s="296"/>
      <c r="I970" s="296"/>
      <c r="J970" s="296"/>
      <c r="K970" s="296"/>
      <c r="L970" s="296"/>
      <c r="M970" s="296"/>
      <c r="N970" s="296"/>
      <c r="O970" s="269"/>
      <c r="P970" s="269"/>
      <c r="Q970" s="269"/>
      <c r="R970" s="296"/>
      <c r="S970" s="296"/>
      <c r="T970" s="296"/>
      <c r="U970" s="296"/>
      <c r="V970" s="296"/>
      <c r="W970" s="296"/>
      <c r="X970" s="296"/>
      <c r="Y970" s="296"/>
      <c r="Z970" s="296"/>
      <c r="AA970" s="296"/>
      <c r="AB970" s="296"/>
      <c r="AC970" s="296"/>
      <c r="AD970" s="296"/>
      <c r="AE970" s="307"/>
      <c r="AF970" s="273"/>
      <c r="AG970" s="274"/>
    </row>
    <row r="971">
      <c r="A971" s="296"/>
      <c r="B971" s="269"/>
      <c r="C971" s="296"/>
      <c r="D971" s="296"/>
      <c r="E971" s="296"/>
      <c r="F971" s="296"/>
      <c r="G971" s="296"/>
      <c r="H971" s="296"/>
      <c r="I971" s="296"/>
      <c r="J971" s="296"/>
      <c r="K971" s="296"/>
      <c r="L971" s="296"/>
      <c r="M971" s="296"/>
      <c r="N971" s="296"/>
      <c r="O971" s="269"/>
      <c r="P971" s="269"/>
      <c r="Q971" s="269"/>
      <c r="R971" s="296"/>
      <c r="S971" s="296"/>
      <c r="T971" s="296"/>
      <c r="U971" s="296"/>
      <c r="V971" s="296"/>
      <c r="W971" s="296"/>
      <c r="X971" s="296"/>
      <c r="Y971" s="296"/>
      <c r="Z971" s="296"/>
      <c r="AA971" s="296"/>
      <c r="AB971" s="296"/>
      <c r="AC971" s="296"/>
      <c r="AD971" s="296"/>
      <c r="AE971" s="307"/>
      <c r="AF971" s="273"/>
      <c r="AG971" s="274"/>
    </row>
    <row r="972">
      <c r="A972" s="296"/>
      <c r="B972" s="269"/>
      <c r="C972" s="296"/>
      <c r="D972" s="296"/>
      <c r="E972" s="296"/>
      <c r="F972" s="296"/>
      <c r="G972" s="296"/>
      <c r="H972" s="296"/>
      <c r="I972" s="296"/>
      <c r="J972" s="296"/>
      <c r="K972" s="296"/>
      <c r="L972" s="296"/>
      <c r="M972" s="296"/>
      <c r="N972" s="296"/>
      <c r="O972" s="269"/>
      <c r="P972" s="269"/>
      <c r="Q972" s="269"/>
      <c r="R972" s="296"/>
      <c r="S972" s="296"/>
      <c r="T972" s="296"/>
      <c r="U972" s="296"/>
      <c r="V972" s="296"/>
      <c r="W972" s="296"/>
      <c r="X972" s="296"/>
      <c r="Y972" s="296"/>
      <c r="Z972" s="296"/>
      <c r="AA972" s="296"/>
      <c r="AB972" s="296"/>
      <c r="AC972" s="296"/>
      <c r="AD972" s="296"/>
      <c r="AE972" s="307"/>
      <c r="AF972" s="273"/>
      <c r="AG972" s="274"/>
    </row>
    <row r="973">
      <c r="A973" s="296"/>
      <c r="B973" s="269"/>
      <c r="C973" s="296"/>
      <c r="D973" s="296"/>
      <c r="E973" s="296"/>
      <c r="F973" s="296"/>
      <c r="G973" s="296"/>
      <c r="H973" s="296"/>
      <c r="I973" s="296"/>
      <c r="J973" s="296"/>
      <c r="K973" s="296"/>
      <c r="L973" s="296"/>
      <c r="M973" s="296"/>
      <c r="N973" s="296"/>
      <c r="O973" s="269"/>
      <c r="P973" s="269"/>
      <c r="Q973" s="269"/>
      <c r="R973" s="296"/>
      <c r="S973" s="296"/>
      <c r="T973" s="296"/>
      <c r="U973" s="296"/>
      <c r="V973" s="296"/>
      <c r="W973" s="296"/>
      <c r="X973" s="296"/>
      <c r="Y973" s="296"/>
      <c r="Z973" s="296"/>
      <c r="AA973" s="296"/>
      <c r="AB973" s="296"/>
      <c r="AC973" s="296"/>
      <c r="AD973" s="296"/>
      <c r="AE973" s="307"/>
      <c r="AF973" s="273"/>
      <c r="AG973" s="274"/>
    </row>
    <row r="974">
      <c r="A974" s="296"/>
      <c r="B974" s="269"/>
      <c r="C974" s="296"/>
      <c r="D974" s="296"/>
      <c r="E974" s="296"/>
      <c r="F974" s="296"/>
      <c r="G974" s="296"/>
      <c r="H974" s="296"/>
      <c r="I974" s="296"/>
      <c r="J974" s="296"/>
      <c r="K974" s="296"/>
      <c r="L974" s="296"/>
      <c r="M974" s="296"/>
      <c r="N974" s="296"/>
      <c r="O974" s="269"/>
      <c r="P974" s="269"/>
      <c r="Q974" s="269"/>
      <c r="R974" s="296"/>
      <c r="S974" s="296"/>
      <c r="T974" s="296"/>
      <c r="U974" s="296"/>
      <c r="V974" s="296"/>
      <c r="W974" s="296"/>
      <c r="X974" s="296"/>
      <c r="Y974" s="296"/>
      <c r="Z974" s="296"/>
      <c r="AA974" s="296"/>
      <c r="AB974" s="296"/>
      <c r="AC974" s="296"/>
      <c r="AD974" s="296"/>
      <c r="AE974" s="307"/>
      <c r="AF974" s="273"/>
      <c r="AG974" s="274"/>
    </row>
    <row r="975">
      <c r="A975" s="296"/>
      <c r="B975" s="269"/>
      <c r="C975" s="296"/>
      <c r="D975" s="296"/>
      <c r="E975" s="296"/>
      <c r="F975" s="296"/>
      <c r="G975" s="296"/>
      <c r="H975" s="296"/>
      <c r="I975" s="296"/>
      <c r="J975" s="296"/>
      <c r="K975" s="296"/>
      <c r="L975" s="296"/>
      <c r="M975" s="296"/>
      <c r="N975" s="296"/>
      <c r="O975" s="269"/>
      <c r="P975" s="269"/>
      <c r="Q975" s="269"/>
      <c r="R975" s="296"/>
      <c r="S975" s="296"/>
      <c r="T975" s="296"/>
      <c r="U975" s="296"/>
      <c r="V975" s="296"/>
      <c r="W975" s="296"/>
      <c r="X975" s="296"/>
      <c r="Y975" s="296"/>
      <c r="Z975" s="296"/>
      <c r="AA975" s="296"/>
      <c r="AB975" s="296"/>
      <c r="AC975" s="296"/>
      <c r="AD975" s="296"/>
      <c r="AE975" s="307"/>
      <c r="AF975" s="273"/>
      <c r="AG975" s="274"/>
    </row>
    <row r="976">
      <c r="A976" s="296"/>
      <c r="B976" s="269"/>
      <c r="C976" s="296"/>
      <c r="D976" s="296"/>
      <c r="E976" s="296"/>
      <c r="F976" s="296"/>
      <c r="G976" s="296"/>
      <c r="H976" s="296"/>
      <c r="I976" s="296"/>
      <c r="J976" s="296"/>
      <c r="K976" s="296"/>
      <c r="L976" s="296"/>
      <c r="M976" s="296"/>
      <c r="N976" s="296"/>
      <c r="O976" s="269"/>
      <c r="P976" s="269"/>
      <c r="Q976" s="269"/>
      <c r="R976" s="296"/>
      <c r="S976" s="296"/>
      <c r="T976" s="296"/>
      <c r="U976" s="296"/>
      <c r="V976" s="296"/>
      <c r="W976" s="296"/>
      <c r="X976" s="296"/>
      <c r="Y976" s="296"/>
      <c r="Z976" s="296"/>
      <c r="AA976" s="296"/>
      <c r="AB976" s="296"/>
      <c r="AC976" s="296"/>
      <c r="AD976" s="296"/>
      <c r="AE976" s="307"/>
      <c r="AF976" s="273"/>
      <c r="AG976" s="274"/>
    </row>
    <row r="977">
      <c r="A977" s="296"/>
      <c r="B977" s="269"/>
      <c r="C977" s="296"/>
      <c r="D977" s="296"/>
      <c r="E977" s="296"/>
      <c r="F977" s="296"/>
      <c r="G977" s="296"/>
      <c r="H977" s="296"/>
      <c r="I977" s="296"/>
      <c r="J977" s="296"/>
      <c r="K977" s="296"/>
      <c r="L977" s="296"/>
      <c r="M977" s="296"/>
      <c r="N977" s="296"/>
      <c r="O977" s="269"/>
      <c r="P977" s="269"/>
      <c r="Q977" s="269"/>
      <c r="R977" s="296"/>
      <c r="S977" s="296"/>
      <c r="T977" s="296"/>
      <c r="U977" s="296"/>
      <c r="V977" s="296"/>
      <c r="W977" s="296"/>
      <c r="X977" s="296"/>
      <c r="Y977" s="296"/>
      <c r="Z977" s="296"/>
      <c r="AA977" s="296"/>
      <c r="AB977" s="296"/>
      <c r="AC977" s="296"/>
      <c r="AD977" s="296"/>
      <c r="AE977" s="307"/>
      <c r="AF977" s="273"/>
      <c r="AG977" s="274"/>
    </row>
    <row r="978">
      <c r="A978" s="296"/>
      <c r="B978" s="269"/>
      <c r="C978" s="296"/>
      <c r="D978" s="296"/>
      <c r="E978" s="296"/>
      <c r="F978" s="296"/>
      <c r="G978" s="296"/>
      <c r="H978" s="296"/>
      <c r="I978" s="296"/>
      <c r="J978" s="296"/>
      <c r="K978" s="296"/>
      <c r="L978" s="296"/>
      <c r="M978" s="296"/>
      <c r="N978" s="296"/>
      <c r="O978" s="269"/>
      <c r="P978" s="269"/>
      <c r="Q978" s="269"/>
      <c r="R978" s="296"/>
      <c r="S978" s="296"/>
      <c r="T978" s="296"/>
      <c r="U978" s="296"/>
      <c r="V978" s="296"/>
      <c r="W978" s="296"/>
      <c r="X978" s="296"/>
      <c r="Y978" s="296"/>
      <c r="Z978" s="296"/>
      <c r="AA978" s="296"/>
      <c r="AB978" s="296"/>
      <c r="AC978" s="296"/>
      <c r="AD978" s="296"/>
      <c r="AE978" s="307"/>
      <c r="AF978" s="273"/>
      <c r="AG978" s="274"/>
    </row>
    <row r="979">
      <c r="A979" s="296"/>
      <c r="B979" s="269"/>
      <c r="C979" s="296"/>
      <c r="D979" s="296"/>
      <c r="E979" s="296"/>
      <c r="F979" s="296"/>
      <c r="G979" s="296"/>
      <c r="H979" s="296"/>
      <c r="I979" s="296"/>
      <c r="J979" s="296"/>
      <c r="K979" s="296"/>
      <c r="L979" s="296"/>
      <c r="M979" s="296"/>
      <c r="N979" s="296"/>
      <c r="O979" s="269"/>
      <c r="P979" s="269"/>
      <c r="Q979" s="269"/>
      <c r="R979" s="296"/>
      <c r="S979" s="296"/>
      <c r="T979" s="296"/>
      <c r="U979" s="296"/>
      <c r="V979" s="296"/>
      <c r="W979" s="296"/>
      <c r="X979" s="296"/>
      <c r="Y979" s="296"/>
      <c r="Z979" s="296"/>
      <c r="AA979" s="296"/>
      <c r="AB979" s="296"/>
      <c r="AC979" s="296"/>
      <c r="AD979" s="296"/>
      <c r="AE979" s="307"/>
      <c r="AF979" s="273"/>
      <c r="AG979" s="274"/>
    </row>
    <row r="980">
      <c r="A980" s="296"/>
      <c r="B980" s="269"/>
      <c r="C980" s="296"/>
      <c r="D980" s="296"/>
      <c r="E980" s="296"/>
      <c r="F980" s="296"/>
      <c r="G980" s="296"/>
      <c r="H980" s="296"/>
      <c r="I980" s="296"/>
      <c r="J980" s="296"/>
      <c r="K980" s="296"/>
      <c r="L980" s="296"/>
      <c r="M980" s="296"/>
      <c r="N980" s="296"/>
      <c r="O980" s="269"/>
      <c r="P980" s="269"/>
      <c r="Q980" s="269"/>
      <c r="R980" s="296"/>
      <c r="S980" s="296"/>
      <c r="T980" s="296"/>
      <c r="U980" s="296"/>
      <c r="V980" s="296"/>
      <c r="W980" s="296"/>
      <c r="X980" s="296"/>
      <c r="Y980" s="296"/>
      <c r="Z980" s="296"/>
      <c r="AA980" s="296"/>
      <c r="AB980" s="296"/>
      <c r="AC980" s="296"/>
      <c r="AD980" s="296"/>
      <c r="AE980" s="307"/>
      <c r="AF980" s="273"/>
      <c r="AG980" s="274"/>
    </row>
    <row r="981">
      <c r="A981" s="296"/>
      <c r="B981" s="269"/>
      <c r="C981" s="296"/>
      <c r="D981" s="296"/>
      <c r="E981" s="296"/>
      <c r="F981" s="296"/>
      <c r="G981" s="296"/>
      <c r="H981" s="296"/>
      <c r="I981" s="296"/>
      <c r="J981" s="296"/>
      <c r="K981" s="296"/>
      <c r="L981" s="296"/>
      <c r="M981" s="296"/>
      <c r="N981" s="296"/>
      <c r="O981" s="269"/>
      <c r="P981" s="269"/>
      <c r="Q981" s="269"/>
      <c r="R981" s="296"/>
      <c r="S981" s="296"/>
      <c r="T981" s="296"/>
      <c r="U981" s="296"/>
      <c r="V981" s="296"/>
      <c r="W981" s="296"/>
      <c r="X981" s="296"/>
      <c r="Y981" s="296"/>
      <c r="Z981" s="296"/>
      <c r="AA981" s="296"/>
      <c r="AB981" s="296"/>
      <c r="AC981" s="296"/>
      <c r="AD981" s="296"/>
      <c r="AE981" s="307"/>
      <c r="AF981" s="273"/>
      <c r="AG981" s="274"/>
    </row>
    <row r="982">
      <c r="A982" s="296"/>
      <c r="B982" s="269"/>
      <c r="C982" s="296"/>
      <c r="D982" s="296"/>
      <c r="E982" s="296"/>
      <c r="F982" s="296"/>
      <c r="G982" s="296"/>
      <c r="H982" s="296"/>
      <c r="I982" s="296"/>
      <c r="J982" s="296"/>
      <c r="K982" s="296"/>
      <c r="L982" s="296"/>
      <c r="M982" s="296"/>
      <c r="N982" s="296"/>
      <c r="O982" s="269"/>
      <c r="P982" s="269"/>
      <c r="Q982" s="269"/>
      <c r="R982" s="296"/>
      <c r="S982" s="296"/>
      <c r="T982" s="296"/>
      <c r="U982" s="296"/>
      <c r="V982" s="296"/>
      <c r="W982" s="296"/>
      <c r="X982" s="296"/>
      <c r="Y982" s="296"/>
      <c r="Z982" s="296"/>
      <c r="AA982" s="296"/>
      <c r="AB982" s="296"/>
      <c r="AC982" s="296"/>
      <c r="AD982" s="296"/>
      <c r="AE982" s="307"/>
      <c r="AF982" s="273"/>
      <c r="AG982" s="274"/>
    </row>
    <row r="983">
      <c r="A983" s="296"/>
      <c r="B983" s="269"/>
      <c r="C983" s="296"/>
      <c r="D983" s="296"/>
      <c r="E983" s="296"/>
      <c r="F983" s="296"/>
      <c r="G983" s="296"/>
      <c r="H983" s="296"/>
      <c r="I983" s="296"/>
      <c r="J983" s="296"/>
      <c r="K983" s="296"/>
      <c r="L983" s="296"/>
      <c r="M983" s="296"/>
      <c r="N983" s="296"/>
      <c r="O983" s="269"/>
      <c r="P983" s="269"/>
      <c r="Q983" s="269"/>
      <c r="R983" s="296"/>
      <c r="S983" s="296"/>
      <c r="T983" s="296"/>
      <c r="U983" s="296"/>
      <c r="V983" s="296"/>
      <c r="W983" s="296"/>
      <c r="X983" s="296"/>
      <c r="Y983" s="296"/>
      <c r="Z983" s="296"/>
      <c r="AA983" s="296"/>
      <c r="AB983" s="296"/>
      <c r="AC983" s="296"/>
      <c r="AD983" s="296"/>
      <c r="AE983" s="307"/>
      <c r="AF983" s="273"/>
      <c r="AG983" s="274"/>
    </row>
    <row r="984">
      <c r="A984" s="296"/>
      <c r="B984" s="269"/>
      <c r="C984" s="296"/>
      <c r="D984" s="296"/>
      <c r="E984" s="296"/>
      <c r="F984" s="296"/>
      <c r="G984" s="296"/>
      <c r="H984" s="296"/>
      <c r="I984" s="296"/>
      <c r="J984" s="296"/>
      <c r="K984" s="296"/>
      <c r="L984" s="296"/>
      <c r="M984" s="296"/>
      <c r="N984" s="296"/>
      <c r="O984" s="269"/>
      <c r="P984" s="269"/>
      <c r="Q984" s="269"/>
      <c r="R984" s="296"/>
      <c r="S984" s="296"/>
      <c r="T984" s="296"/>
      <c r="U984" s="296"/>
      <c r="V984" s="296"/>
      <c r="W984" s="296"/>
      <c r="X984" s="296"/>
      <c r="Y984" s="296"/>
      <c r="Z984" s="296"/>
      <c r="AA984" s="296"/>
      <c r="AB984" s="296"/>
      <c r="AC984" s="296"/>
      <c r="AD984" s="296"/>
      <c r="AE984" s="307"/>
      <c r="AF984" s="273"/>
      <c r="AG984" s="274"/>
    </row>
    <row r="985">
      <c r="A985" s="296"/>
      <c r="B985" s="269"/>
      <c r="C985" s="296"/>
      <c r="D985" s="296"/>
      <c r="E985" s="296"/>
      <c r="F985" s="296"/>
      <c r="G985" s="296"/>
      <c r="H985" s="296"/>
      <c r="I985" s="296"/>
      <c r="J985" s="296"/>
      <c r="K985" s="296"/>
      <c r="L985" s="296"/>
      <c r="M985" s="296"/>
      <c r="N985" s="296"/>
      <c r="O985" s="269"/>
      <c r="P985" s="269"/>
      <c r="Q985" s="269"/>
      <c r="R985" s="296"/>
      <c r="S985" s="296"/>
      <c r="T985" s="296"/>
      <c r="U985" s="296"/>
      <c r="V985" s="296"/>
      <c r="W985" s="296"/>
      <c r="X985" s="296"/>
      <c r="Y985" s="296"/>
      <c r="Z985" s="296"/>
      <c r="AA985" s="296"/>
      <c r="AB985" s="296"/>
      <c r="AC985" s="296"/>
      <c r="AD985" s="296"/>
      <c r="AE985" s="307"/>
      <c r="AF985" s="273"/>
      <c r="AG985" s="274"/>
    </row>
    <row r="986">
      <c r="A986" s="296"/>
      <c r="B986" s="269"/>
      <c r="C986" s="296"/>
      <c r="D986" s="296"/>
      <c r="E986" s="296"/>
      <c r="F986" s="296"/>
      <c r="G986" s="296"/>
      <c r="H986" s="296"/>
      <c r="I986" s="296"/>
      <c r="J986" s="296"/>
      <c r="K986" s="296"/>
      <c r="L986" s="296"/>
      <c r="M986" s="296"/>
      <c r="N986" s="296"/>
      <c r="O986" s="269"/>
      <c r="P986" s="269"/>
      <c r="Q986" s="269"/>
      <c r="R986" s="296"/>
      <c r="S986" s="296"/>
      <c r="T986" s="296"/>
      <c r="U986" s="296"/>
      <c r="V986" s="296"/>
      <c r="W986" s="296"/>
      <c r="X986" s="296"/>
      <c r="Y986" s="296"/>
      <c r="Z986" s="296"/>
      <c r="AA986" s="296"/>
      <c r="AB986" s="296"/>
      <c r="AC986" s="296"/>
      <c r="AD986" s="296"/>
      <c r="AE986" s="307"/>
      <c r="AF986" s="273"/>
      <c r="AG986" s="274"/>
    </row>
    <row r="987">
      <c r="A987" s="296"/>
      <c r="B987" s="269"/>
      <c r="C987" s="296"/>
      <c r="D987" s="296"/>
      <c r="E987" s="296"/>
      <c r="F987" s="296"/>
      <c r="G987" s="296"/>
      <c r="H987" s="296"/>
      <c r="I987" s="296"/>
      <c r="J987" s="296"/>
      <c r="K987" s="296"/>
      <c r="L987" s="296"/>
      <c r="M987" s="296"/>
      <c r="N987" s="296"/>
      <c r="O987" s="269"/>
      <c r="P987" s="269"/>
      <c r="Q987" s="269"/>
      <c r="R987" s="296"/>
      <c r="S987" s="296"/>
      <c r="T987" s="296"/>
      <c r="U987" s="296"/>
      <c r="V987" s="296"/>
      <c r="W987" s="296"/>
      <c r="X987" s="296"/>
      <c r="Y987" s="296"/>
      <c r="Z987" s="296"/>
      <c r="AA987" s="296"/>
      <c r="AB987" s="296"/>
      <c r="AC987" s="296"/>
      <c r="AD987" s="296"/>
      <c r="AE987" s="307"/>
      <c r="AF987" s="273"/>
      <c r="AG987" s="274"/>
    </row>
    <row r="988">
      <c r="A988" s="296"/>
      <c r="B988" s="269"/>
      <c r="C988" s="296"/>
      <c r="D988" s="296"/>
      <c r="E988" s="296"/>
      <c r="F988" s="296"/>
      <c r="G988" s="296"/>
      <c r="H988" s="296"/>
      <c r="I988" s="296"/>
      <c r="J988" s="296"/>
      <c r="K988" s="296"/>
      <c r="L988" s="296"/>
      <c r="M988" s="296"/>
      <c r="N988" s="296"/>
      <c r="O988" s="269"/>
      <c r="P988" s="269"/>
      <c r="Q988" s="269"/>
      <c r="R988" s="296"/>
      <c r="S988" s="296"/>
      <c r="T988" s="296"/>
      <c r="U988" s="296"/>
      <c r="V988" s="296"/>
      <c r="W988" s="296"/>
      <c r="X988" s="296"/>
      <c r="Y988" s="296"/>
      <c r="Z988" s="296"/>
      <c r="AA988" s="296"/>
      <c r="AB988" s="296"/>
      <c r="AC988" s="296"/>
      <c r="AD988" s="296"/>
      <c r="AE988" s="307"/>
      <c r="AF988" s="273"/>
      <c r="AG988" s="274"/>
    </row>
    <row r="989">
      <c r="A989" s="296"/>
      <c r="B989" s="269"/>
      <c r="C989" s="296"/>
      <c r="D989" s="296"/>
      <c r="E989" s="296"/>
      <c r="F989" s="296"/>
      <c r="G989" s="296"/>
      <c r="H989" s="296"/>
      <c r="I989" s="296"/>
      <c r="J989" s="296"/>
      <c r="K989" s="296"/>
      <c r="L989" s="296"/>
      <c r="M989" s="296"/>
      <c r="N989" s="296"/>
      <c r="O989" s="269"/>
      <c r="P989" s="269"/>
      <c r="Q989" s="269"/>
      <c r="R989" s="296"/>
      <c r="S989" s="296"/>
      <c r="T989" s="296"/>
      <c r="U989" s="296"/>
      <c r="V989" s="296"/>
      <c r="W989" s="296"/>
      <c r="X989" s="296"/>
      <c r="Y989" s="296"/>
      <c r="Z989" s="296"/>
      <c r="AA989" s="296"/>
      <c r="AB989" s="296"/>
      <c r="AC989" s="296"/>
      <c r="AD989" s="296"/>
      <c r="AE989" s="307"/>
      <c r="AF989" s="273"/>
      <c r="AG989" s="274"/>
    </row>
    <row r="990">
      <c r="A990" s="296"/>
      <c r="B990" s="269"/>
      <c r="C990" s="296"/>
      <c r="D990" s="296"/>
      <c r="E990" s="296"/>
      <c r="F990" s="296"/>
      <c r="G990" s="296"/>
      <c r="H990" s="296"/>
      <c r="I990" s="296"/>
      <c r="J990" s="296"/>
      <c r="K990" s="296"/>
      <c r="L990" s="296"/>
      <c r="M990" s="296"/>
      <c r="N990" s="296"/>
      <c r="O990" s="269"/>
      <c r="P990" s="269"/>
      <c r="Q990" s="269"/>
      <c r="R990" s="296"/>
      <c r="S990" s="296"/>
      <c r="T990" s="296"/>
      <c r="U990" s="296"/>
      <c r="V990" s="296"/>
      <c r="W990" s="296"/>
      <c r="X990" s="296"/>
      <c r="Y990" s="296"/>
      <c r="Z990" s="296"/>
      <c r="AA990" s="296"/>
      <c r="AB990" s="296"/>
      <c r="AC990" s="296"/>
      <c r="AD990" s="296"/>
      <c r="AE990" s="307"/>
      <c r="AF990" s="273"/>
      <c r="AG990" s="274"/>
    </row>
    <row r="991">
      <c r="A991" s="296"/>
      <c r="B991" s="269"/>
      <c r="C991" s="296"/>
      <c r="D991" s="296"/>
      <c r="E991" s="296"/>
      <c r="F991" s="296"/>
      <c r="G991" s="296"/>
      <c r="H991" s="296"/>
      <c r="I991" s="296"/>
      <c r="J991" s="296"/>
      <c r="K991" s="296"/>
      <c r="L991" s="296"/>
      <c r="M991" s="296"/>
      <c r="N991" s="296"/>
      <c r="O991" s="269"/>
      <c r="P991" s="269"/>
      <c r="Q991" s="269"/>
      <c r="R991" s="296"/>
      <c r="S991" s="296"/>
      <c r="T991" s="296"/>
      <c r="U991" s="296"/>
      <c r="V991" s="296"/>
      <c r="W991" s="296"/>
      <c r="X991" s="296"/>
      <c r="Y991" s="296"/>
      <c r="Z991" s="296"/>
      <c r="AA991" s="296"/>
      <c r="AB991" s="296"/>
      <c r="AC991" s="296"/>
      <c r="AD991" s="296"/>
      <c r="AE991" s="307"/>
      <c r="AF991" s="273"/>
      <c r="AG991" s="274"/>
    </row>
    <row r="992">
      <c r="A992" s="296"/>
      <c r="B992" s="269"/>
      <c r="C992" s="296"/>
      <c r="D992" s="296"/>
      <c r="E992" s="296"/>
      <c r="F992" s="296"/>
      <c r="G992" s="296"/>
      <c r="H992" s="296"/>
      <c r="I992" s="296"/>
      <c r="J992" s="296"/>
      <c r="K992" s="296"/>
      <c r="L992" s="296"/>
      <c r="M992" s="296"/>
      <c r="N992" s="296"/>
      <c r="O992" s="269"/>
      <c r="P992" s="269"/>
      <c r="Q992" s="269"/>
      <c r="R992" s="296"/>
      <c r="S992" s="296"/>
      <c r="T992" s="296"/>
      <c r="U992" s="296"/>
      <c r="V992" s="296"/>
      <c r="W992" s="296"/>
      <c r="X992" s="296"/>
      <c r="Y992" s="296"/>
      <c r="Z992" s="296"/>
      <c r="AA992" s="296"/>
      <c r="AB992" s="296"/>
      <c r="AC992" s="296"/>
      <c r="AD992" s="296"/>
      <c r="AE992" s="307"/>
      <c r="AF992" s="273"/>
      <c r="AG992" s="274"/>
    </row>
    <row r="993">
      <c r="A993" s="296"/>
      <c r="B993" s="269"/>
      <c r="C993" s="296"/>
      <c r="D993" s="296"/>
      <c r="E993" s="296"/>
      <c r="F993" s="296"/>
      <c r="G993" s="296"/>
      <c r="H993" s="296"/>
      <c r="I993" s="296"/>
      <c r="J993" s="296"/>
      <c r="K993" s="296"/>
      <c r="L993" s="296"/>
      <c r="M993" s="296"/>
      <c r="N993" s="296"/>
      <c r="O993" s="269"/>
      <c r="P993" s="269"/>
      <c r="Q993" s="269"/>
      <c r="R993" s="296"/>
      <c r="S993" s="296"/>
      <c r="T993" s="296"/>
      <c r="U993" s="296"/>
      <c r="V993" s="296"/>
      <c r="W993" s="296"/>
      <c r="X993" s="296"/>
      <c r="Y993" s="296"/>
      <c r="Z993" s="296"/>
      <c r="AA993" s="296"/>
      <c r="AB993" s="296"/>
      <c r="AC993" s="296"/>
      <c r="AD993" s="296"/>
      <c r="AE993" s="307"/>
      <c r="AF993" s="273"/>
      <c r="AG993" s="274"/>
    </row>
    <row r="994">
      <c r="A994" s="296"/>
      <c r="B994" s="269"/>
      <c r="C994" s="296"/>
      <c r="D994" s="296"/>
      <c r="E994" s="296"/>
      <c r="F994" s="296"/>
      <c r="G994" s="296"/>
      <c r="H994" s="296"/>
      <c r="I994" s="296"/>
      <c r="J994" s="296"/>
      <c r="K994" s="296"/>
      <c r="L994" s="296"/>
      <c r="M994" s="296"/>
      <c r="N994" s="296"/>
      <c r="O994" s="269"/>
      <c r="P994" s="269"/>
      <c r="Q994" s="269"/>
      <c r="R994" s="296"/>
      <c r="S994" s="296"/>
      <c r="T994" s="296"/>
      <c r="U994" s="296"/>
      <c r="V994" s="296"/>
      <c r="W994" s="296"/>
      <c r="X994" s="296"/>
      <c r="Y994" s="296"/>
      <c r="Z994" s="296"/>
      <c r="AA994" s="296"/>
      <c r="AB994" s="296"/>
      <c r="AC994" s="296"/>
      <c r="AD994" s="296"/>
      <c r="AE994" s="307"/>
      <c r="AF994" s="273"/>
      <c r="AG994" s="274"/>
    </row>
    <row r="995">
      <c r="A995" s="296"/>
      <c r="B995" s="269"/>
      <c r="C995" s="296"/>
      <c r="D995" s="296"/>
      <c r="E995" s="296"/>
      <c r="F995" s="296"/>
      <c r="G995" s="296"/>
      <c r="H995" s="296"/>
      <c r="I995" s="296"/>
      <c r="J995" s="296"/>
      <c r="K995" s="296"/>
      <c r="L995" s="296"/>
      <c r="M995" s="296"/>
      <c r="N995" s="296"/>
      <c r="O995" s="269"/>
      <c r="P995" s="269"/>
      <c r="Q995" s="269"/>
      <c r="R995" s="296"/>
      <c r="S995" s="296"/>
      <c r="T995" s="296"/>
      <c r="U995" s="296"/>
      <c r="V995" s="296"/>
      <c r="W995" s="296"/>
      <c r="X995" s="296"/>
      <c r="Y995" s="296"/>
      <c r="Z995" s="296"/>
      <c r="AA995" s="296"/>
      <c r="AB995" s="296"/>
      <c r="AC995" s="296"/>
      <c r="AD995" s="296"/>
      <c r="AE995" s="307"/>
      <c r="AF995" s="273"/>
      <c r="AG995" s="274"/>
    </row>
    <row r="996">
      <c r="A996" s="296"/>
      <c r="B996" s="269"/>
      <c r="C996" s="296"/>
      <c r="D996" s="296"/>
      <c r="E996" s="296"/>
      <c r="F996" s="296"/>
      <c r="G996" s="296"/>
      <c r="H996" s="296"/>
      <c r="I996" s="296"/>
      <c r="J996" s="296"/>
      <c r="K996" s="296"/>
      <c r="L996" s="296"/>
      <c r="M996" s="296"/>
      <c r="N996" s="296"/>
      <c r="O996" s="269"/>
      <c r="P996" s="269"/>
      <c r="Q996" s="269"/>
      <c r="R996" s="296"/>
      <c r="S996" s="296"/>
      <c r="T996" s="296"/>
      <c r="U996" s="296"/>
      <c r="V996" s="296"/>
      <c r="W996" s="296"/>
      <c r="X996" s="296"/>
      <c r="Y996" s="296"/>
      <c r="Z996" s="296"/>
      <c r="AA996" s="296"/>
      <c r="AB996" s="296"/>
      <c r="AC996" s="296"/>
      <c r="AD996" s="296"/>
      <c r="AE996" s="307"/>
      <c r="AF996" s="273"/>
      <c r="AG996" s="274"/>
    </row>
    <row r="997">
      <c r="A997" s="296"/>
      <c r="B997" s="269"/>
      <c r="C997" s="296"/>
      <c r="D997" s="296"/>
      <c r="E997" s="296"/>
      <c r="F997" s="296"/>
      <c r="G997" s="296"/>
      <c r="H997" s="296"/>
      <c r="I997" s="296"/>
      <c r="J997" s="296"/>
      <c r="K997" s="296"/>
      <c r="L997" s="296"/>
      <c r="M997" s="296"/>
      <c r="N997" s="296"/>
      <c r="O997" s="269"/>
      <c r="P997" s="269"/>
      <c r="Q997" s="269"/>
      <c r="R997" s="296"/>
      <c r="S997" s="296"/>
      <c r="T997" s="296"/>
      <c r="U997" s="296"/>
      <c r="V997" s="296"/>
      <c r="W997" s="296"/>
      <c r="X997" s="296"/>
      <c r="Y997" s="296"/>
      <c r="Z997" s="296"/>
      <c r="AA997" s="296"/>
      <c r="AB997" s="296"/>
      <c r="AC997" s="296"/>
      <c r="AD997" s="296"/>
      <c r="AE997" s="307"/>
      <c r="AF997" s="273"/>
      <c r="AG997" s="274"/>
    </row>
    <row r="998">
      <c r="A998" s="296"/>
      <c r="B998" s="269"/>
      <c r="C998" s="296"/>
      <c r="D998" s="296"/>
      <c r="E998" s="296"/>
      <c r="F998" s="296"/>
      <c r="G998" s="296"/>
      <c r="H998" s="296"/>
      <c r="I998" s="296"/>
      <c r="J998" s="296"/>
      <c r="K998" s="296"/>
      <c r="L998" s="296"/>
      <c r="M998" s="296"/>
      <c r="N998" s="296"/>
      <c r="O998" s="269"/>
      <c r="P998" s="269"/>
      <c r="Q998" s="269"/>
      <c r="R998" s="296"/>
      <c r="S998" s="296"/>
      <c r="T998" s="296"/>
      <c r="U998" s="296"/>
      <c r="V998" s="296"/>
      <c r="W998" s="296"/>
      <c r="X998" s="296"/>
      <c r="Y998" s="296"/>
      <c r="Z998" s="296"/>
      <c r="AA998" s="296"/>
      <c r="AB998" s="296"/>
      <c r="AC998" s="296"/>
      <c r="AD998" s="296"/>
      <c r="AE998" s="307"/>
      <c r="AF998" s="273"/>
      <c r="AG998" s="274"/>
    </row>
    <row r="999">
      <c r="A999" s="296"/>
      <c r="B999" s="269"/>
      <c r="C999" s="296"/>
      <c r="D999" s="296"/>
      <c r="E999" s="296"/>
      <c r="F999" s="296"/>
      <c r="G999" s="296"/>
      <c r="H999" s="296"/>
      <c r="I999" s="296"/>
      <c r="J999" s="296"/>
      <c r="K999" s="296"/>
      <c r="L999" s="296"/>
      <c r="M999" s="296"/>
      <c r="N999" s="296"/>
      <c r="O999" s="269"/>
      <c r="P999" s="269"/>
      <c r="Q999" s="269"/>
      <c r="R999" s="296"/>
      <c r="S999" s="296"/>
      <c r="T999" s="296"/>
      <c r="U999" s="296"/>
      <c r="V999" s="296"/>
      <c r="W999" s="296"/>
      <c r="X999" s="296"/>
      <c r="Y999" s="296"/>
      <c r="Z999" s="296"/>
      <c r="AA999" s="296"/>
      <c r="AB999" s="296"/>
      <c r="AC999" s="296"/>
      <c r="AD999" s="296"/>
      <c r="AE999" s="307"/>
      <c r="AF999" s="273"/>
      <c r="AG999" s="274"/>
    </row>
    <row r="1000">
      <c r="A1000" s="296"/>
      <c r="B1000" s="269"/>
      <c r="C1000" s="296"/>
      <c r="D1000" s="296"/>
      <c r="E1000" s="296"/>
      <c r="F1000" s="296"/>
      <c r="G1000" s="296"/>
      <c r="H1000" s="296"/>
      <c r="I1000" s="296"/>
      <c r="J1000" s="296"/>
      <c r="K1000" s="296"/>
      <c r="L1000" s="296"/>
      <c r="M1000" s="296"/>
      <c r="N1000" s="296"/>
      <c r="O1000" s="269"/>
      <c r="P1000" s="269"/>
      <c r="Q1000" s="269"/>
      <c r="R1000" s="296"/>
      <c r="S1000" s="296"/>
      <c r="T1000" s="296"/>
      <c r="U1000" s="296"/>
      <c r="V1000" s="296"/>
      <c r="W1000" s="296"/>
      <c r="X1000" s="296"/>
      <c r="Y1000" s="296"/>
      <c r="Z1000" s="296"/>
      <c r="AA1000" s="296"/>
      <c r="AB1000" s="296"/>
      <c r="AC1000" s="296"/>
      <c r="AD1000" s="296"/>
      <c r="AE1000" s="307"/>
      <c r="AF1000" s="273"/>
      <c r="AG1000" s="274"/>
    </row>
    <row r="1001">
      <c r="A1001" s="296"/>
      <c r="B1001" s="269"/>
      <c r="C1001" s="296"/>
      <c r="D1001" s="296"/>
      <c r="E1001" s="296"/>
      <c r="F1001" s="296"/>
      <c r="G1001" s="296"/>
      <c r="H1001" s="296"/>
      <c r="I1001" s="296"/>
      <c r="J1001" s="296"/>
      <c r="K1001" s="296"/>
      <c r="L1001" s="296"/>
      <c r="M1001" s="296"/>
      <c r="N1001" s="296"/>
      <c r="O1001" s="269"/>
      <c r="P1001" s="269"/>
      <c r="Q1001" s="269"/>
      <c r="R1001" s="296"/>
      <c r="S1001" s="296"/>
      <c r="T1001" s="296"/>
      <c r="U1001" s="296"/>
      <c r="V1001" s="296"/>
      <c r="W1001" s="296"/>
      <c r="X1001" s="296"/>
      <c r="Y1001" s="296"/>
      <c r="Z1001" s="296"/>
      <c r="AA1001" s="296"/>
      <c r="AB1001" s="296"/>
      <c r="AC1001" s="296"/>
      <c r="AD1001" s="296"/>
      <c r="AE1001" s="307"/>
      <c r="AF1001" s="273"/>
      <c r="AG1001" s="274"/>
    </row>
    <row r="1002">
      <c r="A1002" s="296"/>
      <c r="B1002" s="269"/>
      <c r="C1002" s="296"/>
      <c r="D1002" s="296"/>
      <c r="E1002" s="296"/>
      <c r="F1002" s="296"/>
      <c r="G1002" s="296"/>
      <c r="H1002" s="296"/>
      <c r="I1002" s="296"/>
      <c r="J1002" s="296"/>
      <c r="K1002" s="296"/>
      <c r="L1002" s="296"/>
      <c r="M1002" s="296"/>
      <c r="N1002" s="296"/>
      <c r="O1002" s="269"/>
      <c r="P1002" s="269"/>
      <c r="Q1002" s="269"/>
      <c r="R1002" s="296"/>
      <c r="S1002" s="296"/>
      <c r="T1002" s="296"/>
      <c r="U1002" s="296"/>
      <c r="V1002" s="296"/>
      <c r="W1002" s="296"/>
      <c r="X1002" s="296"/>
      <c r="Y1002" s="296"/>
      <c r="Z1002" s="296"/>
      <c r="AA1002" s="296"/>
      <c r="AB1002" s="296"/>
      <c r="AC1002" s="296"/>
      <c r="AD1002" s="296"/>
      <c r="AE1002" s="307"/>
      <c r="AF1002" s="273"/>
      <c r="AG1002" s="274"/>
    </row>
    <row r="1003">
      <c r="A1003" s="296"/>
      <c r="B1003" s="269"/>
      <c r="C1003" s="296"/>
      <c r="D1003" s="296"/>
      <c r="E1003" s="296"/>
      <c r="F1003" s="296"/>
      <c r="G1003" s="296"/>
      <c r="H1003" s="296"/>
      <c r="I1003" s="296"/>
      <c r="J1003" s="296"/>
      <c r="K1003" s="296"/>
      <c r="L1003" s="296"/>
      <c r="M1003" s="296"/>
      <c r="N1003" s="296"/>
      <c r="O1003" s="269"/>
      <c r="P1003" s="269"/>
      <c r="Q1003" s="269"/>
      <c r="R1003" s="296"/>
      <c r="S1003" s="296"/>
      <c r="T1003" s="296"/>
      <c r="U1003" s="296"/>
      <c r="V1003" s="296"/>
      <c r="W1003" s="296"/>
      <c r="X1003" s="296"/>
      <c r="Y1003" s="296"/>
      <c r="Z1003" s="296"/>
      <c r="AA1003" s="296"/>
      <c r="AB1003" s="296"/>
      <c r="AC1003" s="296"/>
      <c r="AD1003" s="296"/>
      <c r="AE1003" s="307"/>
      <c r="AF1003" s="273"/>
      <c r="AG1003" s="274"/>
    </row>
    <row r="1004">
      <c r="A1004" s="296"/>
      <c r="B1004" s="269"/>
      <c r="C1004" s="296"/>
      <c r="D1004" s="296"/>
      <c r="E1004" s="296"/>
      <c r="F1004" s="296"/>
      <c r="G1004" s="296"/>
      <c r="H1004" s="296"/>
      <c r="I1004" s="296"/>
      <c r="J1004" s="296"/>
      <c r="K1004" s="296"/>
      <c r="L1004" s="296"/>
      <c r="M1004" s="296"/>
      <c r="N1004" s="296"/>
      <c r="O1004" s="269"/>
      <c r="P1004" s="269"/>
      <c r="Q1004" s="269"/>
      <c r="R1004" s="296"/>
      <c r="S1004" s="296"/>
      <c r="T1004" s="296"/>
      <c r="U1004" s="296"/>
      <c r="V1004" s="296"/>
      <c r="W1004" s="296"/>
      <c r="X1004" s="296"/>
      <c r="Y1004" s="296"/>
      <c r="Z1004" s="296"/>
      <c r="AA1004" s="296"/>
      <c r="AB1004" s="296"/>
      <c r="AC1004" s="296"/>
      <c r="AD1004" s="296"/>
      <c r="AE1004" s="307"/>
      <c r="AF1004" s="273"/>
      <c r="AG1004" s="274"/>
    </row>
    <row r="1005">
      <c r="A1005" s="296"/>
      <c r="B1005" s="269"/>
      <c r="C1005" s="296"/>
      <c r="D1005" s="296"/>
      <c r="E1005" s="296"/>
      <c r="F1005" s="296"/>
      <c r="G1005" s="296"/>
      <c r="H1005" s="296"/>
      <c r="I1005" s="296"/>
      <c r="J1005" s="296"/>
      <c r="K1005" s="296"/>
      <c r="L1005" s="296"/>
      <c r="M1005" s="296"/>
      <c r="N1005" s="296"/>
      <c r="O1005" s="269"/>
      <c r="P1005" s="269"/>
      <c r="Q1005" s="269"/>
      <c r="R1005" s="296"/>
      <c r="S1005" s="296"/>
      <c r="T1005" s="296"/>
      <c r="U1005" s="296"/>
      <c r="V1005" s="296"/>
      <c r="W1005" s="296"/>
      <c r="X1005" s="296"/>
      <c r="Y1005" s="296"/>
      <c r="Z1005" s="296"/>
      <c r="AA1005" s="296"/>
      <c r="AB1005" s="296"/>
      <c r="AC1005" s="296"/>
      <c r="AD1005" s="296"/>
      <c r="AE1005" s="307"/>
      <c r="AF1005" s="273"/>
      <c r="AG1005" s="274"/>
    </row>
    <row r="1006">
      <c r="A1006" s="296"/>
      <c r="B1006" s="269"/>
      <c r="C1006" s="296"/>
      <c r="D1006" s="296"/>
      <c r="E1006" s="296"/>
      <c r="F1006" s="296"/>
      <c r="G1006" s="296"/>
      <c r="H1006" s="296"/>
      <c r="I1006" s="296"/>
      <c r="J1006" s="296"/>
      <c r="K1006" s="296"/>
      <c r="L1006" s="296"/>
      <c r="M1006" s="296"/>
      <c r="N1006" s="296"/>
      <c r="O1006" s="269"/>
      <c r="P1006" s="269"/>
      <c r="Q1006" s="269"/>
      <c r="R1006" s="296"/>
      <c r="S1006" s="296"/>
      <c r="T1006" s="296"/>
      <c r="U1006" s="296"/>
      <c r="V1006" s="296"/>
      <c r="W1006" s="296"/>
      <c r="X1006" s="296"/>
      <c r="Y1006" s="296"/>
      <c r="Z1006" s="296"/>
      <c r="AA1006" s="296"/>
      <c r="AB1006" s="296"/>
      <c r="AC1006" s="296"/>
      <c r="AD1006" s="296"/>
      <c r="AE1006" s="307"/>
      <c r="AF1006" s="273"/>
      <c r="AG1006" s="274"/>
    </row>
    <row r="1007">
      <c r="A1007" s="296"/>
      <c r="B1007" s="269"/>
      <c r="C1007" s="296"/>
      <c r="D1007" s="296"/>
      <c r="E1007" s="296"/>
      <c r="F1007" s="296"/>
      <c r="G1007" s="296"/>
      <c r="H1007" s="296"/>
      <c r="I1007" s="296"/>
      <c r="J1007" s="296"/>
      <c r="K1007" s="296"/>
      <c r="L1007" s="296"/>
      <c r="M1007" s="296"/>
      <c r="N1007" s="296"/>
      <c r="O1007" s="269"/>
      <c r="P1007" s="269"/>
      <c r="Q1007" s="269"/>
      <c r="R1007" s="296"/>
      <c r="S1007" s="296"/>
      <c r="T1007" s="296"/>
      <c r="U1007" s="296"/>
      <c r="V1007" s="296"/>
      <c r="W1007" s="296"/>
      <c r="X1007" s="296"/>
      <c r="Y1007" s="296"/>
      <c r="Z1007" s="296"/>
      <c r="AA1007" s="296"/>
      <c r="AB1007" s="296"/>
      <c r="AC1007" s="296"/>
      <c r="AD1007" s="296"/>
      <c r="AE1007" s="307"/>
      <c r="AF1007" s="273"/>
      <c r="AG1007" s="274"/>
    </row>
    <row r="1008">
      <c r="A1008" s="296"/>
      <c r="B1008" s="269"/>
      <c r="C1008" s="296"/>
      <c r="D1008" s="296"/>
      <c r="E1008" s="296"/>
      <c r="F1008" s="296"/>
      <c r="G1008" s="296"/>
      <c r="H1008" s="296"/>
      <c r="I1008" s="296"/>
      <c r="J1008" s="296"/>
      <c r="K1008" s="296"/>
      <c r="L1008" s="296"/>
      <c r="M1008" s="296"/>
      <c r="N1008" s="296"/>
      <c r="O1008" s="269"/>
      <c r="P1008" s="269"/>
      <c r="Q1008" s="269"/>
      <c r="R1008" s="296"/>
      <c r="S1008" s="296"/>
      <c r="T1008" s="296"/>
      <c r="U1008" s="296"/>
      <c r="V1008" s="296"/>
      <c r="W1008" s="296"/>
      <c r="X1008" s="296"/>
      <c r="Y1008" s="296"/>
      <c r="Z1008" s="296"/>
      <c r="AA1008" s="296"/>
      <c r="AB1008" s="296"/>
      <c r="AC1008" s="296"/>
      <c r="AD1008" s="296"/>
      <c r="AE1008" s="307"/>
      <c r="AF1008" s="273"/>
      <c r="AG1008" s="274"/>
    </row>
    <row r="1009">
      <c r="A1009" s="296"/>
      <c r="B1009" s="269"/>
      <c r="C1009" s="296"/>
      <c r="D1009" s="296"/>
      <c r="E1009" s="296"/>
      <c r="F1009" s="296"/>
      <c r="G1009" s="296"/>
      <c r="H1009" s="296"/>
      <c r="I1009" s="296"/>
      <c r="J1009" s="296"/>
      <c r="K1009" s="296"/>
      <c r="L1009" s="296"/>
      <c r="M1009" s="296"/>
      <c r="N1009" s="296"/>
      <c r="O1009" s="269"/>
      <c r="P1009" s="269"/>
      <c r="Q1009" s="269"/>
      <c r="R1009" s="296"/>
      <c r="S1009" s="296"/>
      <c r="T1009" s="296"/>
      <c r="U1009" s="296"/>
      <c r="V1009" s="296"/>
      <c r="W1009" s="296"/>
      <c r="X1009" s="296"/>
      <c r="Y1009" s="296"/>
      <c r="Z1009" s="296"/>
      <c r="AA1009" s="296"/>
      <c r="AB1009" s="296"/>
      <c r="AC1009" s="296"/>
      <c r="AD1009" s="296"/>
      <c r="AE1009" s="307"/>
      <c r="AF1009" s="273"/>
      <c r="AG1009" s="274"/>
    </row>
    <row r="1010">
      <c r="A1010" s="296"/>
      <c r="B1010" s="269"/>
      <c r="C1010" s="296"/>
      <c r="D1010" s="296"/>
      <c r="E1010" s="296"/>
      <c r="F1010" s="296"/>
      <c r="G1010" s="296"/>
      <c r="H1010" s="296"/>
      <c r="I1010" s="296"/>
      <c r="J1010" s="296"/>
      <c r="K1010" s="296"/>
      <c r="L1010" s="296"/>
      <c r="M1010" s="296"/>
      <c r="N1010" s="296"/>
      <c r="O1010" s="269"/>
      <c r="P1010" s="269"/>
      <c r="Q1010" s="269"/>
      <c r="R1010" s="296"/>
      <c r="S1010" s="296"/>
      <c r="T1010" s="296"/>
      <c r="U1010" s="296"/>
      <c r="V1010" s="296"/>
      <c r="W1010" s="296"/>
      <c r="X1010" s="296"/>
      <c r="Y1010" s="296"/>
      <c r="Z1010" s="296"/>
      <c r="AA1010" s="296"/>
      <c r="AB1010" s="296"/>
      <c r="AC1010" s="296"/>
      <c r="AD1010" s="296"/>
      <c r="AE1010" s="307"/>
      <c r="AF1010" s="273"/>
      <c r="AG1010" s="274"/>
    </row>
    <row r="1011">
      <c r="A1011" s="296"/>
      <c r="B1011" s="269"/>
      <c r="C1011" s="296"/>
      <c r="D1011" s="296"/>
      <c r="E1011" s="296"/>
      <c r="F1011" s="296"/>
      <c r="G1011" s="296"/>
      <c r="H1011" s="296"/>
      <c r="I1011" s="296"/>
      <c r="J1011" s="296"/>
      <c r="K1011" s="296"/>
      <c r="L1011" s="296"/>
      <c r="M1011" s="296"/>
      <c r="N1011" s="296"/>
      <c r="O1011" s="269"/>
      <c r="P1011" s="269"/>
      <c r="Q1011" s="269"/>
      <c r="R1011" s="296"/>
      <c r="S1011" s="296"/>
      <c r="T1011" s="296"/>
      <c r="U1011" s="296"/>
      <c r="V1011" s="296"/>
      <c r="W1011" s="296"/>
      <c r="X1011" s="296"/>
      <c r="Y1011" s="296"/>
      <c r="Z1011" s="296"/>
      <c r="AA1011" s="296"/>
      <c r="AB1011" s="296"/>
      <c r="AC1011" s="296"/>
      <c r="AD1011" s="296"/>
      <c r="AE1011" s="307"/>
      <c r="AF1011" s="273"/>
      <c r="AG1011" s="274"/>
    </row>
    <row r="1012">
      <c r="A1012" s="296"/>
      <c r="B1012" s="269"/>
      <c r="C1012" s="296"/>
      <c r="D1012" s="296"/>
      <c r="E1012" s="296"/>
      <c r="F1012" s="296"/>
      <c r="G1012" s="296"/>
      <c r="H1012" s="296"/>
      <c r="I1012" s="296"/>
      <c r="J1012" s="296"/>
      <c r="K1012" s="296"/>
      <c r="L1012" s="296"/>
      <c r="M1012" s="296"/>
      <c r="N1012" s="296"/>
      <c r="O1012" s="269"/>
      <c r="P1012" s="269"/>
      <c r="Q1012" s="269"/>
      <c r="R1012" s="296"/>
      <c r="S1012" s="296"/>
      <c r="T1012" s="296"/>
      <c r="U1012" s="296"/>
      <c r="V1012" s="296"/>
      <c r="W1012" s="296"/>
      <c r="X1012" s="296"/>
      <c r="Y1012" s="296"/>
      <c r="Z1012" s="296"/>
      <c r="AA1012" s="296"/>
      <c r="AB1012" s="296"/>
      <c r="AC1012" s="296"/>
      <c r="AD1012" s="296"/>
      <c r="AE1012" s="307"/>
      <c r="AF1012" s="273"/>
      <c r="AG1012" s="274"/>
    </row>
    <row r="1013">
      <c r="A1013" s="296"/>
      <c r="B1013" s="269"/>
      <c r="C1013" s="296"/>
      <c r="D1013" s="296"/>
      <c r="E1013" s="296"/>
      <c r="F1013" s="296"/>
      <c r="G1013" s="296"/>
      <c r="H1013" s="296"/>
      <c r="I1013" s="296"/>
      <c r="J1013" s="296"/>
      <c r="K1013" s="296"/>
      <c r="L1013" s="296"/>
      <c r="M1013" s="296"/>
      <c r="N1013" s="296"/>
      <c r="O1013" s="269"/>
      <c r="P1013" s="269"/>
      <c r="Q1013" s="269"/>
      <c r="R1013" s="296"/>
      <c r="S1013" s="296"/>
      <c r="T1013" s="296"/>
      <c r="U1013" s="296"/>
      <c r="V1013" s="296"/>
      <c r="W1013" s="296"/>
      <c r="X1013" s="296"/>
      <c r="Y1013" s="296"/>
      <c r="Z1013" s="296"/>
      <c r="AA1013" s="296"/>
      <c r="AB1013" s="296"/>
      <c r="AC1013" s="296"/>
      <c r="AD1013" s="296"/>
      <c r="AE1013" s="307"/>
      <c r="AF1013" s="273"/>
      <c r="AG1013" s="274"/>
    </row>
    <row r="1014">
      <c r="A1014" s="296"/>
      <c r="B1014" s="269"/>
      <c r="C1014" s="296"/>
      <c r="D1014" s="296"/>
      <c r="E1014" s="296"/>
      <c r="F1014" s="296"/>
      <c r="G1014" s="296"/>
      <c r="H1014" s="296"/>
      <c r="I1014" s="296"/>
      <c r="J1014" s="296"/>
      <c r="K1014" s="296"/>
      <c r="L1014" s="296"/>
      <c r="M1014" s="296"/>
      <c r="N1014" s="296"/>
      <c r="O1014" s="269"/>
      <c r="P1014" s="269"/>
      <c r="Q1014" s="269"/>
      <c r="R1014" s="296"/>
      <c r="S1014" s="296"/>
      <c r="T1014" s="296"/>
      <c r="U1014" s="296"/>
      <c r="V1014" s="296"/>
      <c r="W1014" s="296"/>
      <c r="X1014" s="296"/>
      <c r="Y1014" s="296"/>
      <c r="Z1014" s="296"/>
      <c r="AA1014" s="296"/>
      <c r="AB1014" s="296"/>
      <c r="AC1014" s="296"/>
      <c r="AD1014" s="296"/>
      <c r="AE1014" s="307"/>
      <c r="AF1014" s="273"/>
      <c r="AG1014" s="274"/>
    </row>
    <row r="1015">
      <c r="A1015" s="296"/>
      <c r="B1015" s="269"/>
      <c r="C1015" s="296"/>
      <c r="D1015" s="296"/>
      <c r="E1015" s="296"/>
      <c r="F1015" s="296"/>
      <c r="G1015" s="296"/>
      <c r="H1015" s="296"/>
      <c r="I1015" s="296"/>
      <c r="J1015" s="296"/>
      <c r="K1015" s="296"/>
      <c r="L1015" s="296"/>
      <c r="M1015" s="296"/>
      <c r="N1015" s="296"/>
      <c r="O1015" s="269"/>
      <c r="P1015" s="269"/>
      <c r="Q1015" s="269"/>
      <c r="R1015" s="296"/>
      <c r="S1015" s="296"/>
      <c r="T1015" s="296"/>
      <c r="U1015" s="296"/>
      <c r="V1015" s="296"/>
      <c r="W1015" s="296"/>
      <c r="X1015" s="296"/>
      <c r="Y1015" s="296"/>
      <c r="Z1015" s="296"/>
      <c r="AA1015" s="296"/>
      <c r="AB1015" s="296"/>
      <c r="AC1015" s="296"/>
      <c r="AD1015" s="296"/>
      <c r="AE1015" s="307"/>
      <c r="AF1015" s="273"/>
      <c r="AG1015" s="274"/>
    </row>
    <row r="1016">
      <c r="A1016" s="296"/>
      <c r="B1016" s="269"/>
      <c r="C1016" s="296"/>
      <c r="D1016" s="296"/>
      <c r="E1016" s="296"/>
      <c r="F1016" s="296"/>
      <c r="G1016" s="296"/>
      <c r="H1016" s="296"/>
      <c r="I1016" s="296"/>
      <c r="J1016" s="296"/>
      <c r="K1016" s="296"/>
      <c r="L1016" s="296"/>
      <c r="M1016" s="296"/>
      <c r="N1016" s="296"/>
      <c r="O1016" s="269"/>
      <c r="P1016" s="269"/>
      <c r="Q1016" s="269"/>
      <c r="R1016" s="296"/>
      <c r="S1016" s="296"/>
      <c r="T1016" s="296"/>
      <c r="U1016" s="296"/>
      <c r="V1016" s="296"/>
      <c r="W1016" s="296"/>
      <c r="X1016" s="296"/>
      <c r="Y1016" s="296"/>
      <c r="Z1016" s="296"/>
      <c r="AA1016" s="296"/>
      <c r="AB1016" s="296"/>
      <c r="AC1016" s="296"/>
      <c r="AD1016" s="296"/>
      <c r="AE1016" s="307"/>
      <c r="AF1016" s="273"/>
      <c r="AG1016" s="274"/>
    </row>
    <row r="1017">
      <c r="A1017" s="296"/>
      <c r="B1017" s="269"/>
      <c r="C1017" s="296"/>
      <c r="D1017" s="296"/>
      <c r="E1017" s="296"/>
      <c r="F1017" s="296"/>
      <c r="G1017" s="296"/>
      <c r="H1017" s="296"/>
      <c r="I1017" s="296"/>
      <c r="J1017" s="296"/>
      <c r="K1017" s="296"/>
      <c r="L1017" s="296"/>
      <c r="M1017" s="296"/>
      <c r="N1017" s="296"/>
      <c r="O1017" s="269"/>
      <c r="P1017" s="269"/>
      <c r="Q1017" s="269"/>
      <c r="R1017" s="296"/>
      <c r="S1017" s="296"/>
      <c r="T1017" s="296"/>
      <c r="U1017" s="296"/>
      <c r="V1017" s="296"/>
      <c r="W1017" s="296"/>
      <c r="X1017" s="296"/>
      <c r="Y1017" s="296"/>
      <c r="Z1017" s="296"/>
      <c r="AA1017" s="296"/>
      <c r="AB1017" s="296"/>
      <c r="AC1017" s="296"/>
      <c r="AD1017" s="296"/>
      <c r="AE1017" s="307"/>
      <c r="AF1017" s="273"/>
      <c r="AG1017" s="274"/>
    </row>
    <row r="1018">
      <c r="A1018" s="296"/>
      <c r="B1018" s="269"/>
      <c r="C1018" s="296"/>
      <c r="D1018" s="296"/>
      <c r="E1018" s="296"/>
      <c r="F1018" s="296"/>
      <c r="G1018" s="296"/>
      <c r="H1018" s="296"/>
      <c r="I1018" s="296"/>
      <c r="J1018" s="296"/>
      <c r="K1018" s="296"/>
      <c r="L1018" s="296"/>
      <c r="M1018" s="296"/>
      <c r="N1018" s="296"/>
      <c r="O1018" s="269"/>
      <c r="P1018" s="269"/>
      <c r="Q1018" s="269"/>
      <c r="R1018" s="296"/>
      <c r="S1018" s="296"/>
      <c r="T1018" s="296"/>
      <c r="U1018" s="296"/>
      <c r="V1018" s="296"/>
      <c r="W1018" s="296"/>
      <c r="X1018" s="296"/>
      <c r="Y1018" s="296"/>
      <c r="Z1018" s="296"/>
      <c r="AA1018" s="296"/>
      <c r="AB1018" s="296"/>
      <c r="AC1018" s="296"/>
      <c r="AD1018" s="296"/>
      <c r="AE1018" s="307"/>
      <c r="AF1018" s="273"/>
      <c r="AG1018" s="274"/>
    </row>
    <row r="1019">
      <c r="A1019" s="296"/>
      <c r="B1019" s="269"/>
      <c r="C1019" s="296"/>
      <c r="D1019" s="296"/>
      <c r="E1019" s="296"/>
      <c r="F1019" s="296"/>
      <c r="G1019" s="296"/>
      <c r="H1019" s="296"/>
      <c r="I1019" s="296"/>
      <c r="J1019" s="296"/>
      <c r="K1019" s="296"/>
      <c r="L1019" s="296"/>
      <c r="M1019" s="296"/>
      <c r="N1019" s="296"/>
      <c r="O1019" s="269"/>
      <c r="P1019" s="269"/>
      <c r="Q1019" s="269"/>
      <c r="R1019" s="296"/>
      <c r="S1019" s="296"/>
      <c r="T1019" s="296"/>
      <c r="U1019" s="296"/>
      <c r="V1019" s="296"/>
      <c r="W1019" s="296"/>
      <c r="X1019" s="296"/>
      <c r="Y1019" s="296"/>
      <c r="Z1019" s="296"/>
      <c r="AA1019" s="296"/>
      <c r="AB1019" s="296"/>
      <c r="AC1019" s="296"/>
      <c r="AD1019" s="296"/>
      <c r="AE1019" s="307"/>
      <c r="AF1019" s="273"/>
      <c r="AG1019" s="274"/>
    </row>
    <row r="1020">
      <c r="A1020" s="296"/>
      <c r="B1020" s="269"/>
      <c r="C1020" s="296"/>
      <c r="D1020" s="296"/>
      <c r="E1020" s="296"/>
      <c r="F1020" s="296"/>
      <c r="G1020" s="296"/>
      <c r="H1020" s="296"/>
      <c r="I1020" s="296"/>
      <c r="J1020" s="296"/>
      <c r="K1020" s="296"/>
      <c r="L1020" s="296"/>
      <c r="M1020" s="296"/>
      <c r="N1020" s="296"/>
      <c r="O1020" s="269"/>
      <c r="P1020" s="269"/>
      <c r="Q1020" s="269"/>
      <c r="R1020" s="296"/>
      <c r="S1020" s="296"/>
      <c r="T1020" s="296"/>
      <c r="U1020" s="296"/>
      <c r="V1020" s="296"/>
      <c r="W1020" s="296"/>
      <c r="X1020" s="296"/>
      <c r="Y1020" s="296"/>
      <c r="Z1020" s="296"/>
      <c r="AA1020" s="296"/>
      <c r="AB1020" s="296"/>
      <c r="AC1020" s="296"/>
      <c r="AD1020" s="296"/>
      <c r="AE1020" s="307"/>
      <c r="AF1020" s="273"/>
      <c r="AG1020" s="274"/>
    </row>
    <row r="1021">
      <c r="A1021" s="296"/>
      <c r="B1021" s="269"/>
      <c r="C1021" s="296"/>
      <c r="D1021" s="296"/>
      <c r="E1021" s="296"/>
      <c r="F1021" s="296"/>
      <c r="G1021" s="296"/>
      <c r="H1021" s="296"/>
      <c r="I1021" s="296"/>
      <c r="J1021" s="296"/>
      <c r="K1021" s="296"/>
      <c r="L1021" s="296"/>
      <c r="M1021" s="296"/>
      <c r="N1021" s="296"/>
      <c r="O1021" s="269"/>
      <c r="P1021" s="269"/>
      <c r="Q1021" s="269"/>
      <c r="R1021" s="296"/>
      <c r="S1021" s="296"/>
      <c r="T1021" s="296"/>
      <c r="U1021" s="296"/>
      <c r="V1021" s="296"/>
      <c r="W1021" s="296"/>
      <c r="X1021" s="296"/>
      <c r="Y1021" s="296"/>
      <c r="Z1021" s="296"/>
      <c r="AA1021" s="296"/>
      <c r="AB1021" s="296"/>
      <c r="AC1021" s="296"/>
      <c r="AD1021" s="296"/>
      <c r="AE1021" s="307"/>
      <c r="AF1021" s="273"/>
      <c r="AG1021" s="274"/>
    </row>
    <row r="1022">
      <c r="A1022" s="296"/>
      <c r="B1022" s="269"/>
      <c r="C1022" s="296"/>
      <c r="D1022" s="296"/>
      <c r="E1022" s="296"/>
      <c r="F1022" s="296"/>
      <c r="G1022" s="296"/>
      <c r="H1022" s="296"/>
      <c r="I1022" s="296"/>
      <c r="J1022" s="296"/>
      <c r="K1022" s="296"/>
      <c r="L1022" s="296"/>
      <c r="M1022" s="296"/>
      <c r="N1022" s="296"/>
      <c r="O1022" s="269"/>
      <c r="P1022" s="269"/>
      <c r="Q1022" s="269"/>
      <c r="R1022" s="296"/>
      <c r="S1022" s="296"/>
      <c r="T1022" s="296"/>
      <c r="U1022" s="296"/>
      <c r="V1022" s="296"/>
      <c r="W1022" s="296"/>
      <c r="X1022" s="296"/>
      <c r="Y1022" s="296"/>
      <c r="Z1022" s="296"/>
      <c r="AA1022" s="296"/>
      <c r="AB1022" s="296"/>
      <c r="AC1022" s="296"/>
      <c r="AD1022" s="296"/>
      <c r="AE1022" s="307"/>
      <c r="AF1022" s="273"/>
      <c r="AG1022" s="274"/>
    </row>
    <row r="1023">
      <c r="A1023" s="296"/>
      <c r="B1023" s="269"/>
      <c r="C1023" s="296"/>
      <c r="D1023" s="296"/>
      <c r="E1023" s="296"/>
      <c r="F1023" s="296"/>
      <c r="G1023" s="296"/>
      <c r="H1023" s="296"/>
      <c r="I1023" s="296"/>
      <c r="J1023" s="296"/>
      <c r="K1023" s="296"/>
      <c r="L1023" s="296"/>
      <c r="M1023" s="296"/>
      <c r="N1023" s="296"/>
      <c r="O1023" s="269"/>
      <c r="P1023" s="269"/>
      <c r="Q1023" s="269"/>
      <c r="R1023" s="296"/>
      <c r="S1023" s="296"/>
      <c r="T1023" s="296"/>
      <c r="U1023" s="296"/>
      <c r="V1023" s="296"/>
      <c r="W1023" s="296"/>
      <c r="X1023" s="296"/>
      <c r="Y1023" s="296"/>
      <c r="Z1023" s="296"/>
      <c r="AA1023" s="296"/>
      <c r="AB1023" s="296"/>
      <c r="AC1023" s="296"/>
      <c r="AD1023" s="296"/>
      <c r="AE1023" s="307"/>
      <c r="AF1023" s="273"/>
      <c r="AG1023" s="274"/>
    </row>
    <row r="1024">
      <c r="A1024" s="296"/>
      <c r="B1024" s="269"/>
      <c r="C1024" s="296"/>
      <c r="D1024" s="296"/>
      <c r="E1024" s="296"/>
      <c r="F1024" s="296"/>
      <c r="G1024" s="296"/>
      <c r="H1024" s="296"/>
      <c r="I1024" s="296"/>
      <c r="J1024" s="296"/>
      <c r="K1024" s="296"/>
      <c r="L1024" s="296"/>
      <c r="M1024" s="296"/>
      <c r="N1024" s="296"/>
      <c r="O1024" s="269"/>
      <c r="P1024" s="269"/>
      <c r="Q1024" s="269"/>
      <c r="R1024" s="296"/>
      <c r="S1024" s="296"/>
      <c r="T1024" s="296"/>
      <c r="U1024" s="296"/>
      <c r="V1024" s="296"/>
      <c r="W1024" s="296"/>
      <c r="X1024" s="296"/>
      <c r="Y1024" s="296"/>
      <c r="Z1024" s="296"/>
      <c r="AA1024" s="296"/>
      <c r="AB1024" s="296"/>
      <c r="AC1024" s="296"/>
      <c r="AD1024" s="296"/>
      <c r="AE1024" s="307"/>
      <c r="AF1024" s="273"/>
      <c r="AG1024" s="274"/>
    </row>
    <row r="1025">
      <c r="A1025" s="296"/>
      <c r="B1025" s="269"/>
      <c r="C1025" s="296"/>
      <c r="D1025" s="296"/>
      <c r="E1025" s="296"/>
      <c r="F1025" s="296"/>
      <c r="G1025" s="296"/>
      <c r="H1025" s="296"/>
      <c r="I1025" s="296"/>
      <c r="J1025" s="296"/>
      <c r="K1025" s="296"/>
      <c r="L1025" s="296"/>
      <c r="M1025" s="296"/>
      <c r="N1025" s="296"/>
      <c r="O1025" s="269"/>
      <c r="P1025" s="269"/>
      <c r="Q1025" s="269"/>
      <c r="R1025" s="296"/>
      <c r="S1025" s="296"/>
      <c r="T1025" s="296"/>
      <c r="U1025" s="296"/>
      <c r="V1025" s="296"/>
      <c r="W1025" s="296"/>
      <c r="X1025" s="296"/>
      <c r="Y1025" s="296"/>
      <c r="Z1025" s="296"/>
      <c r="AA1025" s="296"/>
      <c r="AB1025" s="296"/>
      <c r="AC1025" s="296"/>
      <c r="AD1025" s="296"/>
      <c r="AE1025" s="307"/>
      <c r="AF1025" s="273"/>
      <c r="AG1025" s="274"/>
    </row>
    <row r="1026">
      <c r="A1026" s="296"/>
      <c r="B1026" s="269"/>
      <c r="C1026" s="296"/>
      <c r="D1026" s="296"/>
      <c r="E1026" s="296"/>
      <c r="F1026" s="296"/>
      <c r="G1026" s="296"/>
      <c r="H1026" s="296"/>
      <c r="I1026" s="296"/>
      <c r="J1026" s="296"/>
      <c r="K1026" s="296"/>
      <c r="L1026" s="296"/>
      <c r="M1026" s="296"/>
      <c r="N1026" s="296"/>
      <c r="O1026" s="269"/>
      <c r="P1026" s="269"/>
      <c r="Q1026" s="269"/>
      <c r="R1026" s="296"/>
      <c r="S1026" s="296"/>
      <c r="T1026" s="296"/>
      <c r="U1026" s="296"/>
      <c r="V1026" s="296"/>
      <c r="W1026" s="296"/>
      <c r="X1026" s="296"/>
      <c r="Y1026" s="296"/>
      <c r="Z1026" s="296"/>
      <c r="AA1026" s="296"/>
      <c r="AB1026" s="296"/>
      <c r="AC1026" s="296"/>
      <c r="AD1026" s="296"/>
      <c r="AE1026" s="307"/>
      <c r="AF1026" s="273"/>
      <c r="AG1026" s="274"/>
    </row>
    <row r="1027">
      <c r="A1027" s="296"/>
      <c r="B1027" s="269"/>
      <c r="C1027" s="296"/>
      <c r="D1027" s="296"/>
      <c r="E1027" s="296"/>
      <c r="F1027" s="296"/>
      <c r="G1027" s="296"/>
      <c r="H1027" s="296"/>
      <c r="I1027" s="296"/>
      <c r="J1027" s="296"/>
      <c r="K1027" s="296"/>
      <c r="L1027" s="296"/>
      <c r="M1027" s="296"/>
      <c r="N1027" s="296"/>
      <c r="O1027" s="269"/>
      <c r="P1027" s="269"/>
      <c r="Q1027" s="269"/>
      <c r="R1027" s="296"/>
      <c r="S1027" s="296"/>
      <c r="T1027" s="296"/>
      <c r="U1027" s="296"/>
      <c r="V1027" s="296"/>
      <c r="W1027" s="296"/>
      <c r="X1027" s="296"/>
      <c r="Y1027" s="296"/>
      <c r="Z1027" s="296"/>
      <c r="AA1027" s="296"/>
      <c r="AB1027" s="296"/>
      <c r="AC1027" s="296"/>
      <c r="AD1027" s="296"/>
      <c r="AE1027" s="307"/>
      <c r="AF1027" s="273"/>
      <c r="AG1027" s="274"/>
    </row>
    <row r="1028">
      <c r="A1028" s="296"/>
      <c r="B1028" s="269"/>
      <c r="C1028" s="296"/>
      <c r="D1028" s="296"/>
      <c r="E1028" s="296"/>
      <c r="F1028" s="296"/>
      <c r="G1028" s="296"/>
      <c r="H1028" s="296"/>
      <c r="I1028" s="296"/>
      <c r="J1028" s="296"/>
      <c r="K1028" s="296"/>
      <c r="L1028" s="296"/>
      <c r="M1028" s="296"/>
      <c r="N1028" s="296"/>
      <c r="O1028" s="269"/>
      <c r="P1028" s="269"/>
      <c r="Q1028" s="269"/>
      <c r="R1028" s="296"/>
      <c r="S1028" s="296"/>
      <c r="T1028" s="296"/>
      <c r="U1028" s="296"/>
      <c r="V1028" s="296"/>
      <c r="W1028" s="296"/>
      <c r="X1028" s="296"/>
      <c r="Y1028" s="296"/>
      <c r="Z1028" s="296"/>
      <c r="AA1028" s="296"/>
      <c r="AB1028" s="296"/>
      <c r="AC1028" s="296"/>
      <c r="AD1028" s="296"/>
      <c r="AE1028" s="307"/>
      <c r="AF1028" s="273"/>
      <c r="AG1028" s="274"/>
    </row>
    <row r="1029">
      <c r="A1029" s="296"/>
      <c r="B1029" s="269"/>
      <c r="C1029" s="296"/>
      <c r="D1029" s="296"/>
      <c r="E1029" s="296"/>
      <c r="F1029" s="296"/>
      <c r="G1029" s="296"/>
      <c r="H1029" s="296"/>
      <c r="I1029" s="296"/>
      <c r="J1029" s="296"/>
      <c r="K1029" s="296"/>
      <c r="L1029" s="296"/>
      <c r="M1029" s="296"/>
      <c r="N1029" s="296"/>
      <c r="O1029" s="269"/>
      <c r="P1029" s="269"/>
      <c r="Q1029" s="269"/>
      <c r="R1029" s="296"/>
      <c r="S1029" s="296"/>
      <c r="T1029" s="296"/>
      <c r="U1029" s="296"/>
      <c r="V1029" s="296"/>
      <c r="W1029" s="296"/>
      <c r="X1029" s="296"/>
      <c r="Y1029" s="296"/>
      <c r="Z1029" s="296"/>
      <c r="AA1029" s="296"/>
      <c r="AB1029" s="296"/>
      <c r="AC1029" s="296"/>
      <c r="AD1029" s="296"/>
      <c r="AE1029" s="307"/>
      <c r="AF1029" s="273"/>
      <c r="AG1029" s="274"/>
    </row>
    <row r="1030">
      <c r="A1030" s="296"/>
      <c r="B1030" s="269"/>
      <c r="C1030" s="296"/>
      <c r="D1030" s="296"/>
      <c r="E1030" s="296"/>
      <c r="F1030" s="296"/>
      <c r="G1030" s="296"/>
      <c r="H1030" s="296"/>
      <c r="I1030" s="296"/>
      <c r="J1030" s="296"/>
      <c r="K1030" s="296"/>
      <c r="L1030" s="296"/>
      <c r="M1030" s="296"/>
      <c r="N1030" s="296"/>
      <c r="O1030" s="269"/>
      <c r="P1030" s="269"/>
      <c r="Q1030" s="269"/>
      <c r="R1030" s="296"/>
      <c r="S1030" s="296"/>
      <c r="T1030" s="296"/>
      <c r="U1030" s="296"/>
      <c r="V1030" s="296"/>
      <c r="W1030" s="296"/>
      <c r="X1030" s="296"/>
      <c r="Y1030" s="296"/>
      <c r="Z1030" s="296"/>
      <c r="AA1030" s="296"/>
      <c r="AB1030" s="296"/>
      <c r="AC1030" s="296"/>
      <c r="AD1030" s="296"/>
      <c r="AE1030" s="307"/>
      <c r="AF1030" s="273"/>
      <c r="AG1030" s="274"/>
    </row>
    <row r="1031">
      <c r="A1031" s="296"/>
      <c r="B1031" s="269"/>
      <c r="C1031" s="296"/>
      <c r="D1031" s="296"/>
      <c r="E1031" s="296"/>
      <c r="F1031" s="296"/>
      <c r="G1031" s="296"/>
      <c r="H1031" s="296"/>
      <c r="I1031" s="296"/>
      <c r="J1031" s="296"/>
      <c r="K1031" s="296"/>
      <c r="L1031" s="296"/>
      <c r="M1031" s="296"/>
      <c r="N1031" s="296"/>
      <c r="O1031" s="269"/>
      <c r="P1031" s="269"/>
      <c r="Q1031" s="269"/>
      <c r="R1031" s="296"/>
      <c r="S1031" s="296"/>
      <c r="T1031" s="296"/>
      <c r="U1031" s="296"/>
      <c r="V1031" s="296"/>
      <c r="W1031" s="296"/>
      <c r="X1031" s="296"/>
      <c r="Y1031" s="296"/>
      <c r="Z1031" s="296"/>
      <c r="AA1031" s="296"/>
      <c r="AB1031" s="296"/>
      <c r="AC1031" s="296"/>
      <c r="AD1031" s="296"/>
      <c r="AE1031" s="307"/>
      <c r="AF1031" s="273"/>
      <c r="AG1031" s="274"/>
    </row>
    <row r="1032">
      <c r="A1032" s="296"/>
      <c r="B1032" s="269"/>
      <c r="C1032" s="296"/>
      <c r="D1032" s="296"/>
      <c r="E1032" s="296"/>
      <c r="F1032" s="296"/>
      <c r="G1032" s="296"/>
      <c r="H1032" s="296"/>
      <c r="I1032" s="296"/>
      <c r="J1032" s="296"/>
      <c r="K1032" s="296"/>
      <c r="L1032" s="296"/>
      <c r="M1032" s="296"/>
      <c r="N1032" s="296"/>
      <c r="O1032" s="269"/>
      <c r="P1032" s="269"/>
      <c r="Q1032" s="269"/>
      <c r="R1032" s="296"/>
      <c r="S1032" s="296"/>
      <c r="T1032" s="296"/>
      <c r="U1032" s="296"/>
      <c r="V1032" s="296"/>
      <c r="W1032" s="296"/>
      <c r="X1032" s="296"/>
      <c r="Y1032" s="296"/>
      <c r="Z1032" s="296"/>
      <c r="AA1032" s="296"/>
      <c r="AB1032" s="296"/>
      <c r="AC1032" s="296"/>
      <c r="AD1032" s="296"/>
      <c r="AE1032" s="307"/>
      <c r="AF1032" s="273"/>
      <c r="AG1032" s="274"/>
    </row>
    <row r="1033">
      <c r="A1033" s="296"/>
      <c r="B1033" s="269"/>
      <c r="C1033" s="296"/>
      <c r="D1033" s="296"/>
      <c r="E1033" s="296"/>
      <c r="F1033" s="296"/>
      <c r="G1033" s="296"/>
      <c r="H1033" s="296"/>
      <c r="I1033" s="296"/>
      <c r="J1033" s="296"/>
      <c r="K1033" s="296"/>
      <c r="L1033" s="296"/>
      <c r="M1033" s="296"/>
      <c r="N1033" s="296"/>
      <c r="O1033" s="269"/>
      <c r="P1033" s="269"/>
      <c r="Q1033" s="269"/>
      <c r="R1033" s="296"/>
      <c r="S1033" s="296"/>
      <c r="T1033" s="296"/>
      <c r="U1033" s="296"/>
      <c r="V1033" s="296"/>
      <c r="W1033" s="296"/>
      <c r="X1033" s="296"/>
      <c r="Y1033" s="296"/>
      <c r="Z1033" s="296"/>
      <c r="AA1033" s="296"/>
      <c r="AB1033" s="296"/>
      <c r="AC1033" s="296"/>
      <c r="AD1033" s="296"/>
      <c r="AE1033" s="307"/>
      <c r="AF1033" s="273"/>
      <c r="AG1033" s="274"/>
    </row>
    <row r="1034">
      <c r="A1034" s="296"/>
      <c r="B1034" s="269"/>
      <c r="C1034" s="296"/>
      <c r="D1034" s="296"/>
      <c r="E1034" s="296"/>
      <c r="F1034" s="296"/>
      <c r="G1034" s="296"/>
      <c r="H1034" s="296"/>
      <c r="I1034" s="296"/>
      <c r="J1034" s="296"/>
      <c r="K1034" s="296"/>
      <c r="L1034" s="296"/>
      <c r="M1034" s="296"/>
      <c r="N1034" s="296"/>
      <c r="O1034" s="269"/>
      <c r="P1034" s="269"/>
      <c r="Q1034" s="269"/>
      <c r="R1034" s="296"/>
      <c r="S1034" s="296"/>
      <c r="T1034" s="296"/>
      <c r="U1034" s="296"/>
      <c r="V1034" s="296"/>
      <c r="W1034" s="296"/>
      <c r="X1034" s="296"/>
      <c r="Y1034" s="296"/>
      <c r="Z1034" s="296"/>
      <c r="AA1034" s="296"/>
      <c r="AB1034" s="296"/>
      <c r="AC1034" s="296"/>
      <c r="AD1034" s="296"/>
      <c r="AE1034" s="307"/>
      <c r="AF1034" s="273"/>
      <c r="AG1034" s="274"/>
    </row>
    <row r="1035">
      <c r="A1035" s="296"/>
      <c r="B1035" s="269"/>
      <c r="C1035" s="296"/>
      <c r="D1035" s="296"/>
      <c r="E1035" s="296"/>
      <c r="F1035" s="296"/>
      <c r="G1035" s="296"/>
      <c r="H1035" s="296"/>
      <c r="I1035" s="296"/>
      <c r="J1035" s="296"/>
      <c r="K1035" s="296"/>
      <c r="L1035" s="296"/>
      <c r="M1035" s="296"/>
      <c r="N1035" s="296"/>
      <c r="O1035" s="269"/>
      <c r="P1035" s="269"/>
      <c r="Q1035" s="269"/>
      <c r="R1035" s="296"/>
      <c r="S1035" s="296"/>
      <c r="T1035" s="296"/>
      <c r="U1035" s="296"/>
      <c r="V1035" s="296"/>
      <c r="W1035" s="296"/>
      <c r="X1035" s="296"/>
      <c r="Y1035" s="296"/>
      <c r="Z1035" s="296"/>
      <c r="AA1035" s="296"/>
      <c r="AB1035" s="296"/>
      <c r="AC1035" s="296"/>
      <c r="AD1035" s="296"/>
      <c r="AE1035" s="307"/>
      <c r="AF1035" s="273"/>
      <c r="AG1035" s="274"/>
    </row>
    <row r="1036">
      <c r="A1036" s="296"/>
      <c r="B1036" s="269"/>
      <c r="C1036" s="296"/>
      <c r="D1036" s="296"/>
      <c r="E1036" s="296"/>
      <c r="F1036" s="296"/>
      <c r="G1036" s="296"/>
      <c r="H1036" s="296"/>
      <c r="I1036" s="296"/>
      <c r="J1036" s="296"/>
      <c r="K1036" s="296"/>
      <c r="L1036" s="296"/>
      <c r="M1036" s="296"/>
      <c r="N1036" s="296"/>
      <c r="O1036" s="269"/>
      <c r="P1036" s="269"/>
      <c r="Q1036" s="269"/>
      <c r="R1036" s="296"/>
      <c r="S1036" s="296"/>
      <c r="T1036" s="296"/>
      <c r="U1036" s="296"/>
      <c r="V1036" s="296"/>
      <c r="W1036" s="296"/>
      <c r="X1036" s="296"/>
      <c r="Y1036" s="296"/>
      <c r="Z1036" s="296"/>
      <c r="AA1036" s="296"/>
      <c r="AB1036" s="296"/>
      <c r="AC1036" s="296"/>
      <c r="AD1036" s="296"/>
      <c r="AE1036" s="307"/>
      <c r="AF1036" s="273"/>
      <c r="AG1036" s="274"/>
    </row>
    <row r="1037">
      <c r="A1037" s="296"/>
      <c r="B1037" s="269"/>
      <c r="C1037" s="296"/>
      <c r="D1037" s="296"/>
      <c r="E1037" s="296"/>
      <c r="F1037" s="296"/>
      <c r="G1037" s="296"/>
      <c r="H1037" s="296"/>
      <c r="I1037" s="296"/>
      <c r="J1037" s="296"/>
      <c r="K1037" s="296"/>
      <c r="L1037" s="296"/>
      <c r="M1037" s="296"/>
      <c r="N1037" s="296"/>
      <c r="O1037" s="269"/>
      <c r="P1037" s="269"/>
      <c r="Q1037" s="269"/>
      <c r="R1037" s="296"/>
      <c r="S1037" s="296"/>
      <c r="T1037" s="296"/>
      <c r="U1037" s="296"/>
      <c r="V1037" s="296"/>
      <c r="W1037" s="296"/>
      <c r="X1037" s="296"/>
      <c r="Y1037" s="296"/>
      <c r="Z1037" s="296"/>
      <c r="AA1037" s="296"/>
      <c r="AB1037" s="296"/>
      <c r="AC1037" s="296"/>
      <c r="AD1037" s="296"/>
      <c r="AE1037" s="307"/>
      <c r="AF1037" s="273"/>
      <c r="AG1037" s="274"/>
    </row>
    <row r="1038">
      <c r="A1038" s="296"/>
      <c r="B1038" s="269"/>
      <c r="C1038" s="296"/>
      <c r="D1038" s="296"/>
      <c r="E1038" s="296"/>
      <c r="F1038" s="296"/>
      <c r="G1038" s="296"/>
      <c r="H1038" s="296"/>
      <c r="I1038" s="296"/>
      <c r="J1038" s="296"/>
      <c r="K1038" s="296"/>
      <c r="L1038" s="296"/>
      <c r="M1038" s="296"/>
      <c r="N1038" s="296"/>
      <c r="O1038" s="269"/>
      <c r="P1038" s="269"/>
      <c r="Q1038" s="269"/>
      <c r="R1038" s="296"/>
      <c r="S1038" s="296"/>
      <c r="T1038" s="296"/>
      <c r="U1038" s="296"/>
      <c r="V1038" s="296"/>
      <c r="W1038" s="296"/>
      <c r="X1038" s="296"/>
      <c r="Y1038" s="296"/>
      <c r="Z1038" s="296"/>
      <c r="AA1038" s="296"/>
      <c r="AB1038" s="296"/>
      <c r="AC1038" s="296"/>
      <c r="AD1038" s="296"/>
      <c r="AE1038" s="307"/>
      <c r="AF1038" s="273"/>
      <c r="AG1038" s="274"/>
    </row>
    <row r="1039">
      <c r="A1039" s="296"/>
      <c r="B1039" s="269"/>
      <c r="C1039" s="296"/>
      <c r="D1039" s="296"/>
      <c r="E1039" s="296"/>
      <c r="F1039" s="296"/>
      <c r="G1039" s="296"/>
      <c r="H1039" s="296"/>
      <c r="I1039" s="296"/>
      <c r="J1039" s="296"/>
      <c r="K1039" s="296"/>
      <c r="L1039" s="296"/>
      <c r="M1039" s="296"/>
      <c r="N1039" s="296"/>
      <c r="O1039" s="269"/>
      <c r="P1039" s="269"/>
      <c r="Q1039" s="269"/>
      <c r="R1039" s="296"/>
      <c r="S1039" s="296"/>
      <c r="T1039" s="296"/>
      <c r="U1039" s="296"/>
      <c r="V1039" s="296"/>
      <c r="W1039" s="296"/>
      <c r="X1039" s="296"/>
      <c r="Y1039" s="296"/>
      <c r="Z1039" s="296"/>
      <c r="AA1039" s="296"/>
      <c r="AB1039" s="296"/>
      <c r="AC1039" s="296"/>
      <c r="AD1039" s="296"/>
      <c r="AE1039" s="307"/>
      <c r="AF1039" s="273"/>
      <c r="AG1039" s="274"/>
    </row>
    <row r="1040">
      <c r="A1040" s="296"/>
      <c r="B1040" s="269"/>
      <c r="C1040" s="296"/>
      <c r="D1040" s="296"/>
      <c r="E1040" s="296"/>
      <c r="F1040" s="296"/>
      <c r="G1040" s="296"/>
      <c r="H1040" s="296"/>
      <c r="I1040" s="296"/>
      <c r="J1040" s="296"/>
      <c r="K1040" s="296"/>
      <c r="L1040" s="296"/>
      <c r="M1040" s="296"/>
      <c r="N1040" s="296"/>
      <c r="O1040" s="269"/>
      <c r="P1040" s="269"/>
      <c r="Q1040" s="269"/>
      <c r="R1040" s="296"/>
      <c r="S1040" s="296"/>
      <c r="T1040" s="296"/>
      <c r="U1040" s="296"/>
      <c r="V1040" s="296"/>
      <c r="W1040" s="296"/>
      <c r="X1040" s="296"/>
      <c r="Y1040" s="296"/>
      <c r="Z1040" s="296"/>
      <c r="AA1040" s="296"/>
      <c r="AB1040" s="296"/>
      <c r="AC1040" s="296"/>
      <c r="AD1040" s="296"/>
      <c r="AE1040" s="307"/>
      <c r="AF1040" s="273"/>
      <c r="AG1040" s="274"/>
    </row>
    <row r="1041">
      <c r="A1041" s="296"/>
      <c r="B1041" s="269"/>
      <c r="C1041" s="296"/>
      <c r="D1041" s="296"/>
      <c r="E1041" s="296"/>
      <c r="F1041" s="296"/>
      <c r="G1041" s="296"/>
      <c r="H1041" s="296"/>
      <c r="I1041" s="296"/>
      <c r="J1041" s="296"/>
      <c r="K1041" s="296"/>
      <c r="L1041" s="296"/>
      <c r="M1041" s="296"/>
      <c r="N1041" s="296"/>
      <c r="O1041" s="269"/>
      <c r="P1041" s="269"/>
      <c r="Q1041" s="269"/>
      <c r="R1041" s="296"/>
      <c r="S1041" s="296"/>
      <c r="T1041" s="296"/>
      <c r="U1041" s="296"/>
      <c r="V1041" s="296"/>
      <c r="W1041" s="296"/>
      <c r="X1041" s="296"/>
      <c r="Y1041" s="296"/>
      <c r="Z1041" s="296"/>
      <c r="AA1041" s="296"/>
      <c r="AB1041" s="296"/>
      <c r="AC1041" s="296"/>
      <c r="AD1041" s="296"/>
      <c r="AE1041" s="307"/>
      <c r="AF1041" s="273"/>
      <c r="AG1041" s="274"/>
    </row>
    <row r="1042">
      <c r="A1042" s="296"/>
      <c r="B1042" s="269"/>
      <c r="C1042" s="296"/>
      <c r="D1042" s="296"/>
      <c r="E1042" s="296"/>
      <c r="F1042" s="296"/>
      <c r="G1042" s="296"/>
      <c r="H1042" s="296"/>
      <c r="I1042" s="296"/>
      <c r="J1042" s="296"/>
      <c r="K1042" s="296"/>
      <c r="L1042" s="296"/>
      <c r="M1042" s="296"/>
      <c r="N1042" s="296"/>
      <c r="O1042" s="269"/>
      <c r="P1042" s="269"/>
      <c r="Q1042" s="269"/>
      <c r="R1042" s="296"/>
      <c r="S1042" s="296"/>
      <c r="T1042" s="296"/>
      <c r="U1042" s="296"/>
      <c r="V1042" s="296"/>
      <c r="W1042" s="296"/>
      <c r="X1042" s="296"/>
      <c r="Y1042" s="296"/>
      <c r="Z1042" s="296"/>
      <c r="AA1042" s="296"/>
      <c r="AB1042" s="296"/>
      <c r="AC1042" s="296"/>
      <c r="AD1042" s="296"/>
      <c r="AE1042" s="307"/>
      <c r="AF1042" s="273"/>
      <c r="AG1042" s="274"/>
    </row>
    <row r="1043">
      <c r="A1043" s="296"/>
      <c r="B1043" s="269"/>
      <c r="C1043" s="296"/>
      <c r="D1043" s="296"/>
      <c r="E1043" s="296"/>
      <c r="F1043" s="296"/>
      <c r="G1043" s="296"/>
      <c r="H1043" s="296"/>
      <c r="I1043" s="296"/>
      <c r="J1043" s="296"/>
      <c r="K1043" s="296"/>
      <c r="L1043" s="296"/>
      <c r="M1043" s="296"/>
      <c r="N1043" s="296"/>
      <c r="O1043" s="269"/>
      <c r="P1043" s="269"/>
      <c r="Q1043" s="269"/>
      <c r="R1043" s="296"/>
      <c r="S1043" s="296"/>
      <c r="T1043" s="296"/>
      <c r="U1043" s="296"/>
      <c r="V1043" s="296"/>
      <c r="W1043" s="296"/>
      <c r="X1043" s="296"/>
      <c r="Y1043" s="296"/>
      <c r="Z1043" s="296"/>
      <c r="AA1043" s="296"/>
      <c r="AB1043" s="296"/>
      <c r="AC1043" s="296"/>
      <c r="AD1043" s="296"/>
      <c r="AE1043" s="307"/>
      <c r="AF1043" s="273"/>
      <c r="AG1043" s="274"/>
    </row>
    <row r="1044">
      <c r="A1044" s="296"/>
      <c r="B1044" s="269"/>
      <c r="C1044" s="296"/>
      <c r="D1044" s="296"/>
      <c r="E1044" s="296"/>
      <c r="F1044" s="296"/>
      <c r="G1044" s="296"/>
      <c r="H1044" s="296"/>
      <c r="I1044" s="296"/>
      <c r="J1044" s="296"/>
      <c r="K1044" s="296"/>
      <c r="L1044" s="296"/>
      <c r="M1044" s="296"/>
      <c r="N1044" s="296"/>
      <c r="O1044" s="269"/>
      <c r="P1044" s="269"/>
      <c r="Q1044" s="269"/>
      <c r="R1044" s="296"/>
      <c r="S1044" s="296"/>
      <c r="T1044" s="296"/>
      <c r="U1044" s="296"/>
      <c r="V1044" s="296"/>
      <c r="W1044" s="296"/>
      <c r="X1044" s="296"/>
      <c r="Y1044" s="296"/>
      <c r="Z1044" s="296"/>
      <c r="AA1044" s="296"/>
      <c r="AB1044" s="296"/>
      <c r="AC1044" s="296"/>
      <c r="AD1044" s="296"/>
      <c r="AE1044" s="307"/>
      <c r="AF1044" s="273"/>
      <c r="AG1044" s="274"/>
    </row>
    <row r="1045">
      <c r="A1045" s="296"/>
      <c r="B1045" s="269"/>
      <c r="C1045" s="296"/>
      <c r="D1045" s="296"/>
      <c r="E1045" s="296"/>
      <c r="F1045" s="296"/>
      <c r="G1045" s="296"/>
      <c r="H1045" s="296"/>
      <c r="I1045" s="296"/>
      <c r="J1045" s="296"/>
      <c r="K1045" s="296"/>
      <c r="L1045" s="296"/>
      <c r="M1045" s="296"/>
      <c r="N1045" s="296"/>
      <c r="O1045" s="269"/>
      <c r="P1045" s="269"/>
      <c r="Q1045" s="269"/>
      <c r="R1045" s="296"/>
      <c r="S1045" s="296"/>
      <c r="T1045" s="296"/>
      <c r="U1045" s="296"/>
      <c r="V1045" s="296"/>
      <c r="W1045" s="296"/>
      <c r="X1045" s="296"/>
      <c r="Y1045" s="296"/>
      <c r="Z1045" s="296"/>
      <c r="AA1045" s="296"/>
      <c r="AB1045" s="296"/>
      <c r="AC1045" s="296"/>
      <c r="AD1045" s="296"/>
      <c r="AE1045" s="307"/>
      <c r="AF1045" s="273"/>
      <c r="AG1045" s="274"/>
    </row>
    <row r="1046">
      <c r="A1046" s="296"/>
      <c r="B1046" s="269"/>
      <c r="C1046" s="296"/>
      <c r="D1046" s="296"/>
      <c r="E1046" s="296"/>
      <c r="F1046" s="296"/>
      <c r="G1046" s="296"/>
      <c r="H1046" s="296"/>
      <c r="I1046" s="296"/>
      <c r="J1046" s="296"/>
      <c r="K1046" s="296"/>
      <c r="L1046" s="296"/>
      <c r="M1046" s="296"/>
      <c r="N1046" s="296"/>
      <c r="O1046" s="269"/>
      <c r="P1046" s="269"/>
      <c r="Q1046" s="269"/>
      <c r="R1046" s="296"/>
      <c r="S1046" s="296"/>
      <c r="T1046" s="296"/>
      <c r="U1046" s="296"/>
      <c r="V1046" s="296"/>
      <c r="W1046" s="296"/>
      <c r="X1046" s="296"/>
      <c r="Y1046" s="296"/>
      <c r="Z1046" s="296"/>
      <c r="AA1046" s="296"/>
      <c r="AB1046" s="296"/>
      <c r="AC1046" s="296"/>
      <c r="AD1046" s="296"/>
      <c r="AE1046" s="307"/>
      <c r="AF1046" s="273"/>
      <c r="AG1046" s="274"/>
    </row>
    <row r="1047">
      <c r="A1047" s="296"/>
      <c r="B1047" s="269"/>
      <c r="C1047" s="296"/>
      <c r="D1047" s="296"/>
      <c r="E1047" s="296"/>
      <c r="F1047" s="296"/>
      <c r="G1047" s="296"/>
      <c r="H1047" s="296"/>
      <c r="I1047" s="296"/>
      <c r="J1047" s="296"/>
      <c r="K1047" s="296"/>
      <c r="L1047" s="296"/>
      <c r="M1047" s="296"/>
      <c r="N1047" s="296"/>
      <c r="O1047" s="269"/>
      <c r="P1047" s="269"/>
      <c r="Q1047" s="269"/>
      <c r="R1047" s="296"/>
      <c r="S1047" s="296"/>
      <c r="T1047" s="296"/>
      <c r="U1047" s="296"/>
      <c r="V1047" s="296"/>
      <c r="W1047" s="296"/>
      <c r="X1047" s="296"/>
      <c r="Y1047" s="296"/>
      <c r="Z1047" s="296"/>
      <c r="AA1047" s="296"/>
      <c r="AB1047" s="296"/>
      <c r="AC1047" s="296"/>
      <c r="AD1047" s="296"/>
      <c r="AE1047" s="307"/>
      <c r="AF1047" s="273"/>
      <c r="AG1047" s="274"/>
    </row>
    <row r="1048">
      <c r="A1048" s="296"/>
      <c r="B1048" s="269"/>
      <c r="C1048" s="296"/>
      <c r="D1048" s="296"/>
      <c r="E1048" s="296"/>
      <c r="F1048" s="296"/>
      <c r="G1048" s="296"/>
      <c r="H1048" s="296"/>
      <c r="I1048" s="296"/>
      <c r="J1048" s="296"/>
      <c r="K1048" s="296"/>
      <c r="L1048" s="296"/>
      <c r="M1048" s="296"/>
      <c r="N1048" s="296"/>
      <c r="O1048" s="269"/>
      <c r="P1048" s="269"/>
      <c r="Q1048" s="269"/>
      <c r="R1048" s="296"/>
      <c r="S1048" s="296"/>
      <c r="T1048" s="296"/>
      <c r="U1048" s="296"/>
      <c r="V1048" s="296"/>
      <c r="W1048" s="296"/>
      <c r="X1048" s="296"/>
      <c r="Y1048" s="296"/>
      <c r="Z1048" s="296"/>
      <c r="AA1048" s="296"/>
      <c r="AB1048" s="296"/>
      <c r="AC1048" s="296"/>
      <c r="AD1048" s="296"/>
      <c r="AE1048" s="307"/>
      <c r="AF1048" s="273"/>
      <c r="AG1048" s="274"/>
    </row>
    <row r="1049">
      <c r="A1049" s="296"/>
      <c r="B1049" s="269"/>
      <c r="C1049" s="296"/>
      <c r="D1049" s="296"/>
      <c r="E1049" s="296"/>
      <c r="F1049" s="296"/>
      <c r="G1049" s="296"/>
      <c r="H1049" s="296"/>
      <c r="I1049" s="296"/>
      <c r="J1049" s="296"/>
      <c r="K1049" s="296"/>
      <c r="L1049" s="296"/>
      <c r="M1049" s="296"/>
      <c r="N1049" s="296"/>
      <c r="O1049" s="269"/>
      <c r="P1049" s="269"/>
      <c r="Q1049" s="269"/>
      <c r="R1049" s="296"/>
      <c r="S1049" s="296"/>
      <c r="T1049" s="296"/>
      <c r="U1049" s="296"/>
      <c r="V1049" s="296"/>
      <c r="W1049" s="296"/>
      <c r="X1049" s="296"/>
      <c r="Y1049" s="296"/>
      <c r="Z1049" s="296"/>
      <c r="AA1049" s="296"/>
      <c r="AB1049" s="296"/>
      <c r="AC1049" s="296"/>
      <c r="AD1049" s="296"/>
      <c r="AE1049" s="307"/>
      <c r="AF1049" s="273"/>
      <c r="AG1049" s="274"/>
    </row>
    <row r="1050">
      <c r="A1050" s="296"/>
      <c r="B1050" s="269"/>
      <c r="C1050" s="296"/>
      <c r="D1050" s="296"/>
      <c r="E1050" s="296"/>
      <c r="F1050" s="296"/>
      <c r="G1050" s="296"/>
      <c r="H1050" s="296"/>
      <c r="I1050" s="296"/>
      <c r="J1050" s="296"/>
      <c r="K1050" s="296"/>
      <c r="L1050" s="296"/>
      <c r="M1050" s="296"/>
      <c r="N1050" s="296"/>
      <c r="O1050" s="269"/>
      <c r="P1050" s="269"/>
      <c r="Q1050" s="269"/>
      <c r="R1050" s="296"/>
      <c r="S1050" s="296"/>
      <c r="T1050" s="296"/>
      <c r="U1050" s="296"/>
      <c r="V1050" s="296"/>
      <c r="W1050" s="296"/>
      <c r="X1050" s="296"/>
      <c r="Y1050" s="296"/>
      <c r="Z1050" s="296"/>
      <c r="AA1050" s="296"/>
      <c r="AB1050" s="296"/>
      <c r="AC1050" s="296"/>
      <c r="AD1050" s="296"/>
      <c r="AE1050" s="307"/>
      <c r="AF1050" s="273"/>
      <c r="AG1050" s="274"/>
    </row>
    <row r="1051">
      <c r="A1051" s="296"/>
      <c r="B1051" s="269"/>
      <c r="C1051" s="296"/>
      <c r="D1051" s="296"/>
      <c r="E1051" s="296"/>
      <c r="F1051" s="296"/>
      <c r="G1051" s="296"/>
      <c r="H1051" s="296"/>
      <c r="I1051" s="296"/>
      <c r="J1051" s="296"/>
      <c r="K1051" s="296"/>
      <c r="L1051" s="296"/>
      <c r="M1051" s="296"/>
      <c r="N1051" s="296"/>
      <c r="O1051" s="269"/>
      <c r="P1051" s="269"/>
      <c r="Q1051" s="269"/>
      <c r="R1051" s="296"/>
      <c r="S1051" s="296"/>
      <c r="T1051" s="296"/>
      <c r="U1051" s="296"/>
      <c r="V1051" s="296"/>
      <c r="W1051" s="296"/>
      <c r="X1051" s="296"/>
      <c r="Y1051" s="296"/>
      <c r="Z1051" s="296"/>
      <c r="AA1051" s="296"/>
      <c r="AB1051" s="296"/>
      <c r="AC1051" s="296"/>
      <c r="AD1051" s="296"/>
      <c r="AE1051" s="307"/>
      <c r="AF1051" s="273"/>
      <c r="AG1051" s="274"/>
    </row>
    <row r="1052">
      <c r="A1052" s="296"/>
      <c r="B1052" s="269"/>
      <c r="C1052" s="296"/>
      <c r="D1052" s="296"/>
      <c r="E1052" s="296"/>
      <c r="F1052" s="296"/>
      <c r="G1052" s="296"/>
      <c r="H1052" s="296"/>
      <c r="I1052" s="296"/>
      <c r="J1052" s="296"/>
      <c r="K1052" s="296"/>
      <c r="L1052" s="296"/>
      <c r="M1052" s="296"/>
      <c r="N1052" s="296"/>
      <c r="O1052" s="269"/>
      <c r="P1052" s="269"/>
      <c r="Q1052" s="269"/>
      <c r="R1052" s="296"/>
      <c r="S1052" s="296"/>
      <c r="T1052" s="296"/>
      <c r="U1052" s="296"/>
      <c r="V1052" s="296"/>
      <c r="W1052" s="296"/>
      <c r="X1052" s="296"/>
      <c r="Y1052" s="296"/>
      <c r="Z1052" s="296"/>
      <c r="AA1052" s="296"/>
      <c r="AB1052" s="296"/>
      <c r="AC1052" s="296"/>
      <c r="AD1052" s="296"/>
      <c r="AE1052" s="307"/>
      <c r="AF1052" s="273"/>
      <c r="AG1052" s="274"/>
    </row>
    <row r="1053">
      <c r="A1053" s="296"/>
      <c r="B1053" s="269"/>
      <c r="C1053" s="296"/>
      <c r="D1053" s="296"/>
      <c r="E1053" s="296"/>
      <c r="F1053" s="296"/>
      <c r="G1053" s="296"/>
      <c r="H1053" s="296"/>
      <c r="I1053" s="296"/>
      <c r="J1053" s="296"/>
      <c r="K1053" s="296"/>
      <c r="L1053" s="296"/>
      <c r="M1053" s="296"/>
      <c r="N1053" s="296"/>
      <c r="O1053" s="269"/>
      <c r="P1053" s="269"/>
      <c r="Q1053" s="269"/>
      <c r="R1053" s="296"/>
      <c r="S1053" s="296"/>
      <c r="T1053" s="296"/>
      <c r="U1053" s="296"/>
      <c r="V1053" s="296"/>
      <c r="W1053" s="296"/>
      <c r="X1053" s="296"/>
      <c r="Y1053" s="296"/>
      <c r="Z1053" s="296"/>
      <c r="AA1053" s="296"/>
      <c r="AB1053" s="296"/>
      <c r="AC1053" s="296"/>
      <c r="AD1053" s="296"/>
      <c r="AE1053" s="307"/>
      <c r="AF1053" s="273"/>
      <c r="AG1053" s="274"/>
    </row>
    <row r="1054">
      <c r="A1054" s="296"/>
      <c r="B1054" s="269"/>
      <c r="C1054" s="296"/>
      <c r="D1054" s="296"/>
      <c r="E1054" s="296"/>
      <c r="F1054" s="296"/>
      <c r="G1054" s="296"/>
      <c r="H1054" s="296"/>
      <c r="I1054" s="296"/>
      <c r="J1054" s="296"/>
      <c r="K1054" s="296"/>
      <c r="L1054" s="296"/>
      <c r="M1054" s="296"/>
      <c r="N1054" s="296"/>
      <c r="O1054" s="269"/>
      <c r="P1054" s="269"/>
      <c r="Q1054" s="269"/>
      <c r="R1054" s="296"/>
      <c r="S1054" s="296"/>
      <c r="T1054" s="296"/>
      <c r="U1054" s="296"/>
      <c r="V1054" s="296"/>
      <c r="W1054" s="296"/>
      <c r="X1054" s="296"/>
      <c r="Y1054" s="296"/>
      <c r="Z1054" s="296"/>
      <c r="AA1054" s="296"/>
      <c r="AB1054" s="296"/>
      <c r="AC1054" s="296"/>
      <c r="AD1054" s="296"/>
      <c r="AE1054" s="307"/>
      <c r="AF1054" s="273"/>
      <c r="AG1054" s="274"/>
    </row>
    <row r="1055">
      <c r="A1055" s="296"/>
      <c r="B1055" s="269"/>
      <c r="C1055" s="296"/>
      <c r="D1055" s="296"/>
      <c r="E1055" s="296"/>
      <c r="F1055" s="296"/>
      <c r="G1055" s="296"/>
      <c r="H1055" s="296"/>
      <c r="I1055" s="296"/>
      <c r="J1055" s="296"/>
      <c r="K1055" s="296"/>
      <c r="L1055" s="296"/>
      <c r="M1055" s="296"/>
      <c r="N1055" s="296"/>
      <c r="O1055" s="269"/>
      <c r="P1055" s="269"/>
      <c r="Q1055" s="269"/>
      <c r="R1055" s="296"/>
      <c r="S1055" s="296"/>
      <c r="T1055" s="296"/>
      <c r="U1055" s="296"/>
      <c r="V1055" s="296"/>
      <c r="W1055" s="296"/>
      <c r="X1055" s="296"/>
      <c r="Y1055" s="296"/>
      <c r="Z1055" s="296"/>
      <c r="AA1055" s="296"/>
      <c r="AB1055" s="296"/>
      <c r="AC1055" s="296"/>
      <c r="AD1055" s="296"/>
      <c r="AE1055" s="307"/>
      <c r="AF1055" s="273"/>
      <c r="AG1055" s="274"/>
    </row>
    <row r="1056">
      <c r="A1056" s="296"/>
      <c r="B1056" s="269"/>
      <c r="C1056" s="296"/>
      <c r="D1056" s="296"/>
      <c r="E1056" s="296"/>
      <c r="F1056" s="296"/>
      <c r="G1056" s="296"/>
      <c r="H1056" s="296"/>
      <c r="I1056" s="296"/>
      <c r="J1056" s="296"/>
      <c r="K1056" s="296"/>
      <c r="L1056" s="296"/>
      <c r="M1056" s="296"/>
      <c r="N1056" s="296"/>
      <c r="O1056" s="269"/>
      <c r="P1056" s="269"/>
      <c r="Q1056" s="269"/>
      <c r="R1056" s="296"/>
      <c r="S1056" s="296"/>
      <c r="T1056" s="296"/>
      <c r="U1056" s="296"/>
      <c r="V1056" s="296"/>
      <c r="W1056" s="296"/>
      <c r="X1056" s="296"/>
      <c r="Y1056" s="296"/>
      <c r="Z1056" s="296"/>
      <c r="AA1056" s="296"/>
      <c r="AB1056" s="296"/>
      <c r="AC1056" s="296"/>
      <c r="AD1056" s="296"/>
      <c r="AE1056" s="307"/>
      <c r="AF1056" s="273"/>
      <c r="AG1056" s="274"/>
    </row>
    <row r="1057">
      <c r="A1057" s="296"/>
      <c r="B1057" s="269"/>
      <c r="C1057" s="296"/>
      <c r="D1057" s="296"/>
      <c r="E1057" s="296"/>
      <c r="F1057" s="296"/>
      <c r="G1057" s="296"/>
      <c r="H1057" s="296"/>
      <c r="I1057" s="296"/>
      <c r="J1057" s="296"/>
      <c r="K1057" s="296"/>
      <c r="L1057" s="296"/>
      <c r="M1057" s="296"/>
      <c r="N1057" s="296"/>
      <c r="O1057" s="269"/>
      <c r="P1057" s="269"/>
      <c r="Q1057" s="269"/>
      <c r="R1057" s="296"/>
      <c r="S1057" s="296"/>
      <c r="T1057" s="296"/>
      <c r="U1057" s="296"/>
      <c r="V1057" s="296"/>
      <c r="W1057" s="296"/>
      <c r="X1057" s="296"/>
      <c r="Y1057" s="296"/>
      <c r="Z1057" s="296"/>
      <c r="AA1057" s="296"/>
      <c r="AB1057" s="296"/>
      <c r="AC1057" s="296"/>
      <c r="AD1057" s="296"/>
      <c r="AE1057" s="307"/>
      <c r="AF1057" s="273"/>
      <c r="AG1057" s="274"/>
    </row>
    <row r="1058">
      <c r="A1058" s="296"/>
      <c r="B1058" s="269"/>
      <c r="C1058" s="296"/>
      <c r="D1058" s="296"/>
      <c r="E1058" s="296"/>
      <c r="F1058" s="296"/>
      <c r="G1058" s="296"/>
      <c r="H1058" s="296"/>
      <c r="I1058" s="296"/>
      <c r="J1058" s="296"/>
      <c r="K1058" s="296"/>
      <c r="L1058" s="296"/>
      <c r="M1058" s="296"/>
      <c r="N1058" s="296"/>
      <c r="O1058" s="269"/>
      <c r="P1058" s="269"/>
      <c r="Q1058" s="269"/>
      <c r="R1058" s="296"/>
      <c r="S1058" s="296"/>
      <c r="T1058" s="296"/>
      <c r="U1058" s="296"/>
      <c r="V1058" s="296"/>
      <c r="W1058" s="296"/>
      <c r="X1058" s="296"/>
      <c r="Y1058" s="296"/>
      <c r="Z1058" s="296"/>
      <c r="AA1058" s="296"/>
      <c r="AB1058" s="296"/>
      <c r="AC1058" s="296"/>
      <c r="AD1058" s="296"/>
      <c r="AE1058" s="307"/>
      <c r="AF1058" s="273"/>
      <c r="AG1058" s="274"/>
    </row>
    <row r="1059">
      <c r="A1059" s="296"/>
      <c r="B1059" s="269"/>
      <c r="C1059" s="296"/>
      <c r="D1059" s="296"/>
      <c r="E1059" s="296"/>
      <c r="F1059" s="296"/>
      <c r="G1059" s="296"/>
      <c r="H1059" s="296"/>
      <c r="I1059" s="296"/>
      <c r="J1059" s="296"/>
      <c r="K1059" s="296"/>
      <c r="L1059" s="296"/>
      <c r="M1059" s="296"/>
      <c r="N1059" s="296"/>
      <c r="O1059" s="269"/>
      <c r="P1059" s="269"/>
      <c r="Q1059" s="269"/>
      <c r="R1059" s="296"/>
      <c r="S1059" s="296"/>
      <c r="T1059" s="296"/>
      <c r="U1059" s="296"/>
      <c r="V1059" s="296"/>
      <c r="W1059" s="296"/>
      <c r="X1059" s="296"/>
      <c r="Y1059" s="296"/>
      <c r="Z1059" s="296"/>
      <c r="AA1059" s="296"/>
      <c r="AB1059" s="296"/>
      <c r="AC1059" s="296"/>
      <c r="AD1059" s="296"/>
      <c r="AE1059" s="307"/>
      <c r="AF1059" s="273"/>
      <c r="AG1059" s="274"/>
    </row>
    <row r="1060">
      <c r="A1060" s="296"/>
      <c r="B1060" s="269"/>
      <c r="C1060" s="296"/>
      <c r="D1060" s="296"/>
      <c r="E1060" s="296"/>
      <c r="F1060" s="296"/>
      <c r="G1060" s="296"/>
      <c r="H1060" s="296"/>
      <c r="I1060" s="296"/>
      <c r="J1060" s="296"/>
      <c r="K1060" s="296"/>
      <c r="L1060" s="296"/>
      <c r="M1060" s="296"/>
      <c r="N1060" s="296"/>
      <c r="O1060" s="269"/>
      <c r="P1060" s="269"/>
      <c r="Q1060" s="269"/>
      <c r="R1060" s="296"/>
      <c r="S1060" s="296"/>
      <c r="T1060" s="296"/>
      <c r="U1060" s="296"/>
      <c r="V1060" s="296"/>
      <c r="W1060" s="296"/>
      <c r="X1060" s="296"/>
      <c r="Y1060" s="296"/>
      <c r="Z1060" s="296"/>
      <c r="AA1060" s="296"/>
      <c r="AB1060" s="296"/>
      <c r="AC1060" s="296"/>
      <c r="AD1060" s="296"/>
      <c r="AE1060" s="307"/>
      <c r="AF1060" s="273"/>
      <c r="AG1060" s="274"/>
    </row>
    <row r="1061">
      <c r="A1061" s="296"/>
      <c r="B1061" s="269"/>
      <c r="C1061" s="296"/>
      <c r="D1061" s="296"/>
      <c r="E1061" s="296"/>
      <c r="F1061" s="296"/>
      <c r="G1061" s="296"/>
      <c r="H1061" s="296"/>
      <c r="I1061" s="296"/>
      <c r="J1061" s="296"/>
      <c r="K1061" s="296"/>
      <c r="L1061" s="296"/>
      <c r="M1061" s="296"/>
      <c r="N1061" s="296"/>
      <c r="O1061" s="269"/>
      <c r="P1061" s="269"/>
      <c r="Q1061" s="269"/>
      <c r="R1061" s="296"/>
      <c r="S1061" s="296"/>
      <c r="T1061" s="296"/>
      <c r="U1061" s="296"/>
      <c r="V1061" s="296"/>
      <c r="W1061" s="296"/>
      <c r="X1061" s="296"/>
      <c r="Y1061" s="296"/>
      <c r="Z1061" s="296"/>
      <c r="AA1061" s="296"/>
      <c r="AB1061" s="296"/>
      <c r="AC1061" s="296"/>
      <c r="AD1061" s="296"/>
      <c r="AE1061" s="307"/>
      <c r="AF1061" s="273"/>
      <c r="AG1061" s="274"/>
    </row>
    <row r="1062">
      <c r="A1062" s="296"/>
      <c r="B1062" s="269"/>
      <c r="C1062" s="296"/>
      <c r="D1062" s="296"/>
      <c r="E1062" s="296"/>
      <c r="F1062" s="296"/>
      <c r="G1062" s="296"/>
      <c r="H1062" s="296"/>
      <c r="I1062" s="296"/>
      <c r="J1062" s="296"/>
      <c r="K1062" s="296"/>
      <c r="L1062" s="296"/>
      <c r="M1062" s="296"/>
      <c r="N1062" s="296"/>
      <c r="O1062" s="269"/>
      <c r="P1062" s="269"/>
      <c r="Q1062" s="269"/>
      <c r="R1062" s="296"/>
      <c r="S1062" s="296"/>
      <c r="T1062" s="296"/>
      <c r="U1062" s="296"/>
      <c r="V1062" s="296"/>
      <c r="W1062" s="296"/>
      <c r="X1062" s="296"/>
      <c r="Y1062" s="296"/>
      <c r="Z1062" s="296"/>
      <c r="AA1062" s="296"/>
      <c r="AB1062" s="296"/>
      <c r="AC1062" s="296"/>
      <c r="AD1062" s="296"/>
      <c r="AE1062" s="307"/>
      <c r="AF1062" s="273"/>
      <c r="AG1062" s="274"/>
    </row>
    <row r="1063">
      <c r="A1063" s="296"/>
      <c r="B1063" s="269"/>
      <c r="C1063" s="296"/>
      <c r="D1063" s="296"/>
      <c r="E1063" s="296"/>
      <c r="F1063" s="296"/>
      <c r="G1063" s="296"/>
      <c r="H1063" s="296"/>
      <c r="I1063" s="296"/>
      <c r="J1063" s="296"/>
      <c r="K1063" s="296"/>
      <c r="L1063" s="296"/>
      <c r="M1063" s="296"/>
      <c r="N1063" s="296"/>
      <c r="O1063" s="269"/>
      <c r="P1063" s="269"/>
      <c r="Q1063" s="269"/>
      <c r="R1063" s="296"/>
      <c r="S1063" s="296"/>
      <c r="T1063" s="296"/>
      <c r="U1063" s="296"/>
      <c r="V1063" s="296"/>
      <c r="W1063" s="296"/>
      <c r="X1063" s="296"/>
      <c r="Y1063" s="296"/>
      <c r="Z1063" s="296"/>
      <c r="AA1063" s="296"/>
      <c r="AB1063" s="296"/>
      <c r="AC1063" s="296"/>
      <c r="AD1063" s="296"/>
      <c r="AE1063" s="307"/>
      <c r="AF1063" s="273"/>
      <c r="AG1063" s="274"/>
    </row>
    <row r="1064">
      <c r="A1064" s="296"/>
      <c r="B1064" s="269"/>
      <c r="C1064" s="296"/>
      <c r="D1064" s="296"/>
      <c r="E1064" s="296"/>
      <c r="F1064" s="296"/>
      <c r="G1064" s="296"/>
      <c r="H1064" s="296"/>
      <c r="I1064" s="296"/>
      <c r="J1064" s="296"/>
      <c r="K1064" s="296"/>
      <c r="L1064" s="296"/>
      <c r="M1064" s="296"/>
      <c r="N1064" s="296"/>
      <c r="O1064" s="269"/>
      <c r="P1064" s="269"/>
      <c r="Q1064" s="269"/>
      <c r="R1064" s="296"/>
      <c r="S1064" s="296"/>
      <c r="T1064" s="296"/>
      <c r="U1064" s="296"/>
      <c r="V1064" s="296"/>
      <c r="W1064" s="296"/>
      <c r="X1064" s="296"/>
      <c r="Y1064" s="296"/>
      <c r="Z1064" s="296"/>
      <c r="AA1064" s="296"/>
      <c r="AB1064" s="296"/>
      <c r="AC1064" s="296"/>
      <c r="AD1064" s="296"/>
      <c r="AE1064" s="307"/>
      <c r="AF1064" s="273"/>
      <c r="AG1064" s="274"/>
    </row>
    <row r="1065">
      <c r="A1065" s="296"/>
      <c r="B1065" s="269"/>
      <c r="C1065" s="296"/>
      <c r="D1065" s="296"/>
      <c r="E1065" s="296"/>
      <c r="F1065" s="296"/>
      <c r="G1065" s="296"/>
      <c r="H1065" s="296"/>
      <c r="I1065" s="296"/>
      <c r="J1065" s="296"/>
      <c r="K1065" s="296"/>
      <c r="L1065" s="296"/>
      <c r="M1065" s="296"/>
      <c r="N1065" s="296"/>
      <c r="O1065" s="269"/>
      <c r="P1065" s="269"/>
      <c r="Q1065" s="269"/>
      <c r="R1065" s="296"/>
      <c r="S1065" s="296"/>
      <c r="T1065" s="296"/>
      <c r="U1065" s="296"/>
      <c r="V1065" s="296"/>
      <c r="W1065" s="296"/>
      <c r="X1065" s="296"/>
      <c r="Y1065" s="296"/>
      <c r="Z1065" s="296"/>
      <c r="AA1065" s="296"/>
      <c r="AB1065" s="296"/>
      <c r="AC1065" s="296"/>
      <c r="AD1065" s="296"/>
      <c r="AE1065" s="307"/>
      <c r="AF1065" s="273"/>
      <c r="AG1065" s="274"/>
    </row>
    <row r="1066">
      <c r="A1066" s="296"/>
      <c r="B1066" s="269"/>
      <c r="C1066" s="296"/>
      <c r="D1066" s="296"/>
      <c r="E1066" s="296"/>
      <c r="F1066" s="296"/>
      <c r="G1066" s="296"/>
      <c r="H1066" s="296"/>
      <c r="I1066" s="296"/>
      <c r="J1066" s="296"/>
      <c r="K1066" s="296"/>
      <c r="L1066" s="296"/>
      <c r="M1066" s="296"/>
      <c r="N1066" s="296"/>
      <c r="O1066" s="269"/>
      <c r="P1066" s="269"/>
      <c r="Q1066" s="269"/>
      <c r="R1066" s="296"/>
      <c r="S1066" s="296"/>
      <c r="T1066" s="296"/>
      <c r="U1066" s="296"/>
      <c r="V1066" s="296"/>
      <c r="W1066" s="296"/>
      <c r="X1066" s="296"/>
      <c r="Y1066" s="296"/>
      <c r="Z1066" s="296"/>
      <c r="AA1066" s="296"/>
      <c r="AB1066" s="296"/>
      <c r="AC1066" s="296"/>
      <c r="AD1066" s="296"/>
      <c r="AE1066" s="307"/>
      <c r="AF1066" s="273"/>
      <c r="AG1066" s="274"/>
    </row>
    <row r="1067">
      <c r="A1067" s="296"/>
      <c r="B1067" s="269"/>
      <c r="C1067" s="296"/>
      <c r="D1067" s="296"/>
      <c r="E1067" s="296"/>
      <c r="F1067" s="296"/>
      <c r="G1067" s="296"/>
      <c r="H1067" s="296"/>
      <c r="I1067" s="296"/>
      <c r="J1067" s="296"/>
      <c r="K1067" s="296"/>
      <c r="L1067" s="296"/>
      <c r="M1067" s="296"/>
      <c r="N1067" s="296"/>
      <c r="O1067" s="269"/>
      <c r="P1067" s="269"/>
      <c r="Q1067" s="269"/>
      <c r="R1067" s="296"/>
      <c r="S1067" s="296"/>
      <c r="T1067" s="296"/>
      <c r="U1067" s="296"/>
      <c r="V1067" s="296"/>
      <c r="W1067" s="296"/>
      <c r="X1067" s="296"/>
      <c r="Y1067" s="296"/>
      <c r="Z1067" s="296"/>
      <c r="AA1067" s="296"/>
      <c r="AB1067" s="296"/>
      <c r="AC1067" s="296"/>
      <c r="AD1067" s="296"/>
      <c r="AE1067" s="307"/>
      <c r="AF1067" s="273"/>
      <c r="AG1067" s="274"/>
    </row>
    <row r="1068">
      <c r="A1068" s="296"/>
      <c r="B1068" s="269"/>
      <c r="C1068" s="296"/>
      <c r="D1068" s="296"/>
      <c r="E1068" s="296"/>
      <c r="F1068" s="296"/>
      <c r="G1068" s="296"/>
      <c r="H1068" s="296"/>
      <c r="I1068" s="296"/>
      <c r="J1068" s="296"/>
      <c r="K1068" s="296"/>
      <c r="L1068" s="296"/>
      <c r="M1068" s="296"/>
      <c r="N1068" s="296"/>
      <c r="O1068" s="269"/>
      <c r="P1068" s="269"/>
      <c r="Q1068" s="269"/>
      <c r="R1068" s="296"/>
      <c r="S1068" s="296"/>
      <c r="T1068" s="296"/>
      <c r="U1068" s="296"/>
      <c r="V1068" s="296"/>
      <c r="W1068" s="296"/>
      <c r="X1068" s="296"/>
      <c r="Y1068" s="296"/>
      <c r="Z1068" s="296"/>
      <c r="AA1068" s="296"/>
      <c r="AB1068" s="296"/>
      <c r="AC1068" s="296"/>
      <c r="AD1068" s="296"/>
      <c r="AE1068" s="307"/>
      <c r="AF1068" s="273"/>
      <c r="AG1068" s="274"/>
    </row>
    <row r="1069">
      <c r="A1069" s="296"/>
      <c r="B1069" s="269"/>
      <c r="C1069" s="296"/>
      <c r="D1069" s="296"/>
      <c r="E1069" s="296"/>
      <c r="F1069" s="296"/>
      <c r="G1069" s="296"/>
      <c r="H1069" s="296"/>
      <c r="I1069" s="296"/>
      <c r="J1069" s="296"/>
      <c r="K1069" s="296"/>
      <c r="L1069" s="296"/>
      <c r="M1069" s="296"/>
      <c r="N1069" s="296"/>
      <c r="O1069" s="269"/>
      <c r="P1069" s="269"/>
      <c r="Q1069" s="269"/>
      <c r="R1069" s="296"/>
      <c r="S1069" s="296"/>
      <c r="T1069" s="296"/>
      <c r="U1069" s="296"/>
      <c r="V1069" s="296"/>
      <c r="W1069" s="296"/>
      <c r="X1069" s="296"/>
      <c r="Y1069" s="296"/>
      <c r="Z1069" s="296"/>
      <c r="AA1069" s="296"/>
      <c r="AB1069" s="296"/>
      <c r="AC1069" s="296"/>
      <c r="AD1069" s="296"/>
      <c r="AE1069" s="307"/>
      <c r="AF1069" s="273"/>
      <c r="AG1069" s="274"/>
    </row>
    <row r="1070">
      <c r="A1070" s="296"/>
      <c r="B1070" s="269"/>
      <c r="C1070" s="296"/>
      <c r="D1070" s="296"/>
      <c r="E1070" s="296"/>
      <c r="F1070" s="296"/>
      <c r="G1070" s="296"/>
      <c r="H1070" s="296"/>
      <c r="I1070" s="296"/>
      <c r="J1070" s="296"/>
      <c r="K1070" s="296"/>
      <c r="L1070" s="296"/>
      <c r="M1070" s="296"/>
      <c r="N1070" s="296"/>
      <c r="O1070" s="269"/>
      <c r="P1070" s="269"/>
      <c r="Q1070" s="269"/>
      <c r="R1070" s="296"/>
      <c r="S1070" s="296"/>
      <c r="T1070" s="296"/>
      <c r="U1070" s="296"/>
      <c r="V1070" s="296"/>
      <c r="W1070" s="296"/>
      <c r="X1070" s="296"/>
      <c r="Y1070" s="296"/>
      <c r="Z1070" s="296"/>
      <c r="AA1070" s="296"/>
      <c r="AB1070" s="296"/>
      <c r="AC1070" s="296"/>
      <c r="AD1070" s="296"/>
      <c r="AE1070" s="307"/>
      <c r="AF1070" s="273"/>
      <c r="AG1070" s="274"/>
    </row>
    <row r="1071">
      <c r="A1071" s="296"/>
      <c r="B1071" s="269"/>
      <c r="C1071" s="296"/>
      <c r="D1071" s="296"/>
      <c r="E1071" s="296"/>
      <c r="F1071" s="296"/>
      <c r="G1071" s="296"/>
      <c r="H1071" s="296"/>
      <c r="I1071" s="296"/>
      <c r="J1071" s="296"/>
      <c r="K1071" s="296"/>
      <c r="L1071" s="296"/>
      <c r="M1071" s="296"/>
      <c r="N1071" s="296"/>
      <c r="O1071" s="269"/>
      <c r="P1071" s="269"/>
      <c r="Q1071" s="269"/>
      <c r="R1071" s="296"/>
      <c r="S1071" s="296"/>
      <c r="T1071" s="296"/>
      <c r="U1071" s="296"/>
      <c r="V1071" s="296"/>
      <c r="W1071" s="296"/>
      <c r="X1071" s="296"/>
      <c r="Y1071" s="296"/>
      <c r="Z1071" s="296"/>
      <c r="AA1071" s="296"/>
      <c r="AB1071" s="296"/>
      <c r="AC1071" s="296"/>
      <c r="AD1071" s="296"/>
      <c r="AE1071" s="307"/>
      <c r="AF1071" s="273"/>
      <c r="AG1071" s="274"/>
    </row>
    <row r="1072">
      <c r="A1072" s="296"/>
      <c r="B1072" s="269"/>
      <c r="C1072" s="296"/>
      <c r="D1072" s="296"/>
      <c r="E1072" s="296"/>
      <c r="F1072" s="296"/>
      <c r="G1072" s="296"/>
      <c r="H1072" s="296"/>
      <c r="I1072" s="296"/>
      <c r="J1072" s="296"/>
      <c r="K1072" s="296"/>
      <c r="L1072" s="296"/>
      <c r="M1072" s="296"/>
      <c r="N1072" s="296"/>
      <c r="O1072" s="269"/>
      <c r="P1072" s="269"/>
      <c r="Q1072" s="269"/>
      <c r="R1072" s="296"/>
      <c r="S1072" s="296"/>
      <c r="T1072" s="296"/>
      <c r="U1072" s="296"/>
      <c r="V1072" s="296"/>
      <c r="W1072" s="296"/>
      <c r="X1072" s="296"/>
      <c r="Y1072" s="296"/>
      <c r="Z1072" s="296"/>
      <c r="AA1072" s="296"/>
      <c r="AB1072" s="296"/>
      <c r="AC1072" s="296"/>
      <c r="AD1072" s="296"/>
      <c r="AE1072" s="307"/>
      <c r="AF1072" s="273"/>
      <c r="AG1072" s="274"/>
    </row>
    <row r="1073">
      <c r="A1073" s="296"/>
      <c r="B1073" s="269"/>
      <c r="C1073" s="296"/>
      <c r="D1073" s="296"/>
      <c r="E1073" s="296"/>
      <c r="F1073" s="296"/>
      <c r="G1073" s="296"/>
      <c r="H1073" s="296"/>
      <c r="I1073" s="296"/>
      <c r="J1073" s="296"/>
      <c r="K1073" s="296"/>
      <c r="L1073" s="296"/>
      <c r="M1073" s="296"/>
      <c r="N1073" s="296"/>
      <c r="O1073" s="269"/>
      <c r="P1073" s="269"/>
      <c r="Q1073" s="269"/>
      <c r="R1073" s="296"/>
      <c r="S1073" s="296"/>
      <c r="T1073" s="296"/>
      <c r="U1073" s="296"/>
      <c r="V1073" s="296"/>
      <c r="W1073" s="296"/>
      <c r="X1073" s="296"/>
      <c r="Y1073" s="296"/>
      <c r="Z1073" s="296"/>
      <c r="AA1073" s="296"/>
      <c r="AB1073" s="296"/>
      <c r="AC1073" s="296"/>
      <c r="AD1073" s="296"/>
      <c r="AE1073" s="307"/>
      <c r="AF1073" s="273"/>
      <c r="AG1073" s="274"/>
    </row>
    <row r="1074">
      <c r="A1074" s="296"/>
      <c r="B1074" s="269"/>
      <c r="C1074" s="296"/>
      <c r="D1074" s="296"/>
      <c r="E1074" s="296"/>
      <c r="F1074" s="296"/>
      <c r="G1074" s="296"/>
      <c r="H1074" s="296"/>
      <c r="I1074" s="296"/>
      <c r="J1074" s="296"/>
      <c r="K1074" s="296"/>
      <c r="L1074" s="296"/>
      <c r="M1074" s="296"/>
      <c r="N1074" s="296"/>
      <c r="O1074" s="269"/>
      <c r="P1074" s="269"/>
      <c r="Q1074" s="269"/>
      <c r="R1074" s="296"/>
      <c r="S1074" s="296"/>
      <c r="T1074" s="296"/>
      <c r="U1074" s="296"/>
      <c r="V1074" s="296"/>
      <c r="W1074" s="296"/>
      <c r="X1074" s="296"/>
      <c r="Y1074" s="296"/>
      <c r="Z1074" s="296"/>
      <c r="AA1074" s="296"/>
      <c r="AB1074" s="296"/>
      <c r="AC1074" s="296"/>
      <c r="AD1074" s="296"/>
      <c r="AE1074" s="307"/>
      <c r="AF1074" s="273"/>
      <c r="AG1074" s="274"/>
    </row>
    <row r="1075">
      <c r="A1075" s="296"/>
      <c r="B1075" s="269"/>
      <c r="C1075" s="296"/>
      <c r="D1075" s="296"/>
      <c r="E1075" s="296"/>
      <c r="F1075" s="296"/>
      <c r="G1075" s="296"/>
      <c r="H1075" s="296"/>
      <c r="I1075" s="296"/>
      <c r="J1075" s="296"/>
      <c r="K1075" s="296"/>
      <c r="L1075" s="296"/>
      <c r="M1075" s="296"/>
      <c r="N1075" s="296"/>
      <c r="O1075" s="269"/>
      <c r="P1075" s="269"/>
      <c r="Q1075" s="269"/>
      <c r="R1075" s="296"/>
      <c r="S1075" s="296"/>
      <c r="T1075" s="296"/>
      <c r="U1075" s="296"/>
      <c r="V1075" s="296"/>
      <c r="W1075" s="296"/>
      <c r="X1075" s="296"/>
      <c r="Y1075" s="296"/>
      <c r="Z1075" s="296"/>
      <c r="AA1075" s="296"/>
      <c r="AB1075" s="296"/>
      <c r="AC1075" s="296"/>
      <c r="AD1075" s="296"/>
      <c r="AE1075" s="307"/>
      <c r="AF1075" s="273"/>
      <c r="AG1075" s="274"/>
    </row>
    <row r="1076">
      <c r="A1076" s="296"/>
      <c r="B1076" s="269"/>
      <c r="C1076" s="296"/>
      <c r="D1076" s="296"/>
      <c r="E1076" s="296"/>
      <c r="F1076" s="296"/>
      <c r="G1076" s="296"/>
      <c r="H1076" s="296"/>
      <c r="I1076" s="296"/>
      <c r="J1076" s="296"/>
      <c r="K1076" s="296"/>
      <c r="L1076" s="296"/>
      <c r="M1076" s="296"/>
      <c r="N1076" s="296"/>
      <c r="O1076" s="269"/>
      <c r="P1076" s="269"/>
      <c r="Q1076" s="269"/>
      <c r="R1076" s="296"/>
      <c r="S1076" s="296"/>
      <c r="T1076" s="296"/>
      <c r="U1076" s="296"/>
      <c r="V1076" s="296"/>
      <c r="W1076" s="296"/>
      <c r="X1076" s="296"/>
      <c r="Y1076" s="296"/>
      <c r="Z1076" s="296"/>
      <c r="AA1076" s="296"/>
      <c r="AB1076" s="296"/>
      <c r="AC1076" s="296"/>
      <c r="AD1076" s="296"/>
      <c r="AE1076" s="307"/>
      <c r="AF1076" s="273"/>
      <c r="AG1076" s="274"/>
    </row>
    <row r="1077">
      <c r="A1077" s="296"/>
      <c r="B1077" s="269"/>
      <c r="C1077" s="296"/>
      <c r="D1077" s="296"/>
      <c r="E1077" s="296"/>
      <c r="F1077" s="296"/>
      <c r="G1077" s="296"/>
      <c r="H1077" s="296"/>
      <c r="I1077" s="296"/>
      <c r="J1077" s="296"/>
      <c r="K1077" s="296"/>
      <c r="L1077" s="296"/>
      <c r="M1077" s="296"/>
      <c r="N1077" s="296"/>
      <c r="O1077" s="269"/>
      <c r="P1077" s="269"/>
      <c r="Q1077" s="269"/>
      <c r="R1077" s="296"/>
      <c r="S1077" s="296"/>
      <c r="T1077" s="296"/>
      <c r="U1077" s="296"/>
      <c r="V1077" s="296"/>
      <c r="W1077" s="296"/>
      <c r="X1077" s="296"/>
      <c r="Y1077" s="296"/>
      <c r="Z1077" s="296"/>
      <c r="AA1077" s="296"/>
      <c r="AB1077" s="296"/>
      <c r="AC1077" s="296"/>
      <c r="AD1077" s="296"/>
      <c r="AE1077" s="307"/>
      <c r="AF1077" s="273"/>
      <c r="AG1077" s="274"/>
    </row>
    <row r="1078">
      <c r="A1078" s="296"/>
      <c r="B1078" s="269"/>
      <c r="C1078" s="296"/>
      <c r="D1078" s="296"/>
      <c r="E1078" s="296"/>
      <c r="F1078" s="296"/>
      <c r="G1078" s="296"/>
      <c r="H1078" s="296"/>
      <c r="I1078" s="296"/>
      <c r="J1078" s="296"/>
      <c r="K1078" s="296"/>
      <c r="L1078" s="296"/>
      <c r="M1078" s="296"/>
      <c r="N1078" s="296"/>
      <c r="O1078" s="269"/>
      <c r="P1078" s="269"/>
      <c r="Q1078" s="269"/>
      <c r="R1078" s="296"/>
      <c r="S1078" s="296"/>
      <c r="T1078" s="296"/>
      <c r="U1078" s="296"/>
      <c r="V1078" s="296"/>
      <c r="W1078" s="296"/>
      <c r="X1078" s="296"/>
      <c r="Y1078" s="296"/>
      <c r="Z1078" s="296"/>
      <c r="AA1078" s="296"/>
      <c r="AB1078" s="296"/>
      <c r="AC1078" s="296"/>
      <c r="AD1078" s="296"/>
      <c r="AE1078" s="307"/>
      <c r="AF1078" s="273"/>
      <c r="AG1078" s="274"/>
    </row>
    <row r="1079">
      <c r="A1079" s="296"/>
      <c r="B1079" s="269"/>
      <c r="C1079" s="296"/>
      <c r="D1079" s="296"/>
      <c r="E1079" s="296"/>
      <c r="F1079" s="296"/>
      <c r="G1079" s="296"/>
      <c r="H1079" s="296"/>
      <c r="I1079" s="296"/>
      <c r="J1079" s="296"/>
      <c r="K1079" s="296"/>
      <c r="L1079" s="296"/>
      <c r="M1079" s="296"/>
      <c r="N1079" s="296"/>
      <c r="O1079" s="269"/>
      <c r="P1079" s="269"/>
      <c r="Q1079" s="269"/>
      <c r="R1079" s="296"/>
      <c r="S1079" s="296"/>
      <c r="T1079" s="296"/>
      <c r="U1079" s="296"/>
      <c r="V1079" s="296"/>
      <c r="W1079" s="296"/>
      <c r="X1079" s="296"/>
      <c r="Y1079" s="296"/>
      <c r="Z1079" s="296"/>
      <c r="AA1079" s="296"/>
      <c r="AB1079" s="296"/>
      <c r="AC1079" s="296"/>
      <c r="AD1079" s="296"/>
      <c r="AE1079" s="307"/>
      <c r="AF1079" s="273"/>
      <c r="AG1079" s="274"/>
    </row>
    <row r="1080">
      <c r="A1080" s="296"/>
      <c r="B1080" s="269"/>
      <c r="C1080" s="296"/>
      <c r="D1080" s="296"/>
      <c r="E1080" s="296"/>
      <c r="F1080" s="296"/>
      <c r="G1080" s="296"/>
      <c r="H1080" s="296"/>
      <c r="I1080" s="296"/>
      <c r="J1080" s="296"/>
      <c r="K1080" s="296"/>
      <c r="L1080" s="296"/>
      <c r="M1080" s="296"/>
      <c r="N1080" s="296"/>
      <c r="O1080" s="269"/>
      <c r="P1080" s="269"/>
      <c r="Q1080" s="269"/>
      <c r="R1080" s="296"/>
      <c r="S1080" s="296"/>
      <c r="T1080" s="296"/>
      <c r="U1080" s="296"/>
      <c r="V1080" s="296"/>
      <c r="W1080" s="296"/>
      <c r="X1080" s="296"/>
      <c r="Y1080" s="296"/>
      <c r="Z1080" s="296"/>
      <c r="AA1080" s="296"/>
      <c r="AB1080" s="296"/>
      <c r="AC1080" s="296"/>
      <c r="AD1080" s="296"/>
      <c r="AE1080" s="307"/>
      <c r="AF1080" s="273"/>
      <c r="AG1080" s="274"/>
    </row>
    <row r="1081">
      <c r="A1081" s="296"/>
      <c r="B1081" s="269"/>
      <c r="C1081" s="296"/>
      <c r="D1081" s="296"/>
      <c r="E1081" s="296"/>
      <c r="F1081" s="296"/>
      <c r="G1081" s="296"/>
      <c r="H1081" s="296"/>
      <c r="I1081" s="296"/>
      <c r="J1081" s="296"/>
      <c r="K1081" s="296"/>
      <c r="L1081" s="296"/>
      <c r="M1081" s="296"/>
      <c r="N1081" s="296"/>
      <c r="O1081" s="269"/>
      <c r="P1081" s="269"/>
      <c r="Q1081" s="269"/>
      <c r="R1081" s="296"/>
      <c r="S1081" s="296"/>
      <c r="T1081" s="296"/>
      <c r="U1081" s="296"/>
      <c r="V1081" s="296"/>
      <c r="W1081" s="296"/>
      <c r="X1081" s="296"/>
      <c r="Y1081" s="296"/>
      <c r="Z1081" s="296"/>
      <c r="AA1081" s="296"/>
      <c r="AB1081" s="296"/>
      <c r="AC1081" s="296"/>
      <c r="AD1081" s="296"/>
      <c r="AE1081" s="307"/>
      <c r="AF1081" s="273"/>
      <c r="AG1081" s="274"/>
    </row>
    <row r="1082">
      <c r="A1082" s="296"/>
      <c r="B1082" s="269"/>
      <c r="C1082" s="296"/>
      <c r="D1082" s="296"/>
      <c r="E1082" s="296"/>
      <c r="F1082" s="296"/>
      <c r="G1082" s="296"/>
      <c r="H1082" s="296"/>
      <c r="I1082" s="296"/>
      <c r="J1082" s="296"/>
      <c r="K1082" s="296"/>
      <c r="L1082" s="296"/>
      <c r="M1082" s="296"/>
      <c r="N1082" s="296"/>
      <c r="O1082" s="269"/>
      <c r="P1082" s="269"/>
      <c r="Q1082" s="269"/>
      <c r="R1082" s="296"/>
      <c r="S1082" s="296"/>
      <c r="T1082" s="296"/>
      <c r="U1082" s="296"/>
      <c r="V1082" s="296"/>
      <c r="W1082" s="296"/>
      <c r="X1082" s="296"/>
      <c r="Y1082" s="296"/>
      <c r="Z1082" s="296"/>
      <c r="AA1082" s="296"/>
      <c r="AB1082" s="296"/>
      <c r="AC1082" s="296"/>
      <c r="AD1082" s="296"/>
      <c r="AE1082" s="307"/>
      <c r="AF1082" s="273"/>
      <c r="AG1082" s="274"/>
    </row>
    <row r="1083">
      <c r="A1083" s="296"/>
      <c r="B1083" s="269"/>
      <c r="C1083" s="296"/>
      <c r="D1083" s="296"/>
      <c r="E1083" s="296"/>
      <c r="F1083" s="296"/>
      <c r="G1083" s="296"/>
      <c r="H1083" s="296"/>
      <c r="I1083" s="296"/>
      <c r="J1083" s="296"/>
      <c r="K1083" s="296"/>
      <c r="L1083" s="296"/>
      <c r="M1083" s="296"/>
      <c r="N1083" s="296"/>
      <c r="O1083" s="269"/>
      <c r="P1083" s="269"/>
      <c r="Q1083" s="269"/>
      <c r="R1083" s="296"/>
      <c r="S1083" s="296"/>
      <c r="T1083" s="296"/>
      <c r="U1083" s="296"/>
      <c r="V1083" s="296"/>
      <c r="W1083" s="296"/>
      <c r="X1083" s="296"/>
      <c r="Y1083" s="296"/>
      <c r="Z1083" s="296"/>
      <c r="AA1083" s="296"/>
      <c r="AB1083" s="296"/>
      <c r="AC1083" s="296"/>
      <c r="AD1083" s="296"/>
      <c r="AE1083" s="307"/>
      <c r="AF1083" s="273"/>
      <c r="AG1083" s="274"/>
    </row>
    <row r="1084">
      <c r="A1084" s="296"/>
      <c r="B1084" s="269"/>
      <c r="C1084" s="296"/>
      <c r="D1084" s="296"/>
      <c r="E1084" s="296"/>
      <c r="F1084" s="296"/>
      <c r="G1084" s="296"/>
      <c r="H1084" s="296"/>
      <c r="I1084" s="296"/>
      <c r="J1084" s="296"/>
      <c r="K1084" s="296"/>
      <c r="L1084" s="296"/>
      <c r="M1084" s="296"/>
      <c r="N1084" s="296"/>
      <c r="O1084" s="269"/>
      <c r="P1084" s="269"/>
      <c r="Q1084" s="269"/>
      <c r="R1084" s="296"/>
      <c r="S1084" s="296"/>
      <c r="T1084" s="296"/>
      <c r="U1084" s="296"/>
      <c r="V1084" s="296"/>
      <c r="W1084" s="296"/>
      <c r="X1084" s="296"/>
      <c r="Y1084" s="296"/>
      <c r="Z1084" s="296"/>
      <c r="AA1084" s="296"/>
      <c r="AB1084" s="296"/>
      <c r="AC1084" s="296"/>
      <c r="AD1084" s="296"/>
      <c r="AE1084" s="307"/>
      <c r="AF1084" s="273"/>
      <c r="AG1084" s="274"/>
    </row>
    <row r="1085">
      <c r="A1085" s="296"/>
      <c r="B1085" s="269"/>
      <c r="C1085" s="296"/>
      <c r="D1085" s="296"/>
      <c r="E1085" s="296"/>
      <c r="F1085" s="296"/>
      <c r="G1085" s="296"/>
      <c r="H1085" s="296"/>
      <c r="I1085" s="296"/>
      <c r="J1085" s="296"/>
      <c r="K1085" s="296"/>
      <c r="L1085" s="296"/>
      <c r="M1085" s="296"/>
      <c r="N1085" s="296"/>
      <c r="O1085" s="269"/>
      <c r="P1085" s="269"/>
      <c r="Q1085" s="269"/>
      <c r="R1085" s="296"/>
      <c r="S1085" s="296"/>
      <c r="T1085" s="296"/>
      <c r="U1085" s="296"/>
      <c r="V1085" s="296"/>
      <c r="W1085" s="296"/>
      <c r="X1085" s="296"/>
      <c r="Y1085" s="296"/>
      <c r="Z1085" s="296"/>
      <c r="AA1085" s="296"/>
      <c r="AB1085" s="296"/>
      <c r="AC1085" s="296"/>
      <c r="AD1085" s="296"/>
      <c r="AE1085" s="307"/>
      <c r="AF1085" s="273"/>
      <c r="AG1085" s="274"/>
    </row>
    <row r="1086">
      <c r="A1086" s="296"/>
      <c r="B1086" s="269"/>
      <c r="C1086" s="296"/>
      <c r="D1086" s="296"/>
      <c r="E1086" s="296"/>
      <c r="F1086" s="296"/>
      <c r="G1086" s="296"/>
      <c r="H1086" s="296"/>
      <c r="I1086" s="296"/>
      <c r="J1086" s="296"/>
      <c r="K1086" s="296"/>
      <c r="L1086" s="296"/>
      <c r="M1086" s="296"/>
      <c r="N1086" s="296"/>
      <c r="O1086" s="269"/>
      <c r="P1086" s="269"/>
      <c r="Q1086" s="269"/>
      <c r="R1086" s="296"/>
      <c r="S1086" s="296"/>
      <c r="T1086" s="296"/>
      <c r="U1086" s="296"/>
      <c r="V1086" s="296"/>
      <c r="W1086" s="296"/>
      <c r="X1086" s="296"/>
      <c r="Y1086" s="296"/>
      <c r="Z1086" s="296"/>
      <c r="AA1086" s="296"/>
      <c r="AB1086" s="296"/>
      <c r="AC1086" s="296"/>
      <c r="AD1086" s="296"/>
      <c r="AE1086" s="307"/>
      <c r="AF1086" s="273"/>
      <c r="AG1086" s="274"/>
    </row>
    <row r="1087">
      <c r="A1087" s="296"/>
      <c r="B1087" s="269"/>
      <c r="C1087" s="296"/>
      <c r="D1087" s="296"/>
      <c r="E1087" s="296"/>
      <c r="F1087" s="296"/>
      <c r="G1087" s="296"/>
      <c r="H1087" s="296"/>
      <c r="I1087" s="296"/>
      <c r="J1087" s="296"/>
      <c r="K1087" s="296"/>
      <c r="L1087" s="296"/>
      <c r="M1087" s="296"/>
      <c r="N1087" s="296"/>
      <c r="O1087" s="269"/>
      <c r="P1087" s="269"/>
      <c r="Q1087" s="269"/>
      <c r="R1087" s="296"/>
      <c r="S1087" s="296"/>
      <c r="T1087" s="296"/>
      <c r="U1087" s="296"/>
      <c r="V1087" s="296"/>
      <c r="W1087" s="296"/>
      <c r="X1087" s="296"/>
      <c r="Y1087" s="296"/>
      <c r="Z1087" s="296"/>
      <c r="AA1087" s="296"/>
      <c r="AB1087" s="296"/>
      <c r="AC1087" s="296"/>
      <c r="AD1087" s="296"/>
      <c r="AE1087" s="307"/>
      <c r="AF1087" s="273"/>
      <c r="AG1087" s="274"/>
    </row>
    <row r="1088">
      <c r="A1088" s="296"/>
      <c r="B1088" s="269"/>
      <c r="C1088" s="296"/>
      <c r="D1088" s="296"/>
      <c r="E1088" s="296"/>
      <c r="F1088" s="296"/>
      <c r="G1088" s="296"/>
      <c r="H1088" s="296"/>
      <c r="I1088" s="296"/>
      <c r="J1088" s="296"/>
      <c r="K1088" s="296"/>
      <c r="L1088" s="296"/>
      <c r="M1088" s="296"/>
      <c r="N1088" s="296"/>
      <c r="O1088" s="269"/>
      <c r="P1088" s="269"/>
      <c r="Q1088" s="269"/>
      <c r="R1088" s="296"/>
      <c r="S1088" s="296"/>
      <c r="T1088" s="296"/>
      <c r="U1088" s="296"/>
      <c r="V1088" s="296"/>
      <c r="W1088" s="296"/>
      <c r="X1088" s="296"/>
      <c r="Y1088" s="296"/>
      <c r="Z1088" s="296"/>
      <c r="AA1088" s="296"/>
      <c r="AB1088" s="296"/>
      <c r="AC1088" s="296"/>
      <c r="AD1088" s="296"/>
      <c r="AE1088" s="307"/>
      <c r="AF1088" s="273"/>
      <c r="AG1088" s="274"/>
    </row>
    <row r="1089">
      <c r="A1089" s="296"/>
      <c r="B1089" s="269"/>
      <c r="C1089" s="296"/>
      <c r="D1089" s="296"/>
      <c r="E1089" s="296"/>
      <c r="F1089" s="296"/>
      <c r="G1089" s="296"/>
      <c r="H1089" s="296"/>
      <c r="I1089" s="296"/>
      <c r="J1089" s="296"/>
      <c r="K1089" s="296"/>
      <c r="L1089" s="296"/>
      <c r="M1089" s="296"/>
      <c r="N1089" s="296"/>
      <c r="O1089" s="269"/>
      <c r="P1089" s="269"/>
      <c r="Q1089" s="269"/>
      <c r="R1089" s="296"/>
      <c r="S1089" s="296"/>
      <c r="T1089" s="296"/>
      <c r="U1089" s="296"/>
      <c r="V1089" s="296"/>
      <c r="W1089" s="296"/>
      <c r="X1089" s="296"/>
      <c r="Y1089" s="296"/>
      <c r="Z1089" s="296"/>
      <c r="AA1089" s="296"/>
      <c r="AB1089" s="296"/>
      <c r="AC1089" s="296"/>
      <c r="AD1089" s="296"/>
      <c r="AE1089" s="307"/>
      <c r="AF1089" s="273"/>
      <c r="AG1089" s="274"/>
    </row>
    <row r="1090">
      <c r="A1090" s="296"/>
      <c r="B1090" s="269"/>
      <c r="C1090" s="296"/>
      <c r="D1090" s="296"/>
      <c r="E1090" s="296"/>
      <c r="F1090" s="296"/>
      <c r="G1090" s="296"/>
      <c r="H1090" s="296"/>
      <c r="I1090" s="296"/>
      <c r="J1090" s="296"/>
      <c r="K1090" s="296"/>
      <c r="L1090" s="296"/>
      <c r="M1090" s="296"/>
      <c r="N1090" s="296"/>
      <c r="O1090" s="269"/>
      <c r="P1090" s="269"/>
      <c r="Q1090" s="269"/>
      <c r="R1090" s="296"/>
      <c r="S1090" s="296"/>
      <c r="T1090" s="296"/>
      <c r="U1090" s="296"/>
      <c r="V1090" s="296"/>
      <c r="W1090" s="296"/>
      <c r="X1090" s="296"/>
      <c r="Y1090" s="296"/>
      <c r="Z1090" s="296"/>
      <c r="AA1090" s="296"/>
      <c r="AB1090" s="296"/>
      <c r="AC1090" s="296"/>
      <c r="AD1090" s="296"/>
      <c r="AE1090" s="307"/>
      <c r="AF1090" s="273"/>
      <c r="AG1090" s="274"/>
    </row>
    <row r="1091">
      <c r="A1091" s="296"/>
      <c r="B1091" s="269"/>
      <c r="C1091" s="296"/>
      <c r="D1091" s="296"/>
      <c r="E1091" s="296"/>
      <c r="F1091" s="296"/>
      <c r="G1091" s="296"/>
      <c r="H1091" s="296"/>
      <c r="I1091" s="296"/>
      <c r="J1091" s="296"/>
      <c r="K1091" s="296"/>
      <c r="L1091" s="296"/>
      <c r="M1091" s="296"/>
      <c r="N1091" s="296"/>
      <c r="O1091" s="269"/>
      <c r="P1091" s="269"/>
      <c r="Q1091" s="269"/>
      <c r="R1091" s="296"/>
      <c r="S1091" s="296"/>
      <c r="T1091" s="296"/>
      <c r="U1091" s="296"/>
      <c r="V1091" s="296"/>
      <c r="W1091" s="296"/>
      <c r="X1091" s="296"/>
      <c r="Y1091" s="296"/>
      <c r="Z1091" s="296"/>
      <c r="AA1091" s="296"/>
      <c r="AB1091" s="296"/>
      <c r="AC1091" s="296"/>
      <c r="AD1091" s="296"/>
      <c r="AE1091" s="307"/>
      <c r="AF1091" s="273"/>
      <c r="AG1091" s="274"/>
    </row>
    <row r="1092">
      <c r="A1092" s="296"/>
      <c r="B1092" s="269"/>
      <c r="C1092" s="296"/>
      <c r="D1092" s="296"/>
      <c r="E1092" s="296"/>
      <c r="F1092" s="296"/>
      <c r="G1092" s="296"/>
      <c r="H1092" s="296"/>
      <c r="I1092" s="296"/>
      <c r="J1092" s="296"/>
      <c r="K1092" s="296"/>
      <c r="L1092" s="296"/>
      <c r="M1092" s="296"/>
      <c r="N1092" s="296"/>
      <c r="O1092" s="269"/>
      <c r="P1092" s="269"/>
      <c r="Q1092" s="269"/>
      <c r="R1092" s="296"/>
      <c r="S1092" s="296"/>
      <c r="T1092" s="296"/>
      <c r="U1092" s="296"/>
      <c r="V1092" s="296"/>
      <c r="W1092" s="296"/>
      <c r="X1092" s="296"/>
      <c r="Y1092" s="296"/>
      <c r="Z1092" s="296"/>
      <c r="AA1092" s="296"/>
      <c r="AB1092" s="296"/>
      <c r="AC1092" s="296"/>
      <c r="AD1092" s="296"/>
      <c r="AE1092" s="307"/>
      <c r="AF1092" s="273"/>
      <c r="AG1092" s="274"/>
    </row>
    <row r="1093">
      <c r="A1093" s="296"/>
      <c r="B1093" s="269"/>
      <c r="C1093" s="296"/>
      <c r="D1093" s="296"/>
      <c r="E1093" s="296"/>
      <c r="F1093" s="296"/>
      <c r="G1093" s="296"/>
      <c r="H1093" s="296"/>
      <c r="I1093" s="296"/>
      <c r="J1093" s="296"/>
      <c r="K1093" s="296"/>
      <c r="L1093" s="296"/>
      <c r="M1093" s="296"/>
      <c r="N1093" s="296"/>
      <c r="O1093" s="269"/>
      <c r="P1093" s="269"/>
      <c r="Q1093" s="269"/>
      <c r="R1093" s="296"/>
      <c r="S1093" s="296"/>
      <c r="T1093" s="296"/>
      <c r="U1093" s="296"/>
      <c r="V1093" s="296"/>
      <c r="W1093" s="296"/>
      <c r="X1093" s="296"/>
      <c r="Y1093" s="296"/>
      <c r="Z1093" s="296"/>
      <c r="AA1093" s="296"/>
      <c r="AB1093" s="296"/>
      <c r="AC1093" s="296"/>
      <c r="AD1093" s="296"/>
      <c r="AE1093" s="307"/>
      <c r="AF1093" s="273"/>
      <c r="AG1093" s="274"/>
    </row>
    <row r="1094">
      <c r="A1094" s="296"/>
      <c r="B1094" s="269"/>
      <c r="C1094" s="296"/>
      <c r="D1094" s="296"/>
      <c r="E1094" s="296"/>
      <c r="F1094" s="296"/>
      <c r="G1094" s="296"/>
      <c r="H1094" s="296"/>
      <c r="I1094" s="296"/>
      <c r="J1094" s="296"/>
      <c r="K1094" s="296"/>
      <c r="L1094" s="296"/>
      <c r="M1094" s="296"/>
      <c r="N1094" s="296"/>
      <c r="O1094" s="269"/>
      <c r="P1094" s="269"/>
      <c r="Q1094" s="269"/>
      <c r="R1094" s="296"/>
      <c r="S1094" s="296"/>
      <c r="T1094" s="296"/>
      <c r="U1094" s="296"/>
      <c r="V1094" s="296"/>
      <c r="W1094" s="296"/>
      <c r="X1094" s="296"/>
      <c r="Y1094" s="296"/>
      <c r="Z1094" s="296"/>
      <c r="AA1094" s="296"/>
      <c r="AB1094" s="296"/>
      <c r="AC1094" s="296"/>
      <c r="AD1094" s="296"/>
      <c r="AE1094" s="307"/>
      <c r="AF1094" s="273"/>
      <c r="AG1094" s="274"/>
    </row>
    <row r="1095">
      <c r="A1095" s="296"/>
      <c r="B1095" s="269"/>
      <c r="C1095" s="296"/>
      <c r="D1095" s="296"/>
      <c r="E1095" s="296"/>
      <c r="F1095" s="296"/>
      <c r="G1095" s="296"/>
      <c r="H1095" s="296"/>
      <c r="I1095" s="296"/>
      <c r="J1095" s="296"/>
      <c r="K1095" s="296"/>
      <c r="L1095" s="296"/>
      <c r="M1095" s="296"/>
      <c r="N1095" s="296"/>
      <c r="O1095" s="269"/>
      <c r="P1095" s="269"/>
      <c r="Q1095" s="269"/>
      <c r="R1095" s="296"/>
      <c r="S1095" s="296"/>
      <c r="T1095" s="296"/>
      <c r="U1095" s="296"/>
      <c r="V1095" s="296"/>
      <c r="W1095" s="296"/>
      <c r="X1095" s="296"/>
      <c r="Y1095" s="296"/>
      <c r="Z1095" s="296"/>
      <c r="AA1095" s="296"/>
      <c r="AB1095" s="296"/>
      <c r="AC1095" s="296"/>
      <c r="AD1095" s="296"/>
      <c r="AE1095" s="307"/>
      <c r="AF1095" s="273"/>
      <c r="AG1095" s="274"/>
    </row>
    <row r="1096">
      <c r="A1096" s="296"/>
      <c r="B1096" s="269"/>
      <c r="C1096" s="296"/>
      <c r="D1096" s="296"/>
      <c r="E1096" s="296"/>
      <c r="F1096" s="296"/>
      <c r="G1096" s="296"/>
      <c r="H1096" s="296"/>
      <c r="I1096" s="296"/>
      <c r="J1096" s="296"/>
      <c r="K1096" s="296"/>
      <c r="L1096" s="296"/>
      <c r="M1096" s="296"/>
      <c r="N1096" s="296"/>
      <c r="O1096" s="269"/>
      <c r="P1096" s="269"/>
      <c r="Q1096" s="269"/>
      <c r="R1096" s="296"/>
      <c r="S1096" s="296"/>
      <c r="T1096" s="296"/>
      <c r="U1096" s="296"/>
      <c r="V1096" s="296"/>
      <c r="W1096" s="296"/>
      <c r="X1096" s="296"/>
      <c r="Y1096" s="296"/>
      <c r="Z1096" s="296"/>
      <c r="AA1096" s="296"/>
      <c r="AB1096" s="296"/>
      <c r="AC1096" s="296"/>
      <c r="AD1096" s="296"/>
      <c r="AE1096" s="307"/>
      <c r="AF1096" s="273"/>
      <c r="AG1096" s="274"/>
    </row>
    <row r="1097">
      <c r="A1097" s="296"/>
      <c r="B1097" s="269"/>
      <c r="C1097" s="296"/>
      <c r="D1097" s="296"/>
      <c r="E1097" s="296"/>
      <c r="F1097" s="296"/>
      <c r="G1097" s="296"/>
      <c r="H1097" s="296"/>
      <c r="I1097" s="296"/>
      <c r="J1097" s="296"/>
      <c r="K1097" s="296"/>
      <c r="L1097" s="296"/>
      <c r="M1097" s="296"/>
      <c r="N1097" s="296"/>
      <c r="O1097" s="269"/>
      <c r="P1097" s="269"/>
      <c r="Q1097" s="269"/>
      <c r="R1097" s="296"/>
      <c r="S1097" s="296"/>
      <c r="T1097" s="296"/>
      <c r="U1097" s="296"/>
      <c r="V1097" s="296"/>
      <c r="W1097" s="296"/>
      <c r="X1097" s="296"/>
      <c r="Y1097" s="296"/>
      <c r="Z1097" s="296"/>
      <c r="AA1097" s="296"/>
      <c r="AB1097" s="296"/>
      <c r="AC1097" s="296"/>
      <c r="AD1097" s="296"/>
      <c r="AE1097" s="307"/>
      <c r="AF1097" s="273"/>
      <c r="AG1097" s="274"/>
    </row>
    <row r="1098">
      <c r="A1098" s="296"/>
      <c r="B1098" s="269"/>
      <c r="C1098" s="296"/>
      <c r="D1098" s="296"/>
      <c r="E1098" s="296"/>
      <c r="F1098" s="296"/>
      <c r="G1098" s="296"/>
      <c r="H1098" s="296"/>
      <c r="I1098" s="296"/>
      <c r="J1098" s="296"/>
      <c r="K1098" s="296"/>
      <c r="L1098" s="296"/>
      <c r="M1098" s="296"/>
      <c r="N1098" s="296"/>
      <c r="O1098" s="269"/>
      <c r="P1098" s="269"/>
      <c r="Q1098" s="269"/>
      <c r="R1098" s="296"/>
      <c r="S1098" s="296"/>
      <c r="T1098" s="296"/>
      <c r="U1098" s="296"/>
      <c r="V1098" s="296"/>
      <c r="W1098" s="296"/>
      <c r="X1098" s="296"/>
      <c r="Y1098" s="296"/>
      <c r="Z1098" s="296"/>
      <c r="AA1098" s="296"/>
      <c r="AB1098" s="296"/>
      <c r="AC1098" s="296"/>
      <c r="AD1098" s="296"/>
      <c r="AE1098" s="307"/>
      <c r="AF1098" s="273"/>
      <c r="AG1098" s="274"/>
    </row>
    <row r="1099">
      <c r="A1099" s="296"/>
      <c r="B1099" s="269"/>
      <c r="C1099" s="296"/>
      <c r="D1099" s="296"/>
      <c r="E1099" s="296"/>
      <c r="F1099" s="296"/>
      <c r="G1099" s="296"/>
      <c r="H1099" s="296"/>
      <c r="I1099" s="296"/>
      <c r="J1099" s="296"/>
      <c r="K1099" s="296"/>
      <c r="L1099" s="296"/>
      <c r="M1099" s="296"/>
      <c r="N1099" s="296"/>
      <c r="O1099" s="269"/>
      <c r="P1099" s="269"/>
      <c r="Q1099" s="269"/>
      <c r="R1099" s="296"/>
      <c r="S1099" s="296"/>
      <c r="T1099" s="296"/>
      <c r="U1099" s="296"/>
      <c r="V1099" s="296"/>
      <c r="W1099" s="296"/>
      <c r="X1099" s="296"/>
      <c r="Y1099" s="296"/>
      <c r="Z1099" s="296"/>
      <c r="AA1099" s="296"/>
      <c r="AB1099" s="296"/>
      <c r="AC1099" s="296"/>
      <c r="AD1099" s="296"/>
      <c r="AE1099" s="307"/>
      <c r="AF1099" s="273"/>
      <c r="AG1099" s="274"/>
    </row>
    <row r="1100">
      <c r="A1100" s="296"/>
      <c r="B1100" s="269"/>
      <c r="C1100" s="296"/>
      <c r="D1100" s="296"/>
      <c r="E1100" s="296"/>
      <c r="F1100" s="296"/>
      <c r="G1100" s="296"/>
      <c r="H1100" s="296"/>
      <c r="I1100" s="296"/>
      <c r="J1100" s="296"/>
      <c r="K1100" s="296"/>
      <c r="L1100" s="296"/>
      <c r="M1100" s="296"/>
      <c r="N1100" s="296"/>
      <c r="O1100" s="269"/>
      <c r="P1100" s="269"/>
      <c r="Q1100" s="269"/>
      <c r="R1100" s="296"/>
      <c r="S1100" s="296"/>
      <c r="T1100" s="296"/>
      <c r="U1100" s="296"/>
      <c r="V1100" s="296"/>
      <c r="W1100" s="296"/>
      <c r="X1100" s="296"/>
      <c r="Y1100" s="296"/>
      <c r="Z1100" s="296"/>
      <c r="AA1100" s="296"/>
      <c r="AB1100" s="296"/>
      <c r="AC1100" s="296"/>
      <c r="AD1100" s="296"/>
      <c r="AE1100" s="307"/>
      <c r="AF1100" s="273"/>
      <c r="AG1100" s="274"/>
    </row>
    <row r="1101">
      <c r="A1101" s="296"/>
      <c r="B1101" s="269"/>
      <c r="C1101" s="296"/>
      <c r="D1101" s="296"/>
      <c r="E1101" s="296"/>
      <c r="F1101" s="296"/>
      <c r="G1101" s="296"/>
      <c r="H1101" s="296"/>
      <c r="I1101" s="296"/>
      <c r="J1101" s="296"/>
      <c r="K1101" s="296"/>
      <c r="L1101" s="296"/>
      <c r="M1101" s="296"/>
      <c r="N1101" s="296"/>
      <c r="O1101" s="269"/>
      <c r="P1101" s="269"/>
      <c r="Q1101" s="269"/>
      <c r="R1101" s="296"/>
      <c r="S1101" s="296"/>
      <c r="T1101" s="296"/>
      <c r="U1101" s="296"/>
      <c r="V1101" s="296"/>
      <c r="W1101" s="296"/>
      <c r="X1101" s="296"/>
      <c r="Y1101" s="296"/>
      <c r="Z1101" s="296"/>
      <c r="AA1101" s="296"/>
      <c r="AB1101" s="296"/>
      <c r="AC1101" s="296"/>
      <c r="AD1101" s="296"/>
      <c r="AE1101" s="307"/>
      <c r="AF1101" s="273"/>
      <c r="AG1101" s="274"/>
    </row>
    <row r="1102">
      <c r="A1102" s="296"/>
      <c r="B1102" s="269"/>
      <c r="C1102" s="296"/>
      <c r="D1102" s="296"/>
      <c r="E1102" s="296"/>
      <c r="F1102" s="296"/>
      <c r="G1102" s="296"/>
      <c r="H1102" s="296"/>
      <c r="I1102" s="296"/>
      <c r="J1102" s="296"/>
      <c r="K1102" s="296"/>
      <c r="L1102" s="296"/>
      <c r="M1102" s="296"/>
      <c r="N1102" s="296"/>
      <c r="O1102" s="269"/>
      <c r="P1102" s="269"/>
      <c r="Q1102" s="269"/>
      <c r="R1102" s="296"/>
      <c r="S1102" s="296"/>
      <c r="T1102" s="296"/>
      <c r="U1102" s="296"/>
      <c r="V1102" s="296"/>
      <c r="W1102" s="296"/>
      <c r="X1102" s="296"/>
      <c r="Y1102" s="296"/>
      <c r="Z1102" s="296"/>
      <c r="AA1102" s="296"/>
      <c r="AB1102" s="296"/>
      <c r="AC1102" s="296"/>
      <c r="AD1102" s="296"/>
      <c r="AE1102" s="307"/>
      <c r="AF1102" s="273"/>
      <c r="AG1102" s="274"/>
    </row>
    <row r="1103">
      <c r="A1103" s="296"/>
      <c r="B1103" s="269"/>
      <c r="C1103" s="296"/>
      <c r="D1103" s="296"/>
      <c r="E1103" s="296"/>
      <c r="F1103" s="296"/>
      <c r="G1103" s="296"/>
      <c r="H1103" s="296"/>
      <c r="I1103" s="296"/>
      <c r="J1103" s="296"/>
      <c r="K1103" s="296"/>
      <c r="L1103" s="296"/>
      <c r="M1103" s="296"/>
      <c r="N1103" s="296"/>
      <c r="O1103" s="269"/>
      <c r="P1103" s="269"/>
      <c r="Q1103" s="269"/>
      <c r="R1103" s="296"/>
      <c r="S1103" s="296"/>
      <c r="T1103" s="296"/>
      <c r="U1103" s="296"/>
      <c r="V1103" s="296"/>
      <c r="W1103" s="296"/>
      <c r="X1103" s="296"/>
      <c r="Y1103" s="296"/>
      <c r="Z1103" s="296"/>
      <c r="AA1103" s="296"/>
      <c r="AB1103" s="296"/>
      <c r="AC1103" s="296"/>
      <c r="AD1103" s="296"/>
      <c r="AE1103" s="307"/>
      <c r="AF1103" s="273"/>
      <c r="AG1103" s="274"/>
    </row>
    <row r="1104">
      <c r="A1104" s="296"/>
      <c r="B1104" s="269"/>
      <c r="C1104" s="296"/>
      <c r="D1104" s="296"/>
      <c r="E1104" s="296"/>
      <c r="F1104" s="296"/>
      <c r="G1104" s="296"/>
      <c r="H1104" s="296"/>
      <c r="I1104" s="296"/>
      <c r="J1104" s="296"/>
      <c r="K1104" s="296"/>
      <c r="L1104" s="296"/>
      <c r="M1104" s="296"/>
      <c r="N1104" s="296"/>
      <c r="O1104" s="269"/>
      <c r="P1104" s="269"/>
      <c r="Q1104" s="269"/>
      <c r="R1104" s="296"/>
      <c r="S1104" s="296"/>
      <c r="T1104" s="296"/>
      <c r="U1104" s="296"/>
      <c r="V1104" s="296"/>
      <c r="W1104" s="296"/>
      <c r="X1104" s="296"/>
      <c r="Y1104" s="296"/>
      <c r="Z1104" s="296"/>
      <c r="AA1104" s="296"/>
      <c r="AB1104" s="296"/>
      <c r="AC1104" s="296"/>
      <c r="AD1104" s="296"/>
      <c r="AE1104" s="307"/>
      <c r="AF1104" s="273"/>
      <c r="AG1104" s="274"/>
    </row>
    <row r="1105">
      <c r="A1105" s="296"/>
      <c r="B1105" s="269"/>
      <c r="C1105" s="296"/>
      <c r="D1105" s="296"/>
      <c r="E1105" s="296"/>
      <c r="F1105" s="296"/>
      <c r="G1105" s="296"/>
      <c r="H1105" s="296"/>
      <c r="I1105" s="296"/>
      <c r="J1105" s="296"/>
      <c r="K1105" s="296"/>
      <c r="L1105" s="296"/>
      <c r="M1105" s="296"/>
      <c r="N1105" s="296"/>
      <c r="O1105" s="269"/>
      <c r="P1105" s="269"/>
      <c r="Q1105" s="269"/>
      <c r="R1105" s="296"/>
      <c r="S1105" s="296"/>
      <c r="T1105" s="296"/>
      <c r="U1105" s="296"/>
      <c r="V1105" s="296"/>
      <c r="W1105" s="296"/>
      <c r="X1105" s="296"/>
      <c r="Y1105" s="296"/>
      <c r="Z1105" s="296"/>
      <c r="AA1105" s="296"/>
      <c r="AB1105" s="296"/>
      <c r="AC1105" s="296"/>
      <c r="AD1105" s="296"/>
      <c r="AE1105" s="307"/>
      <c r="AF1105" s="273"/>
      <c r="AG1105" s="274"/>
    </row>
    <row r="1106">
      <c r="A1106" s="296"/>
      <c r="B1106" s="269"/>
      <c r="C1106" s="296"/>
      <c r="D1106" s="296"/>
      <c r="E1106" s="296"/>
      <c r="F1106" s="296"/>
      <c r="G1106" s="296"/>
      <c r="H1106" s="296"/>
      <c r="I1106" s="296"/>
      <c r="J1106" s="296"/>
      <c r="K1106" s="296"/>
      <c r="L1106" s="296"/>
      <c r="M1106" s="296"/>
      <c r="N1106" s="296"/>
      <c r="O1106" s="269"/>
      <c r="P1106" s="269"/>
      <c r="Q1106" s="269"/>
      <c r="R1106" s="296"/>
      <c r="S1106" s="296"/>
      <c r="T1106" s="296"/>
      <c r="U1106" s="296"/>
      <c r="V1106" s="296"/>
      <c r="W1106" s="296"/>
      <c r="X1106" s="296"/>
      <c r="Y1106" s="296"/>
      <c r="Z1106" s="296"/>
      <c r="AA1106" s="296"/>
      <c r="AB1106" s="296"/>
      <c r="AC1106" s="296"/>
      <c r="AD1106" s="296"/>
      <c r="AE1106" s="307"/>
      <c r="AF1106" s="273"/>
      <c r="AG1106" s="274"/>
    </row>
    <row r="1107">
      <c r="A1107" s="296"/>
      <c r="B1107" s="269"/>
      <c r="C1107" s="296"/>
      <c r="D1107" s="296"/>
      <c r="E1107" s="296"/>
      <c r="F1107" s="296"/>
      <c r="G1107" s="296"/>
      <c r="H1107" s="296"/>
      <c r="I1107" s="296"/>
      <c r="J1107" s="296"/>
      <c r="K1107" s="296"/>
      <c r="L1107" s="296"/>
      <c r="M1107" s="296"/>
      <c r="N1107" s="296"/>
      <c r="O1107" s="269"/>
      <c r="P1107" s="269"/>
      <c r="Q1107" s="269"/>
      <c r="R1107" s="296"/>
      <c r="S1107" s="296"/>
      <c r="T1107" s="296"/>
      <c r="U1107" s="296"/>
      <c r="V1107" s="296"/>
      <c r="W1107" s="296"/>
      <c r="X1107" s="296"/>
      <c r="Y1107" s="296"/>
      <c r="Z1107" s="296"/>
      <c r="AA1107" s="296"/>
      <c r="AB1107" s="296"/>
      <c r="AC1107" s="296"/>
      <c r="AD1107" s="296"/>
      <c r="AE1107" s="307"/>
      <c r="AF1107" s="273"/>
      <c r="AG1107" s="274"/>
    </row>
    <row r="1108">
      <c r="A1108" s="296"/>
      <c r="B1108" s="269"/>
      <c r="C1108" s="296"/>
      <c r="D1108" s="296"/>
      <c r="E1108" s="296"/>
      <c r="F1108" s="296"/>
      <c r="G1108" s="296"/>
      <c r="H1108" s="296"/>
      <c r="I1108" s="296"/>
      <c r="J1108" s="296"/>
      <c r="K1108" s="296"/>
      <c r="L1108" s="296"/>
      <c r="M1108" s="296"/>
      <c r="N1108" s="296"/>
      <c r="O1108" s="269"/>
      <c r="P1108" s="269"/>
      <c r="Q1108" s="269"/>
      <c r="R1108" s="296"/>
      <c r="S1108" s="296"/>
      <c r="T1108" s="296"/>
      <c r="U1108" s="296"/>
      <c r="V1108" s="296"/>
      <c r="W1108" s="296"/>
      <c r="X1108" s="296"/>
      <c r="Y1108" s="296"/>
      <c r="Z1108" s="296"/>
      <c r="AA1108" s="296"/>
      <c r="AB1108" s="296"/>
      <c r="AC1108" s="296"/>
      <c r="AD1108" s="296"/>
      <c r="AE1108" s="307"/>
      <c r="AF1108" s="273"/>
      <c r="AG1108" s="274"/>
    </row>
    <row r="1109">
      <c r="A1109" s="296"/>
      <c r="B1109" s="269"/>
      <c r="C1109" s="296"/>
      <c r="D1109" s="296"/>
      <c r="E1109" s="296"/>
      <c r="F1109" s="296"/>
      <c r="G1109" s="296"/>
      <c r="H1109" s="296"/>
      <c r="I1109" s="296"/>
      <c r="J1109" s="296"/>
      <c r="K1109" s="296"/>
      <c r="L1109" s="296"/>
      <c r="M1109" s="296"/>
      <c r="N1109" s="296"/>
      <c r="O1109" s="269"/>
      <c r="P1109" s="269"/>
      <c r="Q1109" s="269"/>
      <c r="R1109" s="296"/>
      <c r="S1109" s="296"/>
      <c r="T1109" s="296"/>
      <c r="U1109" s="296"/>
      <c r="V1109" s="296"/>
      <c r="W1109" s="296"/>
      <c r="X1109" s="296"/>
      <c r="Y1109" s="296"/>
      <c r="Z1109" s="296"/>
      <c r="AA1109" s="296"/>
      <c r="AB1109" s="296"/>
      <c r="AC1109" s="296"/>
      <c r="AD1109" s="296"/>
      <c r="AE1109" s="307"/>
      <c r="AF1109" s="273"/>
      <c r="AG1109" s="274"/>
    </row>
    <row r="1110">
      <c r="A1110" s="296"/>
      <c r="B1110" s="269"/>
      <c r="C1110" s="296"/>
      <c r="D1110" s="296"/>
      <c r="E1110" s="296"/>
      <c r="F1110" s="296"/>
      <c r="G1110" s="296"/>
      <c r="H1110" s="296"/>
      <c r="I1110" s="296"/>
      <c r="J1110" s="296"/>
      <c r="K1110" s="296"/>
      <c r="L1110" s="296"/>
      <c r="M1110" s="296"/>
      <c r="N1110" s="296"/>
      <c r="O1110" s="269"/>
      <c r="P1110" s="269"/>
      <c r="Q1110" s="269"/>
      <c r="R1110" s="296"/>
      <c r="S1110" s="296"/>
      <c r="T1110" s="296"/>
      <c r="U1110" s="296"/>
      <c r="V1110" s="296"/>
      <c r="W1110" s="296"/>
      <c r="X1110" s="296"/>
      <c r="Y1110" s="296"/>
      <c r="Z1110" s="296"/>
      <c r="AA1110" s="296"/>
      <c r="AB1110" s="296"/>
      <c r="AC1110" s="296"/>
      <c r="AD1110" s="296"/>
      <c r="AE1110" s="307"/>
      <c r="AF1110" s="273"/>
      <c r="AG1110" s="274"/>
    </row>
    <row r="1111">
      <c r="A1111" s="296"/>
      <c r="B1111" s="269"/>
      <c r="C1111" s="296"/>
      <c r="D1111" s="296"/>
      <c r="E1111" s="296"/>
      <c r="F1111" s="296"/>
      <c r="G1111" s="296"/>
      <c r="H1111" s="296"/>
      <c r="I1111" s="296"/>
      <c r="J1111" s="296"/>
      <c r="K1111" s="296"/>
      <c r="L1111" s="296"/>
      <c r="M1111" s="296"/>
      <c r="N1111" s="296"/>
      <c r="O1111" s="269"/>
      <c r="P1111" s="269"/>
      <c r="Q1111" s="269"/>
      <c r="R1111" s="296"/>
      <c r="S1111" s="296"/>
      <c r="T1111" s="296"/>
      <c r="U1111" s="296"/>
      <c r="V1111" s="296"/>
      <c r="W1111" s="296"/>
      <c r="X1111" s="296"/>
      <c r="Y1111" s="296"/>
      <c r="Z1111" s="296"/>
      <c r="AA1111" s="296"/>
      <c r="AB1111" s="296"/>
      <c r="AC1111" s="296"/>
      <c r="AD1111" s="296"/>
      <c r="AE1111" s="307"/>
      <c r="AF1111" s="273"/>
      <c r="AG1111" s="274"/>
    </row>
    <row r="1112">
      <c r="A1112" s="296"/>
      <c r="B1112" s="269"/>
      <c r="C1112" s="296"/>
      <c r="D1112" s="296"/>
      <c r="E1112" s="296"/>
      <c r="F1112" s="296"/>
      <c r="G1112" s="296"/>
      <c r="H1112" s="296"/>
      <c r="I1112" s="296"/>
      <c r="J1112" s="296"/>
      <c r="K1112" s="296"/>
      <c r="L1112" s="296"/>
      <c r="M1112" s="296"/>
      <c r="N1112" s="296"/>
      <c r="O1112" s="269"/>
      <c r="P1112" s="269"/>
      <c r="Q1112" s="269"/>
      <c r="R1112" s="296"/>
      <c r="S1112" s="296"/>
      <c r="T1112" s="296"/>
      <c r="U1112" s="296"/>
      <c r="V1112" s="296"/>
      <c r="W1112" s="296"/>
      <c r="X1112" s="296"/>
      <c r="Y1112" s="296"/>
      <c r="Z1112" s="296"/>
      <c r="AA1112" s="296"/>
      <c r="AB1112" s="296"/>
      <c r="AC1112" s="296"/>
      <c r="AD1112" s="296"/>
      <c r="AE1112" s="307"/>
      <c r="AF1112" s="273"/>
      <c r="AG1112" s="274"/>
    </row>
    <row r="1113">
      <c r="A1113" s="296"/>
      <c r="B1113" s="269"/>
      <c r="C1113" s="296"/>
      <c r="D1113" s="296"/>
      <c r="E1113" s="296"/>
      <c r="F1113" s="296"/>
      <c r="G1113" s="296"/>
      <c r="H1113" s="296"/>
      <c r="I1113" s="296"/>
      <c r="J1113" s="296"/>
      <c r="K1113" s="296"/>
      <c r="L1113" s="296"/>
      <c r="M1113" s="296"/>
      <c r="N1113" s="296"/>
      <c r="O1113" s="269"/>
      <c r="P1113" s="269"/>
      <c r="Q1113" s="269"/>
      <c r="R1113" s="296"/>
      <c r="S1113" s="296"/>
      <c r="T1113" s="296"/>
      <c r="U1113" s="296"/>
      <c r="V1113" s="296"/>
      <c r="W1113" s="296"/>
      <c r="X1113" s="296"/>
      <c r="Y1113" s="296"/>
      <c r="Z1113" s="296"/>
      <c r="AA1113" s="296"/>
      <c r="AB1113" s="296"/>
      <c r="AC1113" s="296"/>
      <c r="AD1113" s="296"/>
      <c r="AE1113" s="307"/>
      <c r="AF1113" s="273"/>
      <c r="AG1113" s="274"/>
    </row>
    <row r="1114">
      <c r="A1114" s="296"/>
      <c r="B1114" s="269"/>
      <c r="C1114" s="296"/>
      <c r="D1114" s="296"/>
      <c r="E1114" s="296"/>
      <c r="F1114" s="296"/>
      <c r="G1114" s="296"/>
      <c r="H1114" s="296"/>
      <c r="I1114" s="296"/>
      <c r="J1114" s="296"/>
      <c r="K1114" s="296"/>
      <c r="L1114" s="296"/>
      <c r="M1114" s="296"/>
      <c r="N1114" s="296"/>
      <c r="O1114" s="269"/>
      <c r="P1114" s="269"/>
      <c r="Q1114" s="269"/>
      <c r="R1114" s="296"/>
      <c r="S1114" s="296"/>
      <c r="T1114" s="296"/>
      <c r="U1114" s="296"/>
      <c r="V1114" s="296"/>
      <c r="W1114" s="296"/>
      <c r="X1114" s="296"/>
      <c r="Y1114" s="296"/>
      <c r="Z1114" s="296"/>
      <c r="AA1114" s="296"/>
      <c r="AB1114" s="296"/>
      <c r="AC1114" s="296"/>
      <c r="AD1114" s="296"/>
      <c r="AE1114" s="307"/>
      <c r="AF1114" s="273"/>
      <c r="AG1114" s="274"/>
    </row>
    <row r="1115">
      <c r="A1115" s="296"/>
      <c r="B1115" s="269"/>
      <c r="C1115" s="296"/>
      <c r="D1115" s="296"/>
      <c r="E1115" s="296"/>
      <c r="F1115" s="296"/>
      <c r="G1115" s="296"/>
      <c r="H1115" s="296"/>
      <c r="I1115" s="296"/>
      <c r="J1115" s="296"/>
      <c r="K1115" s="296"/>
      <c r="L1115" s="296"/>
      <c r="M1115" s="296"/>
      <c r="N1115" s="296"/>
      <c r="O1115" s="269"/>
      <c r="P1115" s="269"/>
      <c r="Q1115" s="269"/>
      <c r="R1115" s="296"/>
      <c r="S1115" s="296"/>
      <c r="T1115" s="296"/>
      <c r="U1115" s="296"/>
      <c r="V1115" s="296"/>
      <c r="W1115" s="296"/>
      <c r="X1115" s="296"/>
      <c r="Y1115" s="296"/>
      <c r="Z1115" s="296"/>
      <c r="AA1115" s="296"/>
      <c r="AB1115" s="296"/>
      <c r="AC1115" s="296"/>
      <c r="AD1115" s="296"/>
      <c r="AE1115" s="307"/>
      <c r="AF1115" s="273"/>
      <c r="AG1115" s="274"/>
    </row>
    <row r="1116">
      <c r="A1116" s="296"/>
      <c r="B1116" s="269"/>
      <c r="C1116" s="296"/>
      <c r="D1116" s="296"/>
      <c r="E1116" s="296"/>
      <c r="F1116" s="296"/>
      <c r="G1116" s="296"/>
      <c r="H1116" s="296"/>
      <c r="I1116" s="296"/>
      <c r="J1116" s="296"/>
      <c r="K1116" s="296"/>
      <c r="L1116" s="296"/>
      <c r="M1116" s="296"/>
      <c r="N1116" s="296"/>
      <c r="O1116" s="269"/>
      <c r="P1116" s="269"/>
      <c r="Q1116" s="269"/>
      <c r="R1116" s="296"/>
      <c r="S1116" s="296"/>
      <c r="T1116" s="296"/>
      <c r="U1116" s="296"/>
      <c r="V1116" s="296"/>
      <c r="W1116" s="296"/>
      <c r="X1116" s="296"/>
      <c r="Y1116" s="296"/>
      <c r="Z1116" s="296"/>
      <c r="AA1116" s="296"/>
      <c r="AB1116" s="296"/>
      <c r="AC1116" s="296"/>
      <c r="AD1116" s="296"/>
      <c r="AE1116" s="307"/>
      <c r="AF1116" s="273"/>
      <c r="AG1116" s="274"/>
    </row>
    <row r="1117">
      <c r="A1117" s="296"/>
      <c r="B1117" s="269"/>
      <c r="C1117" s="296"/>
      <c r="D1117" s="296"/>
      <c r="E1117" s="296"/>
      <c r="F1117" s="296"/>
      <c r="G1117" s="296"/>
      <c r="H1117" s="296"/>
      <c r="I1117" s="296"/>
      <c r="J1117" s="296"/>
      <c r="K1117" s="296"/>
      <c r="L1117" s="296"/>
      <c r="M1117" s="296"/>
      <c r="N1117" s="296"/>
      <c r="O1117" s="269"/>
      <c r="P1117" s="269"/>
      <c r="Q1117" s="269"/>
      <c r="R1117" s="296"/>
      <c r="S1117" s="296"/>
      <c r="T1117" s="296"/>
      <c r="U1117" s="296"/>
      <c r="V1117" s="296"/>
      <c r="W1117" s="296"/>
      <c r="X1117" s="296"/>
      <c r="Y1117" s="296"/>
      <c r="Z1117" s="296"/>
      <c r="AA1117" s="296"/>
      <c r="AB1117" s="296"/>
      <c r="AC1117" s="296"/>
      <c r="AD1117" s="296"/>
      <c r="AE1117" s="307"/>
      <c r="AF1117" s="273"/>
      <c r="AG1117" s="274"/>
    </row>
    <row r="1118">
      <c r="A1118" s="296"/>
      <c r="B1118" s="269"/>
      <c r="C1118" s="296"/>
      <c r="D1118" s="296"/>
      <c r="E1118" s="296"/>
      <c r="F1118" s="296"/>
      <c r="G1118" s="296"/>
      <c r="H1118" s="296"/>
      <c r="I1118" s="296"/>
      <c r="J1118" s="296"/>
      <c r="K1118" s="296"/>
      <c r="L1118" s="296"/>
      <c r="M1118" s="296"/>
      <c r="N1118" s="296"/>
      <c r="O1118" s="269"/>
      <c r="P1118" s="269"/>
      <c r="Q1118" s="269"/>
      <c r="R1118" s="296"/>
      <c r="S1118" s="296"/>
      <c r="T1118" s="296"/>
      <c r="U1118" s="296"/>
      <c r="V1118" s="296"/>
      <c r="W1118" s="296"/>
      <c r="X1118" s="296"/>
      <c r="Y1118" s="296"/>
      <c r="Z1118" s="296"/>
      <c r="AA1118" s="296"/>
      <c r="AB1118" s="296"/>
      <c r="AC1118" s="296"/>
      <c r="AD1118" s="296"/>
      <c r="AE1118" s="307"/>
      <c r="AF1118" s="273"/>
      <c r="AG1118" s="274"/>
    </row>
    <row r="1119">
      <c r="A1119" s="296"/>
      <c r="B1119" s="269"/>
      <c r="C1119" s="296"/>
      <c r="D1119" s="296"/>
      <c r="E1119" s="296"/>
      <c r="F1119" s="296"/>
      <c r="G1119" s="296"/>
      <c r="H1119" s="296"/>
      <c r="I1119" s="296"/>
      <c r="J1119" s="296"/>
      <c r="K1119" s="296"/>
      <c r="L1119" s="296"/>
      <c r="M1119" s="296"/>
      <c r="N1119" s="296"/>
      <c r="O1119" s="269"/>
      <c r="P1119" s="269"/>
      <c r="Q1119" s="269"/>
      <c r="R1119" s="296"/>
      <c r="S1119" s="296"/>
      <c r="T1119" s="296"/>
      <c r="U1119" s="296"/>
      <c r="V1119" s="296"/>
      <c r="W1119" s="296"/>
      <c r="X1119" s="296"/>
      <c r="Y1119" s="296"/>
      <c r="Z1119" s="296"/>
      <c r="AA1119" s="296"/>
      <c r="AB1119" s="296"/>
      <c r="AC1119" s="296"/>
      <c r="AD1119" s="296"/>
      <c r="AE1119" s="307"/>
      <c r="AF1119" s="273"/>
      <c r="AG1119" s="274"/>
    </row>
    <row r="1120">
      <c r="A1120" s="296"/>
      <c r="B1120" s="269"/>
      <c r="C1120" s="296"/>
      <c r="D1120" s="296"/>
      <c r="E1120" s="296"/>
      <c r="F1120" s="296"/>
      <c r="G1120" s="296"/>
      <c r="H1120" s="296"/>
      <c r="I1120" s="296"/>
      <c r="J1120" s="296"/>
      <c r="K1120" s="296"/>
      <c r="L1120" s="296"/>
      <c r="M1120" s="296"/>
      <c r="N1120" s="296"/>
      <c r="O1120" s="269"/>
      <c r="P1120" s="269"/>
      <c r="Q1120" s="269"/>
      <c r="R1120" s="296"/>
      <c r="S1120" s="296"/>
      <c r="T1120" s="296"/>
      <c r="U1120" s="296"/>
      <c r="V1120" s="296"/>
      <c r="W1120" s="296"/>
      <c r="X1120" s="296"/>
      <c r="Y1120" s="296"/>
      <c r="Z1120" s="296"/>
      <c r="AA1120" s="296"/>
      <c r="AB1120" s="296"/>
      <c r="AC1120" s="296"/>
      <c r="AD1120" s="296"/>
      <c r="AE1120" s="307"/>
      <c r="AF1120" s="273"/>
      <c r="AG1120" s="274"/>
    </row>
    <row r="1121">
      <c r="A1121" s="296"/>
      <c r="B1121" s="269"/>
      <c r="C1121" s="296"/>
      <c r="D1121" s="296"/>
      <c r="E1121" s="296"/>
      <c r="F1121" s="296"/>
      <c r="G1121" s="296"/>
      <c r="H1121" s="296"/>
      <c r="I1121" s="296"/>
      <c r="J1121" s="296"/>
      <c r="K1121" s="296"/>
      <c r="L1121" s="296"/>
      <c r="M1121" s="296"/>
      <c r="N1121" s="296"/>
      <c r="O1121" s="269"/>
      <c r="P1121" s="269"/>
      <c r="Q1121" s="269"/>
      <c r="R1121" s="296"/>
      <c r="S1121" s="296"/>
      <c r="T1121" s="296"/>
      <c r="U1121" s="296"/>
      <c r="V1121" s="296"/>
      <c r="W1121" s="296"/>
      <c r="X1121" s="296"/>
      <c r="Y1121" s="296"/>
      <c r="Z1121" s="296"/>
      <c r="AA1121" s="296"/>
      <c r="AB1121" s="296"/>
      <c r="AC1121" s="296"/>
      <c r="AD1121" s="296"/>
      <c r="AE1121" s="307"/>
      <c r="AF1121" s="273"/>
      <c r="AG1121" s="274"/>
    </row>
    <row r="1122">
      <c r="A1122" s="296"/>
      <c r="B1122" s="269"/>
      <c r="C1122" s="296"/>
      <c r="D1122" s="296"/>
      <c r="E1122" s="296"/>
      <c r="F1122" s="296"/>
      <c r="G1122" s="296"/>
      <c r="H1122" s="296"/>
      <c r="I1122" s="296"/>
      <c r="J1122" s="296"/>
      <c r="K1122" s="296"/>
      <c r="L1122" s="296"/>
      <c r="M1122" s="296"/>
      <c r="N1122" s="296"/>
      <c r="O1122" s="269"/>
      <c r="P1122" s="269"/>
      <c r="Q1122" s="269"/>
      <c r="R1122" s="296"/>
      <c r="S1122" s="296"/>
      <c r="T1122" s="296"/>
      <c r="U1122" s="296"/>
      <c r="V1122" s="296"/>
      <c r="W1122" s="296"/>
      <c r="X1122" s="296"/>
      <c r="Y1122" s="296"/>
      <c r="Z1122" s="296"/>
      <c r="AA1122" s="296"/>
      <c r="AB1122" s="296"/>
      <c r="AC1122" s="296"/>
      <c r="AD1122" s="296"/>
      <c r="AE1122" s="307"/>
      <c r="AF1122" s="273"/>
      <c r="AG1122" s="274"/>
    </row>
    <row r="1123">
      <c r="A1123" s="296"/>
      <c r="B1123" s="269"/>
      <c r="C1123" s="296"/>
      <c r="D1123" s="296"/>
      <c r="E1123" s="296"/>
      <c r="F1123" s="296"/>
      <c r="G1123" s="296"/>
      <c r="H1123" s="296"/>
      <c r="I1123" s="296"/>
      <c r="J1123" s="296"/>
      <c r="K1123" s="296"/>
      <c r="L1123" s="296"/>
      <c r="M1123" s="296"/>
      <c r="N1123" s="296"/>
      <c r="O1123" s="269"/>
      <c r="P1123" s="269"/>
      <c r="Q1123" s="269"/>
      <c r="R1123" s="296"/>
      <c r="S1123" s="296"/>
      <c r="T1123" s="296"/>
      <c r="U1123" s="296"/>
      <c r="V1123" s="296"/>
      <c r="W1123" s="296"/>
      <c r="X1123" s="296"/>
      <c r="Y1123" s="296"/>
      <c r="Z1123" s="296"/>
      <c r="AA1123" s="296"/>
      <c r="AB1123" s="296"/>
      <c r="AC1123" s="296"/>
      <c r="AD1123" s="296"/>
      <c r="AE1123" s="307"/>
      <c r="AF1123" s="273"/>
      <c r="AG1123" s="274"/>
    </row>
    <row r="1124">
      <c r="A1124" s="296"/>
      <c r="B1124" s="269"/>
      <c r="C1124" s="296"/>
      <c r="D1124" s="296"/>
      <c r="E1124" s="296"/>
      <c r="F1124" s="296"/>
      <c r="G1124" s="296"/>
      <c r="H1124" s="296"/>
      <c r="I1124" s="296"/>
      <c r="J1124" s="296"/>
      <c r="K1124" s="296"/>
      <c r="L1124" s="296"/>
      <c r="M1124" s="296"/>
      <c r="N1124" s="296"/>
      <c r="O1124" s="269"/>
      <c r="P1124" s="269"/>
      <c r="Q1124" s="269"/>
      <c r="R1124" s="296"/>
      <c r="S1124" s="296"/>
      <c r="T1124" s="296"/>
      <c r="U1124" s="296"/>
      <c r="V1124" s="296"/>
      <c r="W1124" s="296"/>
      <c r="X1124" s="296"/>
      <c r="Y1124" s="296"/>
      <c r="Z1124" s="296"/>
      <c r="AA1124" s="296"/>
      <c r="AB1124" s="296"/>
      <c r="AC1124" s="296"/>
      <c r="AD1124" s="296"/>
      <c r="AE1124" s="307"/>
      <c r="AF1124" s="273"/>
      <c r="AG1124" s="274"/>
    </row>
    <row r="1125">
      <c r="A1125" s="296"/>
      <c r="B1125" s="269"/>
      <c r="C1125" s="296"/>
      <c r="D1125" s="296"/>
      <c r="E1125" s="296"/>
      <c r="F1125" s="296"/>
      <c r="G1125" s="296"/>
      <c r="H1125" s="296"/>
      <c r="I1125" s="296"/>
      <c r="J1125" s="296"/>
      <c r="K1125" s="296"/>
      <c r="L1125" s="296"/>
      <c r="M1125" s="296"/>
      <c r="N1125" s="296"/>
      <c r="O1125" s="269"/>
      <c r="P1125" s="269"/>
      <c r="Q1125" s="269"/>
      <c r="R1125" s="296"/>
      <c r="S1125" s="296"/>
      <c r="T1125" s="296"/>
      <c r="U1125" s="296"/>
      <c r="V1125" s="296"/>
      <c r="W1125" s="296"/>
      <c r="X1125" s="296"/>
      <c r="Y1125" s="296"/>
      <c r="Z1125" s="296"/>
      <c r="AA1125" s="296"/>
      <c r="AB1125" s="296"/>
      <c r="AC1125" s="296"/>
      <c r="AD1125" s="296"/>
      <c r="AE1125" s="307"/>
      <c r="AF1125" s="273"/>
      <c r="AG1125" s="274"/>
    </row>
    <row r="1126">
      <c r="A1126" s="296"/>
      <c r="B1126" s="269"/>
      <c r="C1126" s="296"/>
      <c r="D1126" s="296"/>
      <c r="E1126" s="296"/>
      <c r="F1126" s="296"/>
      <c r="G1126" s="296"/>
      <c r="H1126" s="296"/>
      <c r="I1126" s="296"/>
      <c r="J1126" s="296"/>
      <c r="K1126" s="296"/>
      <c r="L1126" s="296"/>
      <c r="M1126" s="296"/>
      <c r="N1126" s="296"/>
      <c r="O1126" s="269"/>
      <c r="P1126" s="269"/>
      <c r="Q1126" s="269"/>
      <c r="R1126" s="296"/>
      <c r="S1126" s="296"/>
      <c r="T1126" s="296"/>
      <c r="U1126" s="296"/>
      <c r="V1126" s="296"/>
      <c r="W1126" s="296"/>
      <c r="X1126" s="296"/>
      <c r="Y1126" s="296"/>
      <c r="Z1126" s="296"/>
      <c r="AA1126" s="296"/>
      <c r="AB1126" s="296"/>
      <c r="AC1126" s="296"/>
      <c r="AD1126" s="296"/>
      <c r="AE1126" s="307"/>
      <c r="AF1126" s="273"/>
      <c r="AG1126" s="274"/>
    </row>
    <row r="1127">
      <c r="A1127" s="296"/>
      <c r="B1127" s="269"/>
      <c r="C1127" s="296"/>
      <c r="D1127" s="296"/>
      <c r="E1127" s="296"/>
      <c r="F1127" s="296"/>
      <c r="G1127" s="296"/>
      <c r="H1127" s="296"/>
      <c r="I1127" s="296"/>
      <c r="J1127" s="296"/>
      <c r="K1127" s="296"/>
      <c r="L1127" s="296"/>
      <c r="M1127" s="296"/>
      <c r="N1127" s="296"/>
      <c r="O1127" s="269"/>
      <c r="P1127" s="269"/>
      <c r="Q1127" s="269"/>
      <c r="R1127" s="296"/>
      <c r="S1127" s="296"/>
      <c r="T1127" s="296"/>
      <c r="U1127" s="296"/>
      <c r="V1127" s="296"/>
      <c r="W1127" s="296"/>
      <c r="X1127" s="296"/>
      <c r="Y1127" s="296"/>
      <c r="Z1127" s="296"/>
      <c r="AA1127" s="296"/>
      <c r="AB1127" s="296"/>
      <c r="AC1127" s="296"/>
      <c r="AD1127" s="296"/>
      <c r="AE1127" s="307"/>
      <c r="AF1127" s="273"/>
      <c r="AG1127" s="274"/>
    </row>
    <row r="1128">
      <c r="A1128" s="296"/>
      <c r="B1128" s="269"/>
      <c r="C1128" s="296"/>
      <c r="D1128" s="296"/>
      <c r="E1128" s="296"/>
      <c r="F1128" s="296"/>
      <c r="G1128" s="296"/>
      <c r="H1128" s="296"/>
      <c r="I1128" s="296"/>
      <c r="J1128" s="296"/>
      <c r="K1128" s="296"/>
      <c r="L1128" s="296"/>
      <c r="M1128" s="296"/>
      <c r="N1128" s="296"/>
      <c r="O1128" s="269"/>
      <c r="P1128" s="269"/>
      <c r="Q1128" s="269"/>
      <c r="R1128" s="296"/>
      <c r="S1128" s="296"/>
      <c r="T1128" s="296"/>
      <c r="U1128" s="296"/>
      <c r="V1128" s="296"/>
      <c r="W1128" s="296"/>
      <c r="X1128" s="296"/>
      <c r="Y1128" s="296"/>
      <c r="Z1128" s="296"/>
      <c r="AA1128" s="296"/>
      <c r="AB1128" s="296"/>
      <c r="AC1128" s="296"/>
      <c r="AD1128" s="296"/>
      <c r="AE1128" s="307"/>
      <c r="AF1128" s="273"/>
      <c r="AG1128" s="274"/>
    </row>
    <row r="1129">
      <c r="A1129" s="296"/>
      <c r="B1129" s="269"/>
      <c r="C1129" s="296"/>
      <c r="D1129" s="296"/>
      <c r="E1129" s="296"/>
      <c r="F1129" s="296"/>
      <c r="G1129" s="296"/>
      <c r="H1129" s="296"/>
      <c r="I1129" s="296"/>
      <c r="J1129" s="296"/>
      <c r="K1129" s="296"/>
      <c r="L1129" s="296"/>
      <c r="M1129" s="296"/>
      <c r="N1129" s="296"/>
      <c r="O1129" s="269"/>
      <c r="P1129" s="269"/>
      <c r="Q1129" s="269"/>
      <c r="R1129" s="296"/>
      <c r="S1129" s="296"/>
      <c r="T1129" s="296"/>
      <c r="U1129" s="296"/>
      <c r="V1129" s="296"/>
      <c r="W1129" s="296"/>
      <c r="X1129" s="296"/>
      <c r="Y1129" s="296"/>
      <c r="Z1129" s="296"/>
      <c r="AA1129" s="296"/>
      <c r="AB1129" s="296"/>
      <c r="AC1129" s="296"/>
      <c r="AD1129" s="296"/>
      <c r="AE1129" s="307"/>
      <c r="AF1129" s="273"/>
      <c r="AG1129" s="274"/>
    </row>
    <row r="1130">
      <c r="A1130" s="296"/>
      <c r="B1130" s="269"/>
      <c r="C1130" s="296"/>
      <c r="D1130" s="296"/>
      <c r="E1130" s="296"/>
      <c r="F1130" s="296"/>
      <c r="G1130" s="296"/>
      <c r="H1130" s="296"/>
      <c r="I1130" s="296"/>
      <c r="J1130" s="296"/>
      <c r="K1130" s="296"/>
      <c r="L1130" s="296"/>
      <c r="M1130" s="296"/>
      <c r="N1130" s="296"/>
      <c r="O1130" s="269"/>
      <c r="P1130" s="269"/>
      <c r="Q1130" s="269"/>
      <c r="R1130" s="296"/>
      <c r="S1130" s="296"/>
      <c r="T1130" s="296"/>
      <c r="U1130" s="296"/>
      <c r="V1130" s="296"/>
      <c r="W1130" s="296"/>
      <c r="X1130" s="296"/>
      <c r="Y1130" s="296"/>
      <c r="Z1130" s="296"/>
      <c r="AA1130" s="296"/>
      <c r="AB1130" s="296"/>
      <c r="AC1130" s="296"/>
      <c r="AD1130" s="296"/>
      <c r="AE1130" s="307"/>
      <c r="AF1130" s="273"/>
      <c r="AG1130" s="274"/>
    </row>
    <row r="1131">
      <c r="A1131" s="296"/>
      <c r="B1131" s="269"/>
      <c r="C1131" s="296"/>
      <c r="D1131" s="296"/>
      <c r="E1131" s="296"/>
      <c r="F1131" s="296"/>
      <c r="G1131" s="296"/>
      <c r="H1131" s="296"/>
      <c r="I1131" s="296"/>
      <c r="J1131" s="296"/>
      <c r="K1131" s="296"/>
      <c r="L1131" s="296"/>
      <c r="M1131" s="296"/>
      <c r="N1131" s="296"/>
      <c r="O1131" s="269"/>
      <c r="P1131" s="269"/>
      <c r="Q1131" s="269"/>
      <c r="R1131" s="296"/>
      <c r="S1131" s="296"/>
      <c r="T1131" s="296"/>
      <c r="U1131" s="296"/>
      <c r="V1131" s="296"/>
      <c r="W1131" s="296"/>
      <c r="X1131" s="296"/>
      <c r="Y1131" s="296"/>
      <c r="Z1131" s="296"/>
      <c r="AA1131" s="296"/>
      <c r="AB1131" s="296"/>
      <c r="AC1131" s="296"/>
      <c r="AD1131" s="296"/>
      <c r="AE1131" s="307"/>
      <c r="AF1131" s="273"/>
      <c r="AG1131" s="274"/>
    </row>
    <row r="1132">
      <c r="A1132" s="296"/>
      <c r="B1132" s="269"/>
      <c r="C1132" s="296"/>
      <c r="D1132" s="296"/>
      <c r="E1132" s="296"/>
      <c r="F1132" s="296"/>
      <c r="G1132" s="296"/>
      <c r="H1132" s="296"/>
      <c r="I1132" s="296"/>
      <c r="J1132" s="296"/>
      <c r="K1132" s="296"/>
      <c r="L1132" s="296"/>
      <c r="M1132" s="296"/>
      <c r="N1132" s="296"/>
      <c r="O1132" s="269"/>
      <c r="P1132" s="269"/>
      <c r="Q1132" s="269"/>
      <c r="R1132" s="296"/>
      <c r="S1132" s="296"/>
      <c r="T1132" s="296"/>
      <c r="U1132" s="296"/>
      <c r="V1132" s="296"/>
      <c r="W1132" s="296"/>
      <c r="X1132" s="296"/>
      <c r="Y1132" s="296"/>
      <c r="Z1132" s="296"/>
      <c r="AA1132" s="296"/>
      <c r="AB1132" s="296"/>
      <c r="AC1132" s="296"/>
      <c r="AD1132" s="296"/>
      <c r="AE1132" s="307"/>
      <c r="AF1132" s="273"/>
      <c r="AG1132" s="274"/>
    </row>
    <row r="1133">
      <c r="A1133" s="296"/>
      <c r="B1133" s="269"/>
      <c r="C1133" s="296"/>
      <c r="D1133" s="296"/>
      <c r="E1133" s="296"/>
      <c r="F1133" s="296"/>
      <c r="G1133" s="296"/>
      <c r="H1133" s="296"/>
      <c r="I1133" s="296"/>
      <c r="J1133" s="296"/>
      <c r="K1133" s="296"/>
      <c r="L1133" s="296"/>
      <c r="M1133" s="296"/>
      <c r="N1133" s="296"/>
      <c r="O1133" s="269"/>
      <c r="P1133" s="269"/>
      <c r="Q1133" s="269"/>
      <c r="R1133" s="296"/>
      <c r="S1133" s="296"/>
      <c r="T1133" s="296"/>
      <c r="U1133" s="296"/>
      <c r="V1133" s="296"/>
      <c r="W1133" s="296"/>
      <c r="X1133" s="296"/>
      <c r="Y1133" s="296"/>
      <c r="Z1133" s="296"/>
      <c r="AA1133" s="296"/>
      <c r="AB1133" s="296"/>
      <c r="AC1133" s="296"/>
      <c r="AD1133" s="296"/>
      <c r="AE1133" s="307"/>
      <c r="AF1133" s="273"/>
      <c r="AG1133" s="274"/>
    </row>
    <row r="1134">
      <c r="A1134" s="296"/>
      <c r="B1134" s="269"/>
      <c r="C1134" s="296"/>
      <c r="D1134" s="296"/>
      <c r="E1134" s="296"/>
      <c r="F1134" s="296"/>
      <c r="G1134" s="296"/>
      <c r="H1134" s="296"/>
      <c r="I1134" s="296"/>
      <c r="J1134" s="296"/>
      <c r="K1134" s="296"/>
      <c r="L1134" s="296"/>
      <c r="M1134" s="296"/>
      <c r="N1134" s="296"/>
      <c r="O1134" s="269"/>
      <c r="P1134" s="269"/>
      <c r="Q1134" s="269"/>
      <c r="R1134" s="296"/>
      <c r="S1134" s="296"/>
      <c r="T1134" s="296"/>
      <c r="U1134" s="296"/>
      <c r="V1134" s="296"/>
      <c r="W1134" s="296"/>
      <c r="X1134" s="296"/>
      <c r="Y1134" s="296"/>
      <c r="Z1134" s="296"/>
      <c r="AA1134" s="296"/>
      <c r="AB1134" s="296"/>
      <c r="AC1134" s="296"/>
      <c r="AD1134" s="296"/>
      <c r="AE1134" s="307"/>
      <c r="AF1134" s="273"/>
      <c r="AG1134" s="274"/>
    </row>
    <row r="1135">
      <c r="A1135" s="296"/>
      <c r="B1135" s="269"/>
      <c r="C1135" s="296"/>
      <c r="D1135" s="296"/>
      <c r="E1135" s="296"/>
      <c r="F1135" s="296"/>
      <c r="G1135" s="296"/>
      <c r="H1135" s="296"/>
      <c r="I1135" s="296"/>
      <c r="J1135" s="296"/>
      <c r="K1135" s="296"/>
      <c r="L1135" s="296"/>
      <c r="M1135" s="296"/>
      <c r="N1135" s="296"/>
      <c r="O1135" s="269"/>
      <c r="P1135" s="269"/>
      <c r="Q1135" s="269"/>
      <c r="R1135" s="296"/>
      <c r="S1135" s="296"/>
      <c r="T1135" s="296"/>
      <c r="U1135" s="296"/>
      <c r="V1135" s="296"/>
      <c r="W1135" s="296"/>
      <c r="X1135" s="296"/>
      <c r="Y1135" s="296"/>
      <c r="Z1135" s="296"/>
      <c r="AA1135" s="296"/>
      <c r="AB1135" s="296"/>
      <c r="AC1135" s="296"/>
      <c r="AD1135" s="296"/>
      <c r="AE1135" s="307"/>
      <c r="AF1135" s="273"/>
      <c r="AG1135" s="274"/>
    </row>
    <row r="1136">
      <c r="A1136" s="296"/>
      <c r="B1136" s="269"/>
      <c r="C1136" s="296"/>
      <c r="D1136" s="296"/>
      <c r="E1136" s="296"/>
      <c r="F1136" s="296"/>
      <c r="G1136" s="296"/>
      <c r="H1136" s="296"/>
      <c r="I1136" s="296"/>
      <c r="J1136" s="296"/>
      <c r="K1136" s="296"/>
      <c r="L1136" s="296"/>
      <c r="M1136" s="296"/>
      <c r="N1136" s="296"/>
      <c r="O1136" s="269"/>
      <c r="P1136" s="269"/>
      <c r="Q1136" s="269"/>
      <c r="R1136" s="296"/>
      <c r="S1136" s="296"/>
      <c r="T1136" s="296"/>
      <c r="U1136" s="296"/>
      <c r="V1136" s="296"/>
      <c r="W1136" s="296"/>
      <c r="X1136" s="296"/>
      <c r="Y1136" s="296"/>
      <c r="Z1136" s="296"/>
      <c r="AA1136" s="296"/>
      <c r="AB1136" s="296"/>
      <c r="AC1136" s="296"/>
      <c r="AD1136" s="296"/>
      <c r="AE1136" s="307"/>
      <c r="AF1136" s="273"/>
      <c r="AG1136" s="274"/>
    </row>
    <row r="1137">
      <c r="A1137" s="296"/>
      <c r="B1137" s="269"/>
      <c r="C1137" s="296"/>
      <c r="D1137" s="296"/>
      <c r="E1137" s="296"/>
      <c r="F1137" s="296"/>
      <c r="G1137" s="296"/>
      <c r="H1137" s="296"/>
      <c r="I1137" s="296"/>
      <c r="J1137" s="296"/>
      <c r="K1137" s="296"/>
      <c r="L1137" s="296"/>
      <c r="M1137" s="296"/>
      <c r="N1137" s="296"/>
      <c r="O1137" s="269"/>
      <c r="P1137" s="269"/>
      <c r="Q1137" s="269"/>
      <c r="R1137" s="296"/>
      <c r="S1137" s="296"/>
      <c r="T1137" s="296"/>
      <c r="U1137" s="296"/>
      <c r="V1137" s="296"/>
      <c r="W1137" s="296"/>
      <c r="X1137" s="296"/>
      <c r="Y1137" s="296"/>
      <c r="Z1137" s="296"/>
      <c r="AA1137" s="296"/>
      <c r="AB1137" s="296"/>
      <c r="AC1137" s="296"/>
      <c r="AD1137" s="296"/>
      <c r="AE1137" s="307"/>
      <c r="AF1137" s="273"/>
      <c r="AG1137" s="274"/>
    </row>
    <row r="1138">
      <c r="A1138" s="296"/>
      <c r="B1138" s="269"/>
      <c r="C1138" s="296"/>
      <c r="D1138" s="296"/>
      <c r="E1138" s="296"/>
      <c r="F1138" s="296"/>
      <c r="G1138" s="296"/>
      <c r="H1138" s="296"/>
      <c r="I1138" s="296"/>
      <c r="J1138" s="296"/>
      <c r="K1138" s="296"/>
      <c r="L1138" s="296"/>
      <c r="M1138" s="296"/>
      <c r="N1138" s="296"/>
      <c r="O1138" s="269"/>
      <c r="P1138" s="269"/>
      <c r="Q1138" s="269"/>
      <c r="R1138" s="296"/>
      <c r="S1138" s="296"/>
      <c r="T1138" s="296"/>
      <c r="U1138" s="296"/>
      <c r="V1138" s="296"/>
      <c r="W1138" s="296"/>
      <c r="X1138" s="296"/>
      <c r="Y1138" s="296"/>
      <c r="Z1138" s="296"/>
      <c r="AA1138" s="296"/>
      <c r="AB1138" s="296"/>
      <c r="AC1138" s="296"/>
      <c r="AD1138" s="296"/>
      <c r="AE1138" s="307"/>
      <c r="AF1138" s="273"/>
      <c r="AG1138" s="274"/>
    </row>
    <row r="1139">
      <c r="A1139" s="296"/>
      <c r="B1139" s="269"/>
      <c r="C1139" s="296"/>
      <c r="D1139" s="296"/>
      <c r="E1139" s="296"/>
      <c r="F1139" s="296"/>
      <c r="G1139" s="296"/>
      <c r="H1139" s="296"/>
      <c r="I1139" s="296"/>
      <c r="J1139" s="296"/>
      <c r="K1139" s="296"/>
      <c r="L1139" s="296"/>
      <c r="M1139" s="296"/>
      <c r="N1139" s="296"/>
      <c r="O1139" s="269"/>
      <c r="P1139" s="269"/>
      <c r="Q1139" s="269"/>
      <c r="R1139" s="296"/>
      <c r="S1139" s="296"/>
      <c r="T1139" s="296"/>
      <c r="U1139" s="296"/>
      <c r="V1139" s="296"/>
      <c r="W1139" s="296"/>
      <c r="X1139" s="296"/>
      <c r="Y1139" s="296"/>
      <c r="Z1139" s="296"/>
      <c r="AA1139" s="296"/>
      <c r="AB1139" s="296"/>
      <c r="AC1139" s="296"/>
      <c r="AD1139" s="296"/>
      <c r="AE1139" s="307"/>
      <c r="AF1139" s="273"/>
      <c r="AG1139" s="274"/>
    </row>
    <row r="1140">
      <c r="A1140" s="296"/>
      <c r="B1140" s="269"/>
      <c r="C1140" s="296"/>
      <c r="D1140" s="296"/>
      <c r="E1140" s="296"/>
      <c r="F1140" s="296"/>
      <c r="G1140" s="296"/>
      <c r="H1140" s="296"/>
      <c r="I1140" s="296"/>
      <c r="J1140" s="296"/>
      <c r="K1140" s="296"/>
      <c r="L1140" s="296"/>
      <c r="M1140" s="296"/>
      <c r="N1140" s="296"/>
      <c r="O1140" s="269"/>
      <c r="P1140" s="269"/>
      <c r="Q1140" s="269"/>
      <c r="R1140" s="296"/>
      <c r="S1140" s="296"/>
      <c r="T1140" s="296"/>
      <c r="U1140" s="296"/>
      <c r="V1140" s="296"/>
      <c r="W1140" s="296"/>
      <c r="X1140" s="296"/>
      <c r="Y1140" s="296"/>
      <c r="Z1140" s="296"/>
      <c r="AA1140" s="296"/>
      <c r="AB1140" s="296"/>
      <c r="AC1140" s="296"/>
      <c r="AD1140" s="296"/>
      <c r="AE1140" s="307"/>
      <c r="AF1140" s="273"/>
      <c r="AG1140" s="274"/>
    </row>
    <row r="1141">
      <c r="A1141" s="296"/>
      <c r="B1141" s="269"/>
      <c r="C1141" s="296"/>
      <c r="D1141" s="296"/>
      <c r="E1141" s="296"/>
      <c r="F1141" s="296"/>
      <c r="G1141" s="296"/>
      <c r="H1141" s="296"/>
      <c r="I1141" s="296"/>
      <c r="J1141" s="296"/>
      <c r="K1141" s="296"/>
      <c r="L1141" s="296"/>
      <c r="M1141" s="296"/>
      <c r="N1141" s="296"/>
      <c r="O1141" s="269"/>
      <c r="P1141" s="269"/>
      <c r="Q1141" s="269"/>
      <c r="R1141" s="296"/>
      <c r="S1141" s="296"/>
      <c r="T1141" s="296"/>
      <c r="U1141" s="296"/>
      <c r="V1141" s="296"/>
      <c r="W1141" s="296"/>
      <c r="X1141" s="296"/>
      <c r="Y1141" s="296"/>
      <c r="Z1141" s="296"/>
      <c r="AA1141" s="296"/>
      <c r="AB1141" s="296"/>
      <c r="AC1141" s="296"/>
      <c r="AD1141" s="296"/>
      <c r="AE1141" s="307"/>
      <c r="AF1141" s="273"/>
      <c r="AG1141" s="274"/>
    </row>
    <row r="1142">
      <c r="A1142" s="296"/>
      <c r="B1142" s="269"/>
      <c r="C1142" s="296"/>
      <c r="D1142" s="296"/>
      <c r="E1142" s="296"/>
      <c r="F1142" s="296"/>
      <c r="G1142" s="296"/>
      <c r="H1142" s="296"/>
      <c r="I1142" s="296"/>
      <c r="J1142" s="296"/>
      <c r="K1142" s="296"/>
      <c r="L1142" s="296"/>
      <c r="M1142" s="296"/>
      <c r="N1142" s="296"/>
      <c r="O1142" s="269"/>
      <c r="P1142" s="269"/>
      <c r="Q1142" s="269"/>
      <c r="R1142" s="296"/>
      <c r="S1142" s="296"/>
      <c r="T1142" s="296"/>
      <c r="U1142" s="296"/>
      <c r="V1142" s="296"/>
      <c r="W1142" s="296"/>
      <c r="X1142" s="296"/>
      <c r="Y1142" s="296"/>
      <c r="Z1142" s="296"/>
      <c r="AA1142" s="296"/>
      <c r="AB1142" s="296"/>
      <c r="AC1142" s="296"/>
      <c r="AD1142" s="296"/>
      <c r="AE1142" s="307"/>
      <c r="AF1142" s="273"/>
      <c r="AG1142" s="274"/>
    </row>
    <row r="1143">
      <c r="A1143" s="296"/>
      <c r="B1143" s="269"/>
      <c r="C1143" s="296"/>
      <c r="D1143" s="296"/>
      <c r="E1143" s="296"/>
      <c r="F1143" s="296"/>
      <c r="G1143" s="296"/>
      <c r="H1143" s="296"/>
      <c r="I1143" s="296"/>
      <c r="J1143" s="296"/>
      <c r="K1143" s="296"/>
      <c r="L1143" s="296"/>
      <c r="M1143" s="296"/>
      <c r="N1143" s="296"/>
      <c r="O1143" s="269"/>
      <c r="P1143" s="269"/>
      <c r="Q1143" s="269"/>
      <c r="R1143" s="296"/>
      <c r="S1143" s="296"/>
      <c r="T1143" s="296"/>
      <c r="U1143" s="296"/>
      <c r="V1143" s="296"/>
      <c r="W1143" s="296"/>
      <c r="X1143" s="296"/>
      <c r="Y1143" s="296"/>
      <c r="Z1143" s="296"/>
      <c r="AA1143" s="296"/>
      <c r="AB1143" s="296"/>
      <c r="AC1143" s="296"/>
      <c r="AD1143" s="296"/>
      <c r="AE1143" s="307"/>
      <c r="AF1143" s="273"/>
      <c r="AG1143" s="274"/>
    </row>
    <row r="1144">
      <c r="A1144" s="296"/>
      <c r="B1144" s="269"/>
      <c r="C1144" s="296"/>
      <c r="D1144" s="296"/>
      <c r="E1144" s="296"/>
      <c r="F1144" s="296"/>
      <c r="G1144" s="296"/>
      <c r="H1144" s="296"/>
      <c r="I1144" s="296"/>
      <c r="J1144" s="296"/>
      <c r="K1144" s="296"/>
      <c r="L1144" s="296"/>
      <c r="M1144" s="296"/>
      <c r="N1144" s="296"/>
      <c r="O1144" s="269"/>
      <c r="P1144" s="269"/>
      <c r="Q1144" s="269"/>
      <c r="R1144" s="296"/>
      <c r="S1144" s="296"/>
      <c r="T1144" s="296"/>
      <c r="U1144" s="296"/>
      <c r="V1144" s="296"/>
      <c r="W1144" s="296"/>
      <c r="X1144" s="296"/>
      <c r="Y1144" s="296"/>
      <c r="Z1144" s="296"/>
      <c r="AA1144" s="296"/>
      <c r="AB1144" s="296"/>
      <c r="AC1144" s="296"/>
      <c r="AD1144" s="296"/>
      <c r="AE1144" s="307"/>
      <c r="AF1144" s="273"/>
      <c r="AG1144" s="274"/>
    </row>
    <row r="1145">
      <c r="A1145" s="296"/>
      <c r="B1145" s="269"/>
      <c r="C1145" s="296"/>
      <c r="D1145" s="296"/>
      <c r="E1145" s="296"/>
      <c r="F1145" s="296"/>
      <c r="G1145" s="296"/>
      <c r="H1145" s="296"/>
      <c r="I1145" s="296"/>
      <c r="J1145" s="296"/>
      <c r="K1145" s="296"/>
      <c r="L1145" s="296"/>
      <c r="M1145" s="296"/>
      <c r="N1145" s="296"/>
      <c r="O1145" s="269"/>
      <c r="P1145" s="269"/>
      <c r="Q1145" s="269"/>
      <c r="R1145" s="296"/>
      <c r="S1145" s="296"/>
      <c r="T1145" s="296"/>
      <c r="U1145" s="296"/>
      <c r="V1145" s="296"/>
      <c r="W1145" s="296"/>
      <c r="X1145" s="296"/>
      <c r="Y1145" s="296"/>
      <c r="Z1145" s="296"/>
      <c r="AA1145" s="296"/>
      <c r="AB1145" s="296"/>
      <c r="AC1145" s="296"/>
      <c r="AD1145" s="296"/>
      <c r="AE1145" s="307"/>
      <c r="AF1145" s="273"/>
      <c r="AG1145" s="274"/>
    </row>
    <row r="1146">
      <c r="A1146" s="296"/>
      <c r="B1146" s="269"/>
      <c r="C1146" s="296"/>
      <c r="D1146" s="296"/>
      <c r="E1146" s="296"/>
      <c r="F1146" s="296"/>
      <c r="G1146" s="296"/>
      <c r="H1146" s="296"/>
      <c r="I1146" s="296"/>
      <c r="J1146" s="296"/>
      <c r="K1146" s="296"/>
      <c r="L1146" s="296"/>
      <c r="M1146" s="296"/>
      <c r="N1146" s="296"/>
      <c r="O1146" s="269"/>
      <c r="P1146" s="269"/>
      <c r="Q1146" s="269"/>
      <c r="R1146" s="296"/>
      <c r="S1146" s="296"/>
      <c r="T1146" s="296"/>
      <c r="U1146" s="296"/>
      <c r="V1146" s="296"/>
      <c r="W1146" s="296"/>
      <c r="X1146" s="296"/>
      <c r="Y1146" s="296"/>
      <c r="Z1146" s="296"/>
      <c r="AA1146" s="296"/>
      <c r="AB1146" s="296"/>
      <c r="AC1146" s="296"/>
      <c r="AD1146" s="296"/>
      <c r="AE1146" s="307"/>
      <c r="AF1146" s="273"/>
      <c r="AG1146" s="274"/>
    </row>
    <row r="1147">
      <c r="A1147" s="296"/>
      <c r="B1147" s="269"/>
      <c r="C1147" s="296"/>
      <c r="D1147" s="296"/>
      <c r="E1147" s="296"/>
      <c r="F1147" s="296"/>
      <c r="G1147" s="296"/>
      <c r="H1147" s="296"/>
      <c r="I1147" s="296"/>
      <c r="J1147" s="296"/>
      <c r="K1147" s="296"/>
      <c r="L1147" s="296"/>
      <c r="M1147" s="296"/>
      <c r="N1147" s="296"/>
      <c r="O1147" s="269"/>
      <c r="P1147" s="269"/>
      <c r="Q1147" s="269"/>
      <c r="R1147" s="296"/>
      <c r="S1147" s="296"/>
      <c r="T1147" s="296"/>
      <c r="U1147" s="296"/>
      <c r="V1147" s="296"/>
      <c r="W1147" s="296"/>
      <c r="X1147" s="296"/>
      <c r="Y1147" s="296"/>
      <c r="Z1147" s="296"/>
      <c r="AA1147" s="296"/>
      <c r="AB1147" s="296"/>
      <c r="AC1147" s="296"/>
      <c r="AD1147" s="296"/>
      <c r="AE1147" s="307"/>
      <c r="AF1147" s="273"/>
      <c r="AG1147" s="274"/>
    </row>
    <row r="1148">
      <c r="A1148" s="296"/>
      <c r="B1148" s="269"/>
      <c r="C1148" s="296"/>
      <c r="D1148" s="296"/>
      <c r="E1148" s="296"/>
      <c r="F1148" s="296"/>
      <c r="G1148" s="296"/>
      <c r="H1148" s="296"/>
      <c r="I1148" s="296"/>
      <c r="J1148" s="296"/>
      <c r="K1148" s="296"/>
      <c r="L1148" s="296"/>
      <c r="M1148" s="296"/>
      <c r="N1148" s="296"/>
      <c r="O1148" s="269"/>
      <c r="P1148" s="269"/>
      <c r="Q1148" s="269"/>
      <c r="R1148" s="296"/>
      <c r="S1148" s="296"/>
      <c r="T1148" s="296"/>
      <c r="U1148" s="296"/>
      <c r="V1148" s="296"/>
      <c r="W1148" s="296"/>
      <c r="X1148" s="296"/>
      <c r="Y1148" s="296"/>
      <c r="Z1148" s="296"/>
      <c r="AA1148" s="296"/>
      <c r="AB1148" s="296"/>
      <c r="AC1148" s="296"/>
      <c r="AD1148" s="296"/>
      <c r="AE1148" s="307"/>
      <c r="AF1148" s="273"/>
      <c r="AG1148" s="274"/>
    </row>
    <row r="1149">
      <c r="A1149" s="296"/>
      <c r="B1149" s="269"/>
      <c r="C1149" s="296"/>
      <c r="D1149" s="296"/>
      <c r="E1149" s="296"/>
      <c r="F1149" s="296"/>
      <c r="G1149" s="296"/>
      <c r="H1149" s="296"/>
      <c r="I1149" s="296"/>
      <c r="J1149" s="296"/>
      <c r="K1149" s="296"/>
      <c r="L1149" s="296"/>
      <c r="M1149" s="296"/>
      <c r="N1149" s="296"/>
      <c r="O1149" s="269"/>
      <c r="P1149" s="269"/>
      <c r="Q1149" s="269"/>
      <c r="R1149" s="296"/>
      <c r="S1149" s="296"/>
      <c r="T1149" s="296"/>
      <c r="U1149" s="296"/>
      <c r="V1149" s="296"/>
      <c r="W1149" s="296"/>
      <c r="X1149" s="296"/>
      <c r="Y1149" s="296"/>
      <c r="Z1149" s="296"/>
      <c r="AA1149" s="296"/>
      <c r="AB1149" s="296"/>
      <c r="AC1149" s="296"/>
      <c r="AD1149" s="296"/>
      <c r="AE1149" s="307"/>
      <c r="AF1149" s="273"/>
      <c r="AG1149" s="274"/>
    </row>
    <row r="1150">
      <c r="A1150" s="296"/>
      <c r="B1150" s="269"/>
      <c r="C1150" s="296"/>
      <c r="D1150" s="296"/>
      <c r="E1150" s="296"/>
      <c r="F1150" s="296"/>
      <c r="G1150" s="296"/>
      <c r="H1150" s="296"/>
      <c r="I1150" s="296"/>
      <c r="J1150" s="296"/>
      <c r="K1150" s="296"/>
      <c r="L1150" s="296"/>
      <c r="M1150" s="296"/>
      <c r="N1150" s="296"/>
      <c r="O1150" s="269"/>
      <c r="P1150" s="269"/>
      <c r="Q1150" s="269"/>
      <c r="R1150" s="296"/>
      <c r="S1150" s="296"/>
      <c r="T1150" s="296"/>
      <c r="U1150" s="296"/>
      <c r="V1150" s="296"/>
      <c r="W1150" s="296"/>
      <c r="X1150" s="296"/>
      <c r="Y1150" s="296"/>
      <c r="Z1150" s="296"/>
      <c r="AA1150" s="296"/>
      <c r="AB1150" s="296"/>
      <c r="AC1150" s="296"/>
      <c r="AD1150" s="296"/>
      <c r="AE1150" s="307"/>
      <c r="AF1150" s="273"/>
      <c r="AG1150" s="274"/>
    </row>
    <row r="1151">
      <c r="A1151" s="296"/>
      <c r="B1151" s="269"/>
      <c r="C1151" s="296"/>
      <c r="D1151" s="296"/>
      <c r="E1151" s="296"/>
      <c r="F1151" s="296"/>
      <c r="G1151" s="296"/>
      <c r="H1151" s="296"/>
      <c r="I1151" s="296"/>
      <c r="J1151" s="296"/>
      <c r="K1151" s="296"/>
      <c r="L1151" s="296"/>
      <c r="M1151" s="296"/>
      <c r="N1151" s="296"/>
      <c r="O1151" s="269"/>
      <c r="P1151" s="269"/>
      <c r="Q1151" s="269"/>
      <c r="R1151" s="296"/>
      <c r="S1151" s="296"/>
      <c r="T1151" s="296"/>
      <c r="U1151" s="296"/>
      <c r="V1151" s="296"/>
      <c r="W1151" s="296"/>
      <c r="X1151" s="296"/>
      <c r="Y1151" s="296"/>
      <c r="Z1151" s="296"/>
      <c r="AA1151" s="296"/>
      <c r="AB1151" s="296"/>
      <c r="AC1151" s="296"/>
      <c r="AD1151" s="296"/>
      <c r="AE1151" s="307"/>
      <c r="AF1151" s="273"/>
      <c r="AG1151" s="274"/>
    </row>
    <row r="1152">
      <c r="A1152" s="296"/>
      <c r="B1152" s="269"/>
      <c r="C1152" s="296"/>
      <c r="D1152" s="296"/>
      <c r="E1152" s="296"/>
      <c r="F1152" s="296"/>
      <c r="G1152" s="296"/>
      <c r="H1152" s="296"/>
      <c r="I1152" s="296"/>
      <c r="J1152" s="296"/>
      <c r="K1152" s="296"/>
      <c r="L1152" s="296"/>
      <c r="M1152" s="296"/>
      <c r="N1152" s="296"/>
      <c r="O1152" s="269"/>
      <c r="P1152" s="269"/>
      <c r="Q1152" s="269"/>
      <c r="R1152" s="296"/>
      <c r="S1152" s="296"/>
      <c r="T1152" s="296"/>
      <c r="U1152" s="296"/>
      <c r="V1152" s="296"/>
      <c r="W1152" s="296"/>
      <c r="X1152" s="296"/>
      <c r="Y1152" s="296"/>
      <c r="Z1152" s="296"/>
      <c r="AA1152" s="296"/>
      <c r="AB1152" s="296"/>
      <c r="AC1152" s="296"/>
      <c r="AD1152" s="296"/>
      <c r="AE1152" s="307"/>
      <c r="AF1152" s="273"/>
      <c r="AG1152" s="274"/>
    </row>
    <row r="1153">
      <c r="A1153" s="296"/>
      <c r="B1153" s="269"/>
      <c r="C1153" s="296"/>
      <c r="D1153" s="296"/>
      <c r="E1153" s="296"/>
      <c r="F1153" s="296"/>
      <c r="G1153" s="296"/>
      <c r="H1153" s="296"/>
      <c r="I1153" s="296"/>
      <c r="J1153" s="296"/>
      <c r="K1153" s="296"/>
      <c r="L1153" s="296"/>
      <c r="M1153" s="296"/>
      <c r="N1153" s="296"/>
      <c r="O1153" s="269"/>
      <c r="P1153" s="269"/>
      <c r="Q1153" s="269"/>
      <c r="R1153" s="296"/>
      <c r="S1153" s="296"/>
      <c r="T1153" s="296"/>
      <c r="U1153" s="296"/>
      <c r="V1153" s="296"/>
      <c r="W1153" s="296"/>
      <c r="X1153" s="296"/>
      <c r="Y1153" s="296"/>
      <c r="Z1153" s="296"/>
      <c r="AA1153" s="296"/>
      <c r="AB1153" s="296"/>
      <c r="AC1153" s="296"/>
      <c r="AD1153" s="296"/>
      <c r="AE1153" s="307"/>
      <c r="AF1153" s="273"/>
      <c r="AG1153" s="274"/>
    </row>
    <row r="1154">
      <c r="A1154" s="296"/>
      <c r="B1154" s="269"/>
      <c r="C1154" s="296"/>
      <c r="D1154" s="296"/>
      <c r="E1154" s="296"/>
      <c r="F1154" s="296"/>
      <c r="G1154" s="296"/>
      <c r="H1154" s="296"/>
      <c r="I1154" s="296"/>
      <c r="J1154" s="296"/>
      <c r="K1154" s="296"/>
      <c r="L1154" s="296"/>
      <c r="M1154" s="296"/>
      <c r="N1154" s="296"/>
      <c r="O1154" s="269"/>
      <c r="P1154" s="269"/>
      <c r="Q1154" s="269"/>
      <c r="R1154" s="296"/>
      <c r="S1154" s="296"/>
      <c r="T1154" s="296"/>
      <c r="U1154" s="296"/>
      <c r="V1154" s="296"/>
      <c r="W1154" s="296"/>
      <c r="X1154" s="296"/>
      <c r="Y1154" s="296"/>
      <c r="Z1154" s="296"/>
      <c r="AA1154" s="296"/>
      <c r="AB1154" s="296"/>
      <c r="AC1154" s="296"/>
      <c r="AD1154" s="296"/>
      <c r="AE1154" s="307"/>
      <c r="AF1154" s="273"/>
      <c r="AG1154" s="274"/>
    </row>
    <row r="1155">
      <c r="A1155" s="296"/>
      <c r="B1155" s="269"/>
      <c r="C1155" s="296"/>
      <c r="D1155" s="296"/>
      <c r="E1155" s="296"/>
      <c r="F1155" s="296"/>
      <c r="G1155" s="296"/>
      <c r="H1155" s="296"/>
      <c r="I1155" s="296"/>
      <c r="J1155" s="296"/>
      <c r="K1155" s="296"/>
      <c r="L1155" s="296"/>
      <c r="M1155" s="296"/>
      <c r="N1155" s="296"/>
      <c r="O1155" s="269"/>
      <c r="P1155" s="269"/>
      <c r="Q1155" s="269"/>
      <c r="R1155" s="296"/>
      <c r="S1155" s="296"/>
      <c r="T1155" s="296"/>
      <c r="U1155" s="296"/>
      <c r="V1155" s="296"/>
      <c r="W1155" s="296"/>
      <c r="X1155" s="296"/>
      <c r="Y1155" s="296"/>
      <c r="Z1155" s="296"/>
      <c r="AA1155" s="296"/>
      <c r="AB1155" s="296"/>
      <c r="AC1155" s="296"/>
      <c r="AD1155" s="296"/>
      <c r="AE1155" s="307"/>
      <c r="AF1155" s="273"/>
      <c r="AG1155" s="274"/>
    </row>
    <row r="1156">
      <c r="A1156" s="296"/>
      <c r="B1156" s="269"/>
      <c r="C1156" s="296"/>
      <c r="D1156" s="296"/>
      <c r="E1156" s="296"/>
      <c r="F1156" s="296"/>
      <c r="G1156" s="296"/>
      <c r="H1156" s="296"/>
      <c r="I1156" s="296"/>
      <c r="J1156" s="296"/>
      <c r="K1156" s="296"/>
      <c r="L1156" s="296"/>
      <c r="M1156" s="296"/>
      <c r="N1156" s="296"/>
      <c r="O1156" s="269"/>
      <c r="P1156" s="269"/>
      <c r="Q1156" s="269"/>
      <c r="R1156" s="296"/>
      <c r="S1156" s="296"/>
      <c r="T1156" s="296"/>
      <c r="U1156" s="296"/>
      <c r="V1156" s="296"/>
      <c r="W1156" s="296"/>
      <c r="X1156" s="296"/>
      <c r="Y1156" s="296"/>
      <c r="Z1156" s="296"/>
      <c r="AA1156" s="296"/>
      <c r="AB1156" s="296"/>
      <c r="AC1156" s="296"/>
      <c r="AD1156" s="296"/>
      <c r="AE1156" s="307"/>
      <c r="AF1156" s="273"/>
      <c r="AG1156" s="274"/>
    </row>
    <row r="1157">
      <c r="A1157" s="296"/>
      <c r="B1157" s="269"/>
      <c r="C1157" s="296"/>
      <c r="D1157" s="296"/>
      <c r="E1157" s="296"/>
      <c r="F1157" s="296"/>
      <c r="G1157" s="296"/>
      <c r="H1157" s="296"/>
      <c r="I1157" s="296"/>
      <c r="J1157" s="296"/>
      <c r="K1157" s="296"/>
      <c r="L1157" s="296"/>
      <c r="M1157" s="296"/>
      <c r="N1157" s="296"/>
      <c r="O1157" s="269"/>
      <c r="P1157" s="269"/>
      <c r="Q1157" s="269"/>
      <c r="R1157" s="296"/>
      <c r="S1157" s="296"/>
      <c r="T1157" s="296"/>
      <c r="U1157" s="296"/>
      <c r="V1157" s="296"/>
      <c r="W1157" s="296"/>
      <c r="X1157" s="296"/>
      <c r="Y1157" s="296"/>
      <c r="Z1157" s="296"/>
      <c r="AA1157" s="296"/>
      <c r="AB1157" s="296"/>
      <c r="AC1157" s="296"/>
      <c r="AD1157" s="296"/>
      <c r="AE1157" s="307"/>
      <c r="AF1157" s="273"/>
      <c r="AG1157" s="274"/>
    </row>
    <row r="1158">
      <c r="A1158" s="296"/>
      <c r="B1158" s="269"/>
      <c r="C1158" s="296"/>
      <c r="D1158" s="296"/>
      <c r="E1158" s="296"/>
      <c r="F1158" s="296"/>
      <c r="G1158" s="296"/>
      <c r="H1158" s="296"/>
      <c r="I1158" s="296"/>
      <c r="J1158" s="296"/>
      <c r="K1158" s="296"/>
      <c r="L1158" s="296"/>
      <c r="M1158" s="296"/>
      <c r="N1158" s="296"/>
      <c r="O1158" s="269"/>
      <c r="P1158" s="269"/>
      <c r="Q1158" s="269"/>
      <c r="R1158" s="296"/>
      <c r="S1158" s="296"/>
      <c r="T1158" s="296"/>
      <c r="U1158" s="296"/>
      <c r="V1158" s="296"/>
      <c r="W1158" s="296"/>
      <c r="X1158" s="296"/>
      <c r="Y1158" s="296"/>
      <c r="Z1158" s="296"/>
      <c r="AA1158" s="296"/>
      <c r="AB1158" s="296"/>
      <c r="AC1158" s="296"/>
      <c r="AD1158" s="296"/>
      <c r="AE1158" s="307"/>
      <c r="AF1158" s="273"/>
      <c r="AG1158" s="274"/>
    </row>
    <row r="1159">
      <c r="A1159" s="296"/>
      <c r="B1159" s="269"/>
      <c r="C1159" s="296"/>
      <c r="D1159" s="296"/>
      <c r="E1159" s="296"/>
      <c r="F1159" s="296"/>
      <c r="G1159" s="296"/>
      <c r="H1159" s="296"/>
      <c r="I1159" s="296"/>
      <c r="J1159" s="296"/>
      <c r="K1159" s="296"/>
      <c r="L1159" s="296"/>
      <c r="M1159" s="296"/>
      <c r="N1159" s="296"/>
      <c r="O1159" s="269"/>
      <c r="P1159" s="269"/>
      <c r="Q1159" s="269"/>
      <c r="R1159" s="296"/>
      <c r="S1159" s="296"/>
      <c r="T1159" s="296"/>
      <c r="U1159" s="296"/>
      <c r="V1159" s="296"/>
      <c r="W1159" s="296"/>
      <c r="X1159" s="296"/>
      <c r="Y1159" s="296"/>
      <c r="Z1159" s="296"/>
      <c r="AA1159" s="296"/>
      <c r="AB1159" s="296"/>
      <c r="AC1159" s="296"/>
      <c r="AD1159" s="296"/>
      <c r="AE1159" s="307"/>
      <c r="AF1159" s="273"/>
      <c r="AG1159" s="274"/>
    </row>
    <row r="1160">
      <c r="A1160" s="296"/>
      <c r="B1160" s="269"/>
      <c r="C1160" s="296"/>
      <c r="D1160" s="296"/>
      <c r="E1160" s="296"/>
      <c r="F1160" s="296"/>
      <c r="G1160" s="296"/>
      <c r="H1160" s="296"/>
      <c r="I1160" s="296"/>
      <c r="J1160" s="296"/>
      <c r="K1160" s="296"/>
      <c r="L1160" s="296"/>
      <c r="M1160" s="296"/>
      <c r="N1160" s="296"/>
      <c r="O1160" s="269"/>
      <c r="P1160" s="269"/>
      <c r="Q1160" s="269"/>
      <c r="R1160" s="296"/>
      <c r="S1160" s="296"/>
      <c r="T1160" s="296"/>
      <c r="U1160" s="296"/>
      <c r="V1160" s="296"/>
      <c r="W1160" s="296"/>
      <c r="X1160" s="296"/>
      <c r="Y1160" s="296"/>
      <c r="Z1160" s="296"/>
      <c r="AA1160" s="296"/>
      <c r="AB1160" s="296"/>
      <c r="AC1160" s="296"/>
      <c r="AD1160" s="296"/>
      <c r="AE1160" s="307"/>
      <c r="AF1160" s="273"/>
      <c r="AG1160" s="274"/>
    </row>
    <row r="1161">
      <c r="A1161" s="296"/>
      <c r="B1161" s="269"/>
      <c r="C1161" s="296"/>
      <c r="D1161" s="296"/>
      <c r="E1161" s="296"/>
      <c r="F1161" s="296"/>
      <c r="G1161" s="296"/>
      <c r="H1161" s="296"/>
      <c r="I1161" s="296"/>
      <c r="J1161" s="296"/>
      <c r="K1161" s="296"/>
      <c r="L1161" s="296"/>
      <c r="M1161" s="296"/>
      <c r="N1161" s="296"/>
      <c r="O1161" s="269"/>
      <c r="P1161" s="269"/>
      <c r="Q1161" s="269"/>
      <c r="R1161" s="296"/>
      <c r="S1161" s="296"/>
      <c r="T1161" s="296"/>
      <c r="U1161" s="296"/>
      <c r="V1161" s="296"/>
      <c r="W1161" s="296"/>
      <c r="X1161" s="296"/>
      <c r="Y1161" s="296"/>
      <c r="Z1161" s="296"/>
      <c r="AA1161" s="296"/>
      <c r="AB1161" s="296"/>
      <c r="AC1161" s="296"/>
      <c r="AD1161" s="296"/>
      <c r="AE1161" s="307"/>
      <c r="AF1161" s="273"/>
      <c r="AG1161" s="274"/>
    </row>
    <row r="1162">
      <c r="A1162" s="296"/>
      <c r="B1162" s="269"/>
      <c r="C1162" s="296"/>
      <c r="D1162" s="296"/>
      <c r="E1162" s="296"/>
      <c r="F1162" s="296"/>
      <c r="G1162" s="296"/>
      <c r="H1162" s="296"/>
      <c r="I1162" s="296"/>
      <c r="J1162" s="296"/>
      <c r="K1162" s="296"/>
      <c r="L1162" s="296"/>
      <c r="M1162" s="296"/>
      <c r="N1162" s="296"/>
      <c r="O1162" s="269"/>
      <c r="P1162" s="269"/>
      <c r="Q1162" s="269"/>
      <c r="R1162" s="296"/>
      <c r="S1162" s="296"/>
      <c r="T1162" s="296"/>
      <c r="U1162" s="296"/>
      <c r="V1162" s="296"/>
      <c r="W1162" s="296"/>
      <c r="X1162" s="296"/>
      <c r="Y1162" s="296"/>
      <c r="Z1162" s="296"/>
      <c r="AA1162" s="296"/>
      <c r="AB1162" s="296"/>
      <c r="AC1162" s="296"/>
      <c r="AD1162" s="296"/>
      <c r="AE1162" s="307"/>
      <c r="AF1162" s="273"/>
      <c r="AG1162" s="274"/>
    </row>
    <row r="1163">
      <c r="A1163" s="296"/>
      <c r="B1163" s="269"/>
      <c r="C1163" s="296"/>
      <c r="D1163" s="296"/>
      <c r="E1163" s="296"/>
      <c r="F1163" s="296"/>
      <c r="G1163" s="296"/>
      <c r="H1163" s="296"/>
      <c r="I1163" s="296"/>
      <c r="J1163" s="296"/>
      <c r="K1163" s="296"/>
      <c r="L1163" s="296"/>
      <c r="M1163" s="296"/>
      <c r="N1163" s="296"/>
      <c r="O1163" s="269"/>
      <c r="P1163" s="269"/>
      <c r="Q1163" s="269"/>
      <c r="R1163" s="296"/>
      <c r="S1163" s="296"/>
      <c r="T1163" s="296"/>
      <c r="U1163" s="296"/>
      <c r="V1163" s="296"/>
      <c r="W1163" s="296"/>
      <c r="X1163" s="296"/>
      <c r="Y1163" s="296"/>
      <c r="Z1163" s="296"/>
      <c r="AA1163" s="296"/>
      <c r="AB1163" s="296"/>
      <c r="AC1163" s="296"/>
      <c r="AD1163" s="296"/>
      <c r="AE1163" s="307"/>
      <c r="AF1163" s="273"/>
      <c r="AG1163" s="274"/>
    </row>
    <row r="1164">
      <c r="A1164" s="296"/>
      <c r="B1164" s="269"/>
      <c r="C1164" s="296"/>
      <c r="D1164" s="296"/>
      <c r="E1164" s="296"/>
      <c r="F1164" s="296"/>
      <c r="G1164" s="296"/>
      <c r="H1164" s="296"/>
      <c r="I1164" s="296"/>
      <c r="J1164" s="296"/>
      <c r="K1164" s="296"/>
      <c r="L1164" s="296"/>
      <c r="M1164" s="296"/>
      <c r="N1164" s="296"/>
      <c r="O1164" s="269"/>
      <c r="P1164" s="269"/>
      <c r="Q1164" s="269"/>
      <c r="R1164" s="296"/>
      <c r="S1164" s="296"/>
      <c r="T1164" s="296"/>
      <c r="U1164" s="296"/>
      <c r="V1164" s="296"/>
      <c r="W1164" s="296"/>
      <c r="X1164" s="296"/>
      <c r="Y1164" s="296"/>
      <c r="Z1164" s="296"/>
      <c r="AA1164" s="296"/>
      <c r="AB1164" s="296"/>
      <c r="AC1164" s="296"/>
      <c r="AD1164" s="296"/>
      <c r="AE1164" s="307"/>
      <c r="AF1164" s="273"/>
      <c r="AG1164" s="274"/>
    </row>
    <row r="1165">
      <c r="A1165" s="296"/>
      <c r="B1165" s="269"/>
      <c r="C1165" s="296"/>
      <c r="D1165" s="296"/>
      <c r="E1165" s="296"/>
      <c r="F1165" s="296"/>
      <c r="G1165" s="296"/>
      <c r="H1165" s="296"/>
      <c r="I1165" s="296"/>
      <c r="J1165" s="296"/>
      <c r="K1165" s="296"/>
      <c r="L1165" s="296"/>
      <c r="M1165" s="296"/>
      <c r="N1165" s="296"/>
      <c r="O1165" s="269"/>
      <c r="P1165" s="269"/>
      <c r="Q1165" s="269"/>
      <c r="R1165" s="296"/>
      <c r="S1165" s="296"/>
      <c r="T1165" s="296"/>
      <c r="U1165" s="296"/>
      <c r="V1165" s="296"/>
      <c r="W1165" s="296"/>
      <c r="X1165" s="296"/>
      <c r="Y1165" s="296"/>
      <c r="Z1165" s="296"/>
      <c r="AA1165" s="296"/>
      <c r="AB1165" s="296"/>
      <c r="AC1165" s="296"/>
      <c r="AD1165" s="296"/>
      <c r="AE1165" s="307"/>
      <c r="AF1165" s="273"/>
      <c r="AG1165" s="274"/>
    </row>
    <row r="1166">
      <c r="A1166" s="296"/>
      <c r="B1166" s="269"/>
      <c r="C1166" s="296"/>
      <c r="D1166" s="296"/>
      <c r="E1166" s="296"/>
      <c r="F1166" s="296"/>
      <c r="G1166" s="296"/>
      <c r="H1166" s="296"/>
      <c r="I1166" s="296"/>
      <c r="J1166" s="296"/>
      <c r="K1166" s="296"/>
      <c r="L1166" s="296"/>
      <c r="M1166" s="296"/>
      <c r="N1166" s="296"/>
      <c r="O1166" s="269"/>
      <c r="P1166" s="269"/>
      <c r="Q1166" s="269"/>
      <c r="R1166" s="296"/>
      <c r="S1166" s="296"/>
      <c r="T1166" s="296"/>
      <c r="U1166" s="296"/>
      <c r="V1166" s="296"/>
      <c r="W1166" s="296"/>
      <c r="X1166" s="296"/>
      <c r="Y1166" s="296"/>
      <c r="Z1166" s="296"/>
      <c r="AA1166" s="296"/>
      <c r="AB1166" s="296"/>
      <c r="AC1166" s="296"/>
      <c r="AD1166" s="296"/>
      <c r="AE1166" s="307"/>
      <c r="AF1166" s="273"/>
      <c r="AG1166" s="274"/>
    </row>
    <row r="1167">
      <c r="A1167" s="296"/>
      <c r="B1167" s="269"/>
      <c r="C1167" s="296"/>
      <c r="D1167" s="296"/>
      <c r="E1167" s="296"/>
      <c r="F1167" s="296"/>
      <c r="G1167" s="296"/>
      <c r="H1167" s="296"/>
      <c r="I1167" s="296"/>
      <c r="J1167" s="296"/>
      <c r="K1167" s="296"/>
      <c r="L1167" s="296"/>
      <c r="M1167" s="296"/>
      <c r="N1167" s="296"/>
      <c r="O1167" s="269"/>
      <c r="P1167" s="269"/>
      <c r="Q1167" s="269"/>
      <c r="R1167" s="296"/>
      <c r="S1167" s="296"/>
      <c r="T1167" s="296"/>
      <c r="U1167" s="296"/>
      <c r="V1167" s="296"/>
      <c r="W1167" s="296"/>
      <c r="X1167" s="296"/>
      <c r="Y1167" s="296"/>
      <c r="Z1167" s="296"/>
      <c r="AA1167" s="296"/>
      <c r="AB1167" s="296"/>
      <c r="AC1167" s="296"/>
      <c r="AD1167" s="296"/>
      <c r="AE1167" s="307"/>
      <c r="AF1167" s="273"/>
      <c r="AG1167" s="274"/>
    </row>
    <row r="1168">
      <c r="A1168" s="296"/>
      <c r="B1168" s="269"/>
      <c r="C1168" s="296"/>
      <c r="D1168" s="296"/>
      <c r="E1168" s="296"/>
      <c r="F1168" s="296"/>
      <c r="G1168" s="296"/>
      <c r="H1168" s="296"/>
      <c r="I1168" s="296"/>
      <c r="J1168" s="296"/>
      <c r="K1168" s="296"/>
      <c r="L1168" s="296"/>
      <c r="M1168" s="296"/>
      <c r="N1168" s="296"/>
      <c r="O1168" s="269"/>
      <c r="P1168" s="269"/>
      <c r="Q1168" s="269"/>
      <c r="R1168" s="296"/>
      <c r="S1168" s="296"/>
      <c r="T1168" s="296"/>
      <c r="U1168" s="296"/>
      <c r="V1168" s="296"/>
      <c r="W1168" s="296"/>
      <c r="X1168" s="296"/>
      <c r="Y1168" s="296"/>
      <c r="Z1168" s="296"/>
      <c r="AA1168" s="296"/>
      <c r="AB1168" s="296"/>
      <c r="AC1168" s="296"/>
      <c r="AD1168" s="296"/>
      <c r="AE1168" s="307"/>
      <c r="AF1168" s="273"/>
      <c r="AG1168" s="274"/>
    </row>
    <row r="1169">
      <c r="A1169" s="296"/>
      <c r="B1169" s="269"/>
      <c r="C1169" s="296"/>
      <c r="D1169" s="296"/>
      <c r="E1169" s="296"/>
      <c r="F1169" s="296"/>
      <c r="G1169" s="296"/>
      <c r="H1169" s="296"/>
      <c r="I1169" s="296"/>
      <c r="J1169" s="296"/>
      <c r="K1169" s="296"/>
      <c r="L1169" s="296"/>
      <c r="M1169" s="296"/>
      <c r="N1169" s="296"/>
      <c r="O1169" s="269"/>
      <c r="P1169" s="269"/>
      <c r="Q1169" s="269"/>
      <c r="R1169" s="296"/>
      <c r="S1169" s="296"/>
      <c r="T1169" s="296"/>
      <c r="U1169" s="296"/>
      <c r="V1169" s="296"/>
      <c r="W1169" s="296"/>
      <c r="X1169" s="296"/>
      <c r="Y1169" s="296"/>
      <c r="Z1169" s="296"/>
      <c r="AA1169" s="296"/>
      <c r="AB1169" s="296"/>
      <c r="AC1169" s="296"/>
      <c r="AD1169" s="296"/>
      <c r="AE1169" s="307"/>
      <c r="AF1169" s="273"/>
      <c r="AG1169" s="274"/>
    </row>
    <row r="1170">
      <c r="A1170" s="296"/>
      <c r="B1170" s="269"/>
      <c r="C1170" s="296"/>
      <c r="D1170" s="296"/>
      <c r="E1170" s="296"/>
      <c r="F1170" s="296"/>
      <c r="G1170" s="296"/>
      <c r="H1170" s="296"/>
      <c r="I1170" s="296"/>
      <c r="J1170" s="296"/>
      <c r="K1170" s="296"/>
      <c r="L1170" s="296"/>
      <c r="M1170" s="296"/>
      <c r="N1170" s="296"/>
      <c r="O1170" s="269"/>
      <c r="P1170" s="269"/>
      <c r="Q1170" s="269"/>
      <c r="R1170" s="296"/>
      <c r="S1170" s="296"/>
      <c r="T1170" s="296"/>
      <c r="U1170" s="296"/>
      <c r="V1170" s="296"/>
      <c r="W1170" s="296"/>
      <c r="X1170" s="296"/>
      <c r="Y1170" s="296"/>
      <c r="Z1170" s="296"/>
      <c r="AA1170" s="296"/>
      <c r="AB1170" s="296"/>
      <c r="AC1170" s="296"/>
      <c r="AD1170" s="296"/>
      <c r="AE1170" s="307"/>
      <c r="AF1170" s="273"/>
      <c r="AG1170" s="274"/>
    </row>
    <row r="1171">
      <c r="A1171" s="296"/>
      <c r="B1171" s="269"/>
      <c r="C1171" s="296"/>
      <c r="D1171" s="296"/>
      <c r="E1171" s="296"/>
      <c r="F1171" s="296"/>
      <c r="G1171" s="296"/>
      <c r="H1171" s="296"/>
      <c r="I1171" s="296"/>
      <c r="J1171" s="296"/>
      <c r="K1171" s="296"/>
      <c r="L1171" s="296"/>
      <c r="M1171" s="296"/>
      <c r="N1171" s="296"/>
      <c r="O1171" s="269"/>
      <c r="P1171" s="269"/>
      <c r="Q1171" s="269"/>
      <c r="R1171" s="296"/>
      <c r="S1171" s="296"/>
      <c r="T1171" s="296"/>
      <c r="U1171" s="296"/>
      <c r="V1171" s="296"/>
      <c r="W1171" s="296"/>
      <c r="X1171" s="296"/>
      <c r="Y1171" s="296"/>
      <c r="Z1171" s="296"/>
      <c r="AA1171" s="296"/>
      <c r="AB1171" s="296"/>
      <c r="AC1171" s="296"/>
      <c r="AD1171" s="296"/>
      <c r="AE1171" s="307"/>
      <c r="AF1171" s="273"/>
      <c r="AG1171" s="274"/>
    </row>
    <row r="1172">
      <c r="A1172" s="296"/>
      <c r="B1172" s="269"/>
      <c r="C1172" s="296"/>
      <c r="D1172" s="296"/>
      <c r="E1172" s="296"/>
      <c r="F1172" s="296"/>
      <c r="G1172" s="296"/>
      <c r="H1172" s="296"/>
      <c r="I1172" s="296"/>
      <c r="J1172" s="296"/>
      <c r="K1172" s="296"/>
      <c r="L1172" s="296"/>
      <c r="M1172" s="296"/>
      <c r="N1172" s="296"/>
      <c r="O1172" s="269"/>
      <c r="P1172" s="269"/>
      <c r="Q1172" s="269"/>
      <c r="R1172" s="296"/>
      <c r="S1172" s="296"/>
      <c r="T1172" s="296"/>
      <c r="U1172" s="296"/>
      <c r="V1172" s="296"/>
      <c r="W1172" s="296"/>
      <c r="X1172" s="296"/>
      <c r="Y1172" s="296"/>
      <c r="Z1172" s="296"/>
      <c r="AA1172" s="296"/>
      <c r="AB1172" s="296"/>
      <c r="AC1172" s="296"/>
      <c r="AD1172" s="296"/>
      <c r="AE1172" s="307"/>
      <c r="AF1172" s="273"/>
      <c r="AG1172" s="274"/>
    </row>
    <row r="1173">
      <c r="A1173" s="296"/>
      <c r="B1173" s="269"/>
      <c r="C1173" s="296"/>
      <c r="D1173" s="296"/>
      <c r="E1173" s="296"/>
      <c r="F1173" s="296"/>
      <c r="G1173" s="296"/>
      <c r="H1173" s="296"/>
      <c r="I1173" s="296"/>
      <c r="J1173" s="296"/>
      <c r="K1173" s="296"/>
      <c r="L1173" s="296"/>
      <c r="M1173" s="296"/>
      <c r="N1173" s="296"/>
      <c r="O1173" s="269"/>
      <c r="P1173" s="269"/>
      <c r="Q1173" s="269"/>
      <c r="R1173" s="296"/>
      <c r="S1173" s="296"/>
      <c r="T1173" s="296"/>
      <c r="U1173" s="296"/>
      <c r="V1173" s="296"/>
      <c r="W1173" s="296"/>
      <c r="X1173" s="296"/>
      <c r="Y1173" s="296"/>
      <c r="Z1173" s="296"/>
      <c r="AA1173" s="296"/>
      <c r="AB1173" s="296"/>
      <c r="AC1173" s="296"/>
      <c r="AD1173" s="296"/>
      <c r="AE1173" s="307"/>
      <c r="AF1173" s="273"/>
      <c r="AG1173" s="274"/>
    </row>
    <row r="1174">
      <c r="A1174" s="296"/>
      <c r="B1174" s="269"/>
      <c r="C1174" s="296"/>
      <c r="D1174" s="296"/>
      <c r="E1174" s="296"/>
      <c r="F1174" s="296"/>
      <c r="G1174" s="296"/>
      <c r="H1174" s="296"/>
      <c r="I1174" s="296"/>
      <c r="J1174" s="296"/>
      <c r="K1174" s="296"/>
      <c r="L1174" s="296"/>
      <c r="M1174" s="296"/>
      <c r="N1174" s="296"/>
      <c r="O1174" s="269"/>
      <c r="P1174" s="269"/>
      <c r="Q1174" s="269"/>
      <c r="R1174" s="296"/>
      <c r="S1174" s="296"/>
      <c r="T1174" s="296"/>
      <c r="U1174" s="296"/>
      <c r="V1174" s="296"/>
      <c r="W1174" s="296"/>
      <c r="X1174" s="296"/>
      <c r="Y1174" s="296"/>
      <c r="Z1174" s="296"/>
      <c r="AA1174" s="296"/>
      <c r="AB1174" s="296"/>
      <c r="AC1174" s="296"/>
      <c r="AD1174" s="296"/>
      <c r="AE1174" s="307"/>
      <c r="AF1174" s="273"/>
      <c r="AG1174" s="274"/>
    </row>
    <row r="1175">
      <c r="A1175" s="296"/>
      <c r="B1175" s="269"/>
      <c r="C1175" s="296"/>
      <c r="D1175" s="296"/>
      <c r="E1175" s="296"/>
      <c r="F1175" s="296"/>
      <c r="G1175" s="296"/>
      <c r="H1175" s="296"/>
      <c r="I1175" s="296"/>
      <c r="J1175" s="296"/>
      <c r="K1175" s="296"/>
      <c r="L1175" s="296"/>
      <c r="M1175" s="296"/>
      <c r="N1175" s="296"/>
      <c r="O1175" s="269"/>
      <c r="P1175" s="269"/>
      <c r="Q1175" s="269"/>
      <c r="R1175" s="296"/>
      <c r="S1175" s="296"/>
      <c r="T1175" s="296"/>
      <c r="U1175" s="296"/>
      <c r="V1175" s="296"/>
      <c r="W1175" s="296"/>
      <c r="X1175" s="296"/>
      <c r="Y1175" s="296"/>
      <c r="Z1175" s="296"/>
      <c r="AA1175" s="296"/>
      <c r="AB1175" s="296"/>
      <c r="AC1175" s="296"/>
      <c r="AD1175" s="296"/>
      <c r="AE1175" s="307"/>
      <c r="AF1175" s="273"/>
      <c r="AG1175" s="274"/>
    </row>
    <row r="1176">
      <c r="A1176" s="296"/>
      <c r="B1176" s="269"/>
      <c r="C1176" s="296"/>
      <c r="D1176" s="296"/>
      <c r="E1176" s="296"/>
      <c r="F1176" s="296"/>
      <c r="G1176" s="296"/>
      <c r="H1176" s="296"/>
      <c r="I1176" s="296"/>
      <c r="J1176" s="296"/>
      <c r="K1176" s="296"/>
      <c r="L1176" s="296"/>
      <c r="M1176" s="296"/>
      <c r="N1176" s="296"/>
      <c r="O1176" s="269"/>
      <c r="P1176" s="269"/>
      <c r="Q1176" s="269"/>
      <c r="R1176" s="296"/>
      <c r="S1176" s="296"/>
      <c r="T1176" s="296"/>
      <c r="U1176" s="296"/>
      <c r="V1176" s="296"/>
      <c r="W1176" s="296"/>
      <c r="X1176" s="296"/>
      <c r="Y1176" s="296"/>
      <c r="Z1176" s="296"/>
      <c r="AA1176" s="296"/>
      <c r="AB1176" s="296"/>
      <c r="AC1176" s="296"/>
      <c r="AD1176" s="296"/>
      <c r="AE1176" s="307"/>
      <c r="AF1176" s="273"/>
      <c r="AG1176" s="274"/>
    </row>
    <row r="1177">
      <c r="A1177" s="296"/>
      <c r="B1177" s="269"/>
      <c r="C1177" s="296"/>
      <c r="D1177" s="296"/>
      <c r="E1177" s="296"/>
      <c r="F1177" s="296"/>
      <c r="G1177" s="296"/>
      <c r="H1177" s="296"/>
      <c r="I1177" s="296"/>
      <c r="J1177" s="296"/>
      <c r="K1177" s="296"/>
      <c r="L1177" s="296"/>
      <c r="M1177" s="296"/>
      <c r="N1177" s="296"/>
      <c r="O1177" s="269"/>
      <c r="P1177" s="269"/>
      <c r="Q1177" s="269"/>
      <c r="R1177" s="296"/>
      <c r="S1177" s="296"/>
      <c r="T1177" s="296"/>
      <c r="U1177" s="296"/>
      <c r="V1177" s="296"/>
      <c r="W1177" s="296"/>
      <c r="X1177" s="296"/>
      <c r="Y1177" s="296"/>
      <c r="Z1177" s="296"/>
      <c r="AA1177" s="296"/>
      <c r="AB1177" s="296"/>
      <c r="AC1177" s="296"/>
      <c r="AD1177" s="296"/>
      <c r="AE1177" s="307"/>
      <c r="AF1177" s="273"/>
      <c r="AG1177" s="274"/>
    </row>
    <row r="1178">
      <c r="A1178" s="296"/>
      <c r="B1178" s="269"/>
      <c r="C1178" s="296"/>
      <c r="D1178" s="296"/>
      <c r="E1178" s="296"/>
      <c r="F1178" s="296"/>
      <c r="G1178" s="296"/>
      <c r="H1178" s="296"/>
      <c r="I1178" s="296"/>
      <c r="J1178" s="296"/>
      <c r="K1178" s="296"/>
      <c r="L1178" s="296"/>
      <c r="M1178" s="296"/>
      <c r="N1178" s="296"/>
      <c r="O1178" s="269"/>
      <c r="P1178" s="269"/>
      <c r="Q1178" s="269"/>
      <c r="R1178" s="296"/>
      <c r="S1178" s="296"/>
      <c r="T1178" s="296"/>
      <c r="U1178" s="296"/>
      <c r="V1178" s="296"/>
      <c r="W1178" s="296"/>
      <c r="X1178" s="296"/>
      <c r="Y1178" s="296"/>
      <c r="Z1178" s="296"/>
      <c r="AA1178" s="296"/>
      <c r="AB1178" s="296"/>
      <c r="AC1178" s="296"/>
      <c r="AD1178" s="296"/>
      <c r="AE1178" s="307"/>
      <c r="AF1178" s="273"/>
      <c r="AG1178" s="274"/>
    </row>
    <row r="1179">
      <c r="A1179" s="296"/>
      <c r="B1179" s="269"/>
      <c r="C1179" s="296"/>
      <c r="D1179" s="296"/>
      <c r="E1179" s="296"/>
      <c r="F1179" s="296"/>
      <c r="G1179" s="296"/>
      <c r="H1179" s="296"/>
      <c r="I1179" s="296"/>
      <c r="J1179" s="296"/>
      <c r="K1179" s="296"/>
      <c r="L1179" s="296"/>
      <c r="M1179" s="296"/>
      <c r="N1179" s="296"/>
      <c r="O1179" s="269"/>
      <c r="P1179" s="269"/>
      <c r="Q1179" s="269"/>
      <c r="R1179" s="296"/>
      <c r="S1179" s="296"/>
      <c r="T1179" s="296"/>
      <c r="U1179" s="296"/>
      <c r="V1179" s="296"/>
      <c r="W1179" s="296"/>
      <c r="X1179" s="296"/>
      <c r="Y1179" s="296"/>
      <c r="Z1179" s="296"/>
      <c r="AA1179" s="296"/>
      <c r="AB1179" s="296"/>
      <c r="AC1179" s="296"/>
      <c r="AD1179" s="296"/>
      <c r="AE1179" s="307"/>
      <c r="AF1179" s="273"/>
      <c r="AG1179" s="274"/>
    </row>
    <row r="1180">
      <c r="A1180" s="296"/>
      <c r="B1180" s="269"/>
      <c r="C1180" s="296"/>
      <c r="D1180" s="296"/>
      <c r="E1180" s="296"/>
      <c r="F1180" s="296"/>
      <c r="G1180" s="296"/>
      <c r="H1180" s="296"/>
      <c r="I1180" s="296"/>
      <c r="J1180" s="296"/>
      <c r="K1180" s="296"/>
      <c r="L1180" s="296"/>
      <c r="M1180" s="296"/>
      <c r="N1180" s="296"/>
      <c r="O1180" s="269"/>
      <c r="P1180" s="269"/>
      <c r="Q1180" s="269"/>
      <c r="R1180" s="296"/>
      <c r="S1180" s="296"/>
      <c r="T1180" s="296"/>
      <c r="U1180" s="296"/>
      <c r="V1180" s="296"/>
      <c r="W1180" s="296"/>
      <c r="X1180" s="296"/>
      <c r="Y1180" s="296"/>
      <c r="Z1180" s="296"/>
      <c r="AA1180" s="296"/>
      <c r="AB1180" s="296"/>
      <c r="AC1180" s="296"/>
      <c r="AD1180" s="296"/>
      <c r="AE1180" s="307"/>
      <c r="AF1180" s="273"/>
      <c r="AG1180" s="274"/>
    </row>
    <row r="1181">
      <c r="A1181" s="296"/>
      <c r="B1181" s="269"/>
      <c r="C1181" s="296"/>
      <c r="D1181" s="296"/>
      <c r="E1181" s="296"/>
      <c r="F1181" s="296"/>
      <c r="G1181" s="296"/>
      <c r="H1181" s="296"/>
      <c r="I1181" s="296"/>
      <c r="J1181" s="296"/>
      <c r="K1181" s="296"/>
      <c r="L1181" s="296"/>
      <c r="M1181" s="296"/>
      <c r="N1181" s="296"/>
      <c r="O1181" s="269"/>
      <c r="P1181" s="269"/>
      <c r="Q1181" s="269"/>
      <c r="R1181" s="296"/>
      <c r="S1181" s="296"/>
      <c r="T1181" s="296"/>
      <c r="U1181" s="296"/>
      <c r="V1181" s="296"/>
      <c r="W1181" s="296"/>
      <c r="X1181" s="296"/>
      <c r="Y1181" s="296"/>
      <c r="Z1181" s="296"/>
      <c r="AA1181" s="296"/>
      <c r="AB1181" s="296"/>
      <c r="AC1181" s="296"/>
      <c r="AD1181" s="296"/>
      <c r="AE1181" s="307"/>
      <c r="AF1181" s="273"/>
      <c r="AG1181" s="274"/>
    </row>
    <row r="1182">
      <c r="A1182" s="296"/>
      <c r="B1182" s="269"/>
      <c r="C1182" s="296"/>
      <c r="D1182" s="296"/>
      <c r="E1182" s="296"/>
      <c r="F1182" s="296"/>
      <c r="G1182" s="296"/>
      <c r="H1182" s="296"/>
      <c r="I1182" s="296"/>
      <c r="J1182" s="296"/>
      <c r="K1182" s="296"/>
      <c r="L1182" s="296"/>
      <c r="M1182" s="296"/>
      <c r="N1182" s="296"/>
      <c r="O1182" s="269"/>
      <c r="P1182" s="269"/>
      <c r="Q1182" s="269"/>
      <c r="R1182" s="296"/>
      <c r="S1182" s="296"/>
      <c r="T1182" s="296"/>
      <c r="U1182" s="296"/>
      <c r="V1182" s="296"/>
      <c r="W1182" s="296"/>
      <c r="X1182" s="296"/>
      <c r="Y1182" s="296"/>
      <c r="Z1182" s="296"/>
      <c r="AA1182" s="296"/>
      <c r="AB1182" s="296"/>
      <c r="AC1182" s="296"/>
      <c r="AD1182" s="296"/>
      <c r="AE1182" s="307"/>
      <c r="AF1182" s="273"/>
      <c r="AG1182" s="274"/>
    </row>
    <row r="1183">
      <c r="A1183" s="296"/>
      <c r="B1183" s="269"/>
      <c r="C1183" s="296"/>
      <c r="D1183" s="296"/>
      <c r="E1183" s="296"/>
      <c r="F1183" s="296"/>
      <c r="G1183" s="296"/>
      <c r="H1183" s="296"/>
      <c r="I1183" s="296"/>
      <c r="J1183" s="296"/>
      <c r="K1183" s="296"/>
      <c r="L1183" s="296"/>
      <c r="M1183" s="296"/>
      <c r="N1183" s="296"/>
      <c r="O1183" s="269"/>
      <c r="P1183" s="269"/>
      <c r="Q1183" s="269"/>
      <c r="R1183" s="296"/>
      <c r="S1183" s="296"/>
      <c r="T1183" s="296"/>
      <c r="U1183" s="296"/>
      <c r="V1183" s="296"/>
      <c r="W1183" s="296"/>
      <c r="X1183" s="296"/>
      <c r="Y1183" s="296"/>
      <c r="Z1183" s="296"/>
      <c r="AA1183" s="296"/>
      <c r="AB1183" s="296"/>
      <c r="AC1183" s="296"/>
      <c r="AD1183" s="296"/>
      <c r="AE1183" s="307"/>
      <c r="AF1183" s="273"/>
      <c r="AG1183" s="274"/>
    </row>
    <row r="1184">
      <c r="A1184" s="296"/>
      <c r="B1184" s="269"/>
      <c r="C1184" s="296"/>
      <c r="D1184" s="296"/>
      <c r="E1184" s="296"/>
      <c r="F1184" s="296"/>
      <c r="G1184" s="296"/>
      <c r="H1184" s="296"/>
      <c r="I1184" s="296"/>
      <c r="J1184" s="296"/>
      <c r="K1184" s="296"/>
      <c r="L1184" s="296"/>
      <c r="M1184" s="296"/>
      <c r="N1184" s="296"/>
      <c r="O1184" s="269"/>
      <c r="P1184" s="269"/>
      <c r="Q1184" s="269"/>
      <c r="R1184" s="296"/>
      <c r="S1184" s="296"/>
      <c r="T1184" s="296"/>
      <c r="U1184" s="296"/>
      <c r="V1184" s="296"/>
      <c r="W1184" s="296"/>
      <c r="X1184" s="296"/>
      <c r="Y1184" s="296"/>
      <c r="Z1184" s="296"/>
      <c r="AA1184" s="296"/>
      <c r="AB1184" s="296"/>
      <c r="AC1184" s="296"/>
      <c r="AD1184" s="296"/>
      <c r="AE1184" s="307"/>
      <c r="AF1184" s="273"/>
      <c r="AG1184" s="274"/>
    </row>
    <row r="1185">
      <c r="A1185" s="296"/>
      <c r="B1185" s="269"/>
      <c r="C1185" s="296"/>
      <c r="D1185" s="296"/>
      <c r="E1185" s="296"/>
      <c r="F1185" s="296"/>
      <c r="G1185" s="296"/>
      <c r="H1185" s="296"/>
      <c r="I1185" s="296"/>
      <c r="J1185" s="296"/>
      <c r="K1185" s="296"/>
      <c r="L1185" s="296"/>
      <c r="M1185" s="296"/>
      <c r="N1185" s="296"/>
      <c r="O1185" s="269"/>
      <c r="P1185" s="269"/>
      <c r="Q1185" s="269"/>
      <c r="R1185" s="296"/>
      <c r="S1185" s="296"/>
      <c r="T1185" s="296"/>
      <c r="U1185" s="296"/>
      <c r="V1185" s="296"/>
      <c r="W1185" s="296"/>
      <c r="X1185" s="296"/>
      <c r="Y1185" s="296"/>
      <c r="Z1185" s="296"/>
      <c r="AA1185" s="296"/>
      <c r="AB1185" s="296"/>
      <c r="AC1185" s="296"/>
      <c r="AD1185" s="296"/>
      <c r="AE1185" s="307"/>
      <c r="AF1185" s="273"/>
      <c r="AG1185" s="274"/>
    </row>
    <row r="1186">
      <c r="A1186" s="296"/>
      <c r="B1186" s="269"/>
      <c r="C1186" s="296"/>
      <c r="D1186" s="296"/>
      <c r="E1186" s="296"/>
      <c r="F1186" s="296"/>
      <c r="G1186" s="296"/>
      <c r="H1186" s="296"/>
      <c r="I1186" s="296"/>
      <c r="J1186" s="296"/>
      <c r="K1186" s="296"/>
      <c r="L1186" s="296"/>
      <c r="M1186" s="296"/>
      <c r="N1186" s="296"/>
      <c r="O1186" s="269"/>
      <c r="P1186" s="269"/>
      <c r="Q1186" s="269"/>
      <c r="R1186" s="296"/>
      <c r="S1186" s="296"/>
      <c r="T1186" s="296"/>
      <c r="U1186" s="296"/>
      <c r="V1186" s="296"/>
      <c r="W1186" s="296"/>
      <c r="X1186" s="296"/>
      <c r="Y1186" s="296"/>
      <c r="Z1186" s="296"/>
      <c r="AA1186" s="296"/>
      <c r="AB1186" s="296"/>
      <c r="AC1186" s="296"/>
      <c r="AD1186" s="296"/>
      <c r="AE1186" s="307"/>
      <c r="AF1186" s="273"/>
      <c r="AG1186" s="274"/>
    </row>
    <row r="1187">
      <c r="A1187" s="296"/>
      <c r="B1187" s="269"/>
      <c r="C1187" s="296"/>
      <c r="D1187" s="296"/>
      <c r="E1187" s="296"/>
      <c r="F1187" s="296"/>
      <c r="G1187" s="296"/>
      <c r="H1187" s="296"/>
      <c r="I1187" s="296"/>
      <c r="J1187" s="296"/>
      <c r="K1187" s="296"/>
      <c r="L1187" s="296"/>
      <c r="M1187" s="296"/>
      <c r="N1187" s="296"/>
      <c r="O1187" s="269"/>
      <c r="P1187" s="269"/>
      <c r="Q1187" s="269"/>
      <c r="R1187" s="296"/>
      <c r="S1187" s="296"/>
      <c r="T1187" s="296"/>
      <c r="U1187" s="296"/>
      <c r="V1187" s="296"/>
      <c r="W1187" s="296"/>
      <c r="X1187" s="296"/>
      <c r="Y1187" s="296"/>
      <c r="Z1187" s="296"/>
      <c r="AA1187" s="296"/>
      <c r="AB1187" s="296"/>
      <c r="AC1187" s="296"/>
      <c r="AD1187" s="296"/>
      <c r="AE1187" s="307"/>
      <c r="AF1187" s="273"/>
      <c r="AG1187" s="274"/>
    </row>
    <row r="1188">
      <c r="A1188" s="296"/>
      <c r="B1188" s="269"/>
      <c r="C1188" s="296"/>
      <c r="D1188" s="296"/>
      <c r="E1188" s="296"/>
      <c r="F1188" s="296"/>
      <c r="G1188" s="296"/>
      <c r="H1188" s="296"/>
      <c r="I1188" s="296"/>
      <c r="J1188" s="296"/>
      <c r="K1188" s="296"/>
      <c r="L1188" s="296"/>
      <c r="M1188" s="296"/>
      <c r="N1188" s="296"/>
      <c r="O1188" s="269"/>
      <c r="P1188" s="269"/>
      <c r="Q1188" s="269"/>
      <c r="R1188" s="296"/>
      <c r="S1188" s="296"/>
      <c r="T1188" s="296"/>
      <c r="U1188" s="296"/>
      <c r="V1188" s="296"/>
      <c r="W1188" s="296"/>
      <c r="X1188" s="296"/>
      <c r="Y1188" s="296"/>
      <c r="Z1188" s="296"/>
      <c r="AA1188" s="296"/>
      <c r="AB1188" s="296"/>
      <c r="AC1188" s="296"/>
      <c r="AD1188" s="296"/>
      <c r="AE1188" s="307"/>
      <c r="AF1188" s="273"/>
      <c r="AG1188" s="274"/>
    </row>
    <row r="1189">
      <c r="A1189" s="296"/>
      <c r="B1189" s="269"/>
      <c r="C1189" s="296"/>
      <c r="D1189" s="296"/>
      <c r="E1189" s="296"/>
      <c r="F1189" s="296"/>
      <c r="G1189" s="296"/>
      <c r="H1189" s="296"/>
      <c r="I1189" s="296"/>
      <c r="J1189" s="296"/>
      <c r="K1189" s="296"/>
      <c r="L1189" s="296"/>
      <c r="M1189" s="296"/>
      <c r="N1189" s="296"/>
      <c r="O1189" s="269"/>
      <c r="P1189" s="269"/>
      <c r="Q1189" s="269"/>
      <c r="R1189" s="296"/>
      <c r="S1189" s="296"/>
      <c r="T1189" s="296"/>
      <c r="U1189" s="296"/>
      <c r="V1189" s="296"/>
      <c r="W1189" s="296"/>
      <c r="X1189" s="296"/>
      <c r="Y1189" s="296"/>
      <c r="Z1189" s="296"/>
      <c r="AA1189" s="296"/>
      <c r="AB1189" s="296"/>
      <c r="AC1189" s="296"/>
      <c r="AD1189" s="296"/>
      <c r="AE1189" s="307"/>
      <c r="AF1189" s="273"/>
      <c r="AG1189" s="274"/>
    </row>
    <row r="1190">
      <c r="A1190" s="296"/>
      <c r="B1190" s="269"/>
      <c r="C1190" s="296"/>
      <c r="D1190" s="296"/>
      <c r="E1190" s="296"/>
      <c r="F1190" s="296"/>
      <c r="G1190" s="296"/>
      <c r="H1190" s="296"/>
      <c r="I1190" s="296"/>
      <c r="J1190" s="296"/>
      <c r="K1190" s="296"/>
      <c r="L1190" s="296"/>
      <c r="M1190" s="296"/>
      <c r="N1190" s="296"/>
      <c r="O1190" s="269"/>
      <c r="P1190" s="269"/>
      <c r="Q1190" s="269"/>
      <c r="R1190" s="296"/>
      <c r="S1190" s="296"/>
      <c r="T1190" s="296"/>
      <c r="U1190" s="296"/>
      <c r="V1190" s="296"/>
      <c r="W1190" s="296"/>
      <c r="X1190" s="296"/>
      <c r="Y1190" s="296"/>
      <c r="Z1190" s="296"/>
      <c r="AA1190" s="296"/>
      <c r="AB1190" s="296"/>
      <c r="AC1190" s="296"/>
      <c r="AD1190" s="296"/>
      <c r="AE1190" s="307"/>
      <c r="AF1190" s="273"/>
      <c r="AG1190" s="274"/>
    </row>
    <row r="1191">
      <c r="A1191" s="296"/>
      <c r="B1191" s="269"/>
      <c r="C1191" s="296"/>
      <c r="D1191" s="296"/>
      <c r="E1191" s="296"/>
      <c r="F1191" s="296"/>
      <c r="G1191" s="296"/>
      <c r="H1191" s="296"/>
      <c r="I1191" s="296"/>
      <c r="J1191" s="296"/>
      <c r="K1191" s="296"/>
      <c r="L1191" s="296"/>
      <c r="M1191" s="296"/>
      <c r="N1191" s="296"/>
      <c r="O1191" s="269"/>
      <c r="P1191" s="269"/>
      <c r="Q1191" s="269"/>
      <c r="R1191" s="296"/>
      <c r="S1191" s="296"/>
      <c r="T1191" s="296"/>
      <c r="U1191" s="296"/>
      <c r="V1191" s="296"/>
      <c r="W1191" s="296"/>
      <c r="X1191" s="296"/>
      <c r="Y1191" s="296"/>
      <c r="Z1191" s="296"/>
      <c r="AA1191" s="296"/>
      <c r="AB1191" s="296"/>
      <c r="AC1191" s="296"/>
      <c r="AD1191" s="296"/>
      <c r="AE1191" s="307"/>
      <c r="AF1191" s="273"/>
      <c r="AG1191" s="274"/>
    </row>
    <row r="1192">
      <c r="A1192" s="296"/>
      <c r="B1192" s="269"/>
      <c r="C1192" s="296"/>
      <c r="D1192" s="296"/>
      <c r="E1192" s="296"/>
      <c r="F1192" s="296"/>
      <c r="G1192" s="296"/>
      <c r="H1192" s="296"/>
      <c r="I1192" s="296"/>
      <c r="J1192" s="296"/>
      <c r="K1192" s="296"/>
      <c r="L1192" s="296"/>
      <c r="M1192" s="296"/>
      <c r="N1192" s="296"/>
      <c r="O1192" s="269"/>
      <c r="P1192" s="269"/>
      <c r="Q1192" s="269"/>
      <c r="R1192" s="296"/>
      <c r="S1192" s="296"/>
      <c r="T1192" s="296"/>
      <c r="U1192" s="296"/>
      <c r="V1192" s="296"/>
      <c r="W1192" s="296"/>
      <c r="X1192" s="296"/>
      <c r="Y1192" s="296"/>
      <c r="Z1192" s="296"/>
      <c r="AA1192" s="296"/>
      <c r="AB1192" s="296"/>
      <c r="AC1192" s="296"/>
      <c r="AD1192" s="296"/>
      <c r="AE1192" s="307"/>
      <c r="AF1192" s="273"/>
      <c r="AG1192" s="274"/>
    </row>
    <row r="1193">
      <c r="A1193" s="296"/>
      <c r="B1193" s="269"/>
      <c r="C1193" s="296"/>
      <c r="D1193" s="296"/>
      <c r="E1193" s="296"/>
      <c r="F1193" s="296"/>
      <c r="G1193" s="296"/>
      <c r="H1193" s="296"/>
      <c r="I1193" s="296"/>
      <c r="J1193" s="296"/>
      <c r="K1193" s="296"/>
      <c r="L1193" s="296"/>
      <c r="M1193" s="296"/>
      <c r="N1193" s="296"/>
      <c r="O1193" s="269"/>
      <c r="P1193" s="269"/>
      <c r="Q1193" s="269"/>
      <c r="R1193" s="296"/>
      <c r="S1193" s="296"/>
      <c r="T1193" s="296"/>
      <c r="U1193" s="296"/>
      <c r="V1193" s="296"/>
      <c r="W1193" s="296"/>
      <c r="X1193" s="296"/>
      <c r="Y1193" s="296"/>
      <c r="Z1193" s="296"/>
      <c r="AA1193" s="296"/>
      <c r="AB1193" s="296"/>
      <c r="AC1193" s="296"/>
      <c r="AD1193" s="296"/>
      <c r="AE1193" s="307"/>
      <c r="AF1193" s="273"/>
      <c r="AG1193" s="274"/>
    </row>
    <row r="1194">
      <c r="A1194" s="296"/>
      <c r="B1194" s="269"/>
      <c r="C1194" s="296"/>
      <c r="D1194" s="296"/>
      <c r="E1194" s="296"/>
      <c r="F1194" s="296"/>
      <c r="G1194" s="296"/>
      <c r="H1194" s="296"/>
      <c r="I1194" s="296"/>
      <c r="J1194" s="296"/>
      <c r="K1194" s="296"/>
      <c r="L1194" s="296"/>
      <c r="M1194" s="296"/>
      <c r="N1194" s="296"/>
      <c r="O1194" s="269"/>
      <c r="P1194" s="269"/>
      <c r="Q1194" s="269"/>
      <c r="R1194" s="296"/>
      <c r="S1194" s="296"/>
      <c r="T1194" s="296"/>
      <c r="U1194" s="296"/>
      <c r="V1194" s="296"/>
      <c r="W1194" s="296"/>
      <c r="X1194" s="296"/>
      <c r="Y1194" s="296"/>
      <c r="Z1194" s="296"/>
      <c r="AA1194" s="296"/>
      <c r="AB1194" s="296"/>
      <c r="AC1194" s="296"/>
      <c r="AD1194" s="296"/>
      <c r="AE1194" s="307"/>
      <c r="AF1194" s="273"/>
      <c r="AG1194" s="274"/>
    </row>
    <row r="1195">
      <c r="A1195" s="296"/>
      <c r="B1195" s="269"/>
      <c r="C1195" s="296"/>
      <c r="D1195" s="296"/>
      <c r="E1195" s="296"/>
      <c r="F1195" s="296"/>
      <c r="G1195" s="296"/>
      <c r="H1195" s="296"/>
      <c r="I1195" s="296"/>
      <c r="J1195" s="296"/>
      <c r="K1195" s="296"/>
      <c r="L1195" s="296"/>
      <c r="M1195" s="296"/>
      <c r="N1195" s="296"/>
      <c r="O1195" s="269"/>
      <c r="P1195" s="269"/>
      <c r="Q1195" s="269"/>
      <c r="R1195" s="296"/>
      <c r="S1195" s="296"/>
      <c r="T1195" s="296"/>
      <c r="U1195" s="296"/>
      <c r="V1195" s="296"/>
      <c r="W1195" s="296"/>
      <c r="X1195" s="296"/>
      <c r="Y1195" s="296"/>
      <c r="Z1195" s="296"/>
      <c r="AA1195" s="296"/>
      <c r="AB1195" s="296"/>
      <c r="AC1195" s="296"/>
      <c r="AD1195" s="296"/>
      <c r="AE1195" s="307"/>
      <c r="AF1195" s="273"/>
      <c r="AG1195" s="274"/>
    </row>
    <row r="1196">
      <c r="A1196" s="296"/>
      <c r="B1196" s="269"/>
      <c r="C1196" s="296"/>
      <c r="D1196" s="296"/>
      <c r="E1196" s="296"/>
      <c r="F1196" s="296"/>
      <c r="G1196" s="296"/>
      <c r="H1196" s="296"/>
      <c r="I1196" s="296"/>
      <c r="J1196" s="296"/>
      <c r="K1196" s="296"/>
      <c r="L1196" s="296"/>
      <c r="M1196" s="296"/>
      <c r="N1196" s="296"/>
      <c r="O1196" s="269"/>
      <c r="P1196" s="269"/>
      <c r="Q1196" s="269"/>
      <c r="R1196" s="296"/>
      <c r="S1196" s="296"/>
      <c r="T1196" s="296"/>
      <c r="U1196" s="296"/>
      <c r="V1196" s="296"/>
      <c r="W1196" s="296"/>
      <c r="X1196" s="296"/>
      <c r="Y1196" s="296"/>
      <c r="Z1196" s="296"/>
      <c r="AA1196" s="296"/>
      <c r="AB1196" s="296"/>
      <c r="AC1196" s="296"/>
      <c r="AD1196" s="296"/>
      <c r="AE1196" s="307"/>
      <c r="AF1196" s="273"/>
      <c r="AG1196" s="274"/>
    </row>
    <row r="1197">
      <c r="A1197" s="296"/>
      <c r="B1197" s="269"/>
      <c r="C1197" s="296"/>
      <c r="D1197" s="296"/>
      <c r="E1197" s="296"/>
      <c r="F1197" s="296"/>
      <c r="G1197" s="296"/>
      <c r="H1197" s="296"/>
      <c r="I1197" s="296"/>
      <c r="J1197" s="296"/>
      <c r="K1197" s="296"/>
      <c r="L1197" s="296"/>
      <c r="M1197" s="296"/>
      <c r="N1197" s="296"/>
      <c r="O1197" s="269"/>
      <c r="P1197" s="269"/>
      <c r="Q1197" s="269"/>
      <c r="R1197" s="296"/>
      <c r="S1197" s="296"/>
      <c r="T1197" s="296"/>
      <c r="U1197" s="296"/>
      <c r="V1197" s="296"/>
      <c r="W1197" s="296"/>
      <c r="X1197" s="296"/>
      <c r="Y1197" s="296"/>
      <c r="Z1197" s="296"/>
      <c r="AA1197" s="296"/>
      <c r="AB1197" s="296"/>
      <c r="AC1197" s="296"/>
      <c r="AD1197" s="296"/>
      <c r="AE1197" s="307"/>
      <c r="AF1197" s="273"/>
      <c r="AG1197" s="274"/>
    </row>
    <row r="1198">
      <c r="A1198" s="296"/>
      <c r="B1198" s="269"/>
      <c r="C1198" s="296"/>
      <c r="D1198" s="296"/>
      <c r="E1198" s="296"/>
      <c r="F1198" s="296"/>
      <c r="G1198" s="296"/>
      <c r="H1198" s="296"/>
      <c r="I1198" s="296"/>
      <c r="J1198" s="296"/>
      <c r="K1198" s="296"/>
      <c r="L1198" s="296"/>
      <c r="M1198" s="296"/>
      <c r="N1198" s="296"/>
      <c r="O1198" s="269"/>
      <c r="P1198" s="269"/>
      <c r="Q1198" s="269"/>
      <c r="R1198" s="296"/>
      <c r="S1198" s="296"/>
      <c r="T1198" s="296"/>
      <c r="U1198" s="296"/>
      <c r="V1198" s="296"/>
      <c r="W1198" s="296"/>
      <c r="X1198" s="296"/>
      <c r="Y1198" s="296"/>
      <c r="Z1198" s="296"/>
      <c r="AA1198" s="296"/>
      <c r="AB1198" s="296"/>
      <c r="AC1198" s="296"/>
      <c r="AD1198" s="296"/>
      <c r="AE1198" s="307"/>
      <c r="AF1198" s="273"/>
      <c r="AG1198" s="274"/>
    </row>
    <row r="1199">
      <c r="A1199" s="296"/>
      <c r="B1199" s="269"/>
      <c r="C1199" s="296"/>
      <c r="D1199" s="296"/>
      <c r="E1199" s="296"/>
      <c r="F1199" s="296"/>
      <c r="G1199" s="296"/>
      <c r="H1199" s="296"/>
      <c r="I1199" s="296"/>
      <c r="J1199" s="296"/>
      <c r="K1199" s="296"/>
      <c r="L1199" s="296"/>
      <c r="M1199" s="296"/>
      <c r="N1199" s="296"/>
      <c r="O1199" s="269"/>
      <c r="P1199" s="269"/>
      <c r="Q1199" s="269"/>
      <c r="R1199" s="296"/>
      <c r="S1199" s="296"/>
      <c r="T1199" s="296"/>
      <c r="U1199" s="296"/>
      <c r="V1199" s="296"/>
      <c r="W1199" s="296"/>
      <c r="X1199" s="296"/>
      <c r="Y1199" s="296"/>
      <c r="Z1199" s="296"/>
      <c r="AA1199" s="296"/>
      <c r="AB1199" s="296"/>
      <c r="AC1199" s="296"/>
      <c r="AD1199" s="296"/>
      <c r="AE1199" s="307"/>
      <c r="AF1199" s="273"/>
      <c r="AG1199" s="274"/>
    </row>
    <row r="1200">
      <c r="A1200" s="296"/>
      <c r="B1200" s="269"/>
      <c r="C1200" s="296"/>
      <c r="D1200" s="296"/>
      <c r="E1200" s="296"/>
      <c r="F1200" s="296"/>
      <c r="G1200" s="296"/>
      <c r="H1200" s="296"/>
      <c r="I1200" s="296"/>
      <c r="J1200" s="296"/>
      <c r="K1200" s="296"/>
      <c r="L1200" s="296"/>
      <c r="M1200" s="296"/>
      <c r="N1200" s="296"/>
      <c r="O1200" s="269"/>
      <c r="P1200" s="269"/>
      <c r="Q1200" s="269"/>
      <c r="R1200" s="296"/>
      <c r="S1200" s="296"/>
      <c r="T1200" s="296"/>
      <c r="U1200" s="296"/>
      <c r="V1200" s="296"/>
      <c r="W1200" s="296"/>
      <c r="X1200" s="296"/>
      <c r="Y1200" s="296"/>
      <c r="Z1200" s="296"/>
      <c r="AA1200" s="296"/>
      <c r="AB1200" s="296"/>
      <c r="AC1200" s="296"/>
      <c r="AD1200" s="296"/>
      <c r="AE1200" s="307"/>
      <c r="AF1200" s="273"/>
      <c r="AG1200" s="274"/>
    </row>
    <row r="1201">
      <c r="A1201" s="296"/>
      <c r="B1201" s="269"/>
      <c r="C1201" s="296"/>
      <c r="D1201" s="296"/>
      <c r="E1201" s="296"/>
      <c r="F1201" s="296"/>
      <c r="G1201" s="296"/>
      <c r="H1201" s="296"/>
      <c r="I1201" s="296"/>
      <c r="J1201" s="296"/>
      <c r="K1201" s="296"/>
      <c r="L1201" s="296"/>
      <c r="M1201" s="296"/>
      <c r="N1201" s="296"/>
      <c r="O1201" s="269"/>
      <c r="P1201" s="269"/>
      <c r="Q1201" s="269"/>
      <c r="R1201" s="296"/>
      <c r="S1201" s="296"/>
      <c r="T1201" s="296"/>
      <c r="U1201" s="296"/>
      <c r="V1201" s="296"/>
      <c r="W1201" s="296"/>
      <c r="X1201" s="296"/>
      <c r="Y1201" s="296"/>
      <c r="Z1201" s="296"/>
      <c r="AA1201" s="296"/>
      <c r="AB1201" s="296"/>
      <c r="AC1201" s="296"/>
      <c r="AD1201" s="296"/>
      <c r="AE1201" s="307"/>
      <c r="AF1201" s="273"/>
      <c r="AG1201" s="274"/>
    </row>
    <row r="1202">
      <c r="A1202" s="296"/>
      <c r="B1202" s="269"/>
      <c r="C1202" s="296"/>
      <c r="D1202" s="296"/>
      <c r="E1202" s="296"/>
      <c r="F1202" s="296"/>
      <c r="G1202" s="296"/>
      <c r="H1202" s="296"/>
      <c r="I1202" s="296"/>
      <c r="J1202" s="296"/>
      <c r="K1202" s="296"/>
      <c r="L1202" s="296"/>
      <c r="M1202" s="296"/>
      <c r="N1202" s="296"/>
      <c r="O1202" s="269"/>
      <c r="P1202" s="269"/>
      <c r="Q1202" s="269"/>
      <c r="R1202" s="296"/>
      <c r="S1202" s="296"/>
      <c r="T1202" s="296"/>
      <c r="U1202" s="296"/>
      <c r="V1202" s="296"/>
      <c r="W1202" s="296"/>
      <c r="X1202" s="296"/>
      <c r="Y1202" s="296"/>
      <c r="Z1202" s="296"/>
      <c r="AA1202" s="296"/>
      <c r="AB1202" s="296"/>
      <c r="AC1202" s="296"/>
      <c r="AD1202" s="296"/>
      <c r="AE1202" s="307"/>
      <c r="AF1202" s="273"/>
      <c r="AG1202" s="274"/>
    </row>
    <row r="1203">
      <c r="A1203" s="296"/>
      <c r="B1203" s="269"/>
      <c r="C1203" s="296"/>
      <c r="D1203" s="296"/>
      <c r="E1203" s="296"/>
      <c r="F1203" s="296"/>
      <c r="G1203" s="296"/>
      <c r="H1203" s="296"/>
      <c r="I1203" s="296"/>
      <c r="J1203" s="296"/>
      <c r="K1203" s="296"/>
      <c r="L1203" s="296"/>
      <c r="M1203" s="296"/>
      <c r="N1203" s="296"/>
      <c r="O1203" s="269"/>
      <c r="P1203" s="269"/>
      <c r="Q1203" s="269"/>
      <c r="R1203" s="296"/>
      <c r="S1203" s="296"/>
      <c r="T1203" s="296"/>
      <c r="U1203" s="296"/>
      <c r="V1203" s="296"/>
      <c r="W1203" s="296"/>
      <c r="X1203" s="296"/>
      <c r="Y1203" s="296"/>
      <c r="Z1203" s="296"/>
      <c r="AA1203" s="296"/>
      <c r="AB1203" s="296"/>
      <c r="AC1203" s="296"/>
      <c r="AD1203" s="296"/>
      <c r="AE1203" s="307"/>
      <c r="AF1203" s="273"/>
      <c r="AG1203" s="274"/>
    </row>
    <row r="1204">
      <c r="A1204" s="296"/>
      <c r="B1204" s="269"/>
      <c r="C1204" s="296"/>
      <c r="D1204" s="296"/>
      <c r="E1204" s="296"/>
      <c r="F1204" s="296"/>
      <c r="G1204" s="296"/>
      <c r="H1204" s="296"/>
      <c r="I1204" s="296"/>
      <c r="J1204" s="296"/>
      <c r="K1204" s="296"/>
      <c r="L1204" s="296"/>
      <c r="M1204" s="296"/>
      <c r="N1204" s="296"/>
      <c r="O1204" s="269"/>
      <c r="P1204" s="269"/>
      <c r="Q1204" s="269"/>
      <c r="R1204" s="296"/>
      <c r="S1204" s="296"/>
      <c r="T1204" s="296"/>
      <c r="U1204" s="296"/>
      <c r="V1204" s="296"/>
      <c r="W1204" s="296"/>
      <c r="X1204" s="296"/>
      <c r="Y1204" s="296"/>
      <c r="Z1204" s="296"/>
      <c r="AA1204" s="296"/>
      <c r="AB1204" s="296"/>
      <c r="AC1204" s="296"/>
      <c r="AD1204" s="296"/>
      <c r="AE1204" s="307"/>
      <c r="AF1204" s="273"/>
      <c r="AG1204" s="274"/>
    </row>
    <row r="1205">
      <c r="A1205" s="296"/>
      <c r="B1205" s="269"/>
      <c r="C1205" s="296"/>
      <c r="D1205" s="296"/>
      <c r="E1205" s="296"/>
      <c r="F1205" s="296"/>
      <c r="G1205" s="296"/>
      <c r="H1205" s="296"/>
      <c r="I1205" s="296"/>
      <c r="J1205" s="296"/>
      <c r="K1205" s="296"/>
      <c r="L1205" s="296"/>
      <c r="M1205" s="296"/>
      <c r="N1205" s="296"/>
      <c r="O1205" s="269"/>
      <c r="P1205" s="269"/>
      <c r="Q1205" s="269"/>
      <c r="R1205" s="296"/>
      <c r="S1205" s="296"/>
      <c r="T1205" s="296"/>
      <c r="U1205" s="296"/>
      <c r="V1205" s="296"/>
      <c r="W1205" s="296"/>
      <c r="X1205" s="296"/>
      <c r="Y1205" s="296"/>
      <c r="Z1205" s="296"/>
      <c r="AA1205" s="296"/>
      <c r="AB1205" s="296"/>
      <c r="AC1205" s="296"/>
      <c r="AD1205" s="296"/>
      <c r="AE1205" s="307"/>
      <c r="AF1205" s="273"/>
      <c r="AG1205" s="274"/>
    </row>
    <row r="1206">
      <c r="A1206" s="296"/>
      <c r="B1206" s="269"/>
      <c r="C1206" s="296"/>
      <c r="D1206" s="296"/>
      <c r="E1206" s="296"/>
      <c r="F1206" s="296"/>
      <c r="G1206" s="296"/>
      <c r="H1206" s="296"/>
      <c r="I1206" s="296"/>
      <c r="J1206" s="296"/>
      <c r="K1206" s="296"/>
      <c r="L1206" s="296"/>
      <c r="M1206" s="296"/>
      <c r="N1206" s="296"/>
      <c r="O1206" s="269"/>
      <c r="P1206" s="269"/>
      <c r="Q1206" s="269"/>
      <c r="R1206" s="296"/>
      <c r="S1206" s="296"/>
      <c r="T1206" s="296"/>
      <c r="U1206" s="296"/>
      <c r="V1206" s="296"/>
      <c r="W1206" s="296"/>
      <c r="X1206" s="296"/>
      <c r="Y1206" s="296"/>
      <c r="Z1206" s="296"/>
      <c r="AA1206" s="296"/>
      <c r="AB1206" s="296"/>
      <c r="AC1206" s="296"/>
      <c r="AD1206" s="296"/>
      <c r="AE1206" s="307"/>
      <c r="AF1206" s="273"/>
      <c r="AG1206" s="274"/>
    </row>
    <row r="1207">
      <c r="A1207" s="296"/>
      <c r="B1207" s="269"/>
      <c r="C1207" s="296"/>
      <c r="D1207" s="296"/>
      <c r="E1207" s="296"/>
      <c r="F1207" s="296"/>
      <c r="G1207" s="296"/>
      <c r="H1207" s="296"/>
      <c r="I1207" s="296"/>
      <c r="J1207" s="296"/>
      <c r="K1207" s="296"/>
      <c r="L1207" s="296"/>
      <c r="M1207" s="296"/>
      <c r="N1207" s="296"/>
      <c r="O1207" s="269"/>
      <c r="P1207" s="269"/>
      <c r="Q1207" s="269"/>
      <c r="R1207" s="296"/>
      <c r="S1207" s="296"/>
      <c r="T1207" s="296"/>
      <c r="U1207" s="296"/>
      <c r="V1207" s="296"/>
      <c r="W1207" s="296"/>
      <c r="X1207" s="296"/>
      <c r="Y1207" s="296"/>
      <c r="Z1207" s="296"/>
      <c r="AA1207" s="296"/>
      <c r="AB1207" s="296"/>
      <c r="AC1207" s="296"/>
      <c r="AD1207" s="296"/>
      <c r="AE1207" s="307"/>
      <c r="AF1207" s="273"/>
      <c r="AG1207" s="274"/>
    </row>
    <row r="1208">
      <c r="A1208" s="296"/>
      <c r="B1208" s="269"/>
      <c r="C1208" s="296"/>
      <c r="D1208" s="296"/>
      <c r="E1208" s="296"/>
      <c r="F1208" s="296"/>
      <c r="G1208" s="296"/>
      <c r="H1208" s="296"/>
      <c r="I1208" s="296"/>
      <c r="J1208" s="296"/>
      <c r="K1208" s="296"/>
      <c r="L1208" s="296"/>
      <c r="M1208" s="296"/>
      <c r="N1208" s="296"/>
      <c r="O1208" s="269"/>
      <c r="P1208" s="269"/>
      <c r="Q1208" s="269"/>
      <c r="R1208" s="296"/>
      <c r="S1208" s="296"/>
      <c r="T1208" s="296"/>
      <c r="U1208" s="296"/>
      <c r="V1208" s="296"/>
      <c r="W1208" s="296"/>
      <c r="X1208" s="296"/>
      <c r="Y1208" s="296"/>
      <c r="Z1208" s="296"/>
      <c r="AA1208" s="296"/>
      <c r="AB1208" s="296"/>
      <c r="AC1208" s="296"/>
      <c r="AD1208" s="296"/>
      <c r="AE1208" s="307"/>
      <c r="AF1208" s="273"/>
      <c r="AG1208" s="274"/>
    </row>
    <row r="1209">
      <c r="A1209" s="296"/>
      <c r="B1209" s="269"/>
      <c r="C1209" s="296"/>
      <c r="D1209" s="296"/>
      <c r="E1209" s="296"/>
      <c r="F1209" s="296"/>
      <c r="G1209" s="296"/>
      <c r="H1209" s="296"/>
      <c r="I1209" s="296"/>
      <c r="J1209" s="296"/>
      <c r="K1209" s="296"/>
      <c r="L1209" s="296"/>
      <c r="M1209" s="296"/>
      <c r="N1209" s="296"/>
      <c r="O1209" s="269"/>
      <c r="P1209" s="269"/>
      <c r="Q1209" s="269"/>
      <c r="R1209" s="296"/>
      <c r="S1209" s="296"/>
      <c r="T1209" s="296"/>
      <c r="U1209" s="296"/>
      <c r="V1209" s="296"/>
      <c r="W1209" s="296"/>
      <c r="X1209" s="296"/>
      <c r="Y1209" s="296"/>
      <c r="Z1209" s="296"/>
      <c r="AA1209" s="296"/>
      <c r="AB1209" s="296"/>
      <c r="AC1209" s="296"/>
      <c r="AD1209" s="296"/>
      <c r="AE1209" s="307"/>
      <c r="AF1209" s="273"/>
      <c r="AG1209" s="274"/>
    </row>
    <row r="1210">
      <c r="A1210" s="296"/>
      <c r="B1210" s="269"/>
      <c r="C1210" s="296"/>
      <c r="D1210" s="296"/>
      <c r="E1210" s="296"/>
      <c r="F1210" s="296"/>
      <c r="G1210" s="296"/>
      <c r="H1210" s="296"/>
      <c r="I1210" s="296"/>
      <c r="J1210" s="296"/>
      <c r="K1210" s="296"/>
      <c r="L1210" s="296"/>
      <c r="M1210" s="296"/>
      <c r="N1210" s="296"/>
      <c r="O1210" s="269"/>
      <c r="P1210" s="269"/>
      <c r="Q1210" s="269"/>
      <c r="R1210" s="296"/>
      <c r="S1210" s="296"/>
      <c r="T1210" s="296"/>
      <c r="U1210" s="296"/>
      <c r="V1210" s="296"/>
      <c r="W1210" s="296"/>
      <c r="X1210" s="296"/>
      <c r="Y1210" s="296"/>
      <c r="Z1210" s="296"/>
      <c r="AA1210" s="296"/>
      <c r="AB1210" s="296"/>
      <c r="AC1210" s="296"/>
      <c r="AD1210" s="296"/>
      <c r="AE1210" s="307"/>
      <c r="AF1210" s="273"/>
      <c r="AG1210" s="274"/>
    </row>
    <row r="1211">
      <c r="A1211" s="296"/>
      <c r="B1211" s="269"/>
      <c r="C1211" s="296"/>
      <c r="D1211" s="296"/>
      <c r="E1211" s="296"/>
      <c r="F1211" s="296"/>
      <c r="G1211" s="296"/>
      <c r="H1211" s="296"/>
      <c r="I1211" s="296"/>
      <c r="J1211" s="296"/>
      <c r="K1211" s="296"/>
      <c r="L1211" s="296"/>
      <c r="M1211" s="296"/>
      <c r="N1211" s="296"/>
      <c r="O1211" s="269"/>
      <c r="P1211" s="269"/>
      <c r="Q1211" s="269"/>
      <c r="R1211" s="296"/>
      <c r="S1211" s="296"/>
      <c r="T1211" s="296"/>
      <c r="U1211" s="296"/>
      <c r="V1211" s="296"/>
      <c r="W1211" s="296"/>
      <c r="X1211" s="296"/>
      <c r="Y1211" s="296"/>
      <c r="Z1211" s="296"/>
      <c r="AA1211" s="296"/>
      <c r="AB1211" s="296"/>
      <c r="AC1211" s="296"/>
      <c r="AD1211" s="296"/>
      <c r="AE1211" s="307"/>
      <c r="AF1211" s="273"/>
      <c r="AG1211" s="274"/>
    </row>
    <row r="1212">
      <c r="A1212" s="296"/>
      <c r="B1212" s="269"/>
      <c r="C1212" s="296"/>
      <c r="D1212" s="296"/>
      <c r="E1212" s="296"/>
      <c r="F1212" s="296"/>
      <c r="G1212" s="296"/>
      <c r="H1212" s="296"/>
      <c r="I1212" s="296"/>
      <c r="J1212" s="296"/>
      <c r="K1212" s="296"/>
      <c r="L1212" s="296"/>
      <c r="M1212" s="296"/>
      <c r="N1212" s="296"/>
      <c r="O1212" s="269"/>
      <c r="P1212" s="269"/>
      <c r="Q1212" s="269"/>
      <c r="R1212" s="296"/>
      <c r="S1212" s="296"/>
      <c r="T1212" s="296"/>
      <c r="U1212" s="296"/>
      <c r="V1212" s="296"/>
      <c r="W1212" s="296"/>
      <c r="X1212" s="296"/>
      <c r="Y1212" s="296"/>
      <c r="Z1212" s="296"/>
      <c r="AA1212" s="296"/>
      <c r="AB1212" s="296"/>
      <c r="AC1212" s="296"/>
      <c r="AD1212" s="296"/>
      <c r="AE1212" s="307"/>
      <c r="AF1212" s="273"/>
      <c r="AG1212" s="274"/>
    </row>
    <row r="1213">
      <c r="A1213" s="296"/>
      <c r="B1213" s="269"/>
      <c r="C1213" s="296"/>
      <c r="D1213" s="296"/>
      <c r="E1213" s="296"/>
      <c r="F1213" s="296"/>
      <c r="G1213" s="296"/>
      <c r="H1213" s="296"/>
      <c r="I1213" s="296"/>
      <c r="J1213" s="296"/>
      <c r="K1213" s="296"/>
      <c r="L1213" s="296"/>
      <c r="M1213" s="296"/>
      <c r="N1213" s="296"/>
      <c r="O1213" s="269"/>
      <c r="P1213" s="269"/>
      <c r="Q1213" s="269"/>
      <c r="R1213" s="296"/>
      <c r="S1213" s="296"/>
      <c r="T1213" s="296"/>
      <c r="U1213" s="296"/>
      <c r="V1213" s="296"/>
      <c r="W1213" s="296"/>
      <c r="X1213" s="296"/>
      <c r="Y1213" s="296"/>
      <c r="Z1213" s="296"/>
      <c r="AA1213" s="296"/>
      <c r="AB1213" s="296"/>
      <c r="AC1213" s="296"/>
      <c r="AD1213" s="296"/>
      <c r="AE1213" s="307"/>
      <c r="AF1213" s="273"/>
      <c r="AG1213" s="274"/>
    </row>
    <row r="1214">
      <c r="A1214" s="296"/>
      <c r="B1214" s="269"/>
      <c r="C1214" s="296"/>
      <c r="D1214" s="296"/>
      <c r="E1214" s="296"/>
      <c r="F1214" s="296"/>
      <c r="G1214" s="296"/>
      <c r="H1214" s="296"/>
      <c r="I1214" s="296"/>
      <c r="J1214" s="296"/>
      <c r="K1214" s="296"/>
      <c r="L1214" s="296"/>
      <c r="M1214" s="296"/>
      <c r="N1214" s="296"/>
      <c r="O1214" s="269"/>
      <c r="P1214" s="269"/>
      <c r="Q1214" s="269"/>
      <c r="R1214" s="296"/>
      <c r="S1214" s="296"/>
      <c r="T1214" s="296"/>
      <c r="U1214" s="296"/>
      <c r="V1214" s="296"/>
      <c r="W1214" s="296"/>
      <c r="X1214" s="296"/>
      <c r="Y1214" s="296"/>
      <c r="Z1214" s="296"/>
      <c r="AA1214" s="296"/>
      <c r="AB1214" s="296"/>
      <c r="AC1214" s="296"/>
      <c r="AD1214" s="296"/>
      <c r="AE1214" s="307"/>
      <c r="AF1214" s="273"/>
      <c r="AG1214" s="274"/>
    </row>
    <row r="1215">
      <c r="A1215" s="296"/>
      <c r="B1215" s="269"/>
      <c r="C1215" s="296"/>
      <c r="D1215" s="296"/>
      <c r="E1215" s="296"/>
      <c r="F1215" s="296"/>
      <c r="G1215" s="296"/>
      <c r="H1215" s="296"/>
      <c r="I1215" s="296"/>
      <c r="J1215" s="296"/>
      <c r="K1215" s="296"/>
      <c r="L1215" s="296"/>
      <c r="M1215" s="296"/>
      <c r="N1215" s="296"/>
      <c r="O1215" s="269"/>
      <c r="P1215" s="269"/>
      <c r="Q1215" s="269"/>
      <c r="R1215" s="296"/>
      <c r="S1215" s="296"/>
      <c r="T1215" s="296"/>
      <c r="U1215" s="296"/>
      <c r="V1215" s="296"/>
      <c r="W1215" s="296"/>
      <c r="X1215" s="296"/>
      <c r="Y1215" s="296"/>
      <c r="Z1215" s="296"/>
      <c r="AA1215" s="296"/>
      <c r="AB1215" s="296"/>
      <c r="AC1215" s="296"/>
      <c r="AD1215" s="296"/>
      <c r="AE1215" s="307"/>
      <c r="AF1215" s="273"/>
      <c r="AG1215" s="274"/>
    </row>
    <row r="1216">
      <c r="A1216" s="296"/>
      <c r="B1216" s="269"/>
      <c r="C1216" s="296"/>
      <c r="D1216" s="296"/>
      <c r="E1216" s="296"/>
      <c r="F1216" s="296"/>
      <c r="G1216" s="296"/>
      <c r="H1216" s="296"/>
      <c r="I1216" s="296"/>
      <c r="J1216" s="296"/>
      <c r="K1216" s="296"/>
      <c r="L1216" s="296"/>
      <c r="M1216" s="296"/>
      <c r="N1216" s="296"/>
      <c r="O1216" s="269"/>
      <c r="P1216" s="269"/>
      <c r="Q1216" s="269"/>
      <c r="R1216" s="296"/>
      <c r="S1216" s="296"/>
      <c r="T1216" s="296"/>
      <c r="U1216" s="296"/>
      <c r="V1216" s="296"/>
      <c r="W1216" s="296"/>
      <c r="X1216" s="296"/>
      <c r="Y1216" s="296"/>
      <c r="Z1216" s="296"/>
      <c r="AA1216" s="296"/>
      <c r="AB1216" s="296"/>
      <c r="AC1216" s="296"/>
      <c r="AD1216" s="296"/>
      <c r="AE1216" s="307"/>
      <c r="AF1216" s="273"/>
      <c r="AG1216" s="274"/>
    </row>
    <row r="1217">
      <c r="A1217" s="296"/>
      <c r="B1217" s="269"/>
      <c r="C1217" s="296"/>
      <c r="D1217" s="296"/>
      <c r="E1217" s="296"/>
      <c r="F1217" s="296"/>
      <c r="G1217" s="296"/>
      <c r="H1217" s="296"/>
      <c r="I1217" s="296"/>
      <c r="J1217" s="296"/>
      <c r="K1217" s="296"/>
      <c r="L1217" s="296"/>
      <c r="M1217" s="296"/>
      <c r="N1217" s="296"/>
      <c r="O1217" s="269"/>
      <c r="P1217" s="269"/>
      <c r="Q1217" s="269"/>
      <c r="R1217" s="296"/>
      <c r="S1217" s="296"/>
      <c r="T1217" s="296"/>
      <c r="U1217" s="296"/>
      <c r="V1217" s="296"/>
      <c r="W1217" s="296"/>
      <c r="X1217" s="296"/>
      <c r="Y1217" s="296"/>
      <c r="Z1217" s="296"/>
      <c r="AA1217" s="296"/>
      <c r="AB1217" s="296"/>
      <c r="AC1217" s="296"/>
      <c r="AD1217" s="296"/>
      <c r="AE1217" s="307"/>
      <c r="AF1217" s="273"/>
      <c r="AG1217" s="274"/>
    </row>
    <row r="1218">
      <c r="A1218" s="296"/>
      <c r="B1218" s="269"/>
      <c r="C1218" s="296"/>
      <c r="D1218" s="296"/>
      <c r="E1218" s="296"/>
      <c r="F1218" s="296"/>
      <c r="G1218" s="296"/>
      <c r="H1218" s="296"/>
      <c r="I1218" s="296"/>
      <c r="J1218" s="296"/>
      <c r="K1218" s="296"/>
      <c r="L1218" s="296"/>
      <c r="M1218" s="296"/>
      <c r="N1218" s="296"/>
      <c r="O1218" s="269"/>
      <c r="P1218" s="269"/>
      <c r="Q1218" s="269"/>
      <c r="R1218" s="296"/>
      <c r="S1218" s="296"/>
      <c r="T1218" s="296"/>
      <c r="U1218" s="296"/>
      <c r="V1218" s="296"/>
      <c r="W1218" s="296"/>
      <c r="X1218" s="296"/>
      <c r="Y1218" s="296"/>
      <c r="Z1218" s="296"/>
      <c r="AA1218" s="296"/>
      <c r="AB1218" s="296"/>
      <c r="AC1218" s="296"/>
      <c r="AD1218" s="296"/>
      <c r="AE1218" s="307"/>
      <c r="AF1218" s="273"/>
      <c r="AG1218" s="274"/>
    </row>
    <row r="1219">
      <c r="A1219" s="296"/>
      <c r="B1219" s="269"/>
      <c r="C1219" s="296"/>
      <c r="D1219" s="296"/>
      <c r="E1219" s="296"/>
      <c r="F1219" s="296"/>
      <c r="G1219" s="296"/>
      <c r="H1219" s="296"/>
      <c r="I1219" s="296"/>
      <c r="J1219" s="296"/>
      <c r="K1219" s="296"/>
      <c r="L1219" s="296"/>
      <c r="M1219" s="296"/>
      <c r="N1219" s="296"/>
      <c r="O1219" s="269"/>
      <c r="P1219" s="269"/>
      <c r="Q1219" s="269"/>
      <c r="R1219" s="296"/>
      <c r="S1219" s="296"/>
      <c r="T1219" s="296"/>
      <c r="U1219" s="296"/>
      <c r="V1219" s="296"/>
      <c r="W1219" s="296"/>
      <c r="X1219" s="296"/>
      <c r="Y1219" s="296"/>
      <c r="Z1219" s="296"/>
      <c r="AA1219" s="296"/>
      <c r="AB1219" s="296"/>
      <c r="AC1219" s="296"/>
      <c r="AD1219" s="296"/>
      <c r="AE1219" s="307"/>
      <c r="AF1219" s="273"/>
      <c r="AG1219" s="274"/>
    </row>
    <row r="1220">
      <c r="A1220" s="296"/>
      <c r="B1220" s="269"/>
      <c r="C1220" s="296"/>
      <c r="D1220" s="296"/>
      <c r="E1220" s="296"/>
      <c r="F1220" s="296"/>
      <c r="G1220" s="296"/>
      <c r="H1220" s="296"/>
      <c r="I1220" s="296"/>
      <c r="J1220" s="296"/>
      <c r="K1220" s="296"/>
      <c r="L1220" s="296"/>
      <c r="M1220" s="296"/>
      <c r="N1220" s="296"/>
      <c r="O1220" s="269"/>
      <c r="P1220" s="269"/>
      <c r="Q1220" s="269"/>
      <c r="R1220" s="296"/>
      <c r="S1220" s="296"/>
      <c r="T1220" s="296"/>
      <c r="U1220" s="296"/>
      <c r="V1220" s="296"/>
      <c r="W1220" s="296"/>
      <c r="X1220" s="296"/>
      <c r="Y1220" s="296"/>
      <c r="Z1220" s="296"/>
      <c r="AA1220" s="296"/>
      <c r="AB1220" s="296"/>
      <c r="AC1220" s="296"/>
      <c r="AD1220" s="296"/>
      <c r="AE1220" s="307"/>
      <c r="AF1220" s="273"/>
      <c r="AG1220" s="274"/>
    </row>
    <row r="1221">
      <c r="A1221" s="296"/>
      <c r="B1221" s="269"/>
      <c r="C1221" s="296"/>
      <c r="D1221" s="296"/>
      <c r="E1221" s="296"/>
      <c r="F1221" s="296"/>
      <c r="G1221" s="296"/>
      <c r="H1221" s="296"/>
      <c r="I1221" s="296"/>
      <c r="J1221" s="296"/>
      <c r="K1221" s="296"/>
      <c r="L1221" s="296"/>
      <c r="M1221" s="296"/>
      <c r="N1221" s="296"/>
      <c r="O1221" s="269"/>
      <c r="P1221" s="269"/>
      <c r="Q1221" s="269"/>
      <c r="R1221" s="296"/>
      <c r="S1221" s="296"/>
      <c r="T1221" s="296"/>
      <c r="U1221" s="296"/>
      <c r="V1221" s="296"/>
      <c r="W1221" s="296"/>
      <c r="X1221" s="296"/>
      <c r="Y1221" s="296"/>
      <c r="Z1221" s="296"/>
      <c r="AA1221" s="296"/>
      <c r="AB1221" s="296"/>
      <c r="AC1221" s="296"/>
      <c r="AD1221" s="296"/>
      <c r="AE1221" s="307"/>
      <c r="AF1221" s="273"/>
      <c r="AG1221" s="274"/>
    </row>
    <row r="1222">
      <c r="A1222" s="296"/>
      <c r="B1222" s="269"/>
      <c r="C1222" s="296"/>
      <c r="D1222" s="296"/>
      <c r="E1222" s="296"/>
      <c r="F1222" s="296"/>
      <c r="G1222" s="296"/>
      <c r="H1222" s="296"/>
      <c r="I1222" s="296"/>
      <c r="J1222" s="296"/>
      <c r="K1222" s="296"/>
      <c r="L1222" s="296"/>
      <c r="M1222" s="296"/>
      <c r="N1222" s="296"/>
      <c r="O1222" s="269"/>
      <c r="P1222" s="269"/>
      <c r="Q1222" s="269"/>
      <c r="R1222" s="296"/>
      <c r="S1222" s="296"/>
      <c r="T1222" s="296"/>
      <c r="U1222" s="296"/>
      <c r="V1222" s="296"/>
      <c r="W1222" s="296"/>
      <c r="X1222" s="296"/>
      <c r="Y1222" s="296"/>
      <c r="Z1222" s="296"/>
      <c r="AA1222" s="296"/>
      <c r="AB1222" s="296"/>
      <c r="AC1222" s="296"/>
      <c r="AD1222" s="296"/>
      <c r="AE1222" s="307"/>
      <c r="AF1222" s="273"/>
      <c r="AG1222" s="274"/>
    </row>
    <row r="1223">
      <c r="A1223" s="296"/>
      <c r="B1223" s="269"/>
      <c r="C1223" s="296"/>
      <c r="D1223" s="296"/>
      <c r="E1223" s="296"/>
      <c r="F1223" s="296"/>
      <c r="G1223" s="296"/>
      <c r="H1223" s="296"/>
      <c r="I1223" s="296"/>
      <c r="J1223" s="296"/>
      <c r="K1223" s="296"/>
      <c r="L1223" s="296"/>
      <c r="M1223" s="296"/>
      <c r="N1223" s="296"/>
      <c r="O1223" s="269"/>
      <c r="P1223" s="269"/>
      <c r="Q1223" s="269"/>
      <c r="R1223" s="296"/>
      <c r="S1223" s="296"/>
      <c r="T1223" s="296"/>
      <c r="U1223" s="296"/>
      <c r="V1223" s="296"/>
      <c r="W1223" s="296"/>
      <c r="X1223" s="296"/>
      <c r="Y1223" s="296"/>
      <c r="Z1223" s="296"/>
      <c r="AA1223" s="296"/>
      <c r="AB1223" s="296"/>
      <c r="AC1223" s="296"/>
      <c r="AD1223" s="296"/>
      <c r="AE1223" s="307"/>
      <c r="AF1223" s="273"/>
      <c r="AG1223" s="274"/>
    </row>
    <row r="1224">
      <c r="A1224" s="296"/>
      <c r="B1224" s="269"/>
      <c r="C1224" s="296"/>
      <c r="D1224" s="296"/>
      <c r="E1224" s="296"/>
      <c r="F1224" s="296"/>
      <c r="G1224" s="296"/>
      <c r="H1224" s="296"/>
      <c r="I1224" s="296"/>
      <c r="J1224" s="296"/>
      <c r="K1224" s="296"/>
      <c r="L1224" s="296"/>
      <c r="M1224" s="296"/>
      <c r="N1224" s="296"/>
      <c r="O1224" s="269"/>
      <c r="P1224" s="269"/>
      <c r="Q1224" s="269"/>
      <c r="R1224" s="296"/>
      <c r="S1224" s="296"/>
      <c r="T1224" s="296"/>
      <c r="U1224" s="296"/>
      <c r="V1224" s="296"/>
      <c r="W1224" s="296"/>
      <c r="X1224" s="296"/>
      <c r="Y1224" s="296"/>
      <c r="Z1224" s="296"/>
      <c r="AA1224" s="296"/>
      <c r="AB1224" s="296"/>
      <c r="AC1224" s="296"/>
      <c r="AD1224" s="296"/>
      <c r="AE1224" s="307"/>
      <c r="AF1224" s="273"/>
      <c r="AG1224" s="274"/>
    </row>
    <row r="1225">
      <c r="A1225" s="296"/>
      <c r="B1225" s="269"/>
      <c r="C1225" s="296"/>
      <c r="D1225" s="296"/>
      <c r="E1225" s="296"/>
      <c r="F1225" s="296"/>
      <c r="G1225" s="296"/>
      <c r="H1225" s="296"/>
      <c r="I1225" s="296"/>
      <c r="J1225" s="296"/>
      <c r="K1225" s="296"/>
      <c r="L1225" s="296"/>
      <c r="M1225" s="296"/>
      <c r="N1225" s="296"/>
      <c r="O1225" s="269"/>
      <c r="P1225" s="269"/>
      <c r="Q1225" s="269"/>
      <c r="R1225" s="296"/>
      <c r="S1225" s="296"/>
      <c r="T1225" s="296"/>
      <c r="U1225" s="296"/>
      <c r="V1225" s="296"/>
      <c r="W1225" s="296"/>
      <c r="X1225" s="296"/>
      <c r="Y1225" s="296"/>
      <c r="Z1225" s="296"/>
      <c r="AA1225" s="296"/>
      <c r="AB1225" s="296"/>
      <c r="AC1225" s="296"/>
      <c r="AD1225" s="296"/>
      <c r="AE1225" s="307"/>
      <c r="AF1225" s="273"/>
      <c r="AG1225" s="274"/>
    </row>
    <row r="1226">
      <c r="A1226" s="296"/>
      <c r="B1226" s="269"/>
      <c r="C1226" s="296"/>
      <c r="D1226" s="296"/>
      <c r="E1226" s="296"/>
      <c r="F1226" s="296"/>
      <c r="G1226" s="296"/>
      <c r="H1226" s="296"/>
      <c r="I1226" s="296"/>
      <c r="J1226" s="296"/>
      <c r="K1226" s="296"/>
      <c r="L1226" s="296"/>
      <c r="M1226" s="296"/>
      <c r="N1226" s="296"/>
      <c r="O1226" s="269"/>
      <c r="P1226" s="269"/>
      <c r="Q1226" s="269"/>
      <c r="R1226" s="296"/>
      <c r="S1226" s="296"/>
      <c r="T1226" s="296"/>
      <c r="U1226" s="296"/>
      <c r="V1226" s="296"/>
      <c r="W1226" s="296"/>
      <c r="X1226" s="296"/>
      <c r="Y1226" s="296"/>
      <c r="Z1226" s="296"/>
      <c r="AA1226" s="296"/>
      <c r="AB1226" s="296"/>
      <c r="AC1226" s="296"/>
      <c r="AD1226" s="296"/>
      <c r="AE1226" s="307"/>
      <c r="AF1226" s="273"/>
      <c r="AG1226" s="274"/>
    </row>
    <row r="1227">
      <c r="A1227" s="296"/>
      <c r="B1227" s="269"/>
      <c r="C1227" s="296"/>
      <c r="D1227" s="296"/>
      <c r="E1227" s="296"/>
      <c r="F1227" s="296"/>
      <c r="G1227" s="296"/>
      <c r="H1227" s="296"/>
      <c r="I1227" s="296"/>
      <c r="J1227" s="296"/>
      <c r="K1227" s="296"/>
      <c r="L1227" s="296"/>
      <c r="M1227" s="296"/>
      <c r="N1227" s="296"/>
      <c r="O1227" s="269"/>
      <c r="P1227" s="269"/>
      <c r="Q1227" s="269"/>
      <c r="R1227" s="296"/>
      <c r="S1227" s="296"/>
      <c r="T1227" s="296"/>
      <c r="U1227" s="296"/>
      <c r="V1227" s="296"/>
      <c r="W1227" s="296"/>
      <c r="X1227" s="296"/>
      <c r="Y1227" s="296"/>
      <c r="Z1227" s="296"/>
      <c r="AA1227" s="296"/>
      <c r="AB1227" s="296"/>
      <c r="AC1227" s="296"/>
      <c r="AD1227" s="296"/>
      <c r="AE1227" s="307"/>
      <c r="AF1227" s="273"/>
      <c r="AG1227" s="274"/>
    </row>
    <row r="1228">
      <c r="A1228" s="296"/>
      <c r="B1228" s="269"/>
      <c r="C1228" s="296"/>
      <c r="D1228" s="296"/>
      <c r="E1228" s="296"/>
      <c r="F1228" s="296"/>
      <c r="G1228" s="296"/>
      <c r="H1228" s="296"/>
      <c r="I1228" s="296"/>
      <c r="J1228" s="296"/>
      <c r="K1228" s="296"/>
      <c r="L1228" s="296"/>
      <c r="M1228" s="296"/>
      <c r="N1228" s="296"/>
      <c r="O1228" s="269"/>
      <c r="P1228" s="269"/>
      <c r="Q1228" s="269"/>
      <c r="R1228" s="296"/>
      <c r="S1228" s="296"/>
      <c r="T1228" s="296"/>
      <c r="U1228" s="296"/>
      <c r="V1228" s="296"/>
      <c r="W1228" s="296"/>
      <c r="X1228" s="296"/>
      <c r="Y1228" s="296"/>
      <c r="Z1228" s="296"/>
      <c r="AA1228" s="296"/>
      <c r="AB1228" s="296"/>
      <c r="AC1228" s="296"/>
      <c r="AD1228" s="296"/>
      <c r="AE1228" s="307"/>
      <c r="AF1228" s="273"/>
      <c r="AG1228" s="274"/>
    </row>
    <row r="1229">
      <c r="A1229" s="296"/>
      <c r="B1229" s="269"/>
      <c r="C1229" s="296"/>
      <c r="D1229" s="296"/>
      <c r="E1229" s="296"/>
      <c r="F1229" s="296"/>
      <c r="G1229" s="296"/>
      <c r="H1229" s="296"/>
      <c r="I1229" s="296"/>
      <c r="J1229" s="296"/>
      <c r="K1229" s="296"/>
      <c r="L1229" s="296"/>
      <c r="M1229" s="296"/>
      <c r="N1229" s="296"/>
      <c r="O1229" s="269"/>
      <c r="P1229" s="269"/>
      <c r="Q1229" s="269"/>
      <c r="R1229" s="296"/>
      <c r="S1229" s="296"/>
      <c r="T1229" s="296"/>
      <c r="U1229" s="296"/>
      <c r="V1229" s="296"/>
      <c r="W1229" s="296"/>
      <c r="X1229" s="296"/>
      <c r="Y1229" s="296"/>
      <c r="Z1229" s="296"/>
      <c r="AA1229" s="296"/>
      <c r="AB1229" s="296"/>
      <c r="AC1229" s="296"/>
      <c r="AD1229" s="296"/>
      <c r="AE1229" s="307"/>
      <c r="AF1229" s="273"/>
      <c r="AG1229" s="274"/>
    </row>
    <row r="1230">
      <c r="A1230" s="296"/>
      <c r="B1230" s="269"/>
      <c r="C1230" s="296"/>
      <c r="D1230" s="296"/>
      <c r="E1230" s="296"/>
      <c r="F1230" s="296"/>
      <c r="G1230" s="296"/>
      <c r="H1230" s="296"/>
      <c r="I1230" s="296"/>
      <c r="J1230" s="296"/>
      <c r="K1230" s="296"/>
      <c r="L1230" s="296"/>
      <c r="M1230" s="296"/>
      <c r="N1230" s="296"/>
      <c r="O1230" s="269"/>
      <c r="P1230" s="269"/>
      <c r="Q1230" s="269"/>
      <c r="R1230" s="296"/>
      <c r="S1230" s="296"/>
      <c r="T1230" s="296"/>
      <c r="U1230" s="296"/>
      <c r="V1230" s="296"/>
      <c r="W1230" s="296"/>
      <c r="X1230" s="296"/>
      <c r="Y1230" s="296"/>
      <c r="Z1230" s="296"/>
      <c r="AA1230" s="296"/>
      <c r="AB1230" s="296"/>
      <c r="AC1230" s="296"/>
      <c r="AD1230" s="296"/>
      <c r="AE1230" s="307"/>
      <c r="AF1230" s="273"/>
      <c r="AG1230" s="274"/>
    </row>
    <row r="1231">
      <c r="A1231" s="296"/>
      <c r="B1231" s="269"/>
      <c r="C1231" s="296"/>
      <c r="D1231" s="296"/>
      <c r="E1231" s="296"/>
      <c r="F1231" s="296"/>
      <c r="G1231" s="296"/>
      <c r="H1231" s="296"/>
      <c r="I1231" s="296"/>
      <c r="J1231" s="296"/>
      <c r="K1231" s="296"/>
      <c r="L1231" s="296"/>
      <c r="M1231" s="296"/>
      <c r="N1231" s="296"/>
      <c r="O1231" s="269"/>
      <c r="P1231" s="269"/>
      <c r="Q1231" s="269"/>
      <c r="R1231" s="296"/>
      <c r="S1231" s="296"/>
      <c r="T1231" s="296"/>
      <c r="U1231" s="296"/>
      <c r="V1231" s="296"/>
      <c r="W1231" s="296"/>
      <c r="X1231" s="296"/>
      <c r="Y1231" s="296"/>
      <c r="Z1231" s="296"/>
      <c r="AA1231" s="296"/>
      <c r="AB1231" s="296"/>
      <c r="AC1231" s="296"/>
      <c r="AD1231" s="296"/>
      <c r="AE1231" s="307"/>
      <c r="AF1231" s="273"/>
      <c r="AG1231" s="274"/>
    </row>
    <row r="1232">
      <c r="A1232" s="296"/>
      <c r="B1232" s="269"/>
      <c r="C1232" s="296"/>
      <c r="D1232" s="296"/>
      <c r="E1232" s="296"/>
      <c r="F1232" s="296"/>
      <c r="G1232" s="296"/>
      <c r="H1232" s="296"/>
      <c r="I1232" s="296"/>
      <c r="J1232" s="296"/>
      <c r="K1232" s="296"/>
      <c r="L1232" s="296"/>
      <c r="M1232" s="296"/>
      <c r="N1232" s="296"/>
      <c r="O1232" s="269"/>
      <c r="P1232" s="269"/>
      <c r="Q1232" s="269"/>
      <c r="R1232" s="296"/>
      <c r="S1232" s="296"/>
      <c r="T1232" s="296"/>
      <c r="U1232" s="296"/>
      <c r="V1232" s="296"/>
      <c r="W1232" s="296"/>
      <c r="X1232" s="296"/>
      <c r="Y1232" s="296"/>
      <c r="Z1232" s="296"/>
      <c r="AA1232" s="296"/>
      <c r="AB1232" s="296"/>
      <c r="AC1232" s="296"/>
      <c r="AD1232" s="296"/>
      <c r="AE1232" s="307"/>
      <c r="AF1232" s="273"/>
      <c r="AG1232" s="274"/>
    </row>
    <row r="1233">
      <c r="A1233" s="296"/>
      <c r="B1233" s="269"/>
      <c r="C1233" s="296"/>
      <c r="D1233" s="296"/>
      <c r="E1233" s="296"/>
      <c r="F1233" s="296"/>
      <c r="G1233" s="296"/>
      <c r="H1233" s="296"/>
      <c r="I1233" s="296"/>
      <c r="J1233" s="296"/>
      <c r="K1233" s="296"/>
      <c r="L1233" s="296"/>
      <c r="M1233" s="296"/>
      <c r="N1233" s="296"/>
      <c r="O1233" s="269"/>
      <c r="P1233" s="269"/>
      <c r="Q1233" s="269"/>
      <c r="R1233" s="296"/>
      <c r="S1233" s="296"/>
      <c r="T1233" s="296"/>
      <c r="U1233" s="296"/>
      <c r="V1233" s="296"/>
      <c r="W1233" s="296"/>
      <c r="X1233" s="296"/>
      <c r="Y1233" s="296"/>
      <c r="Z1233" s="296"/>
      <c r="AA1233" s="296"/>
      <c r="AB1233" s="296"/>
      <c r="AC1233" s="296"/>
      <c r="AD1233" s="296"/>
      <c r="AE1233" s="307"/>
      <c r="AF1233" s="273"/>
      <c r="AG1233" s="274"/>
    </row>
    <row r="1234">
      <c r="A1234" s="296"/>
      <c r="B1234" s="269"/>
      <c r="C1234" s="296"/>
      <c r="D1234" s="296"/>
      <c r="E1234" s="296"/>
      <c r="F1234" s="296"/>
      <c r="G1234" s="296"/>
      <c r="H1234" s="296"/>
      <c r="I1234" s="296"/>
      <c r="J1234" s="296"/>
      <c r="K1234" s="296"/>
      <c r="L1234" s="296"/>
      <c r="M1234" s="296"/>
      <c r="N1234" s="296"/>
      <c r="O1234" s="269"/>
      <c r="P1234" s="269"/>
      <c r="Q1234" s="269"/>
      <c r="R1234" s="296"/>
      <c r="S1234" s="296"/>
      <c r="T1234" s="296"/>
      <c r="U1234" s="296"/>
      <c r="V1234" s="296"/>
      <c r="W1234" s="296"/>
      <c r="X1234" s="296"/>
      <c r="Y1234" s="296"/>
      <c r="Z1234" s="296"/>
      <c r="AA1234" s="296"/>
      <c r="AB1234" s="296"/>
      <c r="AC1234" s="296"/>
      <c r="AD1234" s="296"/>
      <c r="AE1234" s="307"/>
      <c r="AF1234" s="273"/>
      <c r="AG1234" s="274"/>
    </row>
    <row r="1235">
      <c r="A1235" s="296"/>
      <c r="B1235" s="269"/>
      <c r="C1235" s="296"/>
      <c r="D1235" s="296"/>
      <c r="E1235" s="296"/>
      <c r="F1235" s="296"/>
      <c r="G1235" s="296"/>
      <c r="H1235" s="296"/>
      <c r="I1235" s="296"/>
      <c r="J1235" s="296"/>
      <c r="K1235" s="296"/>
      <c r="L1235" s="296"/>
      <c r="M1235" s="296"/>
      <c r="N1235" s="296"/>
      <c r="O1235" s="269"/>
      <c r="P1235" s="269"/>
      <c r="Q1235" s="269"/>
      <c r="R1235" s="296"/>
      <c r="S1235" s="296"/>
      <c r="T1235" s="296"/>
      <c r="U1235" s="296"/>
      <c r="V1235" s="296"/>
      <c r="W1235" s="296"/>
      <c r="X1235" s="296"/>
      <c r="Y1235" s="296"/>
      <c r="Z1235" s="296"/>
      <c r="AA1235" s="296"/>
      <c r="AB1235" s="296"/>
      <c r="AC1235" s="296"/>
      <c r="AD1235" s="296"/>
      <c r="AE1235" s="307"/>
      <c r="AF1235" s="273"/>
      <c r="AG1235" s="274"/>
    </row>
    <row r="1236">
      <c r="A1236" s="296"/>
      <c r="B1236" s="269"/>
      <c r="C1236" s="296"/>
      <c r="D1236" s="296"/>
      <c r="E1236" s="296"/>
      <c r="F1236" s="296"/>
      <c r="G1236" s="296"/>
      <c r="H1236" s="296"/>
      <c r="I1236" s="296"/>
      <c r="J1236" s="296"/>
      <c r="K1236" s="296"/>
      <c r="L1236" s="296"/>
      <c r="M1236" s="296"/>
      <c r="N1236" s="296"/>
      <c r="O1236" s="269"/>
      <c r="P1236" s="269"/>
      <c r="Q1236" s="269"/>
      <c r="R1236" s="296"/>
      <c r="S1236" s="296"/>
      <c r="T1236" s="296"/>
      <c r="U1236" s="296"/>
      <c r="V1236" s="296"/>
      <c r="W1236" s="296"/>
      <c r="X1236" s="296"/>
      <c r="Y1236" s="296"/>
      <c r="Z1236" s="296"/>
      <c r="AA1236" s="296"/>
      <c r="AB1236" s="296"/>
      <c r="AC1236" s="296"/>
      <c r="AD1236" s="296"/>
      <c r="AE1236" s="307"/>
      <c r="AF1236" s="273"/>
      <c r="AG1236" s="274"/>
    </row>
    <row r="1237">
      <c r="A1237" s="296"/>
      <c r="B1237" s="269"/>
      <c r="C1237" s="296"/>
      <c r="D1237" s="296"/>
      <c r="E1237" s="296"/>
      <c r="F1237" s="296"/>
      <c r="G1237" s="296"/>
      <c r="H1237" s="296"/>
      <c r="I1237" s="296"/>
      <c r="J1237" s="296"/>
      <c r="K1237" s="296"/>
      <c r="L1237" s="296"/>
      <c r="M1237" s="296"/>
      <c r="N1237" s="296"/>
      <c r="O1237" s="269"/>
      <c r="P1237" s="269"/>
      <c r="Q1237" s="269"/>
      <c r="R1237" s="296"/>
      <c r="S1237" s="296"/>
      <c r="T1237" s="296"/>
      <c r="U1237" s="296"/>
      <c r="V1237" s="296"/>
      <c r="W1237" s="296"/>
      <c r="X1237" s="296"/>
      <c r="Y1237" s="296"/>
      <c r="Z1237" s="296"/>
      <c r="AA1237" s="296"/>
      <c r="AB1237" s="296"/>
      <c r="AC1237" s="296"/>
      <c r="AD1237" s="296"/>
      <c r="AE1237" s="307"/>
      <c r="AF1237" s="273"/>
      <c r="AG1237" s="274"/>
    </row>
    <row r="1238">
      <c r="A1238" s="296"/>
      <c r="B1238" s="269"/>
      <c r="C1238" s="296"/>
      <c r="D1238" s="296"/>
      <c r="E1238" s="296"/>
      <c r="F1238" s="296"/>
      <c r="G1238" s="296"/>
      <c r="H1238" s="296"/>
      <c r="I1238" s="296"/>
      <c r="J1238" s="296"/>
      <c r="K1238" s="296"/>
      <c r="L1238" s="296"/>
      <c r="M1238" s="296"/>
      <c r="N1238" s="296"/>
      <c r="O1238" s="269"/>
      <c r="P1238" s="269"/>
      <c r="Q1238" s="269"/>
      <c r="R1238" s="296"/>
      <c r="S1238" s="296"/>
      <c r="T1238" s="296"/>
      <c r="U1238" s="296"/>
      <c r="V1238" s="296"/>
      <c r="W1238" s="296"/>
      <c r="X1238" s="296"/>
      <c r="Y1238" s="296"/>
      <c r="Z1238" s="296"/>
      <c r="AA1238" s="296"/>
      <c r="AB1238" s="296"/>
      <c r="AC1238" s="296"/>
      <c r="AD1238" s="296"/>
      <c r="AE1238" s="307"/>
      <c r="AF1238" s="273"/>
      <c r="AG1238" s="274"/>
    </row>
    <row r="1239">
      <c r="A1239" s="296"/>
      <c r="B1239" s="269"/>
      <c r="C1239" s="296"/>
      <c r="D1239" s="296"/>
      <c r="E1239" s="296"/>
      <c r="F1239" s="296"/>
      <c r="G1239" s="296"/>
      <c r="H1239" s="296"/>
      <c r="I1239" s="296"/>
      <c r="J1239" s="296"/>
      <c r="K1239" s="296"/>
      <c r="L1239" s="296"/>
      <c r="M1239" s="296"/>
      <c r="N1239" s="296"/>
      <c r="O1239" s="269"/>
      <c r="P1239" s="269"/>
      <c r="Q1239" s="269"/>
      <c r="R1239" s="296"/>
      <c r="S1239" s="296"/>
      <c r="T1239" s="296"/>
      <c r="U1239" s="296"/>
      <c r="V1239" s="296"/>
      <c r="W1239" s="296"/>
      <c r="X1239" s="296"/>
      <c r="Y1239" s="296"/>
      <c r="Z1239" s="296"/>
      <c r="AA1239" s="296"/>
      <c r="AB1239" s="296"/>
      <c r="AC1239" s="296"/>
      <c r="AD1239" s="296"/>
      <c r="AE1239" s="307"/>
      <c r="AF1239" s="273"/>
      <c r="AG1239" s="274"/>
    </row>
    <row r="1240">
      <c r="A1240" s="296"/>
      <c r="B1240" s="269"/>
      <c r="C1240" s="296"/>
      <c r="D1240" s="296"/>
      <c r="E1240" s="296"/>
      <c r="F1240" s="296"/>
      <c r="G1240" s="296"/>
      <c r="H1240" s="296"/>
      <c r="I1240" s="296"/>
      <c r="J1240" s="296"/>
      <c r="K1240" s="296"/>
      <c r="L1240" s="296"/>
      <c r="M1240" s="296"/>
      <c r="N1240" s="296"/>
      <c r="O1240" s="269"/>
      <c r="P1240" s="269"/>
      <c r="Q1240" s="269"/>
      <c r="R1240" s="296"/>
      <c r="S1240" s="296"/>
      <c r="T1240" s="296"/>
      <c r="U1240" s="296"/>
      <c r="V1240" s="296"/>
      <c r="W1240" s="296"/>
      <c r="X1240" s="296"/>
      <c r="Y1240" s="296"/>
      <c r="Z1240" s="296"/>
      <c r="AA1240" s="296"/>
      <c r="AB1240" s="296"/>
      <c r="AC1240" s="296"/>
      <c r="AD1240" s="296"/>
      <c r="AE1240" s="307"/>
      <c r="AF1240" s="273"/>
      <c r="AG1240" s="274"/>
    </row>
    <row r="1241">
      <c r="A1241" s="296"/>
      <c r="B1241" s="269"/>
      <c r="C1241" s="296"/>
      <c r="D1241" s="296"/>
      <c r="E1241" s="296"/>
      <c r="F1241" s="296"/>
      <c r="G1241" s="296"/>
      <c r="H1241" s="296"/>
      <c r="I1241" s="296"/>
      <c r="J1241" s="296"/>
      <c r="K1241" s="296"/>
      <c r="L1241" s="296"/>
      <c r="M1241" s="296"/>
      <c r="N1241" s="296"/>
      <c r="O1241" s="269"/>
      <c r="P1241" s="269"/>
      <c r="Q1241" s="269"/>
      <c r="R1241" s="296"/>
      <c r="S1241" s="296"/>
      <c r="T1241" s="296"/>
      <c r="U1241" s="296"/>
      <c r="V1241" s="296"/>
      <c r="W1241" s="296"/>
      <c r="X1241" s="296"/>
      <c r="Y1241" s="296"/>
      <c r="Z1241" s="296"/>
      <c r="AA1241" s="296"/>
      <c r="AB1241" s="296"/>
      <c r="AC1241" s="296"/>
      <c r="AD1241" s="296"/>
      <c r="AE1241" s="307"/>
      <c r="AF1241" s="273"/>
      <c r="AG1241" s="274"/>
    </row>
    <row r="1242">
      <c r="A1242" s="296"/>
      <c r="B1242" s="269"/>
      <c r="C1242" s="296"/>
      <c r="D1242" s="296"/>
      <c r="E1242" s="296"/>
      <c r="F1242" s="296"/>
      <c r="G1242" s="296"/>
      <c r="H1242" s="296"/>
      <c r="I1242" s="296"/>
      <c r="J1242" s="296"/>
      <c r="K1242" s="296"/>
      <c r="L1242" s="296"/>
      <c r="M1242" s="296"/>
      <c r="N1242" s="296"/>
      <c r="O1242" s="269"/>
      <c r="P1242" s="269"/>
      <c r="Q1242" s="269"/>
      <c r="R1242" s="296"/>
      <c r="S1242" s="296"/>
      <c r="T1242" s="296"/>
      <c r="U1242" s="296"/>
      <c r="V1242" s="296"/>
      <c r="W1242" s="296"/>
      <c r="X1242" s="296"/>
      <c r="Y1242" s="296"/>
      <c r="Z1242" s="296"/>
      <c r="AA1242" s="296"/>
      <c r="AB1242" s="296"/>
      <c r="AC1242" s="296"/>
      <c r="AD1242" s="296"/>
      <c r="AE1242" s="307"/>
      <c r="AF1242" s="273"/>
      <c r="AG1242" s="274"/>
    </row>
    <row r="1243">
      <c r="A1243" s="296"/>
      <c r="B1243" s="269"/>
      <c r="C1243" s="296"/>
      <c r="D1243" s="296"/>
      <c r="E1243" s="296"/>
      <c r="F1243" s="296"/>
      <c r="G1243" s="296"/>
      <c r="H1243" s="296"/>
      <c r="I1243" s="296"/>
      <c r="J1243" s="296"/>
      <c r="K1243" s="296"/>
      <c r="L1243" s="296"/>
      <c r="M1243" s="296"/>
      <c r="N1243" s="296"/>
      <c r="O1243" s="269"/>
      <c r="P1243" s="269"/>
      <c r="Q1243" s="269"/>
      <c r="R1243" s="296"/>
      <c r="S1243" s="296"/>
      <c r="T1243" s="296"/>
      <c r="U1243" s="296"/>
      <c r="V1243" s="296"/>
      <c r="W1243" s="296"/>
      <c r="X1243" s="296"/>
      <c r="Y1243" s="296"/>
      <c r="Z1243" s="296"/>
      <c r="AA1243" s="296"/>
      <c r="AB1243" s="296"/>
      <c r="AC1243" s="296"/>
      <c r="AD1243" s="296"/>
      <c r="AE1243" s="307"/>
      <c r="AF1243" s="273"/>
      <c r="AG1243" s="274"/>
    </row>
    <row r="1244">
      <c r="A1244" s="296"/>
      <c r="B1244" s="269"/>
      <c r="C1244" s="296"/>
      <c r="D1244" s="296"/>
      <c r="E1244" s="296"/>
      <c r="F1244" s="296"/>
      <c r="G1244" s="296"/>
      <c r="H1244" s="296"/>
      <c r="I1244" s="296"/>
      <c r="J1244" s="296"/>
      <c r="K1244" s="296"/>
      <c r="L1244" s="296"/>
      <c r="M1244" s="296"/>
      <c r="N1244" s="296"/>
      <c r="O1244" s="269"/>
      <c r="P1244" s="269"/>
      <c r="Q1244" s="269"/>
      <c r="R1244" s="296"/>
      <c r="S1244" s="296"/>
      <c r="T1244" s="296"/>
      <c r="U1244" s="296"/>
      <c r="V1244" s="296"/>
      <c r="W1244" s="296"/>
      <c r="X1244" s="296"/>
      <c r="Y1244" s="296"/>
      <c r="Z1244" s="296"/>
      <c r="AA1244" s="296"/>
      <c r="AB1244" s="296"/>
      <c r="AC1244" s="296"/>
      <c r="AD1244" s="296"/>
      <c r="AE1244" s="307"/>
      <c r="AF1244" s="273"/>
      <c r="AG1244" s="274"/>
    </row>
    <row r="1245">
      <c r="A1245" s="296"/>
      <c r="B1245" s="269"/>
      <c r="C1245" s="296"/>
      <c r="D1245" s="296"/>
      <c r="E1245" s="296"/>
      <c r="F1245" s="296"/>
      <c r="G1245" s="296"/>
      <c r="H1245" s="296"/>
      <c r="I1245" s="296"/>
      <c r="J1245" s="296"/>
      <c r="K1245" s="296"/>
      <c r="L1245" s="296"/>
      <c r="M1245" s="296"/>
      <c r="N1245" s="296"/>
      <c r="O1245" s="269"/>
      <c r="P1245" s="269"/>
      <c r="Q1245" s="269"/>
      <c r="R1245" s="296"/>
      <c r="S1245" s="296"/>
      <c r="T1245" s="296"/>
      <c r="U1245" s="296"/>
      <c r="V1245" s="296"/>
      <c r="W1245" s="296"/>
      <c r="X1245" s="296"/>
      <c r="Y1245" s="296"/>
      <c r="Z1245" s="296"/>
      <c r="AA1245" s="296"/>
      <c r="AB1245" s="296"/>
      <c r="AC1245" s="296"/>
      <c r="AD1245" s="296"/>
      <c r="AE1245" s="307"/>
      <c r="AF1245" s="273"/>
      <c r="AG1245" s="274"/>
    </row>
    <row r="1246">
      <c r="A1246" s="296"/>
      <c r="B1246" s="269"/>
      <c r="C1246" s="296"/>
      <c r="D1246" s="296"/>
      <c r="E1246" s="296"/>
      <c r="F1246" s="296"/>
      <c r="G1246" s="296"/>
      <c r="H1246" s="296"/>
      <c r="I1246" s="296"/>
      <c r="J1246" s="296"/>
      <c r="K1246" s="296"/>
      <c r="L1246" s="296"/>
      <c r="M1246" s="296"/>
      <c r="N1246" s="296"/>
      <c r="O1246" s="269"/>
      <c r="P1246" s="269"/>
      <c r="Q1246" s="269"/>
      <c r="R1246" s="296"/>
      <c r="S1246" s="296"/>
      <c r="T1246" s="296"/>
      <c r="U1246" s="296"/>
      <c r="V1246" s="296"/>
      <c r="W1246" s="296"/>
      <c r="X1246" s="296"/>
      <c r="Y1246" s="296"/>
      <c r="Z1246" s="296"/>
      <c r="AA1246" s="296"/>
      <c r="AB1246" s="296"/>
      <c r="AC1246" s="296"/>
      <c r="AD1246" s="296"/>
      <c r="AE1246" s="307"/>
      <c r="AF1246" s="273"/>
      <c r="AG1246" s="274"/>
    </row>
    <row r="1247">
      <c r="A1247" s="296"/>
      <c r="B1247" s="269"/>
      <c r="C1247" s="296"/>
      <c r="D1247" s="296"/>
      <c r="E1247" s="296"/>
      <c r="F1247" s="296"/>
      <c r="G1247" s="296"/>
      <c r="H1247" s="296"/>
      <c r="I1247" s="296"/>
      <c r="J1247" s="296"/>
      <c r="K1247" s="296"/>
      <c r="L1247" s="296"/>
      <c r="M1247" s="296"/>
      <c r="N1247" s="296"/>
      <c r="O1247" s="269"/>
      <c r="P1247" s="269"/>
      <c r="Q1247" s="269"/>
      <c r="R1247" s="296"/>
      <c r="S1247" s="296"/>
      <c r="T1247" s="296"/>
      <c r="U1247" s="296"/>
      <c r="V1247" s="296"/>
      <c r="W1247" s="296"/>
      <c r="X1247" s="296"/>
      <c r="Y1247" s="296"/>
      <c r="Z1247" s="296"/>
      <c r="AA1247" s="296"/>
      <c r="AB1247" s="296"/>
      <c r="AC1247" s="296"/>
      <c r="AD1247" s="296"/>
      <c r="AE1247" s="307"/>
      <c r="AF1247" s="273"/>
      <c r="AG1247" s="274"/>
    </row>
    <row r="1248">
      <c r="A1248" s="296"/>
      <c r="B1248" s="269"/>
      <c r="C1248" s="296"/>
      <c r="D1248" s="296"/>
      <c r="E1248" s="296"/>
      <c r="F1248" s="296"/>
      <c r="G1248" s="296"/>
      <c r="H1248" s="296"/>
      <c r="I1248" s="296"/>
      <c r="J1248" s="296"/>
      <c r="K1248" s="296"/>
      <c r="L1248" s="296"/>
      <c r="M1248" s="296"/>
      <c r="N1248" s="296"/>
      <c r="O1248" s="269"/>
      <c r="P1248" s="269"/>
      <c r="Q1248" s="269"/>
      <c r="R1248" s="296"/>
      <c r="S1248" s="296"/>
      <c r="T1248" s="296"/>
      <c r="U1248" s="296"/>
      <c r="V1248" s="296"/>
      <c r="W1248" s="296"/>
      <c r="X1248" s="296"/>
      <c r="Y1248" s="296"/>
      <c r="Z1248" s="296"/>
      <c r="AA1248" s="296"/>
      <c r="AB1248" s="296"/>
      <c r="AC1248" s="296"/>
      <c r="AD1248" s="296"/>
      <c r="AE1248" s="307"/>
      <c r="AF1248" s="273"/>
      <c r="AG1248" s="274"/>
    </row>
    <row r="1249">
      <c r="A1249" s="296"/>
      <c r="B1249" s="269"/>
      <c r="C1249" s="296"/>
      <c r="D1249" s="296"/>
      <c r="E1249" s="296"/>
      <c r="F1249" s="296"/>
      <c r="G1249" s="296"/>
      <c r="H1249" s="296"/>
      <c r="I1249" s="296"/>
      <c r="J1249" s="296"/>
      <c r="K1249" s="296"/>
      <c r="L1249" s="296"/>
      <c r="M1249" s="296"/>
      <c r="N1249" s="296"/>
      <c r="O1249" s="269"/>
      <c r="P1249" s="269"/>
      <c r="Q1249" s="269"/>
      <c r="R1249" s="296"/>
      <c r="S1249" s="296"/>
      <c r="T1249" s="296"/>
      <c r="U1249" s="296"/>
      <c r="V1249" s="296"/>
      <c r="W1249" s="296"/>
      <c r="X1249" s="296"/>
      <c r="Y1249" s="296"/>
      <c r="Z1249" s="296"/>
      <c r="AA1249" s="296"/>
      <c r="AB1249" s="296"/>
      <c r="AC1249" s="296"/>
      <c r="AD1249" s="296"/>
      <c r="AE1249" s="307"/>
      <c r="AF1249" s="273"/>
      <c r="AG1249" s="274"/>
    </row>
    <row r="1250">
      <c r="A1250" s="296"/>
      <c r="B1250" s="269"/>
      <c r="C1250" s="296"/>
      <c r="D1250" s="296"/>
      <c r="E1250" s="296"/>
      <c r="F1250" s="296"/>
      <c r="G1250" s="296"/>
      <c r="H1250" s="296"/>
      <c r="I1250" s="296"/>
      <c r="J1250" s="296"/>
      <c r="K1250" s="296"/>
      <c r="L1250" s="296"/>
      <c r="M1250" s="296"/>
      <c r="N1250" s="296"/>
      <c r="O1250" s="269"/>
      <c r="P1250" s="269"/>
      <c r="Q1250" s="269"/>
      <c r="R1250" s="296"/>
      <c r="S1250" s="296"/>
      <c r="T1250" s="296"/>
      <c r="U1250" s="296"/>
      <c r="V1250" s="296"/>
      <c r="W1250" s="296"/>
      <c r="X1250" s="296"/>
      <c r="Y1250" s="296"/>
      <c r="Z1250" s="296"/>
      <c r="AA1250" s="296"/>
      <c r="AB1250" s="296"/>
      <c r="AC1250" s="296"/>
      <c r="AD1250" s="296"/>
      <c r="AE1250" s="307"/>
      <c r="AF1250" s="273"/>
      <c r="AG1250" s="274"/>
    </row>
    <row r="1251">
      <c r="A1251" s="296"/>
      <c r="B1251" s="269"/>
      <c r="C1251" s="296"/>
      <c r="D1251" s="296"/>
      <c r="E1251" s="296"/>
      <c r="F1251" s="296"/>
      <c r="G1251" s="296"/>
      <c r="H1251" s="296"/>
      <c r="I1251" s="296"/>
      <c r="J1251" s="296"/>
      <c r="K1251" s="296"/>
      <c r="L1251" s="296"/>
      <c r="M1251" s="296"/>
      <c r="N1251" s="296"/>
      <c r="O1251" s="269"/>
      <c r="P1251" s="269"/>
      <c r="Q1251" s="269"/>
      <c r="R1251" s="296"/>
      <c r="S1251" s="296"/>
      <c r="T1251" s="296"/>
      <c r="U1251" s="296"/>
      <c r="V1251" s="296"/>
      <c r="W1251" s="296"/>
      <c r="X1251" s="296"/>
      <c r="Y1251" s="296"/>
      <c r="Z1251" s="296"/>
      <c r="AA1251" s="296"/>
      <c r="AB1251" s="296"/>
      <c r="AC1251" s="296"/>
      <c r="AD1251" s="296"/>
      <c r="AE1251" s="307"/>
      <c r="AF1251" s="273"/>
      <c r="AG1251" s="274"/>
    </row>
    <row r="1252">
      <c r="A1252" s="296"/>
      <c r="B1252" s="269"/>
      <c r="C1252" s="296"/>
      <c r="D1252" s="296"/>
      <c r="E1252" s="296"/>
      <c r="F1252" s="296"/>
      <c r="G1252" s="296"/>
      <c r="H1252" s="296"/>
      <c r="I1252" s="296"/>
      <c r="J1252" s="296"/>
      <c r="K1252" s="296"/>
      <c r="L1252" s="296"/>
      <c r="M1252" s="296"/>
      <c r="N1252" s="296"/>
      <c r="O1252" s="269"/>
      <c r="P1252" s="269"/>
      <c r="Q1252" s="269"/>
      <c r="R1252" s="296"/>
      <c r="S1252" s="296"/>
      <c r="T1252" s="296"/>
      <c r="U1252" s="296"/>
      <c r="V1252" s="296"/>
      <c r="W1252" s="296"/>
      <c r="X1252" s="296"/>
      <c r="Y1252" s="296"/>
      <c r="Z1252" s="296"/>
      <c r="AA1252" s="296"/>
      <c r="AB1252" s="296"/>
      <c r="AC1252" s="296"/>
      <c r="AD1252" s="296"/>
      <c r="AE1252" s="307"/>
      <c r="AF1252" s="273"/>
      <c r="AG1252" s="274"/>
    </row>
    <row r="1253">
      <c r="A1253" s="296"/>
      <c r="B1253" s="269"/>
      <c r="C1253" s="296"/>
      <c r="D1253" s="296"/>
      <c r="E1253" s="296"/>
      <c r="F1253" s="296"/>
      <c r="G1253" s="296"/>
      <c r="H1253" s="296"/>
      <c r="I1253" s="296"/>
      <c r="J1253" s="296"/>
      <c r="K1253" s="296"/>
      <c r="L1253" s="296"/>
      <c r="M1253" s="296"/>
      <c r="N1253" s="296"/>
      <c r="O1253" s="269"/>
      <c r="P1253" s="269"/>
      <c r="Q1253" s="269"/>
      <c r="R1253" s="296"/>
      <c r="S1253" s="296"/>
      <c r="T1253" s="296"/>
      <c r="U1253" s="296"/>
      <c r="V1253" s="296"/>
      <c r="W1253" s="296"/>
      <c r="X1253" s="296"/>
      <c r="Y1253" s="296"/>
      <c r="Z1253" s="296"/>
      <c r="AA1253" s="296"/>
      <c r="AB1253" s="296"/>
      <c r="AC1253" s="296"/>
      <c r="AD1253" s="296"/>
      <c r="AE1253" s="307"/>
      <c r="AF1253" s="273"/>
      <c r="AG1253" s="274"/>
    </row>
    <row r="1254">
      <c r="A1254" s="296"/>
      <c r="B1254" s="269"/>
      <c r="C1254" s="296"/>
      <c r="D1254" s="296"/>
      <c r="E1254" s="296"/>
      <c r="F1254" s="296"/>
      <c r="G1254" s="296"/>
      <c r="H1254" s="296"/>
      <c r="I1254" s="296"/>
      <c r="J1254" s="296"/>
      <c r="K1254" s="296"/>
      <c r="L1254" s="296"/>
      <c r="M1254" s="296"/>
      <c r="N1254" s="296"/>
      <c r="O1254" s="269"/>
      <c r="P1254" s="269"/>
      <c r="Q1254" s="269"/>
      <c r="R1254" s="296"/>
      <c r="S1254" s="296"/>
      <c r="T1254" s="296"/>
      <c r="U1254" s="296"/>
      <c r="V1254" s="296"/>
      <c r="W1254" s="296"/>
      <c r="X1254" s="296"/>
      <c r="Y1254" s="296"/>
      <c r="Z1254" s="296"/>
      <c r="AA1254" s="296"/>
      <c r="AB1254" s="296"/>
      <c r="AC1254" s="296"/>
      <c r="AD1254" s="296"/>
      <c r="AE1254" s="307"/>
      <c r="AF1254" s="273"/>
      <c r="AG1254" s="274"/>
    </row>
    <row r="1255">
      <c r="A1255" s="296"/>
      <c r="B1255" s="269"/>
      <c r="C1255" s="296"/>
      <c r="D1255" s="296"/>
      <c r="E1255" s="296"/>
      <c r="F1255" s="296"/>
      <c r="G1255" s="296"/>
      <c r="H1255" s="296"/>
      <c r="I1255" s="296"/>
      <c r="J1255" s="296"/>
      <c r="K1255" s="296"/>
      <c r="L1255" s="296"/>
      <c r="M1255" s="296"/>
      <c r="N1255" s="296"/>
      <c r="O1255" s="269"/>
      <c r="P1255" s="269"/>
      <c r="Q1255" s="269"/>
      <c r="R1255" s="296"/>
      <c r="S1255" s="296"/>
      <c r="T1255" s="296"/>
      <c r="U1255" s="296"/>
      <c r="V1255" s="296"/>
      <c r="W1255" s="296"/>
      <c r="X1255" s="296"/>
      <c r="Y1255" s="296"/>
      <c r="Z1255" s="296"/>
      <c r="AA1255" s="296"/>
      <c r="AB1255" s="296"/>
      <c r="AC1255" s="296"/>
      <c r="AD1255" s="296"/>
      <c r="AE1255" s="307"/>
      <c r="AF1255" s="273"/>
      <c r="AG1255" s="274"/>
    </row>
    <row r="1256">
      <c r="A1256" s="296"/>
      <c r="B1256" s="269"/>
      <c r="C1256" s="296"/>
      <c r="D1256" s="296"/>
      <c r="E1256" s="296"/>
      <c r="F1256" s="296"/>
      <c r="G1256" s="296"/>
      <c r="H1256" s="296"/>
      <c r="I1256" s="296"/>
      <c r="J1256" s="296"/>
      <c r="K1256" s="296"/>
      <c r="L1256" s="296"/>
      <c r="M1256" s="296"/>
      <c r="N1256" s="296"/>
      <c r="O1256" s="269"/>
      <c r="P1256" s="269"/>
      <c r="Q1256" s="269"/>
      <c r="R1256" s="296"/>
      <c r="S1256" s="296"/>
      <c r="T1256" s="296"/>
      <c r="U1256" s="296"/>
      <c r="V1256" s="296"/>
      <c r="W1256" s="296"/>
      <c r="X1256" s="296"/>
      <c r="Y1256" s="296"/>
      <c r="Z1256" s="296"/>
      <c r="AA1256" s="296"/>
      <c r="AB1256" s="296"/>
      <c r="AC1256" s="296"/>
      <c r="AD1256" s="296"/>
      <c r="AE1256" s="307"/>
      <c r="AF1256" s="273"/>
      <c r="AG1256" s="274"/>
    </row>
    <row r="1257">
      <c r="A1257" s="296"/>
      <c r="B1257" s="269"/>
      <c r="C1257" s="296"/>
      <c r="D1257" s="296"/>
      <c r="E1257" s="296"/>
      <c r="F1257" s="296"/>
      <c r="G1257" s="296"/>
      <c r="H1257" s="296"/>
      <c r="I1257" s="296"/>
      <c r="J1257" s="296"/>
      <c r="K1257" s="296"/>
      <c r="L1257" s="296"/>
      <c r="M1257" s="296"/>
      <c r="N1257" s="296"/>
      <c r="O1257" s="269"/>
      <c r="P1257" s="269"/>
      <c r="Q1257" s="269"/>
      <c r="R1257" s="296"/>
      <c r="S1257" s="296"/>
      <c r="T1257" s="296"/>
      <c r="U1257" s="296"/>
      <c r="V1257" s="296"/>
      <c r="W1257" s="296"/>
      <c r="X1257" s="296"/>
      <c r="Y1257" s="296"/>
      <c r="Z1257" s="296"/>
      <c r="AA1257" s="296"/>
      <c r="AB1257" s="296"/>
      <c r="AC1257" s="296"/>
      <c r="AD1257" s="296"/>
      <c r="AE1257" s="307"/>
      <c r="AF1257" s="273"/>
      <c r="AG1257" s="274"/>
    </row>
    <row r="1258">
      <c r="A1258" s="296"/>
      <c r="B1258" s="269"/>
      <c r="C1258" s="296"/>
      <c r="D1258" s="296"/>
      <c r="E1258" s="296"/>
      <c r="F1258" s="296"/>
      <c r="G1258" s="296"/>
      <c r="H1258" s="296"/>
      <c r="I1258" s="296"/>
      <c r="J1258" s="296"/>
      <c r="K1258" s="296"/>
      <c r="L1258" s="296"/>
      <c r="M1258" s="296"/>
      <c r="N1258" s="296"/>
      <c r="O1258" s="269"/>
      <c r="P1258" s="269"/>
      <c r="Q1258" s="269"/>
      <c r="R1258" s="296"/>
      <c r="S1258" s="296"/>
      <c r="T1258" s="296"/>
      <c r="U1258" s="296"/>
      <c r="V1258" s="296"/>
      <c r="W1258" s="296"/>
      <c r="X1258" s="296"/>
      <c r="Y1258" s="296"/>
      <c r="Z1258" s="296"/>
      <c r="AA1258" s="296"/>
      <c r="AB1258" s="296"/>
      <c r="AC1258" s="296"/>
      <c r="AD1258" s="296"/>
      <c r="AE1258" s="307"/>
      <c r="AF1258" s="273"/>
      <c r="AG1258" s="274"/>
    </row>
    <row r="1259">
      <c r="A1259" s="296"/>
      <c r="B1259" s="269"/>
      <c r="C1259" s="296"/>
      <c r="D1259" s="296"/>
      <c r="E1259" s="296"/>
      <c r="F1259" s="296"/>
      <c r="G1259" s="296"/>
      <c r="H1259" s="296"/>
      <c r="I1259" s="296"/>
      <c r="J1259" s="296"/>
      <c r="K1259" s="296"/>
      <c r="L1259" s="296"/>
      <c r="M1259" s="296"/>
      <c r="N1259" s="296"/>
      <c r="O1259" s="269"/>
      <c r="P1259" s="269"/>
      <c r="Q1259" s="269"/>
      <c r="R1259" s="296"/>
      <c r="S1259" s="296"/>
      <c r="T1259" s="296"/>
      <c r="U1259" s="296"/>
      <c r="V1259" s="296"/>
      <c r="W1259" s="296"/>
      <c r="X1259" s="296"/>
      <c r="Y1259" s="296"/>
      <c r="Z1259" s="296"/>
      <c r="AA1259" s="296"/>
      <c r="AB1259" s="296"/>
      <c r="AC1259" s="296"/>
      <c r="AD1259" s="296"/>
      <c r="AE1259" s="307"/>
      <c r="AF1259" s="273"/>
      <c r="AG1259" s="274"/>
    </row>
    <row r="1260">
      <c r="A1260" s="296"/>
      <c r="B1260" s="269"/>
      <c r="C1260" s="296"/>
      <c r="D1260" s="296"/>
      <c r="E1260" s="296"/>
      <c r="F1260" s="296"/>
      <c r="G1260" s="296"/>
      <c r="H1260" s="296"/>
      <c r="I1260" s="296"/>
      <c r="J1260" s="296"/>
      <c r="K1260" s="296"/>
      <c r="L1260" s="296"/>
      <c r="M1260" s="296"/>
      <c r="N1260" s="296"/>
      <c r="O1260" s="269"/>
      <c r="P1260" s="269"/>
      <c r="Q1260" s="269"/>
      <c r="R1260" s="296"/>
      <c r="S1260" s="296"/>
      <c r="T1260" s="296"/>
      <c r="U1260" s="296"/>
      <c r="V1260" s="296"/>
      <c r="W1260" s="296"/>
      <c r="X1260" s="296"/>
      <c r="Y1260" s="296"/>
      <c r="Z1260" s="296"/>
      <c r="AA1260" s="296"/>
      <c r="AB1260" s="296"/>
      <c r="AC1260" s="296"/>
      <c r="AD1260" s="296"/>
      <c r="AE1260" s="307"/>
      <c r="AF1260" s="273"/>
      <c r="AG1260" s="274"/>
    </row>
    <row r="1261">
      <c r="A1261" s="296"/>
      <c r="B1261" s="269"/>
      <c r="C1261" s="296"/>
      <c r="D1261" s="296"/>
      <c r="E1261" s="296"/>
      <c r="F1261" s="296"/>
      <c r="G1261" s="296"/>
      <c r="H1261" s="296"/>
      <c r="I1261" s="296"/>
      <c r="J1261" s="296"/>
      <c r="K1261" s="296"/>
      <c r="L1261" s="296"/>
      <c r="M1261" s="296"/>
      <c r="N1261" s="296"/>
      <c r="O1261" s="269"/>
      <c r="P1261" s="269"/>
      <c r="Q1261" s="269"/>
      <c r="R1261" s="296"/>
      <c r="S1261" s="296"/>
      <c r="T1261" s="296"/>
      <c r="U1261" s="296"/>
      <c r="V1261" s="296"/>
      <c r="W1261" s="296"/>
      <c r="X1261" s="296"/>
      <c r="Y1261" s="296"/>
      <c r="Z1261" s="296"/>
      <c r="AA1261" s="296"/>
      <c r="AB1261" s="296"/>
      <c r="AC1261" s="296"/>
      <c r="AD1261" s="296"/>
      <c r="AE1261" s="307"/>
      <c r="AF1261" s="273"/>
      <c r="AG1261" s="274"/>
    </row>
    <row r="1262">
      <c r="A1262" s="296"/>
      <c r="B1262" s="269"/>
      <c r="C1262" s="296"/>
      <c r="D1262" s="296"/>
      <c r="E1262" s="296"/>
      <c r="F1262" s="296"/>
      <c r="G1262" s="296"/>
      <c r="H1262" s="296"/>
      <c r="I1262" s="296"/>
      <c r="J1262" s="296"/>
      <c r="K1262" s="296"/>
      <c r="L1262" s="296"/>
      <c r="M1262" s="296"/>
      <c r="N1262" s="296"/>
      <c r="O1262" s="269"/>
      <c r="P1262" s="269"/>
      <c r="Q1262" s="269"/>
      <c r="R1262" s="296"/>
      <c r="S1262" s="296"/>
      <c r="T1262" s="296"/>
      <c r="U1262" s="296"/>
      <c r="V1262" s="296"/>
      <c r="W1262" s="296"/>
      <c r="X1262" s="296"/>
      <c r="Y1262" s="296"/>
      <c r="Z1262" s="296"/>
      <c r="AA1262" s="296"/>
      <c r="AB1262" s="296"/>
      <c r="AC1262" s="296"/>
      <c r="AD1262" s="296"/>
      <c r="AE1262" s="307"/>
      <c r="AF1262" s="273"/>
      <c r="AG1262" s="274"/>
    </row>
    <row r="1263">
      <c r="A1263" s="296"/>
      <c r="B1263" s="269"/>
      <c r="C1263" s="296"/>
      <c r="D1263" s="296"/>
      <c r="E1263" s="296"/>
      <c r="F1263" s="296"/>
      <c r="G1263" s="296"/>
      <c r="H1263" s="296"/>
      <c r="I1263" s="296"/>
      <c r="J1263" s="296"/>
      <c r="K1263" s="296"/>
      <c r="L1263" s="296"/>
      <c r="M1263" s="296"/>
      <c r="N1263" s="296"/>
      <c r="O1263" s="269"/>
      <c r="P1263" s="269"/>
      <c r="Q1263" s="269"/>
      <c r="R1263" s="296"/>
      <c r="S1263" s="296"/>
      <c r="T1263" s="296"/>
      <c r="U1263" s="296"/>
      <c r="V1263" s="296"/>
      <c r="W1263" s="296"/>
      <c r="X1263" s="296"/>
      <c r="Y1263" s="296"/>
      <c r="Z1263" s="296"/>
      <c r="AA1263" s="296"/>
      <c r="AB1263" s="296"/>
      <c r="AC1263" s="296"/>
      <c r="AD1263" s="296"/>
      <c r="AE1263" s="307"/>
      <c r="AF1263" s="273"/>
      <c r="AG1263" s="274"/>
    </row>
    <row r="1264">
      <c r="A1264" s="296"/>
      <c r="B1264" s="269"/>
      <c r="C1264" s="296"/>
      <c r="D1264" s="296"/>
      <c r="E1264" s="296"/>
      <c r="F1264" s="296"/>
      <c r="G1264" s="296"/>
      <c r="H1264" s="296"/>
      <c r="I1264" s="296"/>
      <c r="J1264" s="296"/>
      <c r="K1264" s="296"/>
      <c r="L1264" s="296"/>
      <c r="M1264" s="296"/>
      <c r="N1264" s="296"/>
      <c r="O1264" s="269"/>
      <c r="P1264" s="269"/>
      <c r="Q1264" s="269"/>
      <c r="R1264" s="296"/>
      <c r="S1264" s="296"/>
      <c r="T1264" s="296"/>
      <c r="U1264" s="296"/>
      <c r="V1264" s="296"/>
      <c r="W1264" s="296"/>
      <c r="X1264" s="296"/>
      <c r="Y1264" s="296"/>
      <c r="Z1264" s="296"/>
      <c r="AA1264" s="296"/>
      <c r="AB1264" s="296"/>
      <c r="AC1264" s="296"/>
      <c r="AD1264" s="296"/>
      <c r="AE1264" s="307"/>
      <c r="AF1264" s="273"/>
      <c r="AG1264" s="274"/>
    </row>
    <row r="1265">
      <c r="A1265" s="296"/>
      <c r="B1265" s="269"/>
      <c r="C1265" s="296"/>
      <c r="D1265" s="296"/>
      <c r="E1265" s="296"/>
      <c r="F1265" s="296"/>
      <c r="G1265" s="296"/>
      <c r="H1265" s="296"/>
      <c r="I1265" s="296"/>
      <c r="J1265" s="296"/>
      <c r="K1265" s="296"/>
      <c r="L1265" s="296"/>
      <c r="M1265" s="296"/>
      <c r="N1265" s="296"/>
      <c r="O1265" s="269"/>
      <c r="P1265" s="269"/>
      <c r="Q1265" s="269"/>
      <c r="R1265" s="296"/>
      <c r="S1265" s="296"/>
      <c r="T1265" s="296"/>
      <c r="U1265" s="296"/>
      <c r="V1265" s="296"/>
      <c r="W1265" s="296"/>
      <c r="X1265" s="296"/>
      <c r="Y1265" s="296"/>
      <c r="Z1265" s="296"/>
      <c r="AA1265" s="296"/>
      <c r="AB1265" s="296"/>
      <c r="AC1265" s="296"/>
      <c r="AD1265" s="296"/>
      <c r="AE1265" s="307"/>
      <c r="AF1265" s="273"/>
      <c r="AG1265" s="274"/>
    </row>
    <row r="1266">
      <c r="A1266" s="296"/>
      <c r="B1266" s="269"/>
      <c r="C1266" s="296"/>
      <c r="D1266" s="296"/>
      <c r="E1266" s="296"/>
      <c r="F1266" s="296"/>
      <c r="G1266" s="296"/>
      <c r="H1266" s="296"/>
      <c r="I1266" s="296"/>
      <c r="J1266" s="296"/>
      <c r="K1266" s="296"/>
      <c r="L1266" s="296"/>
      <c r="M1266" s="296"/>
      <c r="N1266" s="296"/>
      <c r="O1266" s="269"/>
      <c r="P1266" s="269"/>
      <c r="Q1266" s="269"/>
      <c r="R1266" s="296"/>
      <c r="S1266" s="296"/>
      <c r="T1266" s="296"/>
      <c r="U1266" s="296"/>
      <c r="V1266" s="296"/>
      <c r="W1266" s="296"/>
      <c r="X1266" s="296"/>
      <c r="Y1266" s="296"/>
      <c r="Z1266" s="296"/>
      <c r="AA1266" s="296"/>
      <c r="AB1266" s="296"/>
      <c r="AC1266" s="296"/>
      <c r="AD1266" s="296"/>
      <c r="AE1266" s="307"/>
      <c r="AF1266" s="273"/>
      <c r="AG1266" s="274"/>
    </row>
    <row r="1267">
      <c r="A1267" s="296"/>
      <c r="B1267" s="269"/>
      <c r="C1267" s="296"/>
      <c r="D1267" s="296"/>
      <c r="E1267" s="296"/>
      <c r="F1267" s="296"/>
      <c r="G1267" s="296"/>
      <c r="H1267" s="296"/>
      <c r="I1267" s="296"/>
      <c r="J1267" s="296"/>
      <c r="K1267" s="296"/>
      <c r="L1267" s="296"/>
      <c r="M1267" s="296"/>
      <c r="N1267" s="296"/>
      <c r="O1267" s="269"/>
      <c r="P1267" s="269"/>
      <c r="Q1267" s="269"/>
      <c r="R1267" s="296"/>
      <c r="S1267" s="296"/>
      <c r="T1267" s="296"/>
      <c r="U1267" s="296"/>
      <c r="V1267" s="296"/>
      <c r="W1267" s="296"/>
      <c r="X1267" s="296"/>
      <c r="Y1267" s="296"/>
      <c r="Z1267" s="296"/>
      <c r="AA1267" s="296"/>
      <c r="AB1267" s="296"/>
      <c r="AC1267" s="296"/>
      <c r="AD1267" s="296"/>
      <c r="AE1267" s="307"/>
      <c r="AF1267" s="273"/>
      <c r="AG1267" s="274"/>
    </row>
    <row r="1268">
      <c r="A1268" s="296"/>
      <c r="B1268" s="269"/>
      <c r="C1268" s="296"/>
      <c r="D1268" s="296"/>
      <c r="E1268" s="296"/>
      <c r="F1268" s="296"/>
      <c r="G1268" s="296"/>
      <c r="H1268" s="296"/>
      <c r="I1268" s="296"/>
      <c r="J1268" s="296"/>
      <c r="K1268" s="296"/>
      <c r="L1268" s="296"/>
      <c r="M1268" s="296"/>
      <c r="N1268" s="296"/>
      <c r="O1268" s="269"/>
      <c r="P1268" s="269"/>
      <c r="Q1268" s="269"/>
      <c r="R1268" s="296"/>
      <c r="S1268" s="296"/>
      <c r="T1268" s="296"/>
      <c r="U1268" s="296"/>
      <c r="V1268" s="296"/>
      <c r="W1268" s="296"/>
      <c r="X1268" s="296"/>
      <c r="Y1268" s="296"/>
      <c r="Z1268" s="296"/>
      <c r="AA1268" s="296"/>
      <c r="AB1268" s="296"/>
      <c r="AC1268" s="296"/>
      <c r="AD1268" s="296"/>
      <c r="AE1268" s="307"/>
      <c r="AF1268" s="273"/>
      <c r="AG1268" s="274"/>
    </row>
    <row r="1269">
      <c r="A1269" s="296"/>
      <c r="B1269" s="269"/>
      <c r="C1269" s="296"/>
      <c r="D1269" s="296"/>
      <c r="E1269" s="296"/>
      <c r="F1269" s="296"/>
      <c r="G1269" s="296"/>
      <c r="H1269" s="296"/>
      <c r="I1269" s="296"/>
      <c r="J1269" s="296"/>
      <c r="K1269" s="296"/>
      <c r="L1269" s="296"/>
      <c r="M1269" s="296"/>
      <c r="N1269" s="296"/>
      <c r="O1269" s="269"/>
      <c r="P1269" s="269"/>
      <c r="Q1269" s="269"/>
      <c r="R1269" s="296"/>
      <c r="S1269" s="296"/>
      <c r="T1269" s="296"/>
      <c r="U1269" s="296"/>
      <c r="V1269" s="296"/>
      <c r="W1269" s="296"/>
      <c r="X1269" s="296"/>
      <c r="Y1269" s="296"/>
      <c r="Z1269" s="296"/>
      <c r="AA1269" s="296"/>
      <c r="AB1269" s="296"/>
      <c r="AC1269" s="296"/>
      <c r="AD1269" s="296"/>
      <c r="AE1269" s="307"/>
      <c r="AF1269" s="273"/>
      <c r="AG1269" s="274"/>
    </row>
    <row r="1270">
      <c r="A1270" s="296"/>
      <c r="B1270" s="269"/>
      <c r="C1270" s="296"/>
      <c r="D1270" s="296"/>
      <c r="E1270" s="296"/>
      <c r="F1270" s="296"/>
      <c r="G1270" s="296"/>
      <c r="H1270" s="296"/>
      <c r="I1270" s="296"/>
      <c r="J1270" s="296"/>
      <c r="K1270" s="296"/>
      <c r="L1270" s="296"/>
      <c r="M1270" s="296"/>
      <c r="N1270" s="296"/>
      <c r="O1270" s="269"/>
      <c r="P1270" s="269"/>
      <c r="Q1270" s="269"/>
      <c r="R1270" s="296"/>
      <c r="S1270" s="296"/>
      <c r="T1270" s="296"/>
      <c r="U1270" s="296"/>
      <c r="V1270" s="296"/>
      <c r="W1270" s="296"/>
      <c r="X1270" s="296"/>
      <c r="Y1270" s="296"/>
      <c r="Z1270" s="296"/>
      <c r="AA1270" s="296"/>
      <c r="AB1270" s="296"/>
      <c r="AC1270" s="296"/>
      <c r="AD1270" s="296"/>
      <c r="AE1270" s="272"/>
      <c r="AF1270" s="273"/>
      <c r="AG1270" s="274"/>
    </row>
    <row r="1271">
      <c r="A1271" s="296"/>
      <c r="B1271" s="269"/>
      <c r="C1271" s="296"/>
      <c r="D1271" s="296"/>
      <c r="E1271" s="296"/>
      <c r="F1271" s="296"/>
      <c r="G1271" s="296"/>
      <c r="H1271" s="296"/>
      <c r="I1271" s="296"/>
      <c r="J1271" s="296"/>
      <c r="K1271" s="296"/>
      <c r="L1271" s="296"/>
      <c r="M1271" s="296"/>
      <c r="N1271" s="296"/>
      <c r="O1271" s="269"/>
      <c r="P1271" s="269"/>
      <c r="Q1271" s="269"/>
      <c r="R1271" s="296"/>
      <c r="S1271" s="296"/>
      <c r="T1271" s="296"/>
      <c r="U1271" s="296"/>
      <c r="V1271" s="296"/>
      <c r="W1271" s="296"/>
      <c r="X1271" s="296"/>
      <c r="Y1271" s="296"/>
      <c r="Z1271" s="296"/>
      <c r="AA1271" s="296"/>
      <c r="AB1271" s="296"/>
      <c r="AC1271" s="296"/>
      <c r="AD1271" s="296"/>
      <c r="AE1271" s="272"/>
      <c r="AF1271" s="273"/>
      <c r="AG1271" s="274"/>
    </row>
    <row r="1272">
      <c r="A1272" s="296"/>
      <c r="B1272" s="269"/>
      <c r="C1272" s="296"/>
      <c r="D1272" s="296"/>
      <c r="E1272" s="296"/>
      <c r="F1272" s="296"/>
      <c r="G1272" s="296"/>
      <c r="H1272" s="296"/>
      <c r="I1272" s="296"/>
      <c r="J1272" s="296"/>
      <c r="K1272" s="296"/>
      <c r="L1272" s="296"/>
      <c r="M1272" s="296"/>
      <c r="N1272" s="296"/>
      <c r="O1272" s="269"/>
      <c r="P1272" s="269"/>
      <c r="Q1272" s="269"/>
      <c r="R1272" s="296"/>
      <c r="S1272" s="296"/>
      <c r="T1272" s="296"/>
      <c r="U1272" s="296"/>
      <c r="V1272" s="296"/>
      <c r="W1272" s="296"/>
      <c r="X1272" s="296"/>
      <c r="Y1272" s="296"/>
      <c r="Z1272" s="296"/>
      <c r="AA1272" s="296"/>
      <c r="AB1272" s="296"/>
      <c r="AC1272" s="296"/>
      <c r="AD1272" s="296"/>
      <c r="AE1272" s="272"/>
      <c r="AF1272" s="273"/>
      <c r="AG1272" s="274"/>
    </row>
    <row r="1273">
      <c r="A1273" s="296"/>
      <c r="B1273" s="269"/>
      <c r="C1273" s="296"/>
      <c r="D1273" s="296"/>
      <c r="E1273" s="296"/>
      <c r="F1273" s="296"/>
      <c r="G1273" s="296"/>
      <c r="H1273" s="296"/>
      <c r="I1273" s="296"/>
      <c r="J1273" s="296"/>
      <c r="K1273" s="296"/>
      <c r="L1273" s="296"/>
      <c r="M1273" s="296"/>
      <c r="N1273" s="296"/>
      <c r="O1273" s="269"/>
      <c r="P1273" s="269"/>
      <c r="Q1273" s="269"/>
      <c r="R1273" s="296"/>
      <c r="S1273" s="296"/>
      <c r="T1273" s="296"/>
      <c r="U1273" s="296"/>
      <c r="V1273" s="296"/>
      <c r="W1273" s="296"/>
      <c r="X1273" s="296"/>
      <c r="Y1273" s="296"/>
      <c r="Z1273" s="296"/>
      <c r="AA1273" s="296"/>
      <c r="AB1273" s="296"/>
      <c r="AC1273" s="296"/>
      <c r="AD1273" s="296"/>
      <c r="AE1273" s="272"/>
      <c r="AF1273" s="273"/>
      <c r="AG1273" s="274"/>
    </row>
    <row r="1274">
      <c r="A1274" s="296"/>
      <c r="B1274" s="269"/>
      <c r="C1274" s="296"/>
      <c r="D1274" s="296"/>
      <c r="E1274" s="296"/>
      <c r="F1274" s="296"/>
      <c r="G1274" s="296"/>
      <c r="H1274" s="296"/>
      <c r="I1274" s="296"/>
      <c r="J1274" s="296"/>
      <c r="K1274" s="296"/>
      <c r="L1274" s="296"/>
      <c r="M1274" s="296"/>
      <c r="N1274" s="296"/>
      <c r="O1274" s="269"/>
      <c r="P1274" s="269"/>
      <c r="Q1274" s="269"/>
      <c r="R1274" s="296"/>
      <c r="S1274" s="296"/>
      <c r="T1274" s="296"/>
      <c r="U1274" s="296"/>
      <c r="V1274" s="296"/>
      <c r="W1274" s="296"/>
      <c r="X1274" s="296"/>
      <c r="Y1274" s="296"/>
      <c r="Z1274" s="296"/>
      <c r="AA1274" s="296"/>
      <c r="AB1274" s="296"/>
      <c r="AC1274" s="296"/>
      <c r="AD1274" s="296"/>
      <c r="AE1274" s="272"/>
      <c r="AF1274" s="273"/>
      <c r="AG1274" s="274"/>
    </row>
    <row r="1275">
      <c r="A1275" s="296"/>
      <c r="B1275" s="269"/>
      <c r="C1275" s="296"/>
      <c r="D1275" s="296"/>
      <c r="E1275" s="296"/>
      <c r="F1275" s="296"/>
      <c r="G1275" s="296"/>
      <c r="H1275" s="296"/>
      <c r="I1275" s="296"/>
      <c r="J1275" s="296"/>
      <c r="K1275" s="296"/>
      <c r="L1275" s="296"/>
      <c r="M1275" s="296"/>
      <c r="N1275" s="296"/>
      <c r="O1275" s="269"/>
      <c r="P1275" s="269"/>
      <c r="Q1275" s="269"/>
      <c r="R1275" s="296"/>
      <c r="S1275" s="296"/>
      <c r="T1275" s="296"/>
      <c r="U1275" s="296"/>
      <c r="V1275" s="296"/>
      <c r="W1275" s="296"/>
      <c r="X1275" s="296"/>
      <c r="Y1275" s="296"/>
      <c r="Z1275" s="296"/>
      <c r="AA1275" s="296"/>
      <c r="AB1275" s="296"/>
      <c r="AC1275" s="296"/>
      <c r="AD1275" s="296"/>
      <c r="AE1275" s="272"/>
      <c r="AF1275" s="273"/>
      <c r="AG1275" s="274"/>
    </row>
    <row r="1276">
      <c r="A1276" s="296"/>
      <c r="B1276" s="269"/>
      <c r="C1276" s="296"/>
      <c r="D1276" s="296"/>
      <c r="E1276" s="296"/>
      <c r="F1276" s="296"/>
      <c r="G1276" s="296"/>
      <c r="H1276" s="296"/>
      <c r="I1276" s="296"/>
      <c r="J1276" s="296"/>
      <c r="K1276" s="296"/>
      <c r="L1276" s="296"/>
      <c r="M1276" s="296"/>
      <c r="N1276" s="296"/>
      <c r="O1276" s="269"/>
      <c r="P1276" s="269"/>
      <c r="Q1276" s="269"/>
      <c r="R1276" s="296"/>
      <c r="S1276" s="296"/>
      <c r="T1276" s="296"/>
      <c r="U1276" s="296"/>
      <c r="V1276" s="296"/>
      <c r="W1276" s="296"/>
      <c r="X1276" s="296"/>
      <c r="Y1276" s="296"/>
      <c r="Z1276" s="296"/>
      <c r="AA1276" s="296"/>
      <c r="AB1276" s="296"/>
      <c r="AC1276" s="296"/>
      <c r="AD1276" s="296"/>
      <c r="AE1276" s="272"/>
      <c r="AF1276" s="273"/>
      <c r="AG1276" s="274"/>
    </row>
    <row r="1277">
      <c r="A1277" s="296"/>
      <c r="B1277" s="269"/>
      <c r="C1277" s="296"/>
      <c r="D1277" s="296"/>
      <c r="E1277" s="296"/>
      <c r="F1277" s="296"/>
      <c r="G1277" s="296"/>
      <c r="H1277" s="296"/>
      <c r="I1277" s="296"/>
      <c r="J1277" s="296"/>
      <c r="K1277" s="296"/>
      <c r="L1277" s="296"/>
      <c r="M1277" s="296"/>
      <c r="N1277" s="296"/>
      <c r="O1277" s="269"/>
      <c r="P1277" s="269"/>
      <c r="Q1277" s="269"/>
      <c r="R1277" s="296"/>
      <c r="S1277" s="296"/>
      <c r="T1277" s="296"/>
      <c r="U1277" s="296"/>
      <c r="V1277" s="296"/>
      <c r="W1277" s="296"/>
      <c r="X1277" s="296"/>
      <c r="Y1277" s="296"/>
      <c r="Z1277" s="296"/>
      <c r="AA1277" s="296"/>
      <c r="AB1277" s="296"/>
      <c r="AC1277" s="296"/>
      <c r="AD1277" s="296"/>
      <c r="AE1277" s="272"/>
      <c r="AF1277" s="273"/>
      <c r="AG1277" s="274"/>
    </row>
    <row r="1278">
      <c r="A1278" s="296"/>
      <c r="B1278" s="269"/>
      <c r="C1278" s="296"/>
      <c r="D1278" s="296"/>
      <c r="E1278" s="296"/>
      <c r="F1278" s="296"/>
      <c r="G1278" s="296"/>
      <c r="H1278" s="296"/>
      <c r="I1278" s="296"/>
      <c r="J1278" s="296"/>
      <c r="K1278" s="296"/>
      <c r="L1278" s="296"/>
      <c r="M1278" s="296"/>
      <c r="N1278" s="296"/>
      <c r="O1278" s="269"/>
      <c r="P1278" s="269"/>
      <c r="Q1278" s="269"/>
      <c r="R1278" s="296"/>
      <c r="S1278" s="296"/>
      <c r="T1278" s="296"/>
      <c r="U1278" s="296"/>
      <c r="V1278" s="296"/>
      <c r="W1278" s="296"/>
      <c r="X1278" s="296"/>
      <c r="Y1278" s="296"/>
      <c r="Z1278" s="296"/>
      <c r="AA1278" s="296"/>
      <c r="AB1278" s="296"/>
      <c r="AC1278" s="296"/>
      <c r="AD1278" s="296"/>
      <c r="AE1278" s="272"/>
      <c r="AF1278" s="273"/>
      <c r="AG1278" s="274"/>
    </row>
    <row r="1279">
      <c r="A1279" s="296"/>
      <c r="B1279" s="269"/>
      <c r="C1279" s="296"/>
      <c r="D1279" s="296"/>
      <c r="E1279" s="296"/>
      <c r="F1279" s="296"/>
      <c r="G1279" s="296"/>
      <c r="H1279" s="296"/>
      <c r="I1279" s="296"/>
      <c r="J1279" s="296"/>
      <c r="K1279" s="296"/>
      <c r="L1279" s="296"/>
      <c r="M1279" s="296"/>
      <c r="N1279" s="296"/>
      <c r="O1279" s="269"/>
      <c r="P1279" s="269"/>
      <c r="Q1279" s="269"/>
      <c r="R1279" s="296"/>
      <c r="S1279" s="296"/>
      <c r="T1279" s="296"/>
      <c r="U1279" s="296"/>
      <c r="V1279" s="296"/>
      <c r="W1279" s="296"/>
      <c r="X1279" s="296"/>
      <c r="Y1279" s="296"/>
      <c r="Z1279" s="296"/>
      <c r="AA1279" s="296"/>
      <c r="AB1279" s="296"/>
      <c r="AC1279" s="296"/>
      <c r="AD1279" s="296"/>
      <c r="AE1279" s="272"/>
      <c r="AF1279" s="273"/>
      <c r="AG1279" s="274"/>
    </row>
    <row r="1280">
      <c r="A1280" s="296"/>
      <c r="B1280" s="269"/>
      <c r="C1280" s="296"/>
      <c r="D1280" s="296"/>
      <c r="E1280" s="296"/>
      <c r="F1280" s="296"/>
      <c r="G1280" s="296"/>
      <c r="H1280" s="296"/>
      <c r="I1280" s="296"/>
      <c r="J1280" s="296"/>
      <c r="K1280" s="296"/>
      <c r="L1280" s="296"/>
      <c r="M1280" s="296"/>
      <c r="N1280" s="296"/>
      <c r="O1280" s="269"/>
      <c r="P1280" s="269"/>
      <c r="Q1280" s="269"/>
      <c r="R1280" s="296"/>
      <c r="S1280" s="296"/>
      <c r="T1280" s="296"/>
      <c r="U1280" s="296"/>
      <c r="V1280" s="296"/>
      <c r="W1280" s="296"/>
      <c r="X1280" s="296"/>
      <c r="Y1280" s="296"/>
      <c r="Z1280" s="296"/>
      <c r="AA1280" s="296"/>
      <c r="AB1280" s="296"/>
      <c r="AC1280" s="296"/>
      <c r="AD1280" s="296"/>
      <c r="AE1280" s="272"/>
      <c r="AF1280" s="273"/>
      <c r="AG1280" s="274"/>
    </row>
    <row r="1281">
      <c r="A1281" s="296"/>
      <c r="B1281" s="269"/>
      <c r="C1281" s="296"/>
      <c r="D1281" s="296"/>
      <c r="E1281" s="296"/>
      <c r="F1281" s="296"/>
      <c r="G1281" s="296"/>
      <c r="H1281" s="296"/>
      <c r="I1281" s="296"/>
      <c r="J1281" s="296"/>
      <c r="K1281" s="296"/>
      <c r="L1281" s="296"/>
      <c r="M1281" s="296"/>
      <c r="N1281" s="296"/>
      <c r="O1281" s="269"/>
      <c r="P1281" s="269"/>
      <c r="Q1281" s="269"/>
      <c r="R1281" s="296"/>
      <c r="S1281" s="296"/>
      <c r="T1281" s="296"/>
      <c r="U1281" s="296"/>
      <c r="V1281" s="296"/>
      <c r="W1281" s="296"/>
      <c r="X1281" s="296"/>
      <c r="Y1281" s="296"/>
      <c r="Z1281" s="296"/>
      <c r="AA1281" s="296"/>
      <c r="AB1281" s="296"/>
      <c r="AC1281" s="296"/>
      <c r="AD1281" s="296"/>
      <c r="AE1281" s="272"/>
      <c r="AF1281" s="273"/>
      <c r="AG1281" s="274"/>
    </row>
    <row r="1282">
      <c r="A1282" s="296"/>
      <c r="B1282" s="269"/>
      <c r="C1282" s="296"/>
      <c r="D1282" s="296"/>
      <c r="E1282" s="296"/>
      <c r="F1282" s="296"/>
      <c r="G1282" s="296"/>
      <c r="H1282" s="296"/>
      <c r="I1282" s="296"/>
      <c r="J1282" s="296"/>
      <c r="K1282" s="296"/>
      <c r="L1282" s="296"/>
      <c r="M1282" s="296"/>
      <c r="N1282" s="296"/>
      <c r="O1282" s="269"/>
      <c r="P1282" s="269"/>
      <c r="Q1282" s="269"/>
      <c r="R1282" s="296"/>
      <c r="S1282" s="296"/>
      <c r="T1282" s="296"/>
      <c r="U1282" s="296"/>
      <c r="V1282" s="296"/>
      <c r="W1282" s="296"/>
      <c r="X1282" s="296"/>
      <c r="Y1282" s="296"/>
      <c r="Z1282" s="296"/>
      <c r="AA1282" s="296"/>
      <c r="AB1282" s="296"/>
      <c r="AC1282" s="296"/>
      <c r="AD1282" s="296"/>
      <c r="AE1282" s="272"/>
      <c r="AF1282" s="273"/>
      <c r="AG1282" s="274"/>
    </row>
    <row r="1283">
      <c r="A1283" s="296"/>
      <c r="B1283" s="269"/>
      <c r="C1283" s="296"/>
      <c r="D1283" s="296"/>
      <c r="E1283" s="296"/>
      <c r="F1283" s="296"/>
      <c r="G1283" s="296"/>
      <c r="H1283" s="296"/>
      <c r="I1283" s="296"/>
      <c r="J1283" s="296"/>
      <c r="K1283" s="296"/>
      <c r="L1283" s="296"/>
      <c r="M1283" s="296"/>
      <c r="N1283" s="296"/>
      <c r="O1283" s="269"/>
      <c r="P1283" s="269"/>
      <c r="Q1283" s="269"/>
      <c r="R1283" s="296"/>
      <c r="S1283" s="296"/>
      <c r="T1283" s="296"/>
      <c r="U1283" s="296"/>
      <c r="V1283" s="296"/>
      <c r="W1283" s="296"/>
      <c r="X1283" s="296"/>
      <c r="Y1283" s="296"/>
      <c r="Z1283" s="296"/>
      <c r="AA1283" s="296"/>
      <c r="AB1283" s="296"/>
      <c r="AC1283" s="296"/>
      <c r="AD1283" s="296"/>
      <c r="AE1283" s="272"/>
      <c r="AF1283" s="273"/>
      <c r="AG1283" s="274"/>
    </row>
    <row r="1284">
      <c r="A1284" s="296"/>
      <c r="B1284" s="269"/>
      <c r="C1284" s="308"/>
      <c r="D1284" s="308"/>
      <c r="E1284" s="308"/>
      <c r="F1284" s="308"/>
      <c r="G1284" s="296"/>
      <c r="H1284" s="296"/>
      <c r="I1284" s="296"/>
      <c r="J1284" s="296"/>
      <c r="K1284" s="296"/>
      <c r="L1284" s="296"/>
      <c r="M1284" s="296"/>
      <c r="N1284" s="296"/>
      <c r="O1284" s="269"/>
      <c r="P1284" s="269"/>
      <c r="Q1284" s="269"/>
      <c r="R1284" s="296"/>
      <c r="S1284" s="296"/>
      <c r="T1284" s="296"/>
      <c r="U1284" s="296"/>
      <c r="V1284" s="296"/>
      <c r="W1284" s="296"/>
      <c r="X1284" s="296"/>
      <c r="Y1284" s="296"/>
      <c r="Z1284" s="296"/>
      <c r="AA1284" s="296"/>
      <c r="AB1284" s="296"/>
      <c r="AC1284" s="296"/>
      <c r="AD1284" s="296"/>
      <c r="AE1284" s="272"/>
      <c r="AF1284" s="273"/>
      <c r="AG1284" s="274"/>
    </row>
    <row r="1285">
      <c r="A1285" s="296"/>
      <c r="B1285" s="269"/>
      <c r="C1285" s="308"/>
      <c r="D1285" s="308"/>
      <c r="E1285" s="308"/>
      <c r="F1285" s="308"/>
      <c r="G1285" s="296"/>
      <c r="H1285" s="296"/>
      <c r="I1285" s="296"/>
      <c r="J1285" s="296"/>
      <c r="K1285" s="296"/>
      <c r="L1285" s="296"/>
      <c r="M1285" s="296"/>
      <c r="N1285" s="296"/>
      <c r="O1285" s="269"/>
      <c r="P1285" s="269"/>
      <c r="Q1285" s="269"/>
      <c r="R1285" s="296"/>
      <c r="S1285" s="296"/>
      <c r="T1285" s="296"/>
      <c r="U1285" s="296"/>
      <c r="V1285" s="296"/>
      <c r="W1285" s="296"/>
      <c r="X1285" s="296"/>
      <c r="Y1285" s="296"/>
      <c r="Z1285" s="296"/>
      <c r="AA1285" s="296"/>
      <c r="AB1285" s="296"/>
      <c r="AC1285" s="296"/>
      <c r="AD1285" s="296"/>
      <c r="AE1285" s="272"/>
      <c r="AF1285" s="273"/>
      <c r="AG1285" s="274"/>
    </row>
    <row r="1286">
      <c r="A1286" s="296"/>
      <c r="B1286" s="269"/>
      <c r="C1286" s="308"/>
      <c r="D1286" s="308"/>
      <c r="E1286" s="308"/>
      <c r="F1286" s="308"/>
      <c r="G1286" s="296"/>
      <c r="H1286" s="296"/>
      <c r="I1286" s="296"/>
      <c r="J1286" s="296"/>
      <c r="K1286" s="296"/>
      <c r="L1286" s="296"/>
      <c r="M1286" s="296"/>
      <c r="N1286" s="296"/>
      <c r="O1286" s="269"/>
      <c r="P1286" s="269"/>
      <c r="Q1286" s="269"/>
      <c r="R1286" s="296"/>
      <c r="S1286" s="296"/>
      <c r="T1286" s="296"/>
      <c r="U1286" s="296"/>
      <c r="V1286" s="296"/>
      <c r="W1286" s="296"/>
      <c r="X1286" s="296"/>
      <c r="Y1286" s="296"/>
      <c r="Z1286" s="296"/>
      <c r="AA1286" s="296"/>
      <c r="AB1286" s="296"/>
      <c r="AC1286" s="296"/>
      <c r="AD1286" s="296"/>
      <c r="AE1286" s="272"/>
      <c r="AF1286" s="273"/>
      <c r="AG1286" s="274"/>
    </row>
    <row r="1287">
      <c r="A1287" s="296"/>
      <c r="B1287" s="269"/>
      <c r="C1287" s="308"/>
      <c r="D1287" s="308"/>
      <c r="E1287" s="308"/>
      <c r="F1287" s="308"/>
      <c r="G1287" s="296"/>
      <c r="H1287" s="296"/>
      <c r="I1287" s="296"/>
      <c r="J1287" s="296"/>
      <c r="K1287" s="296"/>
      <c r="L1287" s="296"/>
      <c r="M1287" s="296"/>
      <c r="N1287" s="296"/>
      <c r="O1287" s="269"/>
      <c r="P1287" s="269"/>
      <c r="Q1287" s="269"/>
      <c r="R1287" s="296"/>
      <c r="S1287" s="296"/>
      <c r="T1287" s="296"/>
      <c r="U1287" s="296"/>
      <c r="V1287" s="296"/>
      <c r="W1287" s="296"/>
      <c r="X1287" s="296"/>
      <c r="Y1287" s="296"/>
      <c r="Z1287" s="296"/>
      <c r="AA1287" s="296"/>
      <c r="AB1287" s="296"/>
      <c r="AC1287" s="296"/>
      <c r="AD1287" s="296"/>
      <c r="AE1287" s="272"/>
      <c r="AF1287" s="273"/>
      <c r="AG1287" s="274"/>
    </row>
    <row r="1288">
      <c r="A1288" s="296"/>
      <c r="B1288" s="269"/>
      <c r="C1288" s="308"/>
      <c r="D1288" s="308"/>
      <c r="E1288" s="308"/>
      <c r="F1288" s="308"/>
      <c r="G1288" s="296"/>
      <c r="H1288" s="296"/>
      <c r="I1288" s="296"/>
      <c r="J1288" s="296"/>
      <c r="K1288" s="296"/>
      <c r="L1288" s="296"/>
      <c r="M1288" s="296"/>
      <c r="N1288" s="296"/>
      <c r="O1288" s="269"/>
      <c r="P1288" s="269"/>
      <c r="Q1288" s="269"/>
      <c r="R1288" s="296"/>
      <c r="S1288" s="296"/>
      <c r="T1288" s="296"/>
      <c r="U1288" s="296"/>
      <c r="V1288" s="296"/>
      <c r="W1288" s="296"/>
      <c r="X1288" s="296"/>
      <c r="Y1288" s="296"/>
      <c r="Z1288" s="296"/>
      <c r="AA1288" s="296"/>
      <c r="AB1288" s="296"/>
      <c r="AC1288" s="296"/>
      <c r="AD1288" s="296"/>
      <c r="AE1288" s="272"/>
      <c r="AF1288" s="273"/>
      <c r="AG1288" s="274"/>
    </row>
    <row r="1289">
      <c r="A1289" s="296"/>
      <c r="B1289" s="269"/>
      <c r="C1289" s="308"/>
      <c r="D1289" s="308"/>
      <c r="E1289" s="308"/>
      <c r="F1289" s="308"/>
      <c r="G1289" s="296"/>
      <c r="H1289" s="296"/>
      <c r="I1289" s="296"/>
      <c r="J1289" s="296"/>
      <c r="K1289" s="296"/>
      <c r="L1289" s="296"/>
      <c r="M1289" s="296"/>
      <c r="N1289" s="296"/>
      <c r="O1289" s="269"/>
      <c r="P1289" s="269"/>
      <c r="Q1289" s="269"/>
      <c r="R1289" s="296"/>
      <c r="S1289" s="296"/>
      <c r="T1289" s="296"/>
      <c r="U1289" s="296"/>
      <c r="V1289" s="296"/>
      <c r="W1289" s="296"/>
      <c r="X1289" s="296"/>
      <c r="Y1289" s="296"/>
      <c r="Z1289" s="296"/>
      <c r="AA1289" s="296"/>
      <c r="AB1289" s="296"/>
      <c r="AC1289" s="296"/>
      <c r="AD1289" s="296"/>
      <c r="AE1289" s="272"/>
      <c r="AF1289" s="273"/>
      <c r="AG1289" s="274"/>
    </row>
    <row r="1290">
      <c r="A1290" s="296"/>
      <c r="B1290" s="269"/>
      <c r="C1290" s="308"/>
      <c r="D1290" s="308"/>
      <c r="E1290" s="308"/>
      <c r="F1290" s="308"/>
      <c r="G1290" s="296"/>
      <c r="H1290" s="296"/>
      <c r="I1290" s="296"/>
      <c r="J1290" s="296"/>
      <c r="K1290" s="296"/>
      <c r="L1290" s="296"/>
      <c r="M1290" s="296"/>
      <c r="N1290" s="296"/>
      <c r="O1290" s="269"/>
      <c r="P1290" s="269"/>
      <c r="Q1290" s="269"/>
      <c r="R1290" s="296"/>
      <c r="S1290" s="296"/>
      <c r="T1290" s="296"/>
      <c r="U1290" s="296"/>
      <c r="V1290" s="296"/>
      <c r="W1290" s="296"/>
      <c r="X1290" s="296"/>
      <c r="Y1290" s="296"/>
      <c r="Z1290" s="296"/>
      <c r="AA1290" s="296"/>
      <c r="AB1290" s="296"/>
      <c r="AC1290" s="296"/>
      <c r="AD1290" s="296"/>
      <c r="AE1290" s="272"/>
      <c r="AF1290" s="273"/>
      <c r="AG1290" s="274"/>
    </row>
    <row r="1291">
      <c r="A1291" s="296"/>
      <c r="B1291" s="269"/>
      <c r="C1291" s="308"/>
      <c r="D1291" s="308"/>
      <c r="E1291" s="308"/>
      <c r="F1291" s="308"/>
      <c r="G1291" s="296"/>
      <c r="H1291" s="296"/>
      <c r="I1291" s="296"/>
      <c r="J1291" s="296"/>
      <c r="K1291" s="296"/>
      <c r="L1291" s="296"/>
      <c r="M1291" s="296"/>
      <c r="N1291" s="296"/>
      <c r="O1291" s="269"/>
      <c r="P1291" s="269"/>
      <c r="Q1291" s="269"/>
      <c r="R1291" s="296"/>
      <c r="S1291" s="296"/>
      <c r="T1291" s="296"/>
      <c r="U1291" s="296"/>
      <c r="V1291" s="296"/>
      <c r="W1291" s="296"/>
      <c r="X1291" s="296"/>
      <c r="Y1291" s="296"/>
      <c r="Z1291" s="296"/>
      <c r="AA1291" s="296"/>
      <c r="AB1291" s="296"/>
      <c r="AC1291" s="296"/>
      <c r="AD1291" s="296"/>
      <c r="AE1291" s="272"/>
      <c r="AF1291" s="273"/>
      <c r="AG1291" s="274"/>
    </row>
    <row r="1292">
      <c r="A1292" s="296"/>
      <c r="B1292" s="269"/>
      <c r="C1292" s="308"/>
      <c r="D1292" s="308"/>
      <c r="E1292" s="308"/>
      <c r="F1292" s="308"/>
      <c r="G1292" s="296"/>
      <c r="H1292" s="296"/>
      <c r="I1292" s="296"/>
      <c r="J1292" s="296"/>
      <c r="K1292" s="296"/>
      <c r="L1292" s="296"/>
      <c r="M1292" s="296"/>
      <c r="N1292" s="296"/>
      <c r="O1292" s="269"/>
      <c r="P1292" s="269"/>
      <c r="Q1292" s="269"/>
      <c r="R1292" s="296"/>
      <c r="S1292" s="296"/>
      <c r="T1292" s="296"/>
      <c r="U1292" s="296"/>
      <c r="V1292" s="296"/>
      <c r="W1292" s="296"/>
      <c r="X1292" s="296"/>
      <c r="Y1292" s="296"/>
      <c r="Z1292" s="296"/>
      <c r="AA1292" s="296"/>
      <c r="AB1292" s="296"/>
      <c r="AC1292" s="296"/>
      <c r="AD1292" s="296"/>
      <c r="AE1292" s="272"/>
      <c r="AF1292" s="273"/>
      <c r="AG1292" s="274"/>
    </row>
    <row r="1293">
      <c r="A1293" s="296"/>
      <c r="B1293" s="269"/>
      <c r="C1293" s="308"/>
      <c r="D1293" s="308"/>
      <c r="E1293" s="308"/>
      <c r="F1293" s="308"/>
      <c r="G1293" s="296"/>
      <c r="H1293" s="296"/>
      <c r="I1293" s="296"/>
      <c r="J1293" s="296"/>
      <c r="K1293" s="296"/>
      <c r="L1293" s="296"/>
      <c r="M1293" s="296"/>
      <c r="N1293" s="296"/>
      <c r="O1293" s="269"/>
      <c r="P1293" s="269"/>
      <c r="Q1293" s="269"/>
      <c r="R1293" s="296"/>
      <c r="S1293" s="296"/>
      <c r="T1293" s="296"/>
      <c r="U1293" s="296"/>
      <c r="V1293" s="296"/>
      <c r="W1293" s="296"/>
      <c r="X1293" s="296"/>
      <c r="Y1293" s="296"/>
      <c r="Z1293" s="296"/>
      <c r="AA1293" s="296"/>
      <c r="AB1293" s="296"/>
      <c r="AC1293" s="296"/>
      <c r="AD1293" s="296"/>
      <c r="AE1293" s="272"/>
      <c r="AF1293" s="273"/>
      <c r="AG1293" s="274"/>
    </row>
    <row r="1294">
      <c r="A1294" s="296"/>
      <c r="B1294" s="269"/>
      <c r="C1294" s="308"/>
      <c r="D1294" s="308"/>
      <c r="E1294" s="308"/>
      <c r="F1294" s="308"/>
      <c r="G1294" s="296"/>
      <c r="H1294" s="296"/>
      <c r="I1294" s="296"/>
      <c r="J1294" s="296"/>
      <c r="K1294" s="296"/>
      <c r="L1294" s="296"/>
      <c r="M1294" s="296"/>
      <c r="N1294" s="296"/>
      <c r="O1294" s="269"/>
      <c r="P1294" s="269"/>
      <c r="Q1294" s="269"/>
      <c r="R1294" s="296"/>
      <c r="S1294" s="296"/>
      <c r="T1294" s="296"/>
      <c r="U1294" s="296"/>
      <c r="V1294" s="296"/>
      <c r="W1294" s="296"/>
      <c r="X1294" s="296"/>
      <c r="Y1294" s="296"/>
      <c r="Z1294" s="296"/>
      <c r="AA1294" s="296"/>
      <c r="AB1294" s="296"/>
      <c r="AC1294" s="296"/>
      <c r="AD1294" s="296"/>
      <c r="AE1294" s="272"/>
      <c r="AF1294" s="273"/>
      <c r="AG1294" s="274"/>
    </row>
    <row r="1295">
      <c r="A1295" s="296"/>
      <c r="B1295" s="269"/>
      <c r="C1295" s="308"/>
      <c r="D1295" s="308"/>
      <c r="E1295" s="308"/>
      <c r="F1295" s="308"/>
      <c r="G1295" s="296"/>
      <c r="H1295" s="296"/>
      <c r="I1295" s="296"/>
      <c r="J1295" s="296"/>
      <c r="K1295" s="296"/>
      <c r="L1295" s="296"/>
      <c r="M1295" s="296"/>
      <c r="N1295" s="296"/>
      <c r="O1295" s="269"/>
      <c r="P1295" s="269"/>
      <c r="Q1295" s="269"/>
      <c r="R1295" s="296"/>
      <c r="S1295" s="296"/>
      <c r="T1295" s="296"/>
      <c r="U1295" s="296"/>
      <c r="V1295" s="296"/>
      <c r="W1295" s="296"/>
      <c r="X1295" s="296"/>
      <c r="Y1295" s="296"/>
      <c r="Z1295" s="296"/>
      <c r="AA1295" s="296"/>
      <c r="AB1295" s="296"/>
      <c r="AC1295" s="296"/>
      <c r="AD1295" s="296"/>
      <c r="AE1295" s="272"/>
      <c r="AF1295" s="273"/>
      <c r="AG1295" s="274"/>
    </row>
    <row r="1296">
      <c r="A1296" s="296"/>
      <c r="B1296" s="269"/>
      <c r="C1296" s="308"/>
      <c r="D1296" s="308"/>
      <c r="E1296" s="308"/>
      <c r="F1296" s="308"/>
      <c r="G1296" s="296"/>
      <c r="H1296" s="296"/>
      <c r="I1296" s="296"/>
      <c r="J1296" s="296"/>
      <c r="K1296" s="296"/>
      <c r="L1296" s="296"/>
      <c r="M1296" s="296"/>
      <c r="N1296" s="296"/>
      <c r="O1296" s="269"/>
      <c r="P1296" s="269"/>
      <c r="Q1296" s="269"/>
      <c r="R1296" s="296"/>
      <c r="S1296" s="296"/>
      <c r="T1296" s="296"/>
      <c r="U1296" s="296"/>
      <c r="V1296" s="296"/>
      <c r="W1296" s="296"/>
      <c r="X1296" s="296"/>
      <c r="Y1296" s="296"/>
      <c r="Z1296" s="296"/>
      <c r="AA1296" s="296"/>
      <c r="AB1296" s="296"/>
      <c r="AC1296" s="296"/>
      <c r="AD1296" s="296"/>
      <c r="AE1296" s="272"/>
      <c r="AF1296" s="273"/>
      <c r="AG1296" s="274"/>
    </row>
    <row r="1297">
      <c r="A1297" s="296"/>
      <c r="B1297" s="269"/>
      <c r="C1297" s="308"/>
      <c r="D1297" s="308"/>
      <c r="E1297" s="308"/>
      <c r="F1297" s="308"/>
      <c r="G1297" s="296"/>
      <c r="H1297" s="296"/>
      <c r="I1297" s="296"/>
      <c r="J1297" s="296"/>
      <c r="K1297" s="296"/>
      <c r="L1297" s="296"/>
      <c r="M1297" s="296"/>
      <c r="N1297" s="296"/>
      <c r="O1297" s="269"/>
      <c r="P1297" s="269"/>
      <c r="Q1297" s="269"/>
      <c r="R1297" s="296"/>
      <c r="S1297" s="296"/>
      <c r="T1297" s="296"/>
      <c r="U1297" s="296"/>
      <c r="V1297" s="296"/>
      <c r="W1297" s="296"/>
      <c r="X1297" s="296"/>
      <c r="Y1297" s="296"/>
      <c r="Z1297" s="296"/>
      <c r="AA1297" s="296"/>
      <c r="AB1297" s="296"/>
      <c r="AC1297" s="296"/>
      <c r="AD1297" s="296"/>
      <c r="AE1297" s="272"/>
      <c r="AF1297" s="273"/>
      <c r="AG1297" s="274"/>
    </row>
    <row r="1298">
      <c r="A1298" s="296"/>
      <c r="B1298" s="269"/>
      <c r="C1298" s="308"/>
      <c r="D1298" s="308"/>
      <c r="E1298" s="308"/>
      <c r="F1298" s="308"/>
      <c r="G1298" s="296"/>
      <c r="H1298" s="296"/>
      <c r="I1298" s="296"/>
      <c r="J1298" s="296"/>
      <c r="K1298" s="296"/>
      <c r="L1298" s="296"/>
      <c r="M1298" s="296"/>
      <c r="N1298" s="296"/>
      <c r="O1298" s="269"/>
      <c r="P1298" s="269"/>
      <c r="Q1298" s="269"/>
      <c r="R1298" s="296"/>
      <c r="S1298" s="296"/>
      <c r="T1298" s="296"/>
      <c r="U1298" s="296"/>
      <c r="V1298" s="296"/>
      <c r="W1298" s="296"/>
      <c r="X1298" s="296"/>
      <c r="Y1298" s="296"/>
      <c r="Z1298" s="296"/>
      <c r="AA1298" s="296"/>
      <c r="AB1298" s="296"/>
      <c r="AC1298" s="296"/>
      <c r="AD1298" s="296"/>
      <c r="AE1298" s="272"/>
      <c r="AF1298" s="273"/>
      <c r="AG1298" s="274"/>
    </row>
    <row r="1299">
      <c r="A1299" s="296"/>
      <c r="B1299" s="269"/>
      <c r="C1299" s="308"/>
      <c r="D1299" s="308"/>
      <c r="E1299" s="308"/>
      <c r="F1299" s="308"/>
      <c r="G1299" s="296"/>
      <c r="H1299" s="296"/>
      <c r="I1299" s="296"/>
      <c r="J1299" s="296"/>
      <c r="K1299" s="296"/>
      <c r="L1299" s="296"/>
      <c r="M1299" s="296"/>
      <c r="N1299" s="296"/>
      <c r="O1299" s="269"/>
      <c r="P1299" s="269"/>
      <c r="Q1299" s="269"/>
      <c r="R1299" s="296"/>
      <c r="S1299" s="296"/>
      <c r="T1299" s="296"/>
      <c r="U1299" s="296"/>
      <c r="V1299" s="296"/>
      <c r="W1299" s="296"/>
      <c r="X1299" s="296"/>
      <c r="Y1299" s="296"/>
      <c r="Z1299" s="296"/>
      <c r="AA1299" s="296"/>
      <c r="AB1299" s="296"/>
      <c r="AC1299" s="296"/>
      <c r="AD1299" s="296"/>
      <c r="AE1299" s="272"/>
      <c r="AF1299" s="273"/>
      <c r="AG1299" s="274"/>
    </row>
    <row r="1300">
      <c r="A1300" s="296"/>
      <c r="B1300" s="269"/>
      <c r="C1300" s="308"/>
      <c r="D1300" s="308"/>
      <c r="E1300" s="308"/>
      <c r="F1300" s="308"/>
      <c r="G1300" s="296"/>
      <c r="H1300" s="296"/>
      <c r="I1300" s="296"/>
      <c r="J1300" s="296"/>
      <c r="K1300" s="296"/>
      <c r="L1300" s="296"/>
      <c r="M1300" s="296"/>
      <c r="N1300" s="296"/>
      <c r="O1300" s="269"/>
      <c r="P1300" s="269"/>
      <c r="Q1300" s="269"/>
      <c r="R1300" s="296"/>
      <c r="S1300" s="296"/>
      <c r="T1300" s="296"/>
      <c r="U1300" s="296"/>
      <c r="V1300" s="296"/>
      <c r="W1300" s="296"/>
      <c r="X1300" s="296"/>
      <c r="Y1300" s="296"/>
      <c r="Z1300" s="296"/>
      <c r="AA1300" s="296"/>
      <c r="AB1300" s="296"/>
      <c r="AC1300" s="296"/>
      <c r="AD1300" s="296"/>
      <c r="AE1300" s="272"/>
      <c r="AF1300" s="273"/>
      <c r="AG1300" s="274"/>
    </row>
    <row r="1301">
      <c r="A1301" s="296"/>
      <c r="B1301" s="269"/>
      <c r="C1301" s="308"/>
      <c r="D1301" s="308"/>
      <c r="E1301" s="308"/>
      <c r="F1301" s="308"/>
      <c r="G1301" s="296"/>
      <c r="H1301" s="296"/>
      <c r="I1301" s="296"/>
      <c r="J1301" s="296"/>
      <c r="K1301" s="296"/>
      <c r="L1301" s="296"/>
      <c r="M1301" s="296"/>
      <c r="N1301" s="296"/>
      <c r="O1301" s="269"/>
      <c r="P1301" s="269"/>
      <c r="Q1301" s="269"/>
      <c r="R1301" s="296"/>
      <c r="S1301" s="296"/>
      <c r="T1301" s="296"/>
      <c r="U1301" s="296"/>
      <c r="V1301" s="296"/>
      <c r="W1301" s="296"/>
      <c r="X1301" s="296"/>
      <c r="Y1301" s="296"/>
      <c r="Z1301" s="296"/>
      <c r="AA1301" s="296"/>
      <c r="AB1301" s="296"/>
      <c r="AC1301" s="296"/>
      <c r="AD1301" s="296"/>
      <c r="AE1301" s="272"/>
      <c r="AF1301" s="273"/>
      <c r="AG1301" s="274"/>
    </row>
    <row r="1302">
      <c r="A1302" s="296"/>
      <c r="B1302" s="269"/>
      <c r="C1302" s="308"/>
      <c r="D1302" s="308"/>
      <c r="E1302" s="308"/>
      <c r="F1302" s="308"/>
      <c r="G1302" s="296"/>
      <c r="H1302" s="296"/>
      <c r="I1302" s="296"/>
      <c r="J1302" s="296"/>
      <c r="K1302" s="296"/>
      <c r="L1302" s="296"/>
      <c r="M1302" s="296"/>
      <c r="N1302" s="296"/>
      <c r="O1302" s="269"/>
      <c r="P1302" s="269"/>
      <c r="Q1302" s="269"/>
      <c r="R1302" s="296"/>
      <c r="S1302" s="296"/>
      <c r="T1302" s="296"/>
      <c r="U1302" s="296"/>
      <c r="V1302" s="296"/>
      <c r="W1302" s="296"/>
      <c r="X1302" s="296"/>
      <c r="Y1302" s="296"/>
      <c r="Z1302" s="296"/>
      <c r="AA1302" s="296"/>
      <c r="AB1302" s="296"/>
      <c r="AC1302" s="296"/>
      <c r="AD1302" s="296"/>
      <c r="AE1302" s="272"/>
      <c r="AF1302" s="273"/>
      <c r="AG1302" s="274"/>
    </row>
    <row r="1303">
      <c r="A1303" s="296"/>
      <c r="B1303" s="269"/>
      <c r="C1303" s="308"/>
      <c r="D1303" s="308"/>
      <c r="E1303" s="308"/>
      <c r="F1303" s="308"/>
      <c r="G1303" s="296"/>
      <c r="H1303" s="296"/>
      <c r="I1303" s="296"/>
      <c r="J1303" s="296"/>
      <c r="K1303" s="296"/>
      <c r="L1303" s="296"/>
      <c r="M1303" s="296"/>
      <c r="N1303" s="296"/>
      <c r="O1303" s="269"/>
      <c r="P1303" s="269"/>
      <c r="Q1303" s="269"/>
      <c r="R1303" s="296"/>
      <c r="S1303" s="296"/>
      <c r="T1303" s="296"/>
      <c r="U1303" s="296"/>
      <c r="V1303" s="296"/>
      <c r="W1303" s="296"/>
      <c r="X1303" s="296"/>
      <c r="Y1303" s="296"/>
      <c r="Z1303" s="296"/>
      <c r="AA1303" s="296"/>
      <c r="AB1303" s="296"/>
      <c r="AC1303" s="296"/>
      <c r="AD1303" s="296"/>
      <c r="AE1303" s="272"/>
      <c r="AF1303" s="273"/>
      <c r="AG1303" s="274"/>
    </row>
    <row r="1304">
      <c r="A1304" s="296"/>
      <c r="B1304" s="269"/>
      <c r="C1304" s="308"/>
      <c r="D1304" s="308"/>
      <c r="E1304" s="308"/>
      <c r="F1304" s="308"/>
      <c r="G1304" s="296"/>
      <c r="H1304" s="296"/>
      <c r="I1304" s="296"/>
      <c r="J1304" s="296"/>
      <c r="K1304" s="296"/>
      <c r="L1304" s="296"/>
      <c r="M1304" s="296"/>
      <c r="N1304" s="296"/>
      <c r="O1304" s="269"/>
      <c r="P1304" s="269"/>
      <c r="Q1304" s="269"/>
      <c r="R1304" s="296"/>
      <c r="S1304" s="296"/>
      <c r="T1304" s="296"/>
      <c r="U1304" s="296"/>
      <c r="V1304" s="296"/>
      <c r="W1304" s="296"/>
      <c r="X1304" s="296"/>
      <c r="Y1304" s="296"/>
      <c r="Z1304" s="296"/>
      <c r="AA1304" s="296"/>
      <c r="AB1304" s="296"/>
      <c r="AC1304" s="296"/>
      <c r="AD1304" s="296"/>
      <c r="AE1304" s="272"/>
      <c r="AF1304" s="273"/>
      <c r="AG1304" s="274"/>
    </row>
    <row r="1305">
      <c r="A1305" s="296"/>
      <c r="B1305" s="269"/>
      <c r="C1305" s="308"/>
      <c r="D1305" s="308"/>
      <c r="E1305" s="308"/>
      <c r="F1305" s="308"/>
      <c r="G1305" s="296"/>
      <c r="H1305" s="296"/>
      <c r="I1305" s="296"/>
      <c r="J1305" s="296"/>
      <c r="K1305" s="296"/>
      <c r="L1305" s="296"/>
      <c r="M1305" s="296"/>
      <c r="N1305" s="296"/>
      <c r="O1305" s="269"/>
      <c r="P1305" s="269"/>
      <c r="Q1305" s="269"/>
      <c r="R1305" s="296"/>
      <c r="S1305" s="296"/>
      <c r="T1305" s="296"/>
      <c r="U1305" s="296"/>
      <c r="V1305" s="296"/>
      <c r="W1305" s="296"/>
      <c r="X1305" s="296"/>
      <c r="Y1305" s="296"/>
      <c r="Z1305" s="296"/>
      <c r="AA1305" s="296"/>
      <c r="AB1305" s="296"/>
      <c r="AC1305" s="296"/>
      <c r="AD1305" s="296"/>
      <c r="AE1305" s="272"/>
      <c r="AF1305" s="273"/>
      <c r="AG1305" s="274"/>
    </row>
    <row r="1306">
      <c r="A1306" s="296"/>
      <c r="B1306" s="269"/>
      <c r="C1306" s="308"/>
      <c r="D1306" s="308"/>
      <c r="E1306" s="308"/>
      <c r="F1306" s="308"/>
      <c r="G1306" s="296"/>
      <c r="H1306" s="296"/>
      <c r="I1306" s="296"/>
      <c r="J1306" s="296"/>
      <c r="K1306" s="296"/>
      <c r="L1306" s="296"/>
      <c r="M1306" s="296"/>
      <c r="N1306" s="296"/>
      <c r="O1306" s="269"/>
      <c r="P1306" s="269"/>
      <c r="Q1306" s="269"/>
      <c r="R1306" s="296"/>
      <c r="S1306" s="296"/>
      <c r="T1306" s="296"/>
      <c r="U1306" s="296"/>
      <c r="V1306" s="296"/>
      <c r="W1306" s="296"/>
      <c r="X1306" s="296"/>
      <c r="Y1306" s="296"/>
      <c r="Z1306" s="296"/>
      <c r="AA1306" s="296"/>
      <c r="AB1306" s="296"/>
      <c r="AC1306" s="296"/>
      <c r="AD1306" s="296"/>
      <c r="AE1306" s="272"/>
      <c r="AF1306" s="273"/>
      <c r="AG1306" s="274"/>
    </row>
    <row r="1307">
      <c r="A1307" s="296"/>
      <c r="B1307" s="269"/>
      <c r="C1307" s="308"/>
      <c r="D1307" s="308"/>
      <c r="E1307" s="308"/>
      <c r="F1307" s="308"/>
      <c r="G1307" s="296"/>
      <c r="H1307" s="296"/>
      <c r="I1307" s="296"/>
      <c r="J1307" s="296"/>
      <c r="K1307" s="296"/>
      <c r="L1307" s="296"/>
      <c r="M1307" s="296"/>
      <c r="N1307" s="296"/>
      <c r="O1307" s="269"/>
      <c r="P1307" s="269"/>
      <c r="Q1307" s="269"/>
      <c r="R1307" s="296"/>
      <c r="S1307" s="296"/>
      <c r="T1307" s="296"/>
      <c r="U1307" s="296"/>
      <c r="V1307" s="296"/>
      <c r="W1307" s="296"/>
      <c r="X1307" s="296"/>
      <c r="Y1307" s="296"/>
      <c r="Z1307" s="296"/>
      <c r="AA1307" s="296"/>
      <c r="AB1307" s="296"/>
      <c r="AC1307" s="296"/>
      <c r="AD1307" s="296"/>
      <c r="AE1307" s="272"/>
      <c r="AF1307" s="273"/>
      <c r="AG1307" s="274"/>
    </row>
    <row r="1308">
      <c r="A1308" s="296"/>
      <c r="B1308" s="269"/>
      <c r="C1308" s="308"/>
      <c r="D1308" s="308"/>
      <c r="E1308" s="308"/>
      <c r="F1308" s="308"/>
      <c r="G1308" s="296"/>
      <c r="H1308" s="296"/>
      <c r="I1308" s="296"/>
      <c r="J1308" s="296"/>
      <c r="K1308" s="296"/>
      <c r="L1308" s="296"/>
      <c r="M1308" s="296"/>
      <c r="N1308" s="296"/>
      <c r="O1308" s="269"/>
      <c r="P1308" s="269"/>
      <c r="Q1308" s="269"/>
      <c r="R1308" s="296"/>
      <c r="S1308" s="296"/>
      <c r="T1308" s="296"/>
      <c r="U1308" s="296"/>
      <c r="V1308" s="296"/>
      <c r="W1308" s="296"/>
      <c r="X1308" s="296"/>
      <c r="Y1308" s="296"/>
      <c r="Z1308" s="296"/>
      <c r="AA1308" s="296"/>
      <c r="AB1308" s="296"/>
      <c r="AC1308" s="296"/>
      <c r="AD1308" s="296"/>
      <c r="AE1308" s="272"/>
      <c r="AF1308" s="273"/>
      <c r="AG1308" s="274"/>
    </row>
    <row r="1309">
      <c r="A1309" s="296"/>
      <c r="B1309" s="269"/>
      <c r="C1309" s="308"/>
      <c r="D1309" s="308"/>
      <c r="E1309" s="308"/>
      <c r="F1309" s="308"/>
      <c r="G1309" s="296"/>
      <c r="H1309" s="296"/>
      <c r="I1309" s="296"/>
      <c r="J1309" s="296"/>
      <c r="K1309" s="296"/>
      <c r="L1309" s="296"/>
      <c r="M1309" s="296"/>
      <c r="N1309" s="296"/>
      <c r="O1309" s="269"/>
      <c r="P1309" s="269"/>
      <c r="Q1309" s="269"/>
      <c r="R1309" s="296"/>
      <c r="S1309" s="296"/>
      <c r="T1309" s="296"/>
      <c r="U1309" s="296"/>
      <c r="V1309" s="296"/>
      <c r="W1309" s="296"/>
      <c r="X1309" s="296"/>
      <c r="Y1309" s="296"/>
      <c r="Z1309" s="296"/>
      <c r="AA1309" s="296"/>
      <c r="AB1309" s="296"/>
      <c r="AC1309" s="296"/>
      <c r="AD1309" s="296"/>
      <c r="AE1309" s="272"/>
      <c r="AF1309" s="273"/>
      <c r="AG1309" s="274"/>
    </row>
    <row r="1310">
      <c r="A1310" s="296"/>
      <c r="B1310" s="269"/>
      <c r="C1310" s="308"/>
      <c r="D1310" s="308"/>
      <c r="E1310" s="308"/>
      <c r="F1310" s="308"/>
      <c r="G1310" s="296"/>
      <c r="H1310" s="296"/>
      <c r="I1310" s="296"/>
      <c r="J1310" s="296"/>
      <c r="K1310" s="296"/>
      <c r="L1310" s="296"/>
      <c r="M1310" s="296"/>
      <c r="N1310" s="296"/>
      <c r="O1310" s="269"/>
      <c r="P1310" s="269"/>
      <c r="Q1310" s="269"/>
      <c r="R1310" s="296"/>
      <c r="S1310" s="296"/>
      <c r="T1310" s="296"/>
      <c r="U1310" s="296"/>
      <c r="V1310" s="296"/>
      <c r="W1310" s="296"/>
      <c r="X1310" s="296"/>
      <c r="Y1310" s="296"/>
      <c r="Z1310" s="296"/>
      <c r="AA1310" s="296"/>
      <c r="AB1310" s="296"/>
      <c r="AC1310" s="296"/>
      <c r="AD1310" s="296"/>
      <c r="AE1310" s="272"/>
      <c r="AF1310" s="273"/>
      <c r="AG1310" s="274"/>
    </row>
    <row r="1311">
      <c r="A1311" s="296"/>
      <c r="B1311" s="269"/>
      <c r="C1311" s="308"/>
      <c r="D1311" s="308"/>
      <c r="E1311" s="308"/>
      <c r="F1311" s="308"/>
      <c r="G1311" s="296"/>
      <c r="H1311" s="296"/>
      <c r="I1311" s="296"/>
      <c r="J1311" s="296"/>
      <c r="K1311" s="296"/>
      <c r="L1311" s="296"/>
      <c r="M1311" s="296"/>
      <c r="N1311" s="296"/>
      <c r="O1311" s="269"/>
      <c r="P1311" s="269"/>
      <c r="Q1311" s="269"/>
      <c r="R1311" s="296"/>
      <c r="S1311" s="296"/>
      <c r="T1311" s="296"/>
      <c r="U1311" s="296"/>
      <c r="V1311" s="296"/>
      <c r="W1311" s="296"/>
      <c r="X1311" s="296"/>
      <c r="Y1311" s="296"/>
      <c r="Z1311" s="296"/>
      <c r="AA1311" s="296"/>
      <c r="AB1311" s="296"/>
      <c r="AC1311" s="296"/>
      <c r="AD1311" s="296"/>
      <c r="AE1311" s="272"/>
      <c r="AF1311" s="273"/>
      <c r="AG1311" s="274"/>
    </row>
    <row r="1312">
      <c r="A1312" s="296"/>
      <c r="B1312" s="269"/>
      <c r="C1312" s="308"/>
      <c r="D1312" s="308"/>
      <c r="E1312" s="308"/>
      <c r="F1312" s="308"/>
      <c r="G1312" s="296"/>
      <c r="H1312" s="296"/>
      <c r="I1312" s="296"/>
      <c r="J1312" s="296"/>
      <c r="K1312" s="296"/>
      <c r="L1312" s="296"/>
      <c r="M1312" s="296"/>
      <c r="N1312" s="296"/>
      <c r="O1312" s="269"/>
      <c r="P1312" s="269"/>
      <c r="Q1312" s="269"/>
      <c r="R1312" s="296"/>
      <c r="S1312" s="296"/>
      <c r="T1312" s="296"/>
      <c r="U1312" s="296"/>
      <c r="V1312" s="296"/>
      <c r="W1312" s="296"/>
      <c r="X1312" s="296"/>
      <c r="Y1312" s="296"/>
      <c r="Z1312" s="296"/>
      <c r="AA1312" s="296"/>
      <c r="AB1312" s="296"/>
      <c r="AC1312" s="296"/>
      <c r="AD1312" s="296"/>
      <c r="AE1312" s="272"/>
      <c r="AF1312" s="273"/>
      <c r="AG1312" s="274"/>
    </row>
    <row r="1313">
      <c r="A1313" s="296"/>
      <c r="B1313" s="269"/>
      <c r="C1313" s="308"/>
      <c r="D1313" s="308"/>
      <c r="E1313" s="308"/>
      <c r="F1313" s="308"/>
      <c r="G1313" s="296"/>
      <c r="H1313" s="296"/>
      <c r="I1313" s="296"/>
      <c r="J1313" s="296"/>
      <c r="K1313" s="296"/>
      <c r="L1313" s="296"/>
      <c r="M1313" s="296"/>
      <c r="N1313" s="296"/>
      <c r="O1313" s="269"/>
      <c r="P1313" s="269"/>
      <c r="Q1313" s="269"/>
      <c r="R1313" s="296"/>
      <c r="S1313" s="296"/>
      <c r="T1313" s="296"/>
      <c r="U1313" s="296"/>
      <c r="V1313" s="296"/>
      <c r="W1313" s="296"/>
      <c r="X1313" s="296"/>
      <c r="Y1313" s="296"/>
      <c r="Z1313" s="296"/>
      <c r="AA1313" s="296"/>
      <c r="AB1313" s="296"/>
      <c r="AC1313" s="296"/>
      <c r="AD1313" s="296"/>
      <c r="AE1313" s="272"/>
      <c r="AF1313" s="273"/>
      <c r="AG1313" s="274"/>
    </row>
    <row r="1314">
      <c r="A1314" s="296"/>
      <c r="B1314" s="269"/>
      <c r="C1314" s="308"/>
      <c r="D1314" s="308"/>
      <c r="E1314" s="308"/>
      <c r="F1314" s="308"/>
      <c r="G1314" s="296"/>
      <c r="H1314" s="296"/>
      <c r="I1314" s="296"/>
      <c r="J1314" s="296"/>
      <c r="K1314" s="296"/>
      <c r="L1314" s="296"/>
      <c r="M1314" s="296"/>
      <c r="N1314" s="296"/>
      <c r="O1314" s="269"/>
      <c r="P1314" s="269"/>
      <c r="Q1314" s="269"/>
      <c r="R1314" s="296"/>
      <c r="S1314" s="296"/>
      <c r="T1314" s="296"/>
      <c r="U1314" s="296"/>
      <c r="V1314" s="296"/>
      <c r="W1314" s="296"/>
      <c r="X1314" s="296"/>
      <c r="Y1314" s="296"/>
      <c r="Z1314" s="296"/>
      <c r="AA1314" s="296"/>
      <c r="AB1314" s="296"/>
      <c r="AC1314" s="296"/>
      <c r="AD1314" s="296"/>
      <c r="AE1314" s="272"/>
      <c r="AF1314" s="273"/>
      <c r="AG1314" s="274"/>
    </row>
    <row r="1315">
      <c r="A1315" s="296"/>
      <c r="B1315" s="269"/>
      <c r="C1315" s="308"/>
      <c r="D1315" s="308"/>
      <c r="E1315" s="308"/>
      <c r="F1315" s="308"/>
      <c r="G1315" s="296"/>
      <c r="H1315" s="296"/>
      <c r="I1315" s="296"/>
      <c r="J1315" s="296"/>
      <c r="K1315" s="296"/>
      <c r="L1315" s="296"/>
      <c r="M1315" s="296"/>
      <c r="N1315" s="296"/>
      <c r="O1315" s="269"/>
      <c r="P1315" s="269"/>
      <c r="Q1315" s="269"/>
      <c r="R1315" s="296"/>
      <c r="S1315" s="296"/>
      <c r="T1315" s="296"/>
      <c r="U1315" s="296"/>
      <c r="V1315" s="296"/>
      <c r="W1315" s="296"/>
      <c r="X1315" s="296"/>
      <c r="Y1315" s="296"/>
      <c r="Z1315" s="296"/>
      <c r="AA1315" s="296"/>
      <c r="AB1315" s="296"/>
      <c r="AC1315" s="296"/>
      <c r="AD1315" s="296"/>
      <c r="AE1315" s="272"/>
      <c r="AF1315" s="273"/>
      <c r="AG1315" s="274"/>
    </row>
    <row r="1316">
      <c r="A1316" s="296"/>
      <c r="B1316" s="269"/>
      <c r="C1316" s="308"/>
      <c r="D1316" s="308"/>
      <c r="E1316" s="308"/>
      <c r="F1316" s="308"/>
      <c r="G1316" s="296"/>
      <c r="H1316" s="296"/>
      <c r="I1316" s="296"/>
      <c r="J1316" s="296"/>
      <c r="K1316" s="296"/>
      <c r="L1316" s="296"/>
      <c r="M1316" s="296"/>
      <c r="N1316" s="296"/>
      <c r="O1316" s="269"/>
      <c r="P1316" s="269"/>
      <c r="Q1316" s="269"/>
      <c r="R1316" s="296"/>
      <c r="S1316" s="296"/>
      <c r="T1316" s="296"/>
      <c r="U1316" s="296"/>
      <c r="V1316" s="296"/>
      <c r="W1316" s="296"/>
      <c r="X1316" s="296"/>
      <c r="Y1316" s="296"/>
      <c r="Z1316" s="296"/>
      <c r="AA1316" s="296"/>
      <c r="AB1316" s="296"/>
      <c r="AC1316" s="296"/>
      <c r="AD1316" s="296"/>
      <c r="AE1316" s="272"/>
      <c r="AF1316" s="273"/>
      <c r="AG1316" s="274"/>
    </row>
    <row r="1317">
      <c r="A1317" s="296"/>
      <c r="B1317" s="269"/>
      <c r="C1317" s="308"/>
      <c r="D1317" s="308"/>
      <c r="E1317" s="308"/>
      <c r="F1317" s="308"/>
      <c r="G1317" s="296"/>
      <c r="H1317" s="296"/>
      <c r="I1317" s="296"/>
      <c r="J1317" s="296"/>
      <c r="K1317" s="296"/>
      <c r="L1317" s="296"/>
      <c r="M1317" s="296"/>
      <c r="N1317" s="296"/>
      <c r="O1317" s="269"/>
      <c r="P1317" s="269"/>
      <c r="Q1317" s="269"/>
      <c r="R1317" s="296"/>
      <c r="S1317" s="296"/>
      <c r="T1317" s="296"/>
      <c r="U1317" s="296"/>
      <c r="V1317" s="296"/>
      <c r="W1317" s="296"/>
      <c r="X1317" s="296"/>
      <c r="Y1317" s="296"/>
      <c r="Z1317" s="296"/>
      <c r="AA1317" s="296"/>
      <c r="AB1317" s="296"/>
      <c r="AC1317" s="296"/>
      <c r="AD1317" s="296"/>
      <c r="AE1317" s="272"/>
      <c r="AF1317" s="273"/>
      <c r="AG1317" s="274"/>
    </row>
    <row r="1318">
      <c r="A1318" s="296"/>
      <c r="B1318" s="269"/>
      <c r="C1318" s="308"/>
      <c r="D1318" s="308"/>
      <c r="E1318" s="308"/>
      <c r="F1318" s="308"/>
      <c r="G1318" s="296"/>
      <c r="H1318" s="296"/>
      <c r="I1318" s="296"/>
      <c r="J1318" s="296"/>
      <c r="K1318" s="296"/>
      <c r="L1318" s="296"/>
      <c r="M1318" s="296"/>
      <c r="N1318" s="296"/>
      <c r="O1318" s="269"/>
      <c r="P1318" s="269"/>
      <c r="Q1318" s="269"/>
      <c r="R1318" s="296"/>
      <c r="S1318" s="296"/>
      <c r="T1318" s="296"/>
      <c r="U1318" s="296"/>
      <c r="V1318" s="296"/>
      <c r="W1318" s="296"/>
      <c r="X1318" s="296"/>
      <c r="Y1318" s="296"/>
      <c r="Z1318" s="296"/>
      <c r="AA1318" s="296"/>
      <c r="AB1318" s="296"/>
      <c r="AC1318" s="296"/>
      <c r="AD1318" s="296"/>
      <c r="AE1318" s="272"/>
      <c r="AF1318" s="273"/>
      <c r="AG1318" s="274"/>
    </row>
    <row r="1319">
      <c r="A1319" s="296"/>
      <c r="B1319" s="269"/>
      <c r="C1319" s="308"/>
      <c r="D1319" s="308"/>
      <c r="E1319" s="308"/>
      <c r="F1319" s="308"/>
      <c r="G1319" s="296"/>
      <c r="H1319" s="296"/>
      <c r="I1319" s="296"/>
      <c r="J1319" s="296"/>
      <c r="K1319" s="296"/>
      <c r="L1319" s="296"/>
      <c r="M1319" s="296"/>
      <c r="N1319" s="296"/>
      <c r="O1319" s="269"/>
      <c r="P1319" s="269"/>
      <c r="Q1319" s="269"/>
      <c r="R1319" s="296"/>
      <c r="S1319" s="296"/>
      <c r="T1319" s="296"/>
      <c r="U1319" s="296"/>
      <c r="V1319" s="296"/>
      <c r="W1319" s="296"/>
      <c r="X1319" s="296"/>
      <c r="Y1319" s="296"/>
      <c r="Z1319" s="296"/>
      <c r="AA1319" s="296"/>
      <c r="AB1319" s="296"/>
      <c r="AC1319" s="296"/>
      <c r="AD1319" s="296"/>
      <c r="AE1319" s="272"/>
      <c r="AF1319" s="273"/>
      <c r="AG1319" s="274"/>
    </row>
    <row r="1320">
      <c r="A1320" s="296"/>
      <c r="B1320" s="269"/>
      <c r="C1320" s="308"/>
      <c r="D1320" s="308"/>
      <c r="E1320" s="308"/>
      <c r="F1320" s="308"/>
      <c r="G1320" s="296"/>
      <c r="H1320" s="296"/>
      <c r="I1320" s="296"/>
      <c r="J1320" s="296"/>
      <c r="K1320" s="296"/>
      <c r="L1320" s="296"/>
      <c r="M1320" s="296"/>
      <c r="N1320" s="296"/>
      <c r="O1320" s="269"/>
      <c r="P1320" s="269"/>
      <c r="Q1320" s="269"/>
      <c r="R1320" s="296"/>
      <c r="S1320" s="296"/>
      <c r="T1320" s="296"/>
      <c r="U1320" s="296"/>
      <c r="V1320" s="296"/>
      <c r="W1320" s="296"/>
      <c r="X1320" s="296"/>
      <c r="Y1320" s="296"/>
      <c r="Z1320" s="296"/>
      <c r="AA1320" s="296"/>
      <c r="AB1320" s="296"/>
      <c r="AC1320" s="296"/>
      <c r="AD1320" s="296"/>
      <c r="AE1320" s="272"/>
      <c r="AF1320" s="273"/>
      <c r="AG1320" s="274"/>
    </row>
    <row r="1321">
      <c r="A1321" s="296"/>
      <c r="B1321" s="269"/>
      <c r="C1321" s="308"/>
      <c r="D1321" s="308"/>
      <c r="E1321" s="308"/>
      <c r="F1321" s="308"/>
      <c r="G1321" s="296"/>
      <c r="H1321" s="296"/>
      <c r="I1321" s="296"/>
      <c r="J1321" s="296"/>
      <c r="K1321" s="296"/>
      <c r="L1321" s="296"/>
      <c r="M1321" s="296"/>
      <c r="N1321" s="296"/>
      <c r="O1321" s="269"/>
      <c r="P1321" s="269"/>
      <c r="Q1321" s="269"/>
      <c r="R1321" s="296"/>
      <c r="S1321" s="296"/>
      <c r="T1321" s="296"/>
      <c r="U1321" s="296"/>
      <c r="V1321" s="296"/>
      <c r="W1321" s="296"/>
      <c r="X1321" s="296"/>
      <c r="Y1321" s="296"/>
      <c r="Z1321" s="296"/>
      <c r="AA1321" s="296"/>
      <c r="AB1321" s="296"/>
      <c r="AC1321" s="296"/>
      <c r="AD1321" s="296"/>
      <c r="AE1321" s="272"/>
      <c r="AF1321" s="273"/>
      <c r="AG1321" s="274"/>
    </row>
    <row r="1322">
      <c r="A1322" s="296"/>
      <c r="B1322" s="269"/>
      <c r="C1322" s="308"/>
      <c r="D1322" s="308"/>
      <c r="E1322" s="308"/>
      <c r="F1322" s="308"/>
      <c r="G1322" s="296"/>
      <c r="H1322" s="296"/>
      <c r="I1322" s="296"/>
      <c r="J1322" s="296"/>
      <c r="K1322" s="296"/>
      <c r="L1322" s="296"/>
      <c r="M1322" s="296"/>
      <c r="N1322" s="296"/>
      <c r="O1322" s="269"/>
      <c r="P1322" s="269"/>
      <c r="Q1322" s="269"/>
      <c r="R1322" s="296"/>
      <c r="S1322" s="296"/>
      <c r="T1322" s="296"/>
      <c r="U1322" s="296"/>
      <c r="V1322" s="296"/>
      <c r="W1322" s="296"/>
      <c r="X1322" s="296"/>
      <c r="Y1322" s="296"/>
      <c r="Z1322" s="296"/>
      <c r="AA1322" s="296"/>
      <c r="AB1322" s="296"/>
      <c r="AC1322" s="296"/>
      <c r="AD1322" s="296"/>
      <c r="AE1322" s="272"/>
      <c r="AF1322" s="273"/>
      <c r="AG1322" s="274"/>
    </row>
    <row r="1323">
      <c r="A1323" s="296"/>
      <c r="B1323" s="269"/>
      <c r="C1323" s="308"/>
      <c r="D1323" s="308"/>
      <c r="E1323" s="308"/>
      <c r="F1323" s="308"/>
      <c r="G1323" s="296"/>
      <c r="H1323" s="296"/>
      <c r="I1323" s="296"/>
      <c r="J1323" s="296"/>
      <c r="K1323" s="296"/>
      <c r="L1323" s="296"/>
      <c r="M1323" s="296"/>
      <c r="N1323" s="296"/>
      <c r="O1323" s="269"/>
      <c r="P1323" s="269"/>
      <c r="Q1323" s="269"/>
      <c r="R1323" s="296"/>
      <c r="S1323" s="296"/>
      <c r="T1323" s="296"/>
      <c r="U1323" s="296"/>
      <c r="V1323" s="296"/>
      <c r="W1323" s="296"/>
      <c r="X1323" s="296"/>
      <c r="Y1323" s="296"/>
      <c r="Z1323" s="296"/>
      <c r="AA1323" s="296"/>
      <c r="AB1323" s="296"/>
      <c r="AC1323" s="296"/>
      <c r="AD1323" s="296"/>
      <c r="AE1323" s="272"/>
      <c r="AF1323" s="273"/>
      <c r="AG1323" s="274"/>
    </row>
    <row r="1324">
      <c r="A1324" s="296"/>
      <c r="B1324" s="269"/>
      <c r="C1324" s="308"/>
      <c r="D1324" s="308"/>
      <c r="E1324" s="308"/>
      <c r="F1324" s="308"/>
      <c r="G1324" s="296"/>
      <c r="H1324" s="296"/>
      <c r="I1324" s="296"/>
      <c r="J1324" s="296"/>
      <c r="K1324" s="296"/>
      <c r="L1324" s="296"/>
      <c r="M1324" s="296"/>
      <c r="N1324" s="296"/>
      <c r="O1324" s="269"/>
      <c r="P1324" s="269"/>
      <c r="Q1324" s="269"/>
      <c r="R1324" s="296"/>
      <c r="S1324" s="296"/>
      <c r="T1324" s="296"/>
      <c r="U1324" s="296"/>
      <c r="V1324" s="296"/>
      <c r="W1324" s="296"/>
      <c r="X1324" s="296"/>
      <c r="Y1324" s="296"/>
      <c r="Z1324" s="296"/>
      <c r="AA1324" s="296"/>
      <c r="AB1324" s="296"/>
      <c r="AC1324" s="296"/>
      <c r="AD1324" s="296"/>
      <c r="AE1324" s="272"/>
      <c r="AF1324" s="273"/>
      <c r="AG1324" s="274"/>
    </row>
    <row r="1325">
      <c r="A1325" s="296"/>
      <c r="B1325" s="269"/>
      <c r="C1325" s="308"/>
      <c r="D1325" s="308"/>
      <c r="E1325" s="308"/>
      <c r="F1325" s="308"/>
      <c r="G1325" s="296"/>
      <c r="H1325" s="296"/>
      <c r="I1325" s="296"/>
      <c r="J1325" s="296"/>
      <c r="K1325" s="296"/>
      <c r="L1325" s="296"/>
      <c r="M1325" s="296"/>
      <c r="N1325" s="296"/>
      <c r="O1325" s="269"/>
      <c r="P1325" s="269"/>
      <c r="Q1325" s="269"/>
      <c r="R1325" s="296"/>
      <c r="S1325" s="296"/>
      <c r="T1325" s="296"/>
      <c r="U1325" s="296"/>
      <c r="V1325" s="296"/>
      <c r="W1325" s="296"/>
      <c r="X1325" s="296"/>
      <c r="Y1325" s="296"/>
      <c r="Z1325" s="296"/>
      <c r="AA1325" s="296"/>
      <c r="AB1325" s="296"/>
      <c r="AC1325" s="296"/>
      <c r="AD1325" s="296"/>
      <c r="AE1325" s="272"/>
      <c r="AF1325" s="273"/>
      <c r="AG1325" s="274"/>
    </row>
    <row r="1326">
      <c r="A1326" s="296"/>
      <c r="B1326" s="269"/>
      <c r="C1326" s="308"/>
      <c r="D1326" s="308"/>
      <c r="E1326" s="308"/>
      <c r="F1326" s="308"/>
      <c r="G1326" s="296"/>
      <c r="H1326" s="296"/>
      <c r="I1326" s="296"/>
      <c r="J1326" s="296"/>
      <c r="K1326" s="296"/>
      <c r="L1326" s="296"/>
      <c r="M1326" s="296"/>
      <c r="N1326" s="296"/>
      <c r="O1326" s="269"/>
      <c r="P1326" s="269"/>
      <c r="Q1326" s="269"/>
      <c r="R1326" s="296"/>
      <c r="S1326" s="296"/>
      <c r="T1326" s="296"/>
      <c r="U1326" s="296"/>
      <c r="V1326" s="296"/>
      <c r="W1326" s="296"/>
      <c r="X1326" s="296"/>
      <c r="Y1326" s="296"/>
      <c r="Z1326" s="296"/>
      <c r="AA1326" s="296"/>
      <c r="AB1326" s="296"/>
      <c r="AC1326" s="296"/>
      <c r="AD1326" s="296"/>
      <c r="AE1326" s="272"/>
      <c r="AF1326" s="273"/>
      <c r="AG1326" s="274"/>
    </row>
    <row r="1327">
      <c r="A1327" s="296"/>
      <c r="B1327" s="269"/>
      <c r="C1327" s="308"/>
      <c r="D1327" s="308"/>
      <c r="E1327" s="308"/>
      <c r="F1327" s="308"/>
      <c r="G1327" s="296"/>
      <c r="H1327" s="296"/>
      <c r="I1327" s="296"/>
      <c r="J1327" s="296"/>
      <c r="K1327" s="296"/>
      <c r="L1327" s="296"/>
      <c r="M1327" s="296"/>
      <c r="N1327" s="296"/>
      <c r="O1327" s="269"/>
      <c r="P1327" s="269"/>
      <c r="Q1327" s="269"/>
      <c r="R1327" s="296"/>
      <c r="S1327" s="296"/>
      <c r="T1327" s="296"/>
      <c r="U1327" s="296"/>
      <c r="V1327" s="296"/>
      <c r="W1327" s="296"/>
      <c r="X1327" s="296"/>
      <c r="Y1327" s="296"/>
      <c r="Z1327" s="296"/>
      <c r="AA1327" s="296"/>
      <c r="AB1327" s="296"/>
      <c r="AC1327" s="296"/>
      <c r="AD1327" s="296"/>
      <c r="AE1327" s="272"/>
      <c r="AF1327" s="273"/>
      <c r="AG1327" s="274"/>
    </row>
    <row r="1328">
      <c r="A1328" s="296"/>
      <c r="B1328" s="269"/>
      <c r="C1328" s="308"/>
      <c r="D1328" s="308"/>
      <c r="E1328" s="308"/>
      <c r="F1328" s="308"/>
      <c r="G1328" s="296"/>
      <c r="H1328" s="296"/>
      <c r="I1328" s="296"/>
      <c r="J1328" s="296"/>
      <c r="K1328" s="296"/>
      <c r="L1328" s="296"/>
      <c r="M1328" s="296"/>
      <c r="N1328" s="296"/>
      <c r="O1328" s="269"/>
      <c r="P1328" s="269"/>
      <c r="Q1328" s="269"/>
      <c r="R1328" s="296"/>
      <c r="S1328" s="296"/>
      <c r="T1328" s="296"/>
      <c r="U1328" s="296"/>
      <c r="V1328" s="296"/>
      <c r="W1328" s="296"/>
      <c r="X1328" s="296"/>
      <c r="Y1328" s="296"/>
      <c r="Z1328" s="296"/>
      <c r="AA1328" s="296"/>
      <c r="AB1328" s="296"/>
      <c r="AC1328" s="296"/>
      <c r="AD1328" s="296"/>
      <c r="AE1328" s="272"/>
      <c r="AF1328" s="273"/>
      <c r="AG1328" s="274"/>
    </row>
    <row r="1329">
      <c r="A1329" s="296"/>
      <c r="B1329" s="269"/>
      <c r="C1329" s="308"/>
      <c r="D1329" s="308"/>
      <c r="E1329" s="308"/>
      <c r="F1329" s="308"/>
      <c r="G1329" s="296"/>
      <c r="H1329" s="296"/>
      <c r="I1329" s="296"/>
      <c r="J1329" s="296"/>
      <c r="K1329" s="296"/>
      <c r="L1329" s="296"/>
      <c r="M1329" s="296"/>
      <c r="N1329" s="296"/>
      <c r="O1329" s="269"/>
      <c r="P1329" s="269"/>
      <c r="Q1329" s="269"/>
      <c r="R1329" s="296"/>
      <c r="S1329" s="296"/>
      <c r="T1329" s="296"/>
      <c r="U1329" s="296"/>
      <c r="V1329" s="296"/>
      <c r="W1329" s="296"/>
      <c r="X1329" s="296"/>
      <c r="Y1329" s="296"/>
      <c r="Z1329" s="296"/>
      <c r="AA1329" s="296"/>
      <c r="AB1329" s="296"/>
      <c r="AC1329" s="296"/>
      <c r="AD1329" s="296"/>
      <c r="AE1329" s="272"/>
      <c r="AF1329" s="273"/>
      <c r="AG1329" s="274"/>
    </row>
    <row r="1330">
      <c r="A1330" s="296"/>
      <c r="B1330" s="269"/>
      <c r="C1330" s="308"/>
      <c r="D1330" s="308"/>
      <c r="E1330" s="308"/>
      <c r="F1330" s="308"/>
      <c r="G1330" s="296"/>
      <c r="H1330" s="296"/>
      <c r="I1330" s="296"/>
      <c r="J1330" s="296"/>
      <c r="K1330" s="296"/>
      <c r="L1330" s="296"/>
      <c r="M1330" s="296"/>
      <c r="N1330" s="296"/>
      <c r="O1330" s="269"/>
      <c r="P1330" s="269"/>
      <c r="Q1330" s="269"/>
      <c r="R1330" s="296"/>
      <c r="S1330" s="296"/>
      <c r="T1330" s="296"/>
      <c r="U1330" s="296"/>
      <c r="V1330" s="296"/>
      <c r="W1330" s="296"/>
      <c r="X1330" s="296"/>
      <c r="Y1330" s="296"/>
      <c r="Z1330" s="296"/>
      <c r="AA1330" s="296"/>
      <c r="AB1330" s="296"/>
      <c r="AC1330" s="296"/>
      <c r="AD1330" s="296"/>
      <c r="AE1330" s="272"/>
      <c r="AF1330" s="273"/>
      <c r="AG1330" s="274"/>
    </row>
    <row r="1331">
      <c r="A1331" s="296"/>
      <c r="B1331" s="269"/>
      <c r="C1331" s="308"/>
      <c r="D1331" s="308"/>
      <c r="E1331" s="308"/>
      <c r="F1331" s="308"/>
      <c r="G1331" s="296"/>
      <c r="H1331" s="296"/>
      <c r="I1331" s="296"/>
      <c r="J1331" s="296"/>
      <c r="K1331" s="296"/>
      <c r="L1331" s="296"/>
      <c r="M1331" s="296"/>
      <c r="N1331" s="296"/>
      <c r="O1331" s="269"/>
      <c r="P1331" s="269"/>
      <c r="Q1331" s="269"/>
      <c r="R1331" s="296"/>
      <c r="S1331" s="296"/>
      <c r="T1331" s="296"/>
      <c r="U1331" s="296"/>
      <c r="V1331" s="296"/>
      <c r="W1331" s="296"/>
      <c r="X1331" s="296"/>
      <c r="Y1331" s="296"/>
      <c r="Z1331" s="296"/>
      <c r="AA1331" s="296"/>
      <c r="AB1331" s="296"/>
      <c r="AC1331" s="296"/>
      <c r="AD1331" s="296"/>
      <c r="AE1331" s="272"/>
      <c r="AF1331" s="273"/>
      <c r="AG1331" s="274"/>
    </row>
    <row r="1332">
      <c r="A1332" s="296"/>
      <c r="B1332" s="269"/>
      <c r="C1332" s="308"/>
      <c r="D1332" s="308"/>
      <c r="E1332" s="308"/>
      <c r="F1332" s="308"/>
      <c r="G1332" s="296"/>
      <c r="H1332" s="296"/>
      <c r="I1332" s="296"/>
      <c r="J1332" s="296"/>
      <c r="K1332" s="296"/>
      <c r="L1332" s="296"/>
      <c r="M1332" s="296"/>
      <c r="N1332" s="296"/>
      <c r="O1332" s="269"/>
      <c r="P1332" s="269"/>
      <c r="Q1332" s="269"/>
      <c r="R1332" s="296"/>
      <c r="S1332" s="296"/>
      <c r="T1332" s="296"/>
      <c r="U1332" s="296"/>
      <c r="V1332" s="296"/>
      <c r="W1332" s="296"/>
      <c r="X1332" s="296"/>
      <c r="Y1332" s="296"/>
      <c r="Z1332" s="296"/>
      <c r="AA1332" s="296"/>
      <c r="AB1332" s="296"/>
      <c r="AC1332" s="296"/>
      <c r="AD1332" s="296"/>
      <c r="AE1332" s="272"/>
      <c r="AF1332" s="273"/>
      <c r="AG1332" s="274"/>
    </row>
    <row r="1333">
      <c r="A1333" s="296"/>
      <c r="B1333" s="269"/>
      <c r="C1333" s="308"/>
      <c r="D1333" s="308"/>
      <c r="E1333" s="308"/>
      <c r="F1333" s="308"/>
      <c r="G1333" s="296"/>
      <c r="H1333" s="296"/>
      <c r="I1333" s="296"/>
      <c r="J1333" s="296"/>
      <c r="K1333" s="296"/>
      <c r="L1333" s="296"/>
      <c r="M1333" s="296"/>
      <c r="N1333" s="296"/>
      <c r="O1333" s="269"/>
      <c r="P1333" s="269"/>
      <c r="Q1333" s="269"/>
      <c r="R1333" s="296"/>
      <c r="S1333" s="296"/>
      <c r="T1333" s="296"/>
      <c r="U1333" s="296"/>
      <c r="V1333" s="296"/>
      <c r="W1333" s="296"/>
      <c r="X1333" s="296"/>
      <c r="Y1333" s="296"/>
      <c r="Z1333" s="296"/>
      <c r="AA1333" s="296"/>
      <c r="AB1333" s="296"/>
      <c r="AC1333" s="296"/>
      <c r="AD1333" s="296"/>
      <c r="AE1333" s="272"/>
      <c r="AF1333" s="273"/>
      <c r="AG1333" s="274"/>
    </row>
    <row r="1334">
      <c r="A1334" s="296"/>
      <c r="B1334" s="269"/>
      <c r="C1334" s="308"/>
      <c r="D1334" s="308"/>
      <c r="E1334" s="308"/>
      <c r="F1334" s="308"/>
      <c r="G1334" s="296"/>
      <c r="H1334" s="296"/>
      <c r="I1334" s="296"/>
      <c r="J1334" s="296"/>
      <c r="K1334" s="296"/>
      <c r="L1334" s="296"/>
      <c r="M1334" s="296"/>
      <c r="N1334" s="296"/>
      <c r="O1334" s="269"/>
      <c r="P1334" s="269"/>
      <c r="Q1334" s="269"/>
      <c r="R1334" s="296"/>
      <c r="S1334" s="296"/>
      <c r="T1334" s="296"/>
      <c r="U1334" s="296"/>
      <c r="V1334" s="296"/>
      <c r="W1334" s="296"/>
      <c r="X1334" s="296"/>
      <c r="Y1334" s="296"/>
      <c r="Z1334" s="296"/>
      <c r="AA1334" s="296"/>
      <c r="AB1334" s="296"/>
      <c r="AC1334" s="296"/>
      <c r="AD1334" s="296"/>
      <c r="AE1334" s="272"/>
      <c r="AF1334" s="273"/>
      <c r="AG1334" s="274"/>
    </row>
    <row r="1335">
      <c r="A1335" s="296"/>
      <c r="B1335" s="269"/>
      <c r="C1335" s="308"/>
      <c r="D1335" s="308"/>
      <c r="E1335" s="308"/>
      <c r="F1335" s="308"/>
      <c r="G1335" s="296"/>
      <c r="H1335" s="296"/>
      <c r="I1335" s="296"/>
      <c r="J1335" s="296"/>
      <c r="K1335" s="296"/>
      <c r="L1335" s="296"/>
      <c r="M1335" s="296"/>
      <c r="N1335" s="296"/>
      <c r="O1335" s="269"/>
      <c r="P1335" s="269"/>
      <c r="Q1335" s="269"/>
      <c r="R1335" s="296"/>
      <c r="S1335" s="296"/>
      <c r="T1335" s="296"/>
      <c r="U1335" s="296"/>
      <c r="V1335" s="296"/>
      <c r="W1335" s="296"/>
      <c r="X1335" s="296"/>
      <c r="Y1335" s="296"/>
      <c r="Z1335" s="296"/>
      <c r="AA1335" s="296"/>
      <c r="AB1335" s="296"/>
      <c r="AC1335" s="296"/>
      <c r="AD1335" s="296"/>
      <c r="AE1335" s="272"/>
      <c r="AF1335" s="273"/>
      <c r="AG1335" s="274"/>
    </row>
    <row r="1336">
      <c r="A1336" s="296"/>
      <c r="B1336" s="269"/>
      <c r="C1336" s="308"/>
      <c r="D1336" s="308"/>
      <c r="E1336" s="308"/>
      <c r="F1336" s="308"/>
      <c r="G1336" s="296"/>
      <c r="H1336" s="296"/>
      <c r="I1336" s="296"/>
      <c r="J1336" s="296"/>
      <c r="K1336" s="296"/>
      <c r="L1336" s="296"/>
      <c r="M1336" s="296"/>
      <c r="N1336" s="296"/>
      <c r="O1336" s="269"/>
      <c r="P1336" s="269"/>
      <c r="Q1336" s="269"/>
      <c r="R1336" s="296"/>
      <c r="S1336" s="296"/>
      <c r="T1336" s="296"/>
      <c r="U1336" s="296"/>
      <c r="V1336" s="296"/>
      <c r="W1336" s="296"/>
      <c r="X1336" s="296"/>
      <c r="Y1336" s="296"/>
      <c r="Z1336" s="296"/>
      <c r="AA1336" s="296"/>
      <c r="AB1336" s="296"/>
      <c r="AC1336" s="296"/>
      <c r="AD1336" s="296"/>
      <c r="AE1336" s="272"/>
      <c r="AF1336" s="273"/>
      <c r="AG1336" s="274"/>
    </row>
    <row r="1337">
      <c r="A1337" s="296"/>
      <c r="B1337" s="269"/>
      <c r="C1337" s="308"/>
      <c r="D1337" s="308"/>
      <c r="E1337" s="308"/>
      <c r="F1337" s="308"/>
      <c r="G1337" s="296"/>
      <c r="H1337" s="296"/>
      <c r="I1337" s="296"/>
      <c r="J1337" s="296"/>
      <c r="K1337" s="296"/>
      <c r="L1337" s="296"/>
      <c r="M1337" s="296"/>
      <c r="N1337" s="296"/>
      <c r="O1337" s="269"/>
      <c r="P1337" s="269"/>
      <c r="Q1337" s="269"/>
      <c r="R1337" s="296"/>
      <c r="S1337" s="296"/>
      <c r="T1337" s="296"/>
      <c r="U1337" s="296"/>
      <c r="V1337" s="296"/>
      <c r="W1337" s="296"/>
      <c r="X1337" s="296"/>
      <c r="Y1337" s="296"/>
      <c r="Z1337" s="296"/>
      <c r="AA1337" s="296"/>
      <c r="AB1337" s="296"/>
      <c r="AC1337" s="296"/>
      <c r="AD1337" s="296"/>
      <c r="AE1337" s="272"/>
      <c r="AF1337" s="273"/>
      <c r="AG1337" s="274"/>
    </row>
    <row r="1338">
      <c r="A1338" s="296"/>
      <c r="B1338" s="269"/>
      <c r="C1338" s="308"/>
      <c r="D1338" s="308"/>
      <c r="E1338" s="308"/>
      <c r="F1338" s="308"/>
      <c r="G1338" s="296"/>
      <c r="H1338" s="296"/>
      <c r="I1338" s="296"/>
      <c r="J1338" s="296"/>
      <c r="K1338" s="296"/>
      <c r="L1338" s="296"/>
      <c r="M1338" s="296"/>
      <c r="N1338" s="296"/>
      <c r="O1338" s="269"/>
      <c r="P1338" s="269"/>
      <c r="Q1338" s="269"/>
      <c r="R1338" s="296"/>
      <c r="S1338" s="296"/>
      <c r="T1338" s="296"/>
      <c r="U1338" s="296"/>
      <c r="V1338" s="296"/>
      <c r="W1338" s="296"/>
      <c r="X1338" s="296"/>
      <c r="Y1338" s="296"/>
      <c r="Z1338" s="296"/>
      <c r="AA1338" s="296"/>
      <c r="AB1338" s="296"/>
      <c r="AC1338" s="296"/>
      <c r="AD1338" s="296"/>
      <c r="AE1338" s="272"/>
      <c r="AF1338" s="273"/>
      <c r="AG1338" s="274"/>
    </row>
    <row r="1339">
      <c r="A1339" s="296"/>
      <c r="B1339" s="269"/>
      <c r="C1339" s="308"/>
      <c r="D1339" s="308"/>
      <c r="E1339" s="308"/>
      <c r="F1339" s="308"/>
      <c r="G1339" s="296"/>
      <c r="H1339" s="296"/>
      <c r="I1339" s="296"/>
      <c r="J1339" s="296"/>
      <c r="K1339" s="296"/>
      <c r="L1339" s="296"/>
      <c r="M1339" s="296"/>
      <c r="N1339" s="296"/>
      <c r="O1339" s="269"/>
      <c r="P1339" s="269"/>
      <c r="Q1339" s="269"/>
      <c r="R1339" s="296"/>
      <c r="S1339" s="296"/>
      <c r="T1339" s="296"/>
      <c r="U1339" s="296"/>
      <c r="V1339" s="296"/>
      <c r="W1339" s="296"/>
      <c r="X1339" s="296"/>
      <c r="Y1339" s="296"/>
      <c r="Z1339" s="296"/>
      <c r="AA1339" s="296"/>
      <c r="AB1339" s="296"/>
      <c r="AC1339" s="296"/>
      <c r="AD1339" s="296"/>
      <c r="AE1339" s="272"/>
      <c r="AF1339" s="273"/>
      <c r="AG1339" s="274"/>
    </row>
    <row r="1340">
      <c r="A1340" s="296"/>
      <c r="B1340" s="269"/>
      <c r="C1340" s="308"/>
      <c r="D1340" s="308"/>
      <c r="E1340" s="308"/>
      <c r="F1340" s="308"/>
      <c r="G1340" s="296"/>
      <c r="H1340" s="296"/>
      <c r="I1340" s="296"/>
      <c r="J1340" s="296"/>
      <c r="K1340" s="296"/>
      <c r="L1340" s="296"/>
      <c r="M1340" s="296"/>
      <c r="N1340" s="296"/>
      <c r="O1340" s="269"/>
      <c r="P1340" s="269"/>
      <c r="Q1340" s="269"/>
      <c r="R1340" s="296"/>
      <c r="S1340" s="296"/>
      <c r="T1340" s="296"/>
      <c r="U1340" s="296"/>
      <c r="V1340" s="296"/>
      <c r="W1340" s="296"/>
      <c r="X1340" s="296"/>
      <c r="Y1340" s="296"/>
      <c r="Z1340" s="296"/>
      <c r="AA1340" s="296"/>
      <c r="AB1340" s="296"/>
      <c r="AC1340" s="296"/>
      <c r="AD1340" s="296"/>
      <c r="AE1340" s="272"/>
      <c r="AF1340" s="273"/>
      <c r="AG1340" s="274"/>
    </row>
    <row r="1341">
      <c r="A1341" s="296"/>
      <c r="B1341" s="269"/>
      <c r="C1341" s="308"/>
      <c r="D1341" s="308"/>
      <c r="E1341" s="308"/>
      <c r="F1341" s="308"/>
      <c r="G1341" s="296"/>
      <c r="H1341" s="296"/>
      <c r="I1341" s="296"/>
      <c r="J1341" s="296"/>
      <c r="K1341" s="296"/>
      <c r="L1341" s="296"/>
      <c r="M1341" s="296"/>
      <c r="N1341" s="296"/>
      <c r="O1341" s="269"/>
      <c r="P1341" s="269"/>
      <c r="Q1341" s="269"/>
      <c r="R1341" s="296"/>
      <c r="S1341" s="296"/>
      <c r="T1341" s="296"/>
      <c r="U1341" s="296"/>
      <c r="V1341" s="296"/>
      <c r="W1341" s="296"/>
      <c r="X1341" s="296"/>
      <c r="Y1341" s="296"/>
      <c r="Z1341" s="296"/>
      <c r="AA1341" s="296"/>
      <c r="AB1341" s="296"/>
      <c r="AC1341" s="296"/>
      <c r="AD1341" s="296"/>
      <c r="AE1341" s="272"/>
      <c r="AF1341" s="273"/>
      <c r="AG1341" s="274"/>
    </row>
    <row r="1342">
      <c r="A1342" s="296"/>
      <c r="B1342" s="269"/>
      <c r="C1342" s="308"/>
      <c r="D1342" s="308"/>
      <c r="E1342" s="308"/>
      <c r="F1342" s="308"/>
      <c r="G1342" s="296"/>
      <c r="H1342" s="296"/>
      <c r="I1342" s="296"/>
      <c r="J1342" s="296"/>
      <c r="K1342" s="296"/>
      <c r="L1342" s="296"/>
      <c r="M1342" s="296"/>
      <c r="N1342" s="296"/>
      <c r="O1342" s="269"/>
      <c r="P1342" s="269"/>
      <c r="Q1342" s="269"/>
      <c r="R1342" s="296"/>
      <c r="S1342" s="296"/>
      <c r="T1342" s="296"/>
      <c r="U1342" s="296"/>
      <c r="V1342" s="296"/>
      <c r="W1342" s="296"/>
      <c r="X1342" s="296"/>
      <c r="Y1342" s="296"/>
      <c r="Z1342" s="296"/>
      <c r="AA1342" s="296"/>
      <c r="AB1342" s="296"/>
      <c r="AC1342" s="296"/>
      <c r="AD1342" s="296"/>
      <c r="AE1342" s="272"/>
      <c r="AF1342" s="273"/>
      <c r="AG1342" s="274"/>
    </row>
    <row r="1343">
      <c r="A1343" s="296"/>
      <c r="B1343" s="269"/>
      <c r="C1343" s="308"/>
      <c r="D1343" s="308"/>
      <c r="E1343" s="308"/>
      <c r="F1343" s="308"/>
      <c r="G1343" s="296"/>
      <c r="H1343" s="296"/>
      <c r="I1343" s="296"/>
      <c r="J1343" s="296"/>
      <c r="K1343" s="296"/>
      <c r="L1343" s="296"/>
      <c r="M1343" s="296"/>
      <c r="N1343" s="296"/>
      <c r="O1343" s="269"/>
      <c r="P1343" s="269"/>
      <c r="Q1343" s="269"/>
      <c r="R1343" s="296"/>
      <c r="S1343" s="296"/>
      <c r="T1343" s="296"/>
      <c r="U1343" s="296"/>
      <c r="V1343" s="296"/>
      <c r="W1343" s="296"/>
      <c r="X1343" s="296"/>
      <c r="Y1343" s="296"/>
      <c r="Z1343" s="296"/>
      <c r="AA1343" s="296"/>
      <c r="AB1343" s="296"/>
      <c r="AC1343" s="296"/>
      <c r="AD1343" s="296"/>
      <c r="AE1343" s="272"/>
      <c r="AF1343" s="273"/>
      <c r="AG1343" s="274"/>
    </row>
    <row r="1344">
      <c r="A1344" s="296"/>
      <c r="B1344" s="269"/>
      <c r="C1344" s="308"/>
      <c r="D1344" s="308"/>
      <c r="E1344" s="308"/>
      <c r="F1344" s="308"/>
      <c r="G1344" s="296"/>
      <c r="H1344" s="296"/>
      <c r="I1344" s="296"/>
      <c r="J1344" s="296"/>
      <c r="K1344" s="296"/>
      <c r="L1344" s="296"/>
      <c r="M1344" s="296"/>
      <c r="N1344" s="296"/>
      <c r="O1344" s="269"/>
      <c r="P1344" s="269"/>
      <c r="Q1344" s="269"/>
      <c r="R1344" s="296"/>
      <c r="S1344" s="296"/>
      <c r="T1344" s="296"/>
      <c r="U1344" s="296"/>
      <c r="V1344" s="296"/>
      <c r="W1344" s="296"/>
      <c r="X1344" s="296"/>
      <c r="Y1344" s="296"/>
      <c r="Z1344" s="296"/>
      <c r="AA1344" s="296"/>
      <c r="AB1344" s="296"/>
      <c r="AC1344" s="296"/>
      <c r="AD1344" s="296"/>
      <c r="AE1344" s="272"/>
      <c r="AF1344" s="273"/>
      <c r="AG1344" s="274"/>
    </row>
    <row r="1345">
      <c r="A1345" s="296"/>
      <c r="B1345" s="269"/>
      <c r="C1345" s="308"/>
      <c r="D1345" s="308"/>
      <c r="E1345" s="308"/>
      <c r="F1345" s="308"/>
      <c r="G1345" s="296"/>
      <c r="H1345" s="296"/>
      <c r="I1345" s="296"/>
      <c r="J1345" s="296"/>
      <c r="K1345" s="296"/>
      <c r="L1345" s="296"/>
      <c r="M1345" s="296"/>
      <c r="N1345" s="296"/>
      <c r="O1345" s="269"/>
      <c r="P1345" s="269"/>
      <c r="Q1345" s="269"/>
      <c r="R1345" s="296"/>
      <c r="S1345" s="296"/>
      <c r="T1345" s="296"/>
      <c r="U1345" s="296"/>
      <c r="V1345" s="296"/>
      <c r="W1345" s="296"/>
      <c r="X1345" s="296"/>
      <c r="Y1345" s="296"/>
      <c r="Z1345" s="296"/>
      <c r="AA1345" s="296"/>
      <c r="AB1345" s="296"/>
      <c r="AC1345" s="296"/>
      <c r="AD1345" s="296"/>
      <c r="AE1345" s="272"/>
      <c r="AF1345" s="273"/>
      <c r="AG1345" s="274"/>
    </row>
    <row r="1346">
      <c r="A1346" s="296"/>
      <c r="B1346" s="269"/>
      <c r="C1346" s="308"/>
      <c r="D1346" s="308"/>
      <c r="E1346" s="308"/>
      <c r="F1346" s="308"/>
      <c r="G1346" s="296"/>
      <c r="H1346" s="296"/>
      <c r="I1346" s="296"/>
      <c r="J1346" s="296"/>
      <c r="K1346" s="296"/>
      <c r="L1346" s="296"/>
      <c r="M1346" s="296"/>
      <c r="N1346" s="296"/>
      <c r="O1346" s="269"/>
      <c r="P1346" s="269"/>
      <c r="Q1346" s="269"/>
      <c r="R1346" s="296"/>
      <c r="S1346" s="296"/>
      <c r="T1346" s="296"/>
      <c r="U1346" s="296"/>
      <c r="V1346" s="296"/>
      <c r="W1346" s="296"/>
      <c r="X1346" s="296"/>
      <c r="Y1346" s="296"/>
      <c r="Z1346" s="296"/>
      <c r="AA1346" s="296"/>
      <c r="AB1346" s="296"/>
      <c r="AC1346" s="296"/>
      <c r="AD1346" s="296"/>
      <c r="AE1346" s="272"/>
      <c r="AF1346" s="273"/>
      <c r="AG1346" s="274"/>
    </row>
    <row r="1347">
      <c r="A1347" s="296"/>
      <c r="B1347" s="269"/>
      <c r="C1347" s="308"/>
      <c r="D1347" s="308"/>
      <c r="E1347" s="308"/>
      <c r="F1347" s="308"/>
      <c r="G1347" s="296"/>
      <c r="H1347" s="296"/>
      <c r="I1347" s="296"/>
      <c r="J1347" s="296"/>
      <c r="K1347" s="296"/>
      <c r="L1347" s="296"/>
      <c r="M1347" s="296"/>
      <c r="N1347" s="296"/>
      <c r="O1347" s="269"/>
      <c r="P1347" s="269"/>
      <c r="Q1347" s="269"/>
      <c r="R1347" s="296"/>
      <c r="S1347" s="296"/>
      <c r="T1347" s="296"/>
      <c r="U1347" s="296"/>
      <c r="V1347" s="296"/>
      <c r="W1347" s="296"/>
      <c r="X1347" s="296"/>
      <c r="Y1347" s="296"/>
      <c r="Z1347" s="296"/>
      <c r="AA1347" s="296"/>
      <c r="AB1347" s="296"/>
      <c r="AC1347" s="296"/>
      <c r="AD1347" s="296"/>
      <c r="AE1347" s="272"/>
      <c r="AF1347" s="273"/>
      <c r="AG1347" s="274"/>
    </row>
    <row r="1348">
      <c r="A1348" s="296"/>
      <c r="B1348" s="269"/>
      <c r="C1348" s="308"/>
      <c r="D1348" s="308"/>
      <c r="E1348" s="308"/>
      <c r="F1348" s="308"/>
      <c r="G1348" s="296"/>
      <c r="H1348" s="296"/>
      <c r="I1348" s="296"/>
      <c r="J1348" s="296"/>
      <c r="K1348" s="296"/>
      <c r="L1348" s="296"/>
      <c r="M1348" s="296"/>
      <c r="N1348" s="296"/>
      <c r="O1348" s="269"/>
      <c r="P1348" s="269"/>
      <c r="Q1348" s="269"/>
      <c r="R1348" s="296"/>
      <c r="S1348" s="296"/>
      <c r="T1348" s="296"/>
      <c r="U1348" s="296"/>
      <c r="V1348" s="296"/>
      <c r="W1348" s="296"/>
      <c r="X1348" s="296"/>
      <c r="Y1348" s="296"/>
      <c r="Z1348" s="296"/>
      <c r="AA1348" s="296"/>
      <c r="AB1348" s="296"/>
      <c r="AC1348" s="296"/>
      <c r="AD1348" s="296"/>
      <c r="AE1348" s="272"/>
      <c r="AF1348" s="273"/>
      <c r="AG1348" s="274"/>
    </row>
    <row r="1349">
      <c r="A1349" s="296"/>
      <c r="B1349" s="269"/>
      <c r="C1349" s="308"/>
      <c r="D1349" s="308"/>
      <c r="E1349" s="308"/>
      <c r="F1349" s="308"/>
      <c r="G1349" s="296"/>
      <c r="H1349" s="296"/>
      <c r="I1349" s="296"/>
      <c r="J1349" s="296"/>
      <c r="K1349" s="296"/>
      <c r="L1349" s="296"/>
      <c r="M1349" s="296"/>
      <c r="N1349" s="296"/>
      <c r="O1349" s="269"/>
      <c r="P1349" s="269"/>
      <c r="Q1349" s="269"/>
      <c r="R1349" s="296"/>
      <c r="S1349" s="296"/>
      <c r="T1349" s="296"/>
      <c r="U1349" s="296"/>
      <c r="V1349" s="296"/>
      <c r="W1349" s="296"/>
      <c r="X1349" s="296"/>
      <c r="Y1349" s="296"/>
      <c r="Z1349" s="296"/>
      <c r="AA1349" s="296"/>
      <c r="AB1349" s="296"/>
      <c r="AC1349" s="296"/>
      <c r="AD1349" s="296"/>
      <c r="AE1349" s="272"/>
      <c r="AF1349" s="273"/>
      <c r="AG1349" s="274"/>
    </row>
    <row r="1350">
      <c r="A1350" s="296"/>
      <c r="B1350" s="269"/>
      <c r="C1350" s="308"/>
      <c r="D1350" s="308"/>
      <c r="E1350" s="308"/>
      <c r="F1350" s="308"/>
      <c r="G1350" s="296"/>
      <c r="H1350" s="296"/>
      <c r="I1350" s="296"/>
      <c r="J1350" s="296"/>
      <c r="K1350" s="296"/>
      <c r="L1350" s="296"/>
      <c r="M1350" s="296"/>
      <c r="N1350" s="296"/>
      <c r="O1350" s="269"/>
      <c r="P1350" s="269"/>
      <c r="Q1350" s="269"/>
      <c r="R1350" s="296"/>
      <c r="S1350" s="296"/>
      <c r="T1350" s="296"/>
      <c r="U1350" s="296"/>
      <c r="V1350" s="296"/>
      <c r="W1350" s="296"/>
      <c r="X1350" s="296"/>
      <c r="Y1350" s="296"/>
      <c r="Z1350" s="296"/>
      <c r="AA1350" s="296"/>
      <c r="AB1350" s="296"/>
      <c r="AC1350" s="296"/>
      <c r="AD1350" s="296"/>
      <c r="AE1350" s="272"/>
      <c r="AF1350" s="273"/>
      <c r="AG1350" s="274"/>
    </row>
    <row r="1351">
      <c r="A1351" s="296"/>
      <c r="B1351" s="269"/>
      <c r="C1351" s="308"/>
      <c r="D1351" s="308"/>
      <c r="E1351" s="308"/>
      <c r="F1351" s="308"/>
      <c r="G1351" s="296"/>
      <c r="H1351" s="296"/>
      <c r="I1351" s="296"/>
      <c r="J1351" s="296"/>
      <c r="K1351" s="296"/>
      <c r="L1351" s="296"/>
      <c r="M1351" s="296"/>
      <c r="N1351" s="296"/>
      <c r="O1351" s="269"/>
      <c r="P1351" s="269"/>
      <c r="Q1351" s="269"/>
      <c r="R1351" s="296"/>
      <c r="S1351" s="296"/>
      <c r="T1351" s="296"/>
      <c r="U1351" s="296"/>
      <c r="V1351" s="296"/>
      <c r="W1351" s="296"/>
      <c r="X1351" s="296"/>
      <c r="Y1351" s="296"/>
      <c r="Z1351" s="296"/>
      <c r="AA1351" s="296"/>
      <c r="AB1351" s="296"/>
      <c r="AC1351" s="296"/>
      <c r="AD1351" s="296"/>
      <c r="AE1351" s="272"/>
      <c r="AF1351" s="273"/>
      <c r="AG1351" s="274"/>
    </row>
    <row r="1352">
      <c r="A1352" s="296"/>
      <c r="B1352" s="269"/>
      <c r="C1352" s="308"/>
      <c r="D1352" s="308"/>
      <c r="E1352" s="308"/>
      <c r="F1352" s="308"/>
      <c r="G1352" s="296"/>
      <c r="H1352" s="296"/>
      <c r="I1352" s="296"/>
      <c r="J1352" s="296"/>
      <c r="K1352" s="296"/>
      <c r="L1352" s="296"/>
      <c r="M1352" s="296"/>
      <c r="N1352" s="296"/>
      <c r="O1352" s="269"/>
      <c r="P1352" s="269"/>
      <c r="Q1352" s="269"/>
      <c r="R1352" s="296"/>
      <c r="S1352" s="296"/>
      <c r="T1352" s="296"/>
      <c r="U1352" s="296"/>
      <c r="V1352" s="296"/>
      <c r="W1352" s="296"/>
      <c r="X1352" s="296"/>
      <c r="Y1352" s="296"/>
      <c r="Z1352" s="296"/>
      <c r="AA1352" s="296"/>
      <c r="AB1352" s="296"/>
      <c r="AC1352" s="296"/>
      <c r="AD1352" s="296"/>
      <c r="AE1352" s="272"/>
      <c r="AF1352" s="273"/>
      <c r="AG1352" s="274"/>
    </row>
    <row r="1353">
      <c r="A1353" s="296"/>
      <c r="B1353" s="269"/>
      <c r="C1353" s="308"/>
      <c r="D1353" s="308"/>
      <c r="E1353" s="308"/>
      <c r="F1353" s="308"/>
      <c r="G1353" s="296"/>
      <c r="H1353" s="296"/>
      <c r="I1353" s="296"/>
      <c r="J1353" s="296"/>
      <c r="K1353" s="296"/>
      <c r="L1353" s="296"/>
      <c r="M1353" s="296"/>
      <c r="N1353" s="296"/>
      <c r="O1353" s="269"/>
      <c r="P1353" s="269"/>
      <c r="Q1353" s="269"/>
      <c r="R1353" s="296"/>
      <c r="S1353" s="296"/>
      <c r="T1353" s="296"/>
      <c r="U1353" s="296"/>
      <c r="V1353" s="296"/>
      <c r="W1353" s="296"/>
      <c r="X1353" s="296"/>
      <c r="Y1353" s="296"/>
      <c r="Z1353" s="296"/>
      <c r="AA1353" s="296"/>
      <c r="AB1353" s="296"/>
      <c r="AC1353" s="296"/>
      <c r="AD1353" s="296"/>
      <c r="AE1353" s="272"/>
      <c r="AF1353" s="273"/>
      <c r="AG1353" s="274"/>
    </row>
    <row r="1354">
      <c r="A1354" s="296"/>
      <c r="B1354" s="269"/>
      <c r="C1354" s="308"/>
      <c r="D1354" s="308"/>
      <c r="E1354" s="308"/>
      <c r="F1354" s="308"/>
      <c r="G1354" s="296"/>
      <c r="H1354" s="296"/>
      <c r="I1354" s="296"/>
      <c r="J1354" s="296"/>
      <c r="K1354" s="296"/>
      <c r="L1354" s="296"/>
      <c r="M1354" s="296"/>
      <c r="N1354" s="296"/>
      <c r="O1354" s="269"/>
      <c r="P1354" s="269"/>
      <c r="Q1354" s="269"/>
      <c r="R1354" s="296"/>
      <c r="S1354" s="296"/>
      <c r="T1354" s="296"/>
      <c r="U1354" s="296"/>
      <c r="V1354" s="296"/>
      <c r="W1354" s="296"/>
      <c r="X1354" s="296"/>
      <c r="Y1354" s="296"/>
      <c r="Z1354" s="296"/>
      <c r="AA1354" s="296"/>
      <c r="AB1354" s="296"/>
      <c r="AC1354" s="296"/>
      <c r="AD1354" s="296"/>
      <c r="AE1354" s="272"/>
      <c r="AF1354" s="273"/>
      <c r="AG1354" s="274"/>
    </row>
    <row r="1355">
      <c r="A1355" s="296"/>
      <c r="B1355" s="269"/>
      <c r="C1355" s="308"/>
      <c r="D1355" s="308"/>
      <c r="E1355" s="308"/>
      <c r="F1355" s="308"/>
      <c r="G1355" s="296"/>
      <c r="H1355" s="296"/>
      <c r="I1355" s="296"/>
      <c r="J1355" s="296"/>
      <c r="K1355" s="296"/>
      <c r="L1355" s="296"/>
      <c r="M1355" s="296"/>
      <c r="N1355" s="296"/>
      <c r="O1355" s="269"/>
      <c r="P1355" s="269"/>
      <c r="Q1355" s="269"/>
      <c r="R1355" s="296"/>
      <c r="S1355" s="296"/>
      <c r="T1355" s="296"/>
      <c r="U1355" s="296"/>
      <c r="V1355" s="296"/>
      <c r="W1355" s="296"/>
      <c r="X1355" s="296"/>
      <c r="Y1355" s="296"/>
      <c r="Z1355" s="296"/>
      <c r="AA1355" s="296"/>
      <c r="AB1355" s="296"/>
      <c r="AC1355" s="296"/>
      <c r="AD1355" s="296"/>
      <c r="AE1355" s="272"/>
      <c r="AF1355" s="273"/>
      <c r="AG1355" s="274"/>
    </row>
    <row r="1356">
      <c r="A1356" s="296"/>
      <c r="B1356" s="269"/>
      <c r="C1356" s="308"/>
      <c r="D1356" s="308"/>
      <c r="E1356" s="308"/>
      <c r="F1356" s="308"/>
      <c r="G1356" s="296"/>
      <c r="H1356" s="296"/>
      <c r="I1356" s="296"/>
      <c r="J1356" s="296"/>
      <c r="K1356" s="296"/>
      <c r="L1356" s="296"/>
      <c r="M1356" s="296"/>
      <c r="N1356" s="296"/>
      <c r="O1356" s="269"/>
      <c r="P1356" s="269"/>
      <c r="Q1356" s="269"/>
      <c r="R1356" s="296"/>
      <c r="S1356" s="296"/>
      <c r="T1356" s="296"/>
      <c r="U1356" s="296"/>
      <c r="V1356" s="296"/>
      <c r="W1356" s="296"/>
      <c r="X1356" s="296"/>
      <c r="Y1356" s="296"/>
      <c r="Z1356" s="296"/>
      <c r="AA1356" s="296"/>
      <c r="AB1356" s="296"/>
      <c r="AC1356" s="296"/>
      <c r="AD1356" s="296"/>
      <c r="AE1356" s="272"/>
      <c r="AF1356" s="273"/>
      <c r="AG1356" s="274"/>
    </row>
    <row r="1357">
      <c r="A1357" s="296"/>
      <c r="B1357" s="269"/>
      <c r="C1357" s="308"/>
      <c r="D1357" s="308"/>
      <c r="E1357" s="308"/>
      <c r="F1357" s="308"/>
      <c r="G1357" s="296"/>
      <c r="H1357" s="296"/>
      <c r="I1357" s="296"/>
      <c r="J1357" s="296"/>
      <c r="K1357" s="296"/>
      <c r="L1357" s="296"/>
      <c r="M1357" s="296"/>
      <c r="N1357" s="296"/>
      <c r="O1357" s="269"/>
      <c r="P1357" s="269"/>
      <c r="Q1357" s="269"/>
      <c r="R1357" s="296"/>
      <c r="S1357" s="296"/>
      <c r="T1357" s="296"/>
      <c r="U1357" s="296"/>
      <c r="V1357" s="296"/>
      <c r="W1357" s="296"/>
      <c r="X1357" s="296"/>
      <c r="Y1357" s="296"/>
      <c r="Z1357" s="296"/>
      <c r="AA1357" s="296"/>
      <c r="AB1357" s="296"/>
      <c r="AC1357" s="296"/>
      <c r="AD1357" s="296"/>
      <c r="AE1357" s="272"/>
      <c r="AF1357" s="273"/>
      <c r="AG1357" s="274"/>
    </row>
    <row r="1358">
      <c r="A1358" s="296"/>
      <c r="B1358" s="269"/>
      <c r="C1358" s="308"/>
      <c r="D1358" s="308"/>
      <c r="E1358" s="308"/>
      <c r="F1358" s="308"/>
      <c r="G1358" s="296"/>
      <c r="H1358" s="296"/>
      <c r="I1358" s="296"/>
      <c r="J1358" s="296"/>
      <c r="K1358" s="296"/>
      <c r="L1358" s="296"/>
      <c r="M1358" s="296"/>
      <c r="N1358" s="296"/>
      <c r="O1358" s="269"/>
      <c r="P1358" s="269"/>
      <c r="Q1358" s="269"/>
      <c r="R1358" s="296"/>
      <c r="S1358" s="296"/>
      <c r="T1358" s="296"/>
      <c r="U1358" s="296"/>
      <c r="V1358" s="296"/>
      <c r="W1358" s="296"/>
      <c r="X1358" s="296"/>
      <c r="Y1358" s="296"/>
      <c r="Z1358" s="296"/>
      <c r="AA1358" s="296"/>
      <c r="AB1358" s="296"/>
      <c r="AC1358" s="296"/>
      <c r="AD1358" s="296"/>
      <c r="AE1358" s="272"/>
      <c r="AF1358" s="273"/>
      <c r="AG1358" s="274"/>
    </row>
    <row r="1359">
      <c r="A1359" s="296"/>
      <c r="B1359" s="269"/>
      <c r="C1359" s="308"/>
      <c r="D1359" s="308"/>
      <c r="E1359" s="308"/>
      <c r="F1359" s="308"/>
      <c r="G1359" s="296"/>
      <c r="H1359" s="296"/>
      <c r="I1359" s="296"/>
      <c r="J1359" s="296"/>
      <c r="K1359" s="296"/>
      <c r="L1359" s="296"/>
      <c r="M1359" s="296"/>
      <c r="N1359" s="296"/>
      <c r="O1359" s="269"/>
      <c r="P1359" s="269"/>
      <c r="Q1359" s="269"/>
      <c r="R1359" s="296"/>
      <c r="S1359" s="296"/>
      <c r="T1359" s="296"/>
      <c r="U1359" s="296"/>
      <c r="V1359" s="296"/>
      <c r="W1359" s="296"/>
      <c r="X1359" s="296"/>
      <c r="Y1359" s="296"/>
      <c r="Z1359" s="296"/>
      <c r="AA1359" s="296"/>
      <c r="AB1359" s="296"/>
      <c r="AC1359" s="296"/>
      <c r="AD1359" s="296"/>
      <c r="AE1359" s="272"/>
      <c r="AF1359" s="273"/>
      <c r="AG1359" s="274"/>
    </row>
    <row r="1360">
      <c r="A1360" s="296"/>
      <c r="B1360" s="269"/>
      <c r="C1360" s="308"/>
      <c r="D1360" s="308"/>
      <c r="E1360" s="308"/>
      <c r="F1360" s="308"/>
      <c r="G1360" s="296"/>
      <c r="H1360" s="296"/>
      <c r="I1360" s="296"/>
      <c r="J1360" s="296"/>
      <c r="K1360" s="296"/>
      <c r="L1360" s="296"/>
      <c r="M1360" s="296"/>
      <c r="N1360" s="296"/>
      <c r="O1360" s="269"/>
      <c r="P1360" s="269"/>
      <c r="Q1360" s="269"/>
      <c r="R1360" s="296"/>
      <c r="S1360" s="296"/>
      <c r="T1360" s="296"/>
      <c r="U1360" s="296"/>
      <c r="V1360" s="296"/>
      <c r="W1360" s="296"/>
      <c r="X1360" s="296"/>
      <c r="Y1360" s="296"/>
      <c r="Z1360" s="296"/>
      <c r="AA1360" s="296"/>
      <c r="AB1360" s="296"/>
      <c r="AC1360" s="296"/>
      <c r="AD1360" s="296"/>
      <c r="AE1360" s="272"/>
      <c r="AF1360" s="273"/>
      <c r="AG1360" s="274"/>
    </row>
    <row r="1361">
      <c r="A1361" s="296"/>
      <c r="B1361" s="269"/>
      <c r="C1361" s="308"/>
      <c r="D1361" s="308"/>
      <c r="E1361" s="308"/>
      <c r="F1361" s="308"/>
      <c r="G1361" s="296"/>
      <c r="H1361" s="296"/>
      <c r="I1361" s="296"/>
      <c r="J1361" s="296"/>
      <c r="K1361" s="296"/>
      <c r="L1361" s="296"/>
      <c r="M1361" s="296"/>
      <c r="N1361" s="296"/>
      <c r="O1361" s="269"/>
      <c r="P1361" s="269"/>
      <c r="Q1361" s="269"/>
      <c r="R1361" s="296"/>
      <c r="S1361" s="296"/>
      <c r="T1361" s="296"/>
      <c r="U1361" s="296"/>
      <c r="V1361" s="296"/>
      <c r="W1361" s="296"/>
      <c r="X1361" s="296"/>
      <c r="Y1361" s="296"/>
      <c r="Z1361" s="296"/>
      <c r="AA1361" s="296"/>
      <c r="AB1361" s="296"/>
      <c r="AC1361" s="296"/>
      <c r="AD1361" s="296"/>
      <c r="AE1361" s="272"/>
      <c r="AF1361" s="273"/>
      <c r="AG1361" s="274"/>
    </row>
    <row r="1362">
      <c r="A1362" s="296"/>
      <c r="B1362" s="269"/>
      <c r="C1362" s="308"/>
      <c r="D1362" s="308"/>
      <c r="E1362" s="308"/>
      <c r="F1362" s="308"/>
      <c r="G1362" s="296"/>
      <c r="H1362" s="296"/>
      <c r="I1362" s="296"/>
      <c r="J1362" s="296"/>
      <c r="K1362" s="296"/>
      <c r="L1362" s="296"/>
      <c r="M1362" s="296"/>
      <c r="N1362" s="308"/>
      <c r="O1362" s="269"/>
      <c r="P1362" s="269"/>
      <c r="Q1362" s="269"/>
      <c r="R1362" s="296"/>
      <c r="S1362" s="296"/>
      <c r="T1362" s="296"/>
      <c r="U1362" s="296"/>
      <c r="V1362" s="296"/>
      <c r="W1362" s="296"/>
      <c r="X1362" s="296"/>
      <c r="Y1362" s="296"/>
      <c r="Z1362" s="296"/>
      <c r="AA1362" s="296"/>
      <c r="AB1362" s="296"/>
      <c r="AC1362" s="296"/>
      <c r="AD1362" s="296"/>
      <c r="AE1362" s="272"/>
      <c r="AF1362" s="273"/>
      <c r="AG1362" s="274"/>
    </row>
    <row r="1363">
      <c r="A1363" s="296"/>
      <c r="B1363" s="269"/>
      <c r="C1363" s="308"/>
      <c r="D1363" s="308"/>
      <c r="E1363" s="308"/>
      <c r="F1363" s="308"/>
      <c r="G1363" s="296"/>
      <c r="H1363" s="296"/>
      <c r="I1363" s="296"/>
      <c r="J1363" s="296"/>
      <c r="K1363" s="296"/>
      <c r="L1363" s="296"/>
      <c r="M1363" s="296"/>
      <c r="N1363" s="308"/>
      <c r="O1363" s="269"/>
      <c r="P1363" s="269"/>
      <c r="Q1363" s="269"/>
      <c r="R1363" s="296"/>
      <c r="S1363" s="296"/>
      <c r="T1363" s="296"/>
      <c r="U1363" s="296"/>
      <c r="V1363" s="296"/>
      <c r="W1363" s="296"/>
      <c r="X1363" s="296"/>
      <c r="Y1363" s="296"/>
      <c r="Z1363" s="296"/>
      <c r="AA1363" s="296"/>
      <c r="AB1363" s="296"/>
      <c r="AC1363" s="296"/>
      <c r="AD1363" s="296"/>
      <c r="AE1363" s="272"/>
      <c r="AF1363" s="273"/>
      <c r="AG1363" s="274"/>
    </row>
    <row r="1364">
      <c r="A1364" s="296"/>
      <c r="B1364" s="269"/>
      <c r="C1364" s="308"/>
      <c r="D1364" s="308"/>
      <c r="E1364" s="308"/>
      <c r="F1364" s="308"/>
      <c r="G1364" s="296"/>
      <c r="H1364" s="296"/>
      <c r="I1364" s="296"/>
      <c r="J1364" s="296"/>
      <c r="K1364" s="296"/>
      <c r="L1364" s="296"/>
      <c r="M1364" s="296"/>
      <c r="N1364" s="308"/>
      <c r="O1364" s="269"/>
      <c r="P1364" s="269"/>
      <c r="Q1364" s="269"/>
      <c r="R1364" s="296"/>
      <c r="S1364" s="296"/>
      <c r="T1364" s="296"/>
      <c r="U1364" s="296"/>
      <c r="V1364" s="296"/>
      <c r="W1364" s="296"/>
      <c r="X1364" s="296"/>
      <c r="Y1364" s="296"/>
      <c r="Z1364" s="296"/>
      <c r="AA1364" s="296"/>
      <c r="AB1364" s="296"/>
      <c r="AC1364" s="296"/>
      <c r="AD1364" s="296"/>
      <c r="AE1364" s="272"/>
      <c r="AF1364" s="273"/>
      <c r="AG1364" s="274"/>
    </row>
    <row r="1365">
      <c r="A1365" s="296"/>
      <c r="B1365" s="269"/>
      <c r="C1365" s="308"/>
      <c r="D1365" s="308"/>
      <c r="E1365" s="308"/>
      <c r="F1365" s="308"/>
      <c r="G1365" s="296"/>
      <c r="H1365" s="296"/>
      <c r="I1365" s="296"/>
      <c r="J1365" s="296"/>
      <c r="K1365" s="296"/>
      <c r="L1365" s="296"/>
      <c r="M1365" s="296"/>
      <c r="N1365" s="308"/>
      <c r="O1365" s="269"/>
      <c r="P1365" s="269"/>
      <c r="Q1365" s="269"/>
      <c r="R1365" s="296"/>
      <c r="S1365" s="296"/>
      <c r="T1365" s="296"/>
      <c r="U1365" s="296"/>
      <c r="V1365" s="296"/>
      <c r="W1365" s="296"/>
      <c r="X1365" s="296"/>
      <c r="Y1365" s="296"/>
      <c r="Z1365" s="296"/>
      <c r="AA1365" s="296"/>
      <c r="AB1365" s="296"/>
      <c r="AC1365" s="296"/>
      <c r="AD1365" s="296"/>
      <c r="AE1365" s="272"/>
      <c r="AF1365" s="273"/>
      <c r="AG1365" s="274"/>
    </row>
    <row r="1366">
      <c r="A1366" s="296"/>
      <c r="B1366" s="269"/>
      <c r="C1366" s="308"/>
      <c r="D1366" s="308"/>
      <c r="E1366" s="308"/>
      <c r="F1366" s="308"/>
      <c r="G1366" s="296"/>
      <c r="H1366" s="296"/>
      <c r="I1366" s="296"/>
      <c r="J1366" s="296"/>
      <c r="K1366" s="296"/>
      <c r="L1366" s="296"/>
      <c r="M1366" s="296"/>
      <c r="N1366" s="308"/>
      <c r="O1366" s="269"/>
      <c r="P1366" s="269"/>
      <c r="Q1366" s="269"/>
      <c r="R1366" s="296"/>
      <c r="S1366" s="296"/>
      <c r="T1366" s="296"/>
      <c r="U1366" s="296"/>
      <c r="V1366" s="296"/>
      <c r="W1366" s="296"/>
      <c r="X1366" s="296"/>
      <c r="Y1366" s="296"/>
      <c r="Z1366" s="296"/>
      <c r="AA1366" s="296"/>
      <c r="AB1366" s="296"/>
      <c r="AC1366" s="296"/>
      <c r="AD1366" s="296"/>
      <c r="AE1366" s="272"/>
      <c r="AF1366" s="273"/>
      <c r="AG1366" s="274"/>
    </row>
    <row r="1367">
      <c r="A1367" s="296"/>
      <c r="B1367" s="269"/>
      <c r="C1367" s="308"/>
      <c r="D1367" s="308"/>
      <c r="E1367" s="308"/>
      <c r="F1367" s="308"/>
      <c r="G1367" s="296"/>
      <c r="H1367" s="296"/>
      <c r="I1367" s="296"/>
      <c r="J1367" s="296"/>
      <c r="K1367" s="296"/>
      <c r="L1367" s="296"/>
      <c r="M1367" s="296"/>
      <c r="N1367" s="308"/>
      <c r="O1367" s="269"/>
      <c r="P1367" s="269"/>
      <c r="Q1367" s="269"/>
      <c r="R1367" s="296"/>
      <c r="S1367" s="296"/>
      <c r="T1367" s="296"/>
      <c r="U1367" s="296"/>
      <c r="V1367" s="296"/>
      <c r="W1367" s="296"/>
      <c r="X1367" s="296"/>
      <c r="Y1367" s="296"/>
      <c r="Z1367" s="296"/>
      <c r="AA1367" s="296"/>
      <c r="AB1367" s="296"/>
      <c r="AC1367" s="296"/>
      <c r="AD1367" s="296"/>
      <c r="AE1367" s="272"/>
      <c r="AF1367" s="273"/>
      <c r="AG1367" s="274"/>
    </row>
    <row r="1368">
      <c r="A1368" s="296"/>
      <c r="B1368" s="269"/>
      <c r="C1368" s="308"/>
      <c r="D1368" s="308"/>
      <c r="E1368" s="308"/>
      <c r="F1368" s="308"/>
      <c r="G1368" s="296"/>
      <c r="H1368" s="296"/>
      <c r="I1368" s="296"/>
      <c r="J1368" s="296"/>
      <c r="K1368" s="296"/>
      <c r="L1368" s="296"/>
      <c r="M1368" s="296"/>
      <c r="N1368" s="308"/>
      <c r="O1368" s="269"/>
      <c r="P1368" s="269"/>
      <c r="Q1368" s="269"/>
      <c r="R1368" s="296"/>
      <c r="S1368" s="296"/>
      <c r="T1368" s="296"/>
      <c r="U1368" s="296"/>
      <c r="V1368" s="296"/>
      <c r="W1368" s="296"/>
      <c r="X1368" s="296"/>
      <c r="Y1368" s="296"/>
      <c r="Z1368" s="296"/>
      <c r="AA1368" s="296"/>
      <c r="AB1368" s="296"/>
      <c r="AC1368" s="296"/>
      <c r="AD1368" s="296"/>
      <c r="AE1368" s="272"/>
      <c r="AF1368" s="273"/>
      <c r="AG1368" s="274"/>
    </row>
    <row r="1369">
      <c r="A1369" s="296"/>
      <c r="B1369" s="269"/>
      <c r="C1369" s="308"/>
      <c r="D1369" s="308"/>
      <c r="E1369" s="308"/>
      <c r="F1369" s="308"/>
      <c r="G1369" s="296"/>
      <c r="H1369" s="296"/>
      <c r="I1369" s="296"/>
      <c r="J1369" s="296"/>
      <c r="K1369" s="296"/>
      <c r="L1369" s="296"/>
      <c r="M1369" s="296"/>
      <c r="N1369" s="308"/>
      <c r="O1369" s="269"/>
      <c r="P1369" s="269"/>
      <c r="Q1369" s="269"/>
      <c r="R1369" s="296"/>
      <c r="S1369" s="296"/>
      <c r="T1369" s="296"/>
      <c r="U1369" s="296"/>
      <c r="V1369" s="296"/>
      <c r="W1369" s="296"/>
      <c r="X1369" s="296"/>
      <c r="Y1369" s="296"/>
      <c r="Z1369" s="296"/>
      <c r="AA1369" s="296"/>
      <c r="AB1369" s="296"/>
      <c r="AC1369" s="296"/>
      <c r="AD1369" s="296"/>
      <c r="AE1369" s="272"/>
      <c r="AF1369" s="273"/>
      <c r="AG1369" s="274"/>
    </row>
    <row r="1370">
      <c r="A1370" s="296"/>
      <c r="B1370" s="269"/>
      <c r="C1370" s="308"/>
      <c r="D1370" s="308"/>
      <c r="E1370" s="308"/>
      <c r="F1370" s="308"/>
      <c r="G1370" s="296"/>
      <c r="H1370" s="296"/>
      <c r="I1370" s="296"/>
      <c r="J1370" s="296"/>
      <c r="K1370" s="296"/>
      <c r="L1370" s="296"/>
      <c r="M1370" s="296"/>
      <c r="N1370" s="308"/>
      <c r="O1370" s="269"/>
      <c r="P1370" s="269"/>
      <c r="Q1370" s="269"/>
      <c r="R1370" s="296"/>
      <c r="S1370" s="296"/>
      <c r="T1370" s="296"/>
      <c r="U1370" s="296"/>
      <c r="V1370" s="296"/>
      <c r="W1370" s="296"/>
      <c r="X1370" s="296"/>
      <c r="Y1370" s="296"/>
      <c r="Z1370" s="296"/>
      <c r="AA1370" s="296"/>
      <c r="AB1370" s="296"/>
      <c r="AC1370" s="296"/>
      <c r="AD1370" s="296"/>
      <c r="AE1370" s="272"/>
      <c r="AF1370" s="273"/>
      <c r="AG1370" s="274"/>
    </row>
    <row r="1371">
      <c r="A1371" s="296"/>
      <c r="B1371" s="269"/>
      <c r="C1371" s="308"/>
      <c r="D1371" s="308"/>
      <c r="E1371" s="308"/>
      <c r="F1371" s="308"/>
      <c r="G1371" s="296"/>
      <c r="H1371" s="296"/>
      <c r="I1371" s="296"/>
      <c r="J1371" s="296"/>
      <c r="K1371" s="296"/>
      <c r="L1371" s="296"/>
      <c r="M1371" s="296"/>
      <c r="N1371" s="308"/>
      <c r="O1371" s="269"/>
      <c r="P1371" s="269"/>
      <c r="Q1371" s="269"/>
      <c r="R1371" s="296"/>
      <c r="S1371" s="296"/>
      <c r="T1371" s="296"/>
      <c r="U1371" s="296"/>
      <c r="V1371" s="296"/>
      <c r="W1371" s="296"/>
      <c r="X1371" s="296"/>
      <c r="Y1371" s="296"/>
      <c r="Z1371" s="296"/>
      <c r="AA1371" s="296"/>
      <c r="AB1371" s="296"/>
      <c r="AC1371" s="308"/>
      <c r="AD1371" s="308"/>
      <c r="AE1371" s="272"/>
      <c r="AF1371" s="273"/>
      <c r="AG1371" s="274"/>
    </row>
    <row r="1372">
      <c r="A1372" s="308"/>
      <c r="B1372" s="269"/>
      <c r="C1372" s="308"/>
      <c r="D1372" s="308"/>
      <c r="E1372" s="308"/>
      <c r="F1372" s="308"/>
      <c r="G1372" s="308"/>
      <c r="H1372" s="308"/>
      <c r="I1372" s="308"/>
      <c r="J1372" s="308"/>
      <c r="K1372" s="308"/>
      <c r="L1372" s="308"/>
      <c r="M1372" s="308"/>
      <c r="N1372" s="308"/>
      <c r="O1372" s="269"/>
      <c r="P1372" s="269"/>
      <c r="Q1372" s="269"/>
      <c r="R1372" s="308"/>
      <c r="S1372" s="308"/>
      <c r="T1372" s="308"/>
      <c r="U1372" s="308"/>
      <c r="V1372" s="308"/>
      <c r="W1372" s="308"/>
      <c r="X1372" s="308"/>
      <c r="Y1372" s="308"/>
      <c r="Z1372" s="308"/>
      <c r="AA1372" s="308"/>
      <c r="AB1372" s="308"/>
      <c r="AC1372" s="308"/>
      <c r="AD1372" s="308"/>
      <c r="AE1372" s="272"/>
      <c r="AF1372" s="273"/>
      <c r="AG1372" s="274"/>
    </row>
    <row r="1373">
      <c r="A1373" s="308"/>
      <c r="B1373" s="269"/>
      <c r="C1373" s="308"/>
      <c r="D1373" s="308"/>
      <c r="E1373" s="308"/>
      <c r="F1373" s="308"/>
      <c r="G1373" s="308"/>
      <c r="H1373" s="308"/>
      <c r="I1373" s="308"/>
      <c r="J1373" s="308"/>
      <c r="K1373" s="308"/>
      <c r="L1373" s="308"/>
      <c r="M1373" s="308"/>
      <c r="N1373" s="308"/>
      <c r="O1373" s="269"/>
      <c r="P1373" s="269"/>
      <c r="Q1373" s="269"/>
      <c r="R1373" s="308"/>
      <c r="S1373" s="308"/>
      <c r="T1373" s="308"/>
      <c r="U1373" s="308"/>
      <c r="V1373" s="308"/>
      <c r="W1373" s="308"/>
      <c r="X1373" s="308"/>
      <c r="Y1373" s="308"/>
      <c r="Z1373" s="308"/>
      <c r="AA1373" s="308"/>
      <c r="AB1373" s="308"/>
      <c r="AC1373" s="308"/>
      <c r="AD1373" s="308"/>
      <c r="AE1373" s="272"/>
      <c r="AF1373" s="273"/>
      <c r="AG1373" s="274"/>
    </row>
    <row r="1374">
      <c r="A1374" s="308"/>
      <c r="B1374" s="269"/>
      <c r="C1374" s="308"/>
      <c r="D1374" s="308"/>
      <c r="E1374" s="308"/>
      <c r="F1374" s="308"/>
      <c r="G1374" s="308"/>
      <c r="H1374" s="308"/>
      <c r="I1374" s="308"/>
      <c r="J1374" s="308"/>
      <c r="K1374" s="308"/>
      <c r="L1374" s="308"/>
      <c r="M1374" s="308"/>
      <c r="N1374" s="308"/>
      <c r="O1374" s="269"/>
      <c r="P1374" s="269"/>
      <c r="Q1374" s="269"/>
      <c r="R1374" s="308"/>
      <c r="S1374" s="308"/>
      <c r="T1374" s="308"/>
      <c r="U1374" s="308"/>
      <c r="V1374" s="308"/>
      <c r="W1374" s="308"/>
      <c r="X1374" s="308"/>
      <c r="Y1374" s="308"/>
      <c r="Z1374" s="308"/>
      <c r="AA1374" s="308"/>
      <c r="AB1374" s="308"/>
      <c r="AC1374" s="308"/>
      <c r="AD1374" s="308"/>
      <c r="AE1374" s="272"/>
      <c r="AF1374" s="273"/>
      <c r="AG1374" s="274"/>
    </row>
    <row r="1375">
      <c r="A1375" s="308"/>
      <c r="B1375" s="269"/>
      <c r="C1375" s="308"/>
      <c r="D1375" s="308"/>
      <c r="E1375" s="308"/>
      <c r="F1375" s="308"/>
      <c r="G1375" s="308"/>
      <c r="H1375" s="308"/>
      <c r="I1375" s="308"/>
      <c r="J1375" s="308"/>
      <c r="K1375" s="308"/>
      <c r="L1375" s="308"/>
      <c r="M1375" s="308"/>
      <c r="N1375" s="308"/>
      <c r="O1375" s="269"/>
      <c r="P1375" s="269"/>
      <c r="Q1375" s="269"/>
      <c r="R1375" s="308"/>
      <c r="S1375" s="308"/>
      <c r="T1375" s="308"/>
      <c r="U1375" s="308"/>
      <c r="V1375" s="308"/>
      <c r="W1375" s="308"/>
      <c r="X1375" s="308"/>
      <c r="Y1375" s="308"/>
      <c r="Z1375" s="308"/>
      <c r="AA1375" s="308"/>
      <c r="AB1375" s="308"/>
      <c r="AC1375" s="308"/>
      <c r="AD1375" s="308"/>
      <c r="AE1375" s="272"/>
      <c r="AF1375" s="273"/>
      <c r="AG1375" s="274"/>
    </row>
    <row r="1376">
      <c r="A1376" s="308"/>
      <c r="B1376" s="269"/>
      <c r="C1376" s="308"/>
      <c r="D1376" s="308"/>
      <c r="E1376" s="308"/>
      <c r="F1376" s="308"/>
      <c r="G1376" s="308"/>
      <c r="H1376" s="308"/>
      <c r="I1376" s="308"/>
      <c r="J1376" s="308"/>
      <c r="K1376" s="308"/>
      <c r="L1376" s="308"/>
      <c r="M1376" s="308"/>
      <c r="N1376" s="308"/>
      <c r="O1376" s="269"/>
      <c r="P1376" s="269"/>
      <c r="Q1376" s="269"/>
      <c r="R1376" s="308"/>
      <c r="S1376" s="308"/>
      <c r="T1376" s="308"/>
      <c r="U1376" s="308"/>
      <c r="V1376" s="308"/>
      <c r="W1376" s="308"/>
      <c r="X1376" s="308"/>
      <c r="Y1376" s="308"/>
      <c r="Z1376" s="308"/>
      <c r="AA1376" s="308"/>
      <c r="AB1376" s="308"/>
      <c r="AC1376" s="308"/>
      <c r="AD1376" s="308"/>
      <c r="AE1376" s="272"/>
      <c r="AF1376" s="273"/>
      <c r="AG1376" s="274"/>
    </row>
    <row r="1377">
      <c r="A1377" s="308"/>
      <c r="B1377" s="269"/>
      <c r="C1377" s="308"/>
      <c r="D1377" s="308"/>
      <c r="E1377" s="308"/>
      <c r="F1377" s="308"/>
      <c r="G1377" s="308"/>
      <c r="H1377" s="308"/>
      <c r="I1377" s="308"/>
      <c r="J1377" s="308"/>
      <c r="K1377" s="308"/>
      <c r="L1377" s="308"/>
      <c r="M1377" s="308"/>
      <c r="N1377" s="308"/>
      <c r="O1377" s="269"/>
      <c r="P1377" s="269"/>
      <c r="Q1377" s="269"/>
      <c r="R1377" s="308"/>
      <c r="S1377" s="308"/>
      <c r="T1377" s="308"/>
      <c r="U1377" s="308"/>
      <c r="V1377" s="308"/>
      <c r="W1377" s="308"/>
      <c r="X1377" s="308"/>
      <c r="Y1377" s="308"/>
      <c r="Z1377" s="308"/>
      <c r="AA1377" s="308"/>
      <c r="AB1377" s="308"/>
      <c r="AC1377" s="308"/>
      <c r="AD1377" s="308"/>
      <c r="AE1377" s="272"/>
      <c r="AF1377" s="273"/>
      <c r="AG1377" s="274"/>
    </row>
    <row r="1378">
      <c r="A1378" s="308"/>
      <c r="B1378" s="269"/>
      <c r="C1378" s="308"/>
      <c r="D1378" s="308"/>
      <c r="E1378" s="308"/>
      <c r="F1378" s="308"/>
      <c r="G1378" s="308"/>
      <c r="H1378" s="308"/>
      <c r="I1378" s="308"/>
      <c r="J1378" s="308"/>
      <c r="K1378" s="308"/>
      <c r="L1378" s="308"/>
      <c r="M1378" s="308"/>
      <c r="N1378" s="308"/>
      <c r="O1378" s="269"/>
      <c r="P1378" s="269"/>
      <c r="Q1378" s="269"/>
      <c r="R1378" s="308"/>
      <c r="S1378" s="308"/>
      <c r="T1378" s="308"/>
      <c r="U1378" s="308"/>
      <c r="V1378" s="308"/>
      <c r="W1378" s="308"/>
      <c r="X1378" s="308"/>
      <c r="Y1378" s="308"/>
      <c r="Z1378" s="308"/>
      <c r="AA1378" s="308"/>
      <c r="AB1378" s="308"/>
      <c r="AC1378" s="308"/>
      <c r="AD1378" s="308"/>
      <c r="AE1378" s="272"/>
      <c r="AF1378" s="273"/>
      <c r="AG1378" s="274"/>
    </row>
    <row r="1379">
      <c r="A1379" s="308"/>
      <c r="B1379" s="269"/>
      <c r="C1379" s="308"/>
      <c r="D1379" s="308"/>
      <c r="E1379" s="308"/>
      <c r="F1379" s="308"/>
      <c r="G1379" s="308"/>
      <c r="H1379" s="308"/>
      <c r="I1379" s="308"/>
      <c r="J1379" s="308"/>
      <c r="K1379" s="308"/>
      <c r="L1379" s="308"/>
      <c r="M1379" s="308"/>
      <c r="N1379" s="308"/>
      <c r="O1379" s="269"/>
      <c r="P1379" s="269"/>
      <c r="Q1379" s="269"/>
      <c r="R1379" s="308"/>
      <c r="S1379" s="308"/>
      <c r="T1379" s="308"/>
      <c r="U1379" s="308"/>
      <c r="V1379" s="308"/>
      <c r="W1379" s="308"/>
      <c r="X1379" s="308"/>
      <c r="Y1379" s="308"/>
      <c r="Z1379" s="308"/>
      <c r="AA1379" s="308"/>
      <c r="AB1379" s="308"/>
      <c r="AC1379" s="308"/>
      <c r="AD1379" s="308"/>
      <c r="AE1379" s="272"/>
      <c r="AF1379" s="273"/>
      <c r="AG1379" s="274"/>
    </row>
    <row r="1380">
      <c r="A1380" s="308"/>
      <c r="B1380" s="269"/>
      <c r="C1380" s="308"/>
      <c r="D1380" s="308"/>
      <c r="E1380" s="308"/>
      <c r="F1380" s="308"/>
      <c r="G1380" s="308"/>
      <c r="H1380" s="308"/>
      <c r="I1380" s="308"/>
      <c r="J1380" s="308"/>
      <c r="K1380" s="308"/>
      <c r="L1380" s="308"/>
      <c r="M1380" s="308"/>
      <c r="N1380" s="308"/>
      <c r="O1380" s="269"/>
      <c r="P1380" s="269"/>
      <c r="Q1380" s="269"/>
      <c r="R1380" s="308"/>
      <c r="S1380" s="308"/>
      <c r="T1380" s="308"/>
      <c r="U1380" s="308"/>
      <c r="V1380" s="308"/>
      <c r="W1380" s="308"/>
      <c r="X1380" s="308"/>
      <c r="Y1380" s="308"/>
      <c r="Z1380" s="308"/>
      <c r="AA1380" s="308"/>
      <c r="AB1380" s="308"/>
      <c r="AC1380" s="308"/>
      <c r="AD1380" s="308"/>
      <c r="AE1380" s="272"/>
      <c r="AF1380" s="273"/>
      <c r="AG1380" s="274"/>
    </row>
    <row r="1381">
      <c r="A1381" s="308"/>
      <c r="B1381" s="269"/>
      <c r="C1381" s="308"/>
      <c r="D1381" s="308"/>
      <c r="E1381" s="308"/>
      <c r="F1381" s="308"/>
      <c r="G1381" s="308"/>
      <c r="H1381" s="308"/>
      <c r="I1381" s="308"/>
      <c r="J1381" s="308"/>
      <c r="K1381" s="308"/>
      <c r="L1381" s="308"/>
      <c r="M1381" s="308"/>
      <c r="N1381" s="308"/>
      <c r="O1381" s="269"/>
      <c r="P1381" s="269"/>
      <c r="Q1381" s="269"/>
      <c r="R1381" s="308"/>
      <c r="S1381" s="308"/>
      <c r="T1381" s="308"/>
      <c r="U1381" s="308"/>
      <c r="V1381" s="308"/>
      <c r="W1381" s="308"/>
      <c r="X1381" s="308"/>
      <c r="Y1381" s="308"/>
      <c r="Z1381" s="308"/>
      <c r="AA1381" s="308"/>
      <c r="AB1381" s="308"/>
      <c r="AC1381" s="308"/>
      <c r="AD1381" s="308"/>
      <c r="AE1381" s="272"/>
      <c r="AF1381" s="273"/>
      <c r="AG1381" s="274"/>
    </row>
    <row r="1382">
      <c r="A1382" s="308"/>
      <c r="B1382" s="269"/>
      <c r="C1382" s="308"/>
      <c r="D1382" s="308"/>
      <c r="E1382" s="308"/>
      <c r="F1382" s="308"/>
      <c r="G1382" s="308"/>
      <c r="H1382" s="308"/>
      <c r="I1382" s="308"/>
      <c r="J1382" s="308"/>
      <c r="K1382" s="308"/>
      <c r="L1382" s="308"/>
      <c r="M1382" s="308"/>
      <c r="N1382" s="308"/>
      <c r="O1382" s="269"/>
      <c r="P1382" s="269"/>
      <c r="Q1382" s="269"/>
      <c r="R1382" s="308"/>
      <c r="S1382" s="308"/>
      <c r="T1382" s="308"/>
      <c r="U1382" s="308"/>
      <c r="V1382" s="308"/>
      <c r="W1382" s="308"/>
      <c r="X1382" s="308"/>
      <c r="Y1382" s="308"/>
      <c r="Z1382" s="308"/>
      <c r="AA1382" s="308"/>
      <c r="AB1382" s="308"/>
      <c r="AC1382" s="308"/>
      <c r="AD1382" s="308"/>
      <c r="AE1382" s="272"/>
      <c r="AF1382" s="273"/>
      <c r="AG1382" s="274"/>
    </row>
    <row r="1383">
      <c r="A1383" s="308"/>
      <c r="B1383" s="269"/>
      <c r="C1383" s="308"/>
      <c r="D1383" s="308"/>
      <c r="E1383" s="308"/>
      <c r="F1383" s="308"/>
      <c r="G1383" s="308"/>
      <c r="H1383" s="308"/>
      <c r="I1383" s="308"/>
      <c r="J1383" s="308"/>
      <c r="K1383" s="308"/>
      <c r="L1383" s="308"/>
      <c r="M1383" s="308"/>
      <c r="N1383" s="308"/>
      <c r="O1383" s="269"/>
      <c r="P1383" s="269"/>
      <c r="Q1383" s="269"/>
      <c r="R1383" s="308"/>
      <c r="S1383" s="308"/>
      <c r="T1383" s="308"/>
      <c r="U1383" s="308"/>
      <c r="V1383" s="308"/>
      <c r="W1383" s="308"/>
      <c r="X1383" s="308"/>
      <c r="Y1383" s="308"/>
      <c r="Z1383" s="308"/>
      <c r="AA1383" s="308"/>
      <c r="AB1383" s="308"/>
      <c r="AC1383" s="308"/>
      <c r="AD1383" s="308"/>
      <c r="AE1383" s="272"/>
      <c r="AF1383" s="273"/>
      <c r="AG1383" s="274"/>
    </row>
    <row r="1384">
      <c r="A1384" s="308"/>
      <c r="B1384" s="269"/>
      <c r="C1384" s="308"/>
      <c r="D1384" s="308"/>
      <c r="E1384" s="308"/>
      <c r="F1384" s="308"/>
      <c r="G1384" s="308"/>
      <c r="H1384" s="308"/>
      <c r="I1384" s="308"/>
      <c r="J1384" s="308"/>
      <c r="K1384" s="308"/>
      <c r="L1384" s="308"/>
      <c r="M1384" s="308"/>
      <c r="N1384" s="308"/>
      <c r="O1384" s="269"/>
      <c r="P1384" s="269"/>
      <c r="Q1384" s="269"/>
      <c r="R1384" s="308"/>
      <c r="S1384" s="308"/>
      <c r="T1384" s="308"/>
      <c r="U1384" s="308"/>
      <c r="V1384" s="308"/>
      <c r="W1384" s="308"/>
      <c r="X1384" s="308"/>
      <c r="Y1384" s="308"/>
      <c r="Z1384" s="308"/>
      <c r="AA1384" s="308"/>
      <c r="AB1384" s="308"/>
      <c r="AC1384" s="308"/>
      <c r="AD1384" s="308"/>
      <c r="AE1384" s="272"/>
      <c r="AF1384" s="273"/>
      <c r="AG1384" s="274"/>
    </row>
    <row r="1385">
      <c r="A1385" s="308"/>
      <c r="B1385" s="269"/>
      <c r="C1385" s="308"/>
      <c r="D1385" s="308"/>
      <c r="E1385" s="308"/>
      <c r="F1385" s="308"/>
      <c r="G1385" s="308"/>
      <c r="H1385" s="308"/>
      <c r="I1385" s="308"/>
      <c r="J1385" s="308"/>
      <c r="K1385" s="308"/>
      <c r="L1385" s="308"/>
      <c r="M1385" s="308"/>
      <c r="N1385" s="308"/>
      <c r="O1385" s="269"/>
      <c r="P1385" s="269"/>
      <c r="Q1385" s="269"/>
      <c r="R1385" s="308"/>
      <c r="S1385" s="308"/>
      <c r="T1385" s="308"/>
      <c r="U1385" s="308"/>
      <c r="V1385" s="308"/>
      <c r="W1385" s="308"/>
      <c r="X1385" s="308"/>
      <c r="Y1385" s="308"/>
      <c r="Z1385" s="308"/>
      <c r="AA1385" s="308"/>
      <c r="AB1385" s="308"/>
      <c r="AC1385" s="308"/>
      <c r="AD1385" s="308"/>
      <c r="AE1385" s="272"/>
      <c r="AF1385" s="273"/>
      <c r="AG1385" s="274"/>
    </row>
    <row r="1386">
      <c r="A1386" s="308"/>
      <c r="B1386" s="269"/>
      <c r="C1386" s="308"/>
      <c r="D1386" s="308"/>
      <c r="E1386" s="308"/>
      <c r="F1386" s="308"/>
      <c r="G1386" s="308"/>
      <c r="H1386" s="308"/>
      <c r="I1386" s="308"/>
      <c r="J1386" s="308"/>
      <c r="K1386" s="308"/>
      <c r="L1386" s="308"/>
      <c r="M1386" s="308"/>
      <c r="N1386" s="308"/>
      <c r="O1386" s="269"/>
      <c r="P1386" s="269"/>
      <c r="Q1386" s="269"/>
      <c r="R1386" s="308"/>
      <c r="S1386" s="308"/>
      <c r="T1386" s="308"/>
      <c r="U1386" s="308"/>
      <c r="V1386" s="308"/>
      <c r="W1386" s="308"/>
      <c r="X1386" s="308"/>
      <c r="Y1386" s="308"/>
      <c r="Z1386" s="308"/>
      <c r="AA1386" s="308"/>
      <c r="AB1386" s="308"/>
      <c r="AC1386" s="308"/>
      <c r="AD1386" s="308"/>
      <c r="AE1386" s="272"/>
      <c r="AF1386" s="273"/>
      <c r="AG1386" s="274"/>
    </row>
    <row r="1387">
      <c r="A1387" s="308"/>
      <c r="B1387" s="269"/>
      <c r="C1387" s="308"/>
      <c r="D1387" s="308"/>
      <c r="E1387" s="308"/>
      <c r="F1387" s="308"/>
      <c r="G1387" s="308"/>
      <c r="H1387" s="308"/>
      <c r="I1387" s="308"/>
      <c r="J1387" s="308"/>
      <c r="K1387" s="308"/>
      <c r="L1387" s="308"/>
      <c r="M1387" s="308"/>
      <c r="N1387" s="308"/>
      <c r="O1387" s="269"/>
      <c r="P1387" s="269"/>
      <c r="Q1387" s="269"/>
      <c r="R1387" s="308"/>
      <c r="S1387" s="308"/>
      <c r="T1387" s="308"/>
      <c r="U1387" s="308"/>
      <c r="V1387" s="308"/>
      <c r="W1387" s="308"/>
      <c r="X1387" s="308"/>
      <c r="Y1387" s="308"/>
      <c r="Z1387" s="308"/>
      <c r="AA1387" s="308"/>
      <c r="AB1387" s="308"/>
      <c r="AC1387" s="308"/>
      <c r="AD1387" s="308"/>
      <c r="AE1387" s="272"/>
      <c r="AF1387" s="273"/>
      <c r="AG1387" s="274"/>
    </row>
    <row r="1388">
      <c r="A1388" s="308"/>
      <c r="B1388" s="269"/>
      <c r="C1388" s="308"/>
      <c r="D1388" s="308"/>
      <c r="E1388" s="308"/>
      <c r="F1388" s="308"/>
      <c r="G1388" s="308"/>
      <c r="H1388" s="308"/>
      <c r="I1388" s="308"/>
      <c r="J1388" s="308"/>
      <c r="K1388" s="308"/>
      <c r="L1388" s="308"/>
      <c r="M1388" s="308"/>
      <c r="N1388" s="308"/>
      <c r="O1388" s="269"/>
      <c r="P1388" s="269"/>
      <c r="Q1388" s="269"/>
      <c r="R1388" s="308"/>
      <c r="S1388" s="308"/>
      <c r="T1388" s="308"/>
      <c r="U1388" s="308"/>
      <c r="V1388" s="308"/>
      <c r="W1388" s="308"/>
      <c r="X1388" s="308"/>
      <c r="Y1388" s="308"/>
      <c r="Z1388" s="308"/>
      <c r="AA1388" s="308"/>
      <c r="AB1388" s="308"/>
      <c r="AC1388" s="308"/>
      <c r="AD1388" s="308"/>
      <c r="AE1388" s="272"/>
      <c r="AF1388" s="273"/>
      <c r="AG1388" s="274"/>
    </row>
  </sheetData>
  <conditionalFormatting sqref="B3 G3:AG3">
    <cfRule type="cellIs" dxfId="2" priority="1" operator="greaterThanOrEqual">
      <formula>0</formula>
    </cfRule>
  </conditionalFormatting>
  <conditionalFormatting sqref="B3 G3:AG3">
    <cfRule type="cellIs" dxfId="4" priority="2" operator="lessThan">
      <formula>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9" t="s">
        <v>98</v>
      </c>
      <c r="B1" s="309" t="s">
        <v>99</v>
      </c>
      <c r="C1" s="310" t="s">
        <v>100</v>
      </c>
      <c r="D1" s="309" t="s">
        <v>101</v>
      </c>
      <c r="E1" s="310" t="s">
        <v>102</v>
      </c>
      <c r="F1" s="309" t="s">
        <v>102</v>
      </c>
      <c r="G1" s="310" t="s">
        <v>103</v>
      </c>
    </row>
    <row r="2">
      <c r="A2" s="311">
        <v>46024.0</v>
      </c>
      <c r="B2" s="312" t="s">
        <v>104</v>
      </c>
      <c r="C2" s="313">
        <v>20480.5</v>
      </c>
      <c r="D2" s="312">
        <f>SUMIF(GRAFICO!A:A,A2,GRAFICO!B:B)</f>
        <v>20853.21973</v>
      </c>
      <c r="E2" s="313">
        <f t="shared" ref="E2:E17" si="1">C2/$C$2</f>
        <v>1</v>
      </c>
      <c r="F2" s="312">
        <f t="shared" ref="F2:F48" si="2">D2/$D$2</f>
        <v>1</v>
      </c>
      <c r="G2" s="313">
        <f t="shared" ref="G2:G17" si="3">F2-E2</f>
        <v>0</v>
      </c>
      <c r="I2" s="314" t="s">
        <v>105</v>
      </c>
      <c r="J2" s="315"/>
    </row>
    <row r="3">
      <c r="A3" s="311">
        <v>46027.0</v>
      </c>
      <c r="B3" s="312" t="s">
        <v>104</v>
      </c>
      <c r="C3" s="313">
        <v>20994.0</v>
      </c>
      <c r="D3" s="312">
        <f>SUMIF(GRAFICO!A:A,A3,GRAFICO!B:B)</f>
        <v>21131.51146</v>
      </c>
      <c r="E3" s="313">
        <f t="shared" si="1"/>
        <v>1.02507263</v>
      </c>
      <c r="F3" s="312">
        <f t="shared" si="2"/>
        <v>1.013345264</v>
      </c>
      <c r="G3" s="313">
        <f t="shared" si="3"/>
        <v>-0.01172736592</v>
      </c>
      <c r="I3" s="316">
        <f t="shared" ref="I3:J3" si="4">VAR(C2:C48)</f>
        <v>1294521.254</v>
      </c>
      <c r="J3" s="317">
        <f t="shared" si="4"/>
        <v>141363.2267</v>
      </c>
    </row>
    <row r="4">
      <c r="A4" s="311">
        <v>46028.0</v>
      </c>
      <c r="B4" s="312" t="s">
        <v>104</v>
      </c>
      <c r="C4" s="313">
        <v>21308.0</v>
      </c>
      <c r="D4" s="312">
        <f>SUMIF(GRAFICO!A:A,A4,GRAFICO!B:B)</f>
        <v>20989.13018</v>
      </c>
      <c r="E4" s="313">
        <f t="shared" si="1"/>
        <v>1.040404287</v>
      </c>
      <c r="F4" s="312">
        <f t="shared" si="2"/>
        <v>1.00651748</v>
      </c>
      <c r="G4" s="313">
        <f t="shared" si="3"/>
        <v>-0.03388680692</v>
      </c>
      <c r="I4" s="318" t="s">
        <v>106</v>
      </c>
      <c r="J4" s="319"/>
    </row>
    <row r="5">
      <c r="A5" s="311">
        <v>46029.0</v>
      </c>
      <c r="B5" s="312" t="s">
        <v>104</v>
      </c>
      <c r="C5" s="313">
        <v>21466.0</v>
      </c>
      <c r="D5" s="312">
        <f>SUMIF(GRAFICO!A:A,A5,GRAFICO!B:B)</f>
        <v>20969.02375</v>
      </c>
      <c r="E5" s="313">
        <f t="shared" si="1"/>
        <v>1.048118942</v>
      </c>
      <c r="F5" s="312">
        <f t="shared" si="2"/>
        <v>1.005553292</v>
      </c>
      <c r="G5" s="313">
        <f t="shared" si="3"/>
        <v>-0.04256565033</v>
      </c>
      <c r="I5" s="316">
        <f t="shared" ref="I5:J5" si="5">STDEV(C2:C48)</f>
        <v>1137.770299</v>
      </c>
      <c r="J5" s="317">
        <f t="shared" si="5"/>
        <v>375.9830139</v>
      </c>
    </row>
    <row r="6">
      <c r="A6" s="311">
        <v>46030.0</v>
      </c>
      <c r="B6" s="312" t="s">
        <v>104</v>
      </c>
      <c r="C6" s="313">
        <v>21461.5</v>
      </c>
      <c r="D6" s="312">
        <f>SUMIF(GRAFICO!A:A,A6,GRAFICO!B:B)</f>
        <v>20994.03926</v>
      </c>
      <c r="E6" s="313">
        <f t="shared" si="1"/>
        <v>1.047899221</v>
      </c>
      <c r="F6" s="312">
        <f t="shared" si="2"/>
        <v>1.006752891</v>
      </c>
      <c r="G6" s="313">
        <f t="shared" si="3"/>
        <v>-0.04114632977</v>
      </c>
      <c r="I6" s="318" t="s">
        <v>107</v>
      </c>
      <c r="J6" s="320" t="s">
        <v>108</v>
      </c>
    </row>
    <row r="7">
      <c r="A7" s="311">
        <v>46031.0</v>
      </c>
      <c r="B7" s="312" t="s">
        <v>104</v>
      </c>
      <c r="C7" s="313">
        <v>21743.0</v>
      </c>
      <c r="D7" s="312">
        <f>SUMIF(GRAFICO!A:A,A7,GRAFICO!B:B)</f>
        <v>21028.81568</v>
      </c>
      <c r="E7" s="313">
        <f t="shared" si="1"/>
        <v>1.061644003</v>
      </c>
      <c r="F7" s="312">
        <f t="shared" si="2"/>
        <v>1.008420568</v>
      </c>
      <c r="G7" s="313">
        <f t="shared" si="3"/>
        <v>-0.05322343533</v>
      </c>
      <c r="I7" s="321">
        <f>CORREL(C2:C48,D2:D48)</f>
        <v>0.890246275</v>
      </c>
      <c r="J7" s="322">
        <f>MIN(G2:G48)</f>
        <v>-0.1606306751</v>
      </c>
    </row>
    <row r="8">
      <c r="A8" s="311">
        <v>46035.0</v>
      </c>
      <c r="B8" s="312" t="s">
        <v>104</v>
      </c>
      <c r="C8" s="313">
        <v>22215.5</v>
      </c>
      <c r="D8" s="312">
        <f>SUMIF(GRAFICO!A:A,A8,GRAFICO!B:B)</f>
        <v>20997.50188</v>
      </c>
      <c r="E8" s="313">
        <f t="shared" si="1"/>
        <v>1.084714729</v>
      </c>
      <c r="F8" s="312">
        <f t="shared" si="2"/>
        <v>1.006918939</v>
      </c>
      <c r="G8" s="313">
        <f t="shared" si="3"/>
        <v>-0.07779579012</v>
      </c>
    </row>
    <row r="9">
      <c r="A9" s="311">
        <v>46036.0</v>
      </c>
      <c r="B9" s="312" t="s">
        <v>104</v>
      </c>
      <c r="C9" s="313">
        <v>22345.0</v>
      </c>
      <c r="D9" s="312">
        <f>SUMIF(GRAFICO!A:A,A9,GRAFICO!B:B)</f>
        <v>21008.11902</v>
      </c>
      <c r="E9" s="313">
        <f t="shared" si="1"/>
        <v>1.091037816</v>
      </c>
      <c r="F9" s="312">
        <f t="shared" si="2"/>
        <v>1.007428075</v>
      </c>
      <c r="G9" s="313">
        <f t="shared" si="3"/>
        <v>-0.08360974098</v>
      </c>
    </row>
    <row r="10">
      <c r="A10" s="311">
        <v>46037.0</v>
      </c>
      <c r="B10" s="312" t="s">
        <v>104</v>
      </c>
      <c r="C10" s="313">
        <v>22579.0</v>
      </c>
      <c r="D10" s="312">
        <f>SUMIF(GRAFICO!A:A,A10,GRAFICO!B:B)</f>
        <v>21096.05955</v>
      </c>
      <c r="E10" s="313">
        <f t="shared" si="1"/>
        <v>1.102463319</v>
      </c>
      <c r="F10" s="312">
        <f t="shared" si="2"/>
        <v>1.011645195</v>
      </c>
      <c r="G10" s="313">
        <f t="shared" si="3"/>
        <v>-0.09081812352</v>
      </c>
    </row>
    <row r="11">
      <c r="A11" s="311">
        <v>46038.0</v>
      </c>
      <c r="B11" s="312" t="s">
        <v>104</v>
      </c>
      <c r="C11" s="313">
        <v>23150.0</v>
      </c>
      <c r="D11" s="312">
        <f>SUMIF(GRAFICO!A:A,A11,GRAFICO!B:B)</f>
        <v>21334.29025</v>
      </c>
      <c r="E11" s="313">
        <f t="shared" si="1"/>
        <v>1.130343497</v>
      </c>
      <c r="F11" s="312">
        <f t="shared" si="2"/>
        <v>1.023069364</v>
      </c>
      <c r="G11" s="313">
        <f t="shared" si="3"/>
        <v>-0.1072741334</v>
      </c>
    </row>
    <row r="12">
      <c r="A12" s="311">
        <v>46039.0</v>
      </c>
      <c r="B12" s="312" t="s">
        <v>104</v>
      </c>
      <c r="C12" s="313">
        <v>23150.0</v>
      </c>
      <c r="D12" s="312">
        <f>SUMIF(GRAFICO!A:A,A12,GRAFICO!B:B)</f>
        <v>21324.89951</v>
      </c>
      <c r="E12" s="313">
        <f t="shared" si="1"/>
        <v>1.130343497</v>
      </c>
      <c r="F12" s="312">
        <f t="shared" si="2"/>
        <v>1.022619038</v>
      </c>
      <c r="G12" s="313">
        <f t="shared" si="3"/>
        <v>-0.1077244593</v>
      </c>
    </row>
    <row r="13">
      <c r="A13" s="311">
        <v>46041.0</v>
      </c>
      <c r="B13" s="312" t="s">
        <v>104</v>
      </c>
      <c r="C13" s="313">
        <v>23620.0</v>
      </c>
      <c r="D13" s="312">
        <f>SUMIF(GRAFICO!A:A,A13,GRAFICO!B:B)</f>
        <v>21502.45148</v>
      </c>
      <c r="E13" s="313">
        <f t="shared" si="1"/>
        <v>1.153292156</v>
      </c>
      <c r="F13" s="312">
        <f t="shared" si="2"/>
        <v>1.031133406</v>
      </c>
      <c r="G13" s="313">
        <f t="shared" si="3"/>
        <v>-0.1221587504</v>
      </c>
    </row>
    <row r="14">
      <c r="A14" s="311">
        <v>46042.0</v>
      </c>
      <c r="B14" s="312" t="s">
        <v>104</v>
      </c>
      <c r="C14" s="313">
        <v>23700.0</v>
      </c>
      <c r="D14" s="312">
        <f>SUMIF(GRAFICO!A:A,A14,GRAFICO!B:B)</f>
        <v>21631.43549</v>
      </c>
      <c r="E14" s="313">
        <f t="shared" si="1"/>
        <v>1.157198311</v>
      </c>
      <c r="F14" s="312">
        <f t="shared" si="2"/>
        <v>1.037318734</v>
      </c>
      <c r="G14" s="313">
        <f t="shared" si="3"/>
        <v>-0.1198795766</v>
      </c>
    </row>
    <row r="15">
      <c r="A15" s="311">
        <v>46043.0</v>
      </c>
      <c r="B15" s="312" t="s">
        <v>104</v>
      </c>
      <c r="C15" s="313">
        <v>24075.0</v>
      </c>
      <c r="D15" s="312">
        <f>SUMIF(GRAFICO!A:A,A15,GRAFICO!B:B)</f>
        <v>21761.68936</v>
      </c>
      <c r="E15" s="313">
        <f t="shared" si="1"/>
        <v>1.17550841</v>
      </c>
      <c r="F15" s="312">
        <f t="shared" si="2"/>
        <v>1.043564957</v>
      </c>
      <c r="G15" s="313">
        <f t="shared" si="3"/>
        <v>-0.1319434531</v>
      </c>
    </row>
    <row r="16">
      <c r="A16" s="311">
        <v>46044.0</v>
      </c>
      <c r="B16" s="312" t="s">
        <v>104</v>
      </c>
      <c r="C16" s="313">
        <v>23799.0</v>
      </c>
      <c r="D16" s="312">
        <f>SUMIF(GRAFICO!A:A,A16,GRAFICO!B:B)</f>
        <v>21724.54247</v>
      </c>
      <c r="E16" s="313">
        <f t="shared" si="1"/>
        <v>1.162032177</v>
      </c>
      <c r="F16" s="312">
        <f t="shared" si="2"/>
        <v>1.041783607</v>
      </c>
      <c r="G16" s="313">
        <f t="shared" si="3"/>
        <v>-0.1202485699</v>
      </c>
    </row>
    <row r="17">
      <c r="A17" s="311">
        <v>46045.0</v>
      </c>
      <c r="B17" s="312" t="s">
        <v>104</v>
      </c>
      <c r="C17" s="313">
        <v>24420.0</v>
      </c>
      <c r="D17" s="312">
        <f>SUMIF(GRAFICO!A:A,A17,GRAFICO!B:B)</f>
        <v>21873.27269</v>
      </c>
      <c r="E17" s="313">
        <f t="shared" si="1"/>
        <v>1.192353702</v>
      </c>
      <c r="F17" s="312">
        <f t="shared" si="2"/>
        <v>1.048915849</v>
      </c>
      <c r="G17" s="313">
        <f t="shared" si="3"/>
        <v>-0.1434378529</v>
      </c>
    </row>
    <row r="18">
      <c r="A18" s="311">
        <v>46046.0</v>
      </c>
      <c r="B18" s="312" t="s">
        <v>104</v>
      </c>
      <c r="C18" s="323"/>
      <c r="D18" s="312">
        <f>SUMIF(GRAFICO!A:A,A18,GRAFICO!B:B)</f>
        <v>21877.3488</v>
      </c>
      <c r="E18" s="323"/>
      <c r="F18" s="312">
        <f t="shared" si="2"/>
        <v>1.049111316</v>
      </c>
      <c r="G18" s="323"/>
    </row>
    <row r="19">
      <c r="A19" s="311">
        <v>46048.0</v>
      </c>
      <c r="B19" s="312" t="s">
        <v>104</v>
      </c>
      <c r="C19" s="313">
        <v>24898.0</v>
      </c>
      <c r="D19" s="312">
        <f>SUMIF(GRAFICO!A:A,A19,GRAFICO!B:B)</f>
        <v>22001.446</v>
      </c>
      <c r="E19" s="313">
        <f t="shared" ref="E19:E39" si="6">C19/$C$2</f>
        <v>1.215692976</v>
      </c>
      <c r="F19" s="312">
        <f t="shared" si="2"/>
        <v>1.055062301</v>
      </c>
      <c r="G19" s="313">
        <f t="shared" ref="G19:G39" si="7">F19-E19</f>
        <v>-0.1606306751</v>
      </c>
    </row>
    <row r="20">
      <c r="A20" s="311">
        <v>46049.0</v>
      </c>
      <c r="B20" s="312" t="s">
        <v>104</v>
      </c>
      <c r="C20" s="313">
        <v>24839.5</v>
      </c>
      <c r="D20" s="312">
        <f>SUMIF(GRAFICO!A:A,A20,GRAFICO!B:B)</f>
        <v>21984.05887</v>
      </c>
      <c r="E20" s="313">
        <f t="shared" si="6"/>
        <v>1.212836601</v>
      </c>
      <c r="F20" s="312">
        <f t="shared" si="2"/>
        <v>1.054228515</v>
      </c>
      <c r="G20" s="313">
        <f t="shared" si="7"/>
        <v>-0.1586080855</v>
      </c>
    </row>
    <row r="21">
      <c r="A21" s="311">
        <v>46050.0</v>
      </c>
      <c r="B21" s="312" t="s">
        <v>104</v>
      </c>
      <c r="C21" s="313">
        <v>24600.0</v>
      </c>
      <c r="D21" s="312">
        <f>SUMIF(GRAFICO!A:A,A21,GRAFICO!B:B)</f>
        <v>22081.30317</v>
      </c>
      <c r="E21" s="313">
        <f t="shared" si="6"/>
        <v>1.20114255</v>
      </c>
      <c r="F21" s="312">
        <f t="shared" si="2"/>
        <v>1.05889179</v>
      </c>
      <c r="G21" s="313">
        <f t="shared" si="7"/>
        <v>-0.14225076</v>
      </c>
    </row>
    <row r="22">
      <c r="A22" s="311">
        <v>46051.0</v>
      </c>
      <c r="B22" s="312" t="s">
        <v>104</v>
      </c>
      <c r="C22" s="313">
        <v>24500.0</v>
      </c>
      <c r="D22" s="312">
        <f>SUMIF(GRAFICO!A:A,A22,GRAFICO!B:B)</f>
        <v>21902.44292</v>
      </c>
      <c r="E22" s="313">
        <f t="shared" si="6"/>
        <v>1.196259857</v>
      </c>
      <c r="F22" s="312">
        <f t="shared" si="2"/>
        <v>1.050314685</v>
      </c>
      <c r="G22" s="313">
        <f t="shared" si="7"/>
        <v>-0.1459451717</v>
      </c>
    </row>
    <row r="23">
      <c r="A23" s="311">
        <v>46052.0</v>
      </c>
      <c r="B23" s="312" t="s">
        <v>104</v>
      </c>
      <c r="C23" s="313">
        <v>24503.5</v>
      </c>
      <c r="D23" s="312">
        <f>SUMIF(GRAFICO!A:A,A23,GRAFICO!B:B)</f>
        <v>21928.82097</v>
      </c>
      <c r="E23" s="313">
        <f t="shared" si="6"/>
        <v>1.196430751</v>
      </c>
      <c r="F23" s="312">
        <f t="shared" si="2"/>
        <v>1.051579624</v>
      </c>
      <c r="G23" s="313">
        <f t="shared" si="7"/>
        <v>-0.1448511272</v>
      </c>
    </row>
    <row r="24">
      <c r="A24" s="311">
        <v>46055.0</v>
      </c>
      <c r="B24" s="312" t="s">
        <v>104</v>
      </c>
      <c r="C24" s="313">
        <v>23846.0</v>
      </c>
      <c r="D24" s="312">
        <f>SUMIF(GRAFICO!A:A,A24,GRAFICO!B:B)</f>
        <v>21736.82499</v>
      </c>
      <c r="E24" s="313">
        <f t="shared" si="6"/>
        <v>1.164327043</v>
      </c>
      <c r="F24" s="312">
        <f t="shared" si="2"/>
        <v>1.042372605</v>
      </c>
      <c r="G24" s="313">
        <f t="shared" si="7"/>
        <v>-0.1219544373</v>
      </c>
    </row>
    <row r="25">
      <c r="A25" s="311">
        <v>46056.0</v>
      </c>
      <c r="B25" s="312" t="s">
        <v>104</v>
      </c>
      <c r="C25" s="313">
        <v>24170.0</v>
      </c>
      <c r="D25" s="312">
        <f>SUMIF(GRAFICO!A:A,A25,GRAFICO!B:B)</f>
        <v>21735.20322</v>
      </c>
      <c r="E25" s="313">
        <f t="shared" si="6"/>
        <v>1.180146969</v>
      </c>
      <c r="F25" s="312">
        <f t="shared" si="2"/>
        <v>1.042294835</v>
      </c>
      <c r="G25" s="313">
        <f t="shared" si="7"/>
        <v>-0.1378521341</v>
      </c>
    </row>
    <row r="26">
      <c r="A26" s="311">
        <v>46057.0</v>
      </c>
      <c r="B26" s="312" t="s">
        <v>104</v>
      </c>
      <c r="C26" s="313">
        <v>23451.5</v>
      </c>
      <c r="D26" s="312">
        <f>SUMIF(GRAFICO!A:A,A26,GRAFICO!B:B)</f>
        <v>21678.66641</v>
      </c>
      <c r="E26" s="313">
        <f t="shared" si="6"/>
        <v>1.145064818</v>
      </c>
      <c r="F26" s="312">
        <f t="shared" si="2"/>
        <v>1.039583656</v>
      </c>
      <c r="G26" s="313">
        <f t="shared" si="7"/>
        <v>-0.1054811616</v>
      </c>
    </row>
    <row r="27">
      <c r="A27" s="311">
        <v>46058.0</v>
      </c>
      <c r="B27" s="312" t="s">
        <v>104</v>
      </c>
      <c r="C27" s="313">
        <v>23032.0</v>
      </c>
      <c r="D27" s="312">
        <f>SUMIF(GRAFICO!A:A,A27,GRAFICO!B:B)</f>
        <v>21376.18342</v>
      </c>
      <c r="E27" s="313">
        <f t="shared" si="6"/>
        <v>1.124581919</v>
      </c>
      <c r="F27" s="312">
        <f t="shared" si="2"/>
        <v>1.025078319</v>
      </c>
      <c r="G27" s="313">
        <f t="shared" si="7"/>
        <v>-0.09950360086</v>
      </c>
    </row>
    <row r="28">
      <c r="A28" s="311">
        <v>46059.0</v>
      </c>
      <c r="B28" s="312" t="s">
        <v>104</v>
      </c>
      <c r="C28" s="313">
        <v>23397.0</v>
      </c>
      <c r="D28" s="312">
        <f>SUMIF(GRAFICO!A:A,A28,GRAFICO!B:B)</f>
        <v>21532.59057</v>
      </c>
      <c r="E28" s="313">
        <f t="shared" si="6"/>
        <v>1.14240375</v>
      </c>
      <c r="F28" s="312">
        <f t="shared" si="2"/>
        <v>1.032578702</v>
      </c>
      <c r="G28" s="313">
        <f t="shared" si="7"/>
        <v>-0.1098250476</v>
      </c>
    </row>
    <row r="29">
      <c r="A29" s="311">
        <v>46062.0</v>
      </c>
      <c r="B29" s="312" t="s">
        <v>104</v>
      </c>
      <c r="C29" s="313">
        <v>23750.0</v>
      </c>
      <c r="D29" s="312">
        <f>SUMIF(GRAFICO!A:A,A29,GRAFICO!B:B)</f>
        <v>21633.1371</v>
      </c>
      <c r="E29" s="313">
        <f t="shared" si="6"/>
        <v>1.159639657</v>
      </c>
      <c r="F29" s="312">
        <f t="shared" si="2"/>
        <v>1.037400333</v>
      </c>
      <c r="G29" s="313">
        <f t="shared" si="7"/>
        <v>-0.1222393241</v>
      </c>
    </row>
    <row r="30">
      <c r="A30" s="311">
        <v>46063.0</v>
      </c>
      <c r="B30" s="312" t="s">
        <v>104</v>
      </c>
      <c r="C30" s="313">
        <v>23941.0</v>
      </c>
      <c r="D30" s="312">
        <f>SUMIF(GRAFICO!A:A,A30,GRAFICO!B:B)</f>
        <v>21641.45783</v>
      </c>
      <c r="E30" s="313">
        <f t="shared" si="6"/>
        <v>1.168965601</v>
      </c>
      <c r="F30" s="312">
        <f t="shared" si="2"/>
        <v>1.037799348</v>
      </c>
      <c r="G30" s="313">
        <f t="shared" si="7"/>
        <v>-0.1311662539</v>
      </c>
    </row>
    <row r="31">
      <c r="A31" s="311">
        <v>46064.0</v>
      </c>
      <c r="B31" s="312" t="s">
        <v>104</v>
      </c>
      <c r="C31" s="313">
        <v>23500.0</v>
      </c>
      <c r="D31" s="312">
        <f>SUMIF(GRAFICO!A:A,A31,GRAFICO!B:B)</f>
        <v>21440.48444</v>
      </c>
      <c r="E31" s="313">
        <f t="shared" si="6"/>
        <v>1.147432924</v>
      </c>
      <c r="F31" s="312">
        <f t="shared" si="2"/>
        <v>1.028161824</v>
      </c>
      <c r="G31" s="313">
        <f t="shared" si="7"/>
        <v>-0.1192711</v>
      </c>
    </row>
    <row r="32">
      <c r="A32" s="311">
        <v>46065.0</v>
      </c>
      <c r="B32" s="312" t="s">
        <v>104</v>
      </c>
      <c r="C32" s="313">
        <v>22906.0</v>
      </c>
      <c r="D32" s="312">
        <f>SUMIF(GRAFICO!A:A,A32,GRAFICO!B:B)</f>
        <v>21291.29595</v>
      </c>
      <c r="E32" s="313">
        <f t="shared" si="6"/>
        <v>1.118429726</v>
      </c>
      <c r="F32" s="312">
        <f t="shared" si="2"/>
        <v>1.021007606</v>
      </c>
      <c r="G32" s="313">
        <f t="shared" si="7"/>
        <v>-0.09742212005</v>
      </c>
    </row>
    <row r="33">
      <c r="A33" s="311">
        <v>46066.0</v>
      </c>
      <c r="B33" s="312" t="s">
        <v>104</v>
      </c>
      <c r="C33" s="313">
        <v>23302.0</v>
      </c>
      <c r="D33" s="312">
        <f>SUMIF(GRAFICO!A:A,A33,GRAFICO!B:B)</f>
        <v>21400.27648</v>
      </c>
      <c r="E33" s="313">
        <f t="shared" si="6"/>
        <v>1.137765191</v>
      </c>
      <c r="F33" s="312">
        <f t="shared" si="2"/>
        <v>1.026233683</v>
      </c>
      <c r="G33" s="313">
        <f t="shared" si="7"/>
        <v>-0.1115315085</v>
      </c>
    </row>
    <row r="34">
      <c r="A34" s="311">
        <v>46067.0</v>
      </c>
      <c r="B34" s="312" t="s">
        <v>104</v>
      </c>
      <c r="C34" s="313">
        <v>21800.0</v>
      </c>
      <c r="D34" s="312">
        <f>SUMIF(GRAFICO!A:A,A34,GRAFICO!B:B)</f>
        <v>21684.25339</v>
      </c>
      <c r="E34" s="313">
        <f t="shared" si="6"/>
        <v>1.064427138</v>
      </c>
      <c r="F34" s="312">
        <f t="shared" si="2"/>
        <v>1.039851576</v>
      </c>
      <c r="G34" s="313">
        <f t="shared" si="7"/>
        <v>-0.02457556242</v>
      </c>
    </row>
    <row r="35">
      <c r="A35" s="311">
        <v>46069.0</v>
      </c>
      <c r="B35" s="312" t="s">
        <v>104</v>
      </c>
      <c r="C35" s="313">
        <v>23375.0</v>
      </c>
      <c r="D35" s="312">
        <f>SUMIF(GRAFICO!A:A,A35,GRAFICO!B:B)</f>
        <v>21606.70888</v>
      </c>
      <c r="E35" s="313">
        <f t="shared" si="6"/>
        <v>1.141329557</v>
      </c>
      <c r="F35" s="312">
        <f t="shared" si="2"/>
        <v>1.036132988</v>
      </c>
      <c r="G35" s="313">
        <f t="shared" si="7"/>
        <v>-0.1051965689</v>
      </c>
    </row>
    <row r="36">
      <c r="A36" s="311">
        <v>46070.0</v>
      </c>
      <c r="B36" s="312" t="s">
        <v>104</v>
      </c>
      <c r="C36" s="313">
        <v>23293.5</v>
      </c>
      <c r="D36" s="312">
        <f>SUMIF(GRAFICO!A:A,A36,GRAFICO!B:B)</f>
        <v>21611.52538</v>
      </c>
      <c r="E36" s="313">
        <f t="shared" si="6"/>
        <v>1.137350162</v>
      </c>
      <c r="F36" s="312">
        <f t="shared" si="2"/>
        <v>1.03636396</v>
      </c>
      <c r="G36" s="313">
        <f t="shared" si="7"/>
        <v>-0.1009862022</v>
      </c>
    </row>
    <row r="37">
      <c r="A37" s="311">
        <v>46071.0</v>
      </c>
      <c r="B37" s="312" t="s">
        <v>104</v>
      </c>
      <c r="C37" s="313">
        <v>23316.0</v>
      </c>
      <c r="D37" s="312">
        <f>SUMIF(GRAFICO!A:A,A37,GRAFICO!B:B)</f>
        <v>21676.91248</v>
      </c>
      <c r="E37" s="313">
        <f t="shared" si="6"/>
        <v>1.138448768</v>
      </c>
      <c r="F37" s="312">
        <f t="shared" si="2"/>
        <v>1.039499548</v>
      </c>
      <c r="G37" s="313">
        <f t="shared" si="7"/>
        <v>-0.09894922077</v>
      </c>
    </row>
    <row r="38">
      <c r="A38" s="311">
        <v>46072.0</v>
      </c>
      <c r="B38" s="312" t="s">
        <v>104</v>
      </c>
      <c r="C38" s="313">
        <v>23530.0</v>
      </c>
      <c r="D38" s="312">
        <f>SUMIF(GRAFICO!A:A,A38,GRAFICO!B:B)</f>
        <v>21828.60409</v>
      </c>
      <c r="E38" s="313">
        <f t="shared" si="6"/>
        <v>1.148897732</v>
      </c>
      <c r="F38" s="312">
        <f t="shared" si="2"/>
        <v>1.046773801</v>
      </c>
      <c r="G38" s="313">
        <f t="shared" si="7"/>
        <v>-0.1021239305</v>
      </c>
    </row>
    <row r="39">
      <c r="A39" s="311">
        <v>46073.0</v>
      </c>
      <c r="B39" s="312" t="s">
        <v>104</v>
      </c>
      <c r="C39" s="313">
        <v>23609.5</v>
      </c>
      <c r="D39" s="312">
        <f>SUMIF(GRAFICO!A:A,A39,GRAFICO!B:B)</f>
        <v>21969.0577</v>
      </c>
      <c r="E39" s="313">
        <f t="shared" si="6"/>
        <v>1.152779473</v>
      </c>
      <c r="F39" s="312">
        <f t="shared" si="2"/>
        <v>1.053509146</v>
      </c>
      <c r="G39" s="313">
        <f t="shared" si="7"/>
        <v>-0.09927032757</v>
      </c>
    </row>
    <row r="40">
      <c r="A40" s="311">
        <v>46074.0</v>
      </c>
      <c r="B40" s="312" t="s">
        <v>104</v>
      </c>
      <c r="C40" s="323"/>
      <c r="D40" s="312">
        <f>SUMIF(GRAFICO!A:A,A40,GRAFICO!B:B)</f>
        <v>21965.20835</v>
      </c>
      <c r="E40" s="323"/>
      <c r="F40" s="312">
        <f t="shared" si="2"/>
        <v>1.053324553</v>
      </c>
      <c r="G40" s="323"/>
    </row>
    <row r="41">
      <c r="A41" s="311">
        <v>46076.0</v>
      </c>
      <c r="B41" s="312" t="s">
        <v>104</v>
      </c>
      <c r="C41" s="313">
        <v>24245.0</v>
      </c>
      <c r="D41" s="312">
        <f>SUMIF(GRAFICO!A:A,A41,GRAFICO!B:B)</f>
        <v>21816.21127</v>
      </c>
      <c r="E41" s="313">
        <f t="shared" ref="E41:E45" si="8">C41/$C$2</f>
        <v>1.183808989</v>
      </c>
      <c r="F41" s="312">
        <f t="shared" si="2"/>
        <v>1.046179513</v>
      </c>
      <c r="G41" s="313">
        <f t="shared" ref="G41:G45" si="9">F41-E41</f>
        <v>-0.1376294758</v>
      </c>
    </row>
    <row r="42">
      <c r="A42" s="311">
        <v>46077.0</v>
      </c>
      <c r="B42" s="312" t="s">
        <v>104</v>
      </c>
      <c r="C42" s="313">
        <v>23579.5</v>
      </c>
      <c r="D42" s="312">
        <f>SUMIF(GRAFICO!A:A,A42,GRAFICO!B:B)</f>
        <v>21860.15944</v>
      </c>
      <c r="E42" s="313">
        <f t="shared" si="8"/>
        <v>1.151314665</v>
      </c>
      <c r="F42" s="312">
        <f t="shared" si="2"/>
        <v>1.048287014</v>
      </c>
      <c r="G42" s="313">
        <f t="shared" si="9"/>
        <v>-0.1030276513</v>
      </c>
    </row>
    <row r="43">
      <c r="A43" s="311">
        <v>46078.0</v>
      </c>
      <c r="B43" s="312" t="s">
        <v>104</v>
      </c>
      <c r="C43" s="313">
        <v>23318.0</v>
      </c>
      <c r="D43" s="312">
        <f>SUMIF(GRAFICO!A:A,A43,GRAFICO!B:B)</f>
        <v>21861.22531</v>
      </c>
      <c r="E43" s="313">
        <f t="shared" si="8"/>
        <v>1.138546422</v>
      </c>
      <c r="F43" s="312">
        <f t="shared" si="2"/>
        <v>1.048338127</v>
      </c>
      <c r="G43" s="313">
        <f t="shared" si="9"/>
        <v>-0.09020829549</v>
      </c>
    </row>
    <row r="44">
      <c r="A44" s="311">
        <v>46079.0</v>
      </c>
      <c r="B44" s="312" t="s">
        <v>104</v>
      </c>
      <c r="C44" s="313">
        <v>22400.0</v>
      </c>
      <c r="D44" s="312">
        <f>SUMIF(GRAFICO!A:A,A44,GRAFICO!B:B)</f>
        <v>21499.51508</v>
      </c>
      <c r="E44" s="313">
        <f t="shared" si="8"/>
        <v>1.093723298</v>
      </c>
      <c r="F44" s="312">
        <f t="shared" si="2"/>
        <v>1.030992593</v>
      </c>
      <c r="G44" s="313">
        <f t="shared" si="9"/>
        <v>-0.06273070476</v>
      </c>
    </row>
    <row r="45">
      <c r="A45" s="311">
        <v>46080.0</v>
      </c>
      <c r="B45" s="312" t="s">
        <v>104</v>
      </c>
      <c r="C45" s="313">
        <v>22340.5</v>
      </c>
      <c r="D45" s="312">
        <f>SUMIF(GRAFICO!A:A,A45,GRAFICO!B:B)</f>
        <v>21200.40957</v>
      </c>
      <c r="E45" s="313">
        <f t="shared" si="8"/>
        <v>1.090818095</v>
      </c>
      <c r="F45" s="312">
        <f t="shared" si="2"/>
        <v>1.01664922</v>
      </c>
      <c r="G45" s="313">
        <f t="shared" si="9"/>
        <v>-0.0741688756</v>
      </c>
    </row>
    <row r="46">
      <c r="A46" s="311">
        <v>46081.0</v>
      </c>
      <c r="B46" s="312" t="s">
        <v>104</v>
      </c>
      <c r="C46" s="323"/>
      <c r="D46" s="312">
        <f>SUMIF(GRAFICO!A:A,A46,GRAFICO!B:B)</f>
        <v>21192.34968</v>
      </c>
      <c r="E46" s="323"/>
      <c r="F46" s="312">
        <f t="shared" si="2"/>
        <v>1.016262714</v>
      </c>
      <c r="G46" s="323"/>
    </row>
    <row r="47">
      <c r="A47" s="311">
        <v>46083.0</v>
      </c>
      <c r="B47" s="312" t="s">
        <v>104</v>
      </c>
      <c r="C47" s="313">
        <v>21252.0</v>
      </c>
      <c r="D47" s="312">
        <f>SUMIF(GRAFICO!A:A,A47,GRAFICO!B:B)</f>
        <v>20741.87141</v>
      </c>
      <c r="E47" s="313">
        <f t="shared" ref="E47:E48" si="10">C47/$C$2</f>
        <v>1.037669979</v>
      </c>
      <c r="F47" s="312">
        <f t="shared" si="2"/>
        <v>0.9946603775</v>
      </c>
      <c r="G47" s="313">
        <f t="shared" ref="G47:G48" si="11">F47-E47</f>
        <v>-0.04300960127</v>
      </c>
    </row>
    <row r="48">
      <c r="A48" s="311">
        <v>46084.0</v>
      </c>
      <c r="B48" s="312" t="s">
        <v>104</v>
      </c>
      <c r="C48" s="313">
        <v>20995.0</v>
      </c>
      <c r="D48" s="312">
        <f>SUMIF(GRAFICO!A:A,A48,GRAFICO!B:B)</f>
        <v>20713.91914</v>
      </c>
      <c r="E48" s="313">
        <f t="shared" si="10"/>
        <v>1.025121457</v>
      </c>
      <c r="F48" s="312">
        <f t="shared" si="2"/>
        <v>0.993319948</v>
      </c>
      <c r="G48" s="313">
        <f t="shared" si="11"/>
        <v>-0.03180150898</v>
      </c>
    </row>
    <row r="49">
      <c r="C49" s="324"/>
      <c r="E49" s="324"/>
      <c r="G49" s="324"/>
    </row>
    <row r="50">
      <c r="C50" s="324"/>
      <c r="E50" s="324"/>
      <c r="G50" s="324"/>
    </row>
    <row r="51">
      <c r="C51" s="324"/>
      <c r="E51" s="324"/>
      <c r="G51" s="324"/>
    </row>
    <row r="52">
      <c r="C52" s="324"/>
      <c r="E52" s="324"/>
      <c r="G52" s="324"/>
    </row>
    <row r="53">
      <c r="C53" s="324"/>
      <c r="E53" s="324"/>
      <c r="G53" s="324"/>
    </row>
    <row r="54">
      <c r="C54" s="324"/>
      <c r="E54" s="324"/>
      <c r="G54" s="324"/>
    </row>
    <row r="55">
      <c r="C55" s="324"/>
      <c r="E55" s="324"/>
      <c r="G55" s="324"/>
    </row>
    <row r="56">
      <c r="C56" s="324"/>
      <c r="E56" s="324"/>
      <c r="G56" s="324"/>
    </row>
    <row r="57">
      <c r="C57" s="324"/>
      <c r="E57" s="324"/>
      <c r="G57" s="324"/>
    </row>
    <row r="58">
      <c r="C58" s="324"/>
      <c r="E58" s="324"/>
      <c r="G58" s="324"/>
    </row>
    <row r="59">
      <c r="C59" s="324"/>
      <c r="E59" s="324"/>
      <c r="G59" s="324"/>
    </row>
    <row r="60">
      <c r="C60" s="324"/>
      <c r="E60" s="324"/>
      <c r="G60" s="324"/>
    </row>
    <row r="61">
      <c r="C61" s="324"/>
      <c r="E61" s="324"/>
      <c r="G61" s="324"/>
    </row>
    <row r="62">
      <c r="C62" s="324"/>
      <c r="E62" s="324"/>
      <c r="G62" s="324"/>
    </row>
    <row r="63">
      <c r="C63" s="324"/>
      <c r="E63" s="324"/>
      <c r="G63" s="324"/>
    </row>
    <row r="64">
      <c r="C64" s="324"/>
      <c r="E64" s="324"/>
      <c r="G64" s="324"/>
    </row>
    <row r="65">
      <c r="C65" s="324"/>
      <c r="E65" s="324"/>
      <c r="G65" s="324"/>
    </row>
    <row r="66">
      <c r="C66" s="324"/>
      <c r="E66" s="324"/>
      <c r="G66" s="324"/>
    </row>
    <row r="67">
      <c r="C67" s="324"/>
      <c r="E67" s="324"/>
      <c r="G67" s="324"/>
    </row>
    <row r="68">
      <c r="C68" s="324"/>
      <c r="E68" s="324"/>
      <c r="G68" s="324"/>
    </row>
    <row r="69">
      <c r="C69" s="324"/>
      <c r="E69" s="324"/>
      <c r="G69" s="324"/>
    </row>
    <row r="70">
      <c r="C70" s="324"/>
      <c r="E70" s="324"/>
      <c r="G70" s="324"/>
    </row>
    <row r="71">
      <c r="C71" s="324"/>
      <c r="E71" s="324"/>
      <c r="G71" s="324"/>
    </row>
    <row r="72">
      <c r="C72" s="324"/>
      <c r="E72" s="324"/>
      <c r="G72" s="324"/>
    </row>
    <row r="73">
      <c r="C73" s="324"/>
      <c r="E73" s="324"/>
      <c r="G73" s="324"/>
    </row>
    <row r="74">
      <c r="C74" s="324"/>
      <c r="E74" s="324"/>
      <c r="G74" s="324"/>
    </row>
    <row r="75">
      <c r="C75" s="324"/>
      <c r="E75" s="324"/>
      <c r="G75" s="324"/>
    </row>
    <row r="76">
      <c r="C76" s="324"/>
      <c r="E76" s="324"/>
      <c r="G76" s="324"/>
    </row>
    <row r="77">
      <c r="C77" s="324"/>
      <c r="E77" s="324"/>
      <c r="G77" s="324"/>
    </row>
    <row r="78">
      <c r="C78" s="324"/>
      <c r="E78" s="324"/>
      <c r="G78" s="324"/>
    </row>
    <row r="79">
      <c r="C79" s="324"/>
      <c r="E79" s="324"/>
      <c r="G79" s="324"/>
    </row>
    <row r="80">
      <c r="C80" s="324"/>
      <c r="E80" s="324"/>
      <c r="G80" s="324"/>
    </row>
    <row r="81">
      <c r="C81" s="324"/>
      <c r="E81" s="324"/>
      <c r="G81" s="324"/>
    </row>
    <row r="82">
      <c r="C82" s="324"/>
      <c r="E82" s="324"/>
      <c r="G82" s="324"/>
    </row>
    <row r="83">
      <c r="C83" s="324"/>
      <c r="E83" s="324"/>
      <c r="G83" s="324"/>
    </row>
    <row r="84">
      <c r="C84" s="324"/>
      <c r="E84" s="324"/>
      <c r="G84" s="324"/>
    </row>
    <row r="85">
      <c r="C85" s="324"/>
      <c r="E85" s="324"/>
      <c r="G85" s="324"/>
    </row>
    <row r="86">
      <c r="C86" s="324"/>
      <c r="E86" s="324"/>
      <c r="G86" s="324"/>
    </row>
    <row r="87">
      <c r="C87" s="324"/>
      <c r="E87" s="324"/>
      <c r="G87" s="324"/>
    </row>
    <row r="88">
      <c r="C88" s="324"/>
      <c r="E88" s="324"/>
      <c r="G88" s="324"/>
    </row>
    <row r="89">
      <c r="C89" s="324"/>
      <c r="E89" s="324"/>
      <c r="G89" s="324"/>
    </row>
    <row r="90">
      <c r="C90" s="324"/>
      <c r="E90" s="324"/>
      <c r="G90" s="324"/>
    </row>
    <row r="91">
      <c r="C91" s="324"/>
      <c r="E91" s="324"/>
      <c r="G91" s="324"/>
    </row>
    <row r="92">
      <c r="C92" s="324"/>
      <c r="E92" s="324"/>
      <c r="G92" s="324"/>
    </row>
    <row r="93">
      <c r="C93" s="324"/>
      <c r="E93" s="324"/>
      <c r="G93" s="324"/>
    </row>
    <row r="94">
      <c r="C94" s="324"/>
      <c r="E94" s="324"/>
      <c r="G94" s="324"/>
    </row>
    <row r="95">
      <c r="C95" s="324"/>
      <c r="E95" s="324"/>
      <c r="G95" s="324"/>
    </row>
    <row r="96">
      <c r="C96" s="324"/>
      <c r="E96" s="324"/>
      <c r="G96" s="324"/>
    </row>
    <row r="97">
      <c r="C97" s="324"/>
      <c r="E97" s="324"/>
      <c r="G97" s="324"/>
    </row>
    <row r="98">
      <c r="C98" s="324"/>
      <c r="E98" s="324"/>
      <c r="G98" s="324"/>
    </row>
    <row r="99">
      <c r="C99" s="324"/>
      <c r="E99" s="324"/>
      <c r="G99" s="324"/>
    </row>
    <row r="100">
      <c r="C100" s="324"/>
      <c r="E100" s="324"/>
      <c r="G100" s="324"/>
    </row>
    <row r="101">
      <c r="C101" s="324"/>
      <c r="E101" s="324"/>
      <c r="G101" s="324"/>
    </row>
    <row r="102">
      <c r="C102" s="324"/>
      <c r="E102" s="324"/>
      <c r="G102" s="324"/>
    </row>
    <row r="103">
      <c r="C103" s="324"/>
      <c r="E103" s="324"/>
      <c r="G103" s="324"/>
    </row>
    <row r="104">
      <c r="C104" s="324"/>
      <c r="E104" s="324"/>
      <c r="G104" s="324"/>
    </row>
    <row r="105">
      <c r="C105" s="324"/>
      <c r="E105" s="324"/>
      <c r="G105" s="324"/>
    </row>
    <row r="106">
      <c r="C106" s="324"/>
      <c r="E106" s="324"/>
      <c r="G106" s="324"/>
    </row>
    <row r="107">
      <c r="C107" s="324"/>
      <c r="E107" s="324"/>
      <c r="G107" s="324"/>
    </row>
    <row r="108">
      <c r="C108" s="324"/>
      <c r="E108" s="324"/>
      <c r="G108" s="324"/>
    </row>
    <row r="109">
      <c r="C109" s="324"/>
      <c r="E109" s="324"/>
      <c r="G109" s="324"/>
    </row>
    <row r="110">
      <c r="C110" s="324"/>
      <c r="E110" s="324"/>
      <c r="G110" s="324"/>
    </row>
    <row r="111">
      <c r="C111" s="324"/>
      <c r="E111" s="324"/>
      <c r="G111" s="324"/>
    </row>
    <row r="112">
      <c r="C112" s="324"/>
      <c r="E112" s="324"/>
      <c r="G112" s="324"/>
    </row>
    <row r="113">
      <c r="C113" s="324"/>
      <c r="E113" s="324"/>
      <c r="G113" s="324"/>
    </row>
    <row r="114">
      <c r="C114" s="324"/>
      <c r="E114" s="324"/>
      <c r="G114" s="324"/>
    </row>
    <row r="115">
      <c r="C115" s="324"/>
      <c r="E115" s="324"/>
      <c r="G115" s="324"/>
    </row>
    <row r="116">
      <c r="C116" s="324"/>
      <c r="E116" s="324"/>
      <c r="G116" s="324"/>
    </row>
    <row r="117">
      <c r="C117" s="324"/>
      <c r="E117" s="324"/>
      <c r="G117" s="324"/>
    </row>
    <row r="118">
      <c r="C118" s="324"/>
      <c r="E118" s="324"/>
      <c r="G118" s="324"/>
    </row>
    <row r="119">
      <c r="C119" s="324"/>
      <c r="E119" s="324"/>
      <c r="G119" s="324"/>
    </row>
    <row r="120">
      <c r="C120" s="324"/>
      <c r="E120" s="324"/>
      <c r="G120" s="324"/>
    </row>
    <row r="121">
      <c r="C121" s="324"/>
      <c r="E121" s="324"/>
      <c r="G121" s="324"/>
    </row>
    <row r="122">
      <c r="C122" s="324"/>
      <c r="E122" s="324"/>
      <c r="G122" s="324"/>
    </row>
    <row r="123">
      <c r="C123" s="324"/>
      <c r="E123" s="324"/>
      <c r="G123" s="324"/>
    </row>
    <row r="124">
      <c r="C124" s="324"/>
      <c r="E124" s="324"/>
      <c r="G124" s="324"/>
    </row>
    <row r="125">
      <c r="C125" s="324"/>
      <c r="E125" s="324"/>
      <c r="G125" s="324"/>
    </row>
    <row r="126">
      <c r="C126" s="324"/>
      <c r="E126" s="324"/>
      <c r="G126" s="324"/>
    </row>
    <row r="127">
      <c r="C127" s="324"/>
      <c r="E127" s="324"/>
      <c r="G127" s="324"/>
    </row>
    <row r="128">
      <c r="C128" s="324"/>
      <c r="E128" s="324"/>
      <c r="G128" s="324"/>
    </row>
    <row r="129">
      <c r="C129" s="324"/>
      <c r="E129" s="324"/>
      <c r="G129" s="324"/>
    </row>
    <row r="130">
      <c r="C130" s="324"/>
      <c r="E130" s="324"/>
      <c r="G130" s="324"/>
    </row>
    <row r="131">
      <c r="C131" s="324"/>
      <c r="E131" s="324"/>
      <c r="G131" s="324"/>
    </row>
    <row r="132">
      <c r="C132" s="324"/>
      <c r="E132" s="324"/>
      <c r="G132" s="324"/>
    </row>
    <row r="133">
      <c r="C133" s="324"/>
      <c r="E133" s="324"/>
      <c r="G133" s="324"/>
    </row>
    <row r="134">
      <c r="C134" s="324"/>
      <c r="E134" s="324"/>
      <c r="G134" s="324"/>
    </row>
    <row r="135">
      <c r="C135" s="324"/>
      <c r="E135" s="324"/>
      <c r="G135" s="324"/>
    </row>
    <row r="136">
      <c r="C136" s="324"/>
      <c r="E136" s="324"/>
      <c r="G136" s="324"/>
    </row>
    <row r="137">
      <c r="C137" s="324"/>
      <c r="E137" s="324"/>
      <c r="G137" s="324"/>
    </row>
    <row r="138">
      <c r="C138" s="324"/>
      <c r="E138" s="324"/>
      <c r="G138" s="324"/>
    </row>
    <row r="139">
      <c r="C139" s="324"/>
      <c r="E139" s="324"/>
      <c r="G139" s="324"/>
    </row>
    <row r="140">
      <c r="C140" s="324"/>
      <c r="E140" s="324"/>
      <c r="G140" s="324"/>
    </row>
    <row r="141">
      <c r="C141" s="324"/>
      <c r="E141" s="324"/>
      <c r="G141" s="324"/>
    </row>
    <row r="142">
      <c r="C142" s="324"/>
      <c r="E142" s="324"/>
      <c r="G142" s="324"/>
    </row>
    <row r="143">
      <c r="C143" s="324"/>
      <c r="E143" s="324"/>
      <c r="G143" s="324"/>
    </row>
    <row r="144">
      <c r="C144" s="324"/>
      <c r="E144" s="324"/>
      <c r="G144" s="324"/>
    </row>
    <row r="145">
      <c r="C145" s="324"/>
      <c r="E145" s="324"/>
      <c r="G145" s="324"/>
    </row>
    <row r="146">
      <c r="C146" s="324"/>
      <c r="E146" s="324"/>
      <c r="G146" s="324"/>
    </row>
    <row r="147">
      <c r="C147" s="324"/>
      <c r="E147" s="324"/>
      <c r="G147" s="324"/>
    </row>
    <row r="148">
      <c r="C148" s="324"/>
      <c r="E148" s="324"/>
      <c r="G148" s="324"/>
    </row>
    <row r="149">
      <c r="C149" s="324"/>
      <c r="E149" s="324"/>
      <c r="G149" s="324"/>
    </row>
    <row r="150">
      <c r="C150" s="324"/>
      <c r="E150" s="324"/>
      <c r="G150" s="324"/>
    </row>
    <row r="151">
      <c r="C151" s="324"/>
      <c r="E151" s="324"/>
      <c r="G151" s="324"/>
    </row>
    <row r="152">
      <c r="C152" s="324"/>
      <c r="E152" s="324"/>
      <c r="G152" s="324"/>
    </row>
    <row r="153">
      <c r="C153" s="324"/>
      <c r="E153" s="324"/>
      <c r="G153" s="324"/>
    </row>
    <row r="154">
      <c r="C154" s="324"/>
      <c r="E154" s="324"/>
      <c r="G154" s="324"/>
    </row>
    <row r="155">
      <c r="C155" s="324"/>
      <c r="E155" s="324"/>
      <c r="G155" s="324"/>
    </row>
    <row r="156">
      <c r="C156" s="324"/>
      <c r="E156" s="324"/>
      <c r="G156" s="324"/>
    </row>
    <row r="157">
      <c r="C157" s="324"/>
      <c r="E157" s="324"/>
      <c r="G157" s="324"/>
    </row>
    <row r="158">
      <c r="C158" s="324"/>
      <c r="E158" s="324"/>
      <c r="G158" s="324"/>
    </row>
    <row r="159">
      <c r="C159" s="324"/>
      <c r="E159" s="324"/>
      <c r="G159" s="324"/>
    </row>
    <row r="160">
      <c r="C160" s="324"/>
      <c r="E160" s="324"/>
      <c r="G160" s="324"/>
    </row>
    <row r="161">
      <c r="C161" s="324"/>
      <c r="E161" s="324"/>
      <c r="G161" s="324"/>
    </row>
    <row r="162">
      <c r="C162" s="324"/>
      <c r="E162" s="324"/>
      <c r="G162" s="324"/>
    </row>
    <row r="163">
      <c r="C163" s="324"/>
      <c r="E163" s="324"/>
      <c r="G163" s="324"/>
    </row>
    <row r="164">
      <c r="C164" s="324"/>
      <c r="E164" s="324"/>
      <c r="G164" s="324"/>
    </row>
    <row r="165">
      <c r="C165" s="324"/>
      <c r="E165" s="324"/>
      <c r="G165" s="324"/>
    </row>
    <row r="166">
      <c r="C166" s="324"/>
      <c r="E166" s="324"/>
      <c r="G166" s="324"/>
    </row>
    <row r="167">
      <c r="C167" s="324"/>
      <c r="E167" s="324"/>
      <c r="G167" s="324"/>
    </row>
    <row r="168">
      <c r="C168" s="324"/>
      <c r="E168" s="324"/>
      <c r="G168" s="324"/>
    </row>
    <row r="169">
      <c r="C169" s="324"/>
      <c r="E169" s="324"/>
      <c r="G169" s="324"/>
    </row>
    <row r="170">
      <c r="C170" s="324"/>
      <c r="E170" s="324"/>
      <c r="G170" s="324"/>
    </row>
    <row r="171">
      <c r="C171" s="324"/>
      <c r="E171" s="324"/>
      <c r="G171" s="324"/>
    </row>
    <row r="172">
      <c r="C172" s="324"/>
      <c r="E172" s="324"/>
      <c r="G172" s="324"/>
    </row>
    <row r="173">
      <c r="C173" s="324"/>
      <c r="E173" s="324"/>
      <c r="G173" s="324"/>
    </row>
    <row r="174">
      <c r="C174" s="324"/>
      <c r="E174" s="324"/>
      <c r="G174" s="324"/>
    </row>
    <row r="175">
      <c r="C175" s="324"/>
      <c r="E175" s="324"/>
      <c r="G175" s="324"/>
    </row>
    <row r="176">
      <c r="C176" s="324"/>
      <c r="E176" s="324"/>
      <c r="G176" s="324"/>
    </row>
    <row r="177">
      <c r="C177" s="324"/>
      <c r="E177" s="324"/>
      <c r="G177" s="324"/>
    </row>
    <row r="178">
      <c r="C178" s="324"/>
      <c r="E178" s="324"/>
      <c r="G178" s="324"/>
    </row>
    <row r="179">
      <c r="C179" s="324"/>
      <c r="E179" s="324"/>
      <c r="G179" s="324"/>
    </row>
    <row r="180">
      <c r="C180" s="324"/>
      <c r="E180" s="324"/>
      <c r="G180" s="324"/>
    </row>
    <row r="181">
      <c r="C181" s="324"/>
      <c r="E181" s="324"/>
      <c r="G181" s="324"/>
    </row>
    <row r="182">
      <c r="C182" s="324"/>
      <c r="E182" s="324"/>
      <c r="G182" s="324"/>
    </row>
    <row r="183">
      <c r="C183" s="324"/>
      <c r="E183" s="324"/>
      <c r="G183" s="324"/>
    </row>
    <row r="184">
      <c r="C184" s="324"/>
      <c r="E184" s="324"/>
      <c r="G184" s="324"/>
    </row>
    <row r="185">
      <c r="C185" s="324"/>
      <c r="E185" s="324"/>
      <c r="G185" s="324"/>
    </row>
    <row r="186">
      <c r="C186" s="324"/>
      <c r="E186" s="324"/>
      <c r="G186" s="324"/>
    </row>
    <row r="187">
      <c r="C187" s="324"/>
      <c r="E187" s="324"/>
      <c r="G187" s="324"/>
    </row>
    <row r="188">
      <c r="C188" s="324"/>
      <c r="E188" s="324"/>
      <c r="G188" s="324"/>
    </row>
    <row r="189">
      <c r="C189" s="324"/>
      <c r="E189" s="324"/>
      <c r="G189" s="324"/>
    </row>
    <row r="190">
      <c r="C190" s="324"/>
      <c r="E190" s="324"/>
      <c r="G190" s="324"/>
    </row>
    <row r="191">
      <c r="C191" s="324"/>
      <c r="E191" s="324"/>
      <c r="G191" s="324"/>
    </row>
    <row r="192">
      <c r="C192" s="324"/>
      <c r="E192" s="324"/>
      <c r="G192" s="324"/>
    </row>
    <row r="193">
      <c r="C193" s="324"/>
      <c r="E193" s="324"/>
      <c r="G193" s="324"/>
    </row>
    <row r="194">
      <c r="C194" s="324"/>
      <c r="E194" s="324"/>
      <c r="G194" s="324"/>
    </row>
    <row r="195">
      <c r="C195" s="324"/>
      <c r="E195" s="324"/>
      <c r="G195" s="324"/>
    </row>
    <row r="196">
      <c r="C196" s="324"/>
      <c r="E196" s="324"/>
      <c r="G196" s="324"/>
    </row>
    <row r="197">
      <c r="C197" s="324"/>
      <c r="E197" s="324"/>
      <c r="G197" s="324"/>
    </row>
    <row r="198">
      <c r="C198" s="324"/>
      <c r="E198" s="324"/>
      <c r="G198" s="324"/>
    </row>
    <row r="199">
      <c r="C199" s="324"/>
      <c r="E199" s="324"/>
      <c r="G199" s="324"/>
    </row>
    <row r="200">
      <c r="C200" s="324"/>
      <c r="E200" s="324"/>
      <c r="G200" s="324"/>
    </row>
    <row r="201">
      <c r="C201" s="324"/>
      <c r="E201" s="324"/>
      <c r="G201" s="324"/>
    </row>
    <row r="202">
      <c r="C202" s="324"/>
      <c r="E202" s="324"/>
      <c r="G202" s="324"/>
    </row>
    <row r="203">
      <c r="C203" s="324"/>
      <c r="E203" s="324"/>
      <c r="G203" s="324"/>
    </row>
    <row r="204">
      <c r="C204" s="324"/>
      <c r="E204" s="324"/>
      <c r="G204" s="324"/>
    </row>
    <row r="205">
      <c r="C205" s="324"/>
      <c r="E205" s="324"/>
      <c r="G205" s="324"/>
    </row>
    <row r="206">
      <c r="C206" s="324"/>
      <c r="E206" s="324"/>
      <c r="G206" s="324"/>
    </row>
    <row r="207">
      <c r="C207" s="324"/>
      <c r="E207" s="324"/>
      <c r="G207" s="324"/>
    </row>
    <row r="208">
      <c r="C208" s="324"/>
      <c r="E208" s="324"/>
      <c r="G208" s="324"/>
    </row>
    <row r="209">
      <c r="C209" s="324"/>
      <c r="E209" s="324"/>
      <c r="G209" s="324"/>
    </row>
    <row r="210">
      <c r="C210" s="324"/>
      <c r="E210" s="324"/>
      <c r="G210" s="324"/>
    </row>
    <row r="211">
      <c r="C211" s="324"/>
      <c r="E211" s="324"/>
      <c r="G211" s="324"/>
    </row>
    <row r="212">
      <c r="C212" s="324"/>
      <c r="E212" s="324"/>
      <c r="G212" s="324"/>
    </row>
    <row r="213">
      <c r="C213" s="324"/>
      <c r="E213" s="324"/>
      <c r="G213" s="324"/>
    </row>
    <row r="214">
      <c r="C214" s="324"/>
      <c r="E214" s="324"/>
      <c r="G214" s="324"/>
    </row>
    <row r="215">
      <c r="C215" s="324"/>
      <c r="E215" s="324"/>
      <c r="G215" s="324"/>
    </row>
    <row r="216">
      <c r="C216" s="324"/>
      <c r="E216" s="324"/>
      <c r="G216" s="324"/>
    </row>
    <row r="217">
      <c r="C217" s="324"/>
      <c r="E217" s="324"/>
      <c r="G217" s="324"/>
    </row>
    <row r="218">
      <c r="C218" s="324"/>
      <c r="E218" s="324"/>
      <c r="G218" s="324"/>
    </row>
    <row r="219">
      <c r="C219" s="324"/>
      <c r="E219" s="324"/>
      <c r="G219" s="324"/>
    </row>
    <row r="220">
      <c r="C220" s="324"/>
      <c r="E220" s="324"/>
      <c r="G220" s="324"/>
    </row>
    <row r="221">
      <c r="C221" s="324"/>
      <c r="E221" s="324"/>
      <c r="G221" s="324"/>
    </row>
    <row r="222">
      <c r="C222" s="324"/>
      <c r="E222" s="324"/>
      <c r="G222" s="324"/>
    </row>
    <row r="223">
      <c r="C223" s="324"/>
      <c r="E223" s="324"/>
      <c r="G223" s="324"/>
    </row>
    <row r="224">
      <c r="C224" s="324"/>
      <c r="E224" s="324"/>
      <c r="G224" s="324"/>
    </row>
    <row r="225">
      <c r="C225" s="324"/>
      <c r="E225" s="324"/>
      <c r="G225" s="324"/>
    </row>
    <row r="226">
      <c r="C226" s="324"/>
      <c r="E226" s="324"/>
      <c r="G226" s="324"/>
    </row>
    <row r="227">
      <c r="C227" s="324"/>
      <c r="E227" s="324"/>
      <c r="G227" s="324"/>
    </row>
    <row r="228">
      <c r="C228" s="324"/>
      <c r="E228" s="324"/>
      <c r="G228" s="324"/>
    </row>
    <row r="229">
      <c r="C229" s="324"/>
      <c r="E229" s="324"/>
      <c r="G229" s="324"/>
    </row>
    <row r="230">
      <c r="C230" s="324"/>
      <c r="E230" s="324"/>
      <c r="G230" s="324"/>
    </row>
    <row r="231">
      <c r="C231" s="324"/>
      <c r="E231" s="324"/>
      <c r="G231" s="324"/>
    </row>
    <row r="232">
      <c r="C232" s="324"/>
      <c r="E232" s="324"/>
      <c r="G232" s="324"/>
    </row>
    <row r="233">
      <c r="C233" s="324"/>
      <c r="E233" s="324"/>
      <c r="G233" s="324"/>
    </row>
    <row r="234">
      <c r="C234" s="324"/>
      <c r="E234" s="324"/>
      <c r="G234" s="324"/>
    </row>
    <row r="235">
      <c r="C235" s="324"/>
      <c r="E235" s="324"/>
      <c r="G235" s="324"/>
    </row>
    <row r="236">
      <c r="C236" s="324"/>
      <c r="E236" s="324"/>
      <c r="G236" s="324"/>
    </row>
    <row r="237">
      <c r="C237" s="324"/>
      <c r="E237" s="324"/>
      <c r="G237" s="324"/>
    </row>
    <row r="238">
      <c r="C238" s="324"/>
      <c r="E238" s="324"/>
      <c r="G238" s="324"/>
    </row>
    <row r="239">
      <c r="C239" s="324"/>
      <c r="E239" s="324"/>
      <c r="G239" s="324"/>
    </row>
    <row r="240">
      <c r="C240" s="324"/>
      <c r="E240" s="324"/>
      <c r="G240" s="324"/>
    </row>
    <row r="241">
      <c r="C241" s="324"/>
      <c r="E241" s="324"/>
      <c r="G241" s="324"/>
    </row>
    <row r="242">
      <c r="C242" s="324"/>
      <c r="E242" s="324"/>
      <c r="G242" s="324"/>
    </row>
    <row r="243">
      <c r="C243" s="324"/>
      <c r="E243" s="324"/>
      <c r="G243" s="324"/>
    </row>
    <row r="244">
      <c r="C244" s="324"/>
      <c r="E244" s="324"/>
      <c r="G244" s="324"/>
    </row>
    <row r="245">
      <c r="C245" s="324"/>
      <c r="E245" s="324"/>
      <c r="G245" s="324"/>
    </row>
    <row r="246">
      <c r="C246" s="324"/>
      <c r="E246" s="324"/>
      <c r="G246" s="324"/>
    </row>
    <row r="247">
      <c r="C247" s="324"/>
      <c r="E247" s="324"/>
      <c r="G247" s="324"/>
    </row>
    <row r="248">
      <c r="C248" s="324"/>
      <c r="E248" s="324"/>
      <c r="G248" s="324"/>
    </row>
    <row r="249">
      <c r="C249" s="324"/>
      <c r="E249" s="324"/>
      <c r="G249" s="324"/>
    </row>
    <row r="250">
      <c r="C250" s="324"/>
      <c r="E250" s="324"/>
      <c r="G250" s="324"/>
    </row>
    <row r="251">
      <c r="C251" s="324"/>
      <c r="E251" s="324"/>
      <c r="G251" s="324"/>
    </row>
    <row r="252">
      <c r="C252" s="324"/>
      <c r="E252" s="324"/>
      <c r="G252" s="324"/>
    </row>
    <row r="253">
      <c r="C253" s="324"/>
      <c r="E253" s="324"/>
      <c r="G253" s="324"/>
    </row>
    <row r="254">
      <c r="C254" s="324"/>
      <c r="E254" s="324"/>
      <c r="G254" s="324"/>
    </row>
    <row r="255">
      <c r="C255" s="324"/>
      <c r="E255" s="324"/>
      <c r="G255" s="324"/>
    </row>
    <row r="256">
      <c r="C256" s="324"/>
      <c r="E256" s="324"/>
      <c r="G256" s="324"/>
    </row>
    <row r="257">
      <c r="C257" s="324"/>
      <c r="E257" s="324"/>
      <c r="G257" s="324"/>
    </row>
    <row r="258">
      <c r="C258" s="324"/>
      <c r="E258" s="324"/>
      <c r="G258" s="324"/>
    </row>
    <row r="259">
      <c r="C259" s="324"/>
      <c r="E259" s="324"/>
      <c r="G259" s="324"/>
    </row>
    <row r="260">
      <c r="C260" s="324"/>
      <c r="E260" s="324"/>
      <c r="G260" s="324"/>
    </row>
    <row r="261">
      <c r="C261" s="324"/>
      <c r="E261" s="324"/>
      <c r="G261" s="324"/>
    </row>
    <row r="262">
      <c r="C262" s="324"/>
      <c r="E262" s="324"/>
      <c r="G262" s="324"/>
    </row>
    <row r="263">
      <c r="C263" s="324"/>
      <c r="E263" s="324"/>
      <c r="G263" s="324"/>
    </row>
    <row r="264">
      <c r="C264" s="324"/>
      <c r="E264" s="324"/>
      <c r="G264" s="324"/>
    </row>
    <row r="265">
      <c r="C265" s="324"/>
      <c r="E265" s="324"/>
      <c r="G265" s="324"/>
    </row>
    <row r="266">
      <c r="C266" s="324"/>
      <c r="E266" s="324"/>
      <c r="G266" s="324"/>
    </row>
    <row r="267">
      <c r="C267" s="324"/>
      <c r="E267" s="324"/>
      <c r="G267" s="324"/>
    </row>
    <row r="268">
      <c r="C268" s="324"/>
      <c r="E268" s="324"/>
      <c r="G268" s="324"/>
    </row>
    <row r="269">
      <c r="C269" s="324"/>
      <c r="E269" s="324"/>
      <c r="G269" s="324"/>
    </row>
    <row r="270">
      <c r="C270" s="324"/>
      <c r="E270" s="324"/>
      <c r="G270" s="324"/>
    </row>
    <row r="271">
      <c r="C271" s="324"/>
      <c r="E271" s="324"/>
      <c r="G271" s="324"/>
    </row>
    <row r="272">
      <c r="C272" s="324"/>
      <c r="E272" s="324"/>
      <c r="G272" s="324"/>
    </row>
    <row r="273">
      <c r="C273" s="324"/>
      <c r="E273" s="324"/>
      <c r="G273" s="324"/>
    </row>
    <row r="274">
      <c r="C274" s="324"/>
      <c r="E274" s="324"/>
      <c r="G274" s="324"/>
    </row>
    <row r="275">
      <c r="C275" s="324"/>
      <c r="E275" s="324"/>
      <c r="G275" s="324"/>
    </row>
    <row r="276">
      <c r="C276" s="324"/>
      <c r="E276" s="324"/>
      <c r="G276" s="324"/>
    </row>
    <row r="277">
      <c r="C277" s="324"/>
      <c r="E277" s="324"/>
      <c r="G277" s="324"/>
    </row>
    <row r="278">
      <c r="C278" s="324"/>
      <c r="E278" s="324"/>
      <c r="G278" s="324"/>
    </row>
    <row r="279">
      <c r="C279" s="324"/>
      <c r="E279" s="324"/>
      <c r="G279" s="324"/>
    </row>
    <row r="280">
      <c r="C280" s="324"/>
      <c r="E280" s="324"/>
      <c r="G280" s="324"/>
    </row>
    <row r="281">
      <c r="C281" s="324"/>
      <c r="E281" s="324"/>
      <c r="G281" s="324"/>
    </row>
    <row r="282">
      <c r="C282" s="324"/>
      <c r="E282" s="324"/>
      <c r="G282" s="324"/>
    </row>
    <row r="283">
      <c r="C283" s="324"/>
      <c r="E283" s="324"/>
      <c r="G283" s="324"/>
    </row>
    <row r="284">
      <c r="C284" s="324"/>
      <c r="E284" s="324"/>
      <c r="G284" s="324"/>
    </row>
    <row r="285">
      <c r="C285" s="324"/>
      <c r="E285" s="324"/>
      <c r="G285" s="324"/>
    </row>
    <row r="286">
      <c r="C286" s="324"/>
      <c r="E286" s="324"/>
      <c r="G286" s="324"/>
    </row>
    <row r="287">
      <c r="C287" s="324"/>
      <c r="E287" s="324"/>
      <c r="G287" s="324"/>
    </row>
    <row r="288">
      <c r="C288" s="324"/>
      <c r="E288" s="324"/>
      <c r="G288" s="324"/>
    </row>
    <row r="289">
      <c r="C289" s="324"/>
      <c r="E289" s="324"/>
      <c r="G289" s="324"/>
    </row>
    <row r="290">
      <c r="C290" s="324"/>
      <c r="E290" s="324"/>
      <c r="G290" s="324"/>
    </row>
    <row r="291">
      <c r="C291" s="324"/>
      <c r="E291" s="324"/>
      <c r="G291" s="324"/>
    </row>
    <row r="292">
      <c r="C292" s="324"/>
      <c r="E292" s="324"/>
      <c r="G292" s="324"/>
    </row>
    <row r="293">
      <c r="C293" s="324"/>
      <c r="E293" s="324"/>
      <c r="G293" s="324"/>
    </row>
    <row r="294">
      <c r="C294" s="324"/>
      <c r="E294" s="324"/>
      <c r="G294" s="324"/>
    </row>
    <row r="295">
      <c r="C295" s="324"/>
      <c r="E295" s="324"/>
      <c r="G295" s="324"/>
    </row>
    <row r="296">
      <c r="C296" s="324"/>
      <c r="E296" s="324"/>
      <c r="G296" s="324"/>
    </row>
    <row r="297">
      <c r="C297" s="324"/>
      <c r="E297" s="324"/>
      <c r="G297" s="324"/>
    </row>
    <row r="298">
      <c r="C298" s="324"/>
      <c r="E298" s="324"/>
      <c r="G298" s="324"/>
    </row>
    <row r="299">
      <c r="C299" s="324"/>
      <c r="E299" s="324"/>
      <c r="G299" s="324"/>
    </row>
    <row r="300">
      <c r="C300" s="324"/>
      <c r="E300" s="324"/>
      <c r="G300" s="324"/>
    </row>
    <row r="301">
      <c r="C301" s="324"/>
      <c r="E301" s="324"/>
      <c r="G301" s="324"/>
    </row>
    <row r="302">
      <c r="C302" s="324"/>
      <c r="E302" s="324"/>
      <c r="G302" s="324"/>
    </row>
    <row r="303">
      <c r="C303" s="324"/>
      <c r="E303" s="324"/>
      <c r="G303" s="324"/>
    </row>
    <row r="304">
      <c r="C304" s="324"/>
      <c r="E304" s="324"/>
      <c r="G304" s="324"/>
    </row>
    <row r="305">
      <c r="C305" s="324"/>
      <c r="E305" s="324"/>
      <c r="G305" s="324"/>
    </row>
    <row r="306">
      <c r="C306" s="324"/>
      <c r="E306" s="324"/>
      <c r="G306" s="324"/>
    </row>
    <row r="307">
      <c r="C307" s="324"/>
      <c r="E307" s="324"/>
      <c r="G307" s="324"/>
    </row>
    <row r="308">
      <c r="C308" s="324"/>
      <c r="E308" s="324"/>
      <c r="G308" s="324"/>
    </row>
    <row r="309">
      <c r="C309" s="324"/>
      <c r="E309" s="324"/>
      <c r="G309" s="324"/>
    </row>
    <row r="310">
      <c r="C310" s="324"/>
      <c r="E310" s="324"/>
      <c r="G310" s="324"/>
    </row>
    <row r="311">
      <c r="C311" s="324"/>
      <c r="E311" s="324"/>
      <c r="G311" s="324"/>
    </row>
    <row r="312">
      <c r="C312" s="324"/>
      <c r="E312" s="324"/>
      <c r="G312" s="324"/>
    </row>
    <row r="313">
      <c r="C313" s="324"/>
      <c r="E313" s="324"/>
      <c r="G313" s="324"/>
    </row>
    <row r="314">
      <c r="C314" s="324"/>
      <c r="E314" s="324"/>
      <c r="G314" s="324"/>
    </row>
    <row r="315">
      <c r="C315" s="324"/>
      <c r="E315" s="324"/>
      <c r="G315" s="324"/>
    </row>
    <row r="316">
      <c r="C316" s="324"/>
      <c r="E316" s="324"/>
      <c r="G316" s="324"/>
    </row>
    <row r="317">
      <c r="C317" s="324"/>
      <c r="E317" s="324"/>
      <c r="G317" s="324"/>
    </row>
    <row r="318">
      <c r="C318" s="324"/>
      <c r="E318" s="324"/>
      <c r="G318" s="324"/>
    </row>
    <row r="319">
      <c r="C319" s="324"/>
      <c r="E319" s="324"/>
      <c r="G319" s="324"/>
    </row>
    <row r="320">
      <c r="C320" s="324"/>
      <c r="E320" s="324"/>
      <c r="G320" s="324"/>
    </row>
    <row r="321">
      <c r="C321" s="324"/>
      <c r="E321" s="324"/>
      <c r="G321" s="324"/>
    </row>
    <row r="322">
      <c r="C322" s="324"/>
      <c r="E322" s="324"/>
      <c r="G322" s="324"/>
    </row>
    <row r="323">
      <c r="C323" s="324"/>
      <c r="E323" s="324"/>
      <c r="G323" s="324"/>
    </row>
    <row r="324">
      <c r="C324" s="324"/>
      <c r="E324" s="324"/>
      <c r="G324" s="324"/>
    </row>
    <row r="325">
      <c r="C325" s="324"/>
      <c r="E325" s="324"/>
      <c r="G325" s="324"/>
    </row>
    <row r="326">
      <c r="C326" s="324"/>
      <c r="E326" s="324"/>
      <c r="G326" s="324"/>
    </row>
    <row r="327">
      <c r="C327" s="324"/>
      <c r="E327" s="324"/>
      <c r="G327" s="324"/>
    </row>
    <row r="328">
      <c r="C328" s="324"/>
      <c r="E328" s="324"/>
      <c r="G328" s="324"/>
    </row>
    <row r="329">
      <c r="C329" s="324"/>
      <c r="E329" s="324"/>
      <c r="G329" s="324"/>
    </row>
    <row r="330">
      <c r="C330" s="324"/>
      <c r="E330" s="324"/>
      <c r="G330" s="324"/>
    </row>
    <row r="331">
      <c r="C331" s="324"/>
      <c r="E331" s="324"/>
      <c r="G331" s="324"/>
    </row>
    <row r="332">
      <c r="C332" s="324"/>
      <c r="E332" s="324"/>
      <c r="G332" s="324"/>
    </row>
    <row r="333">
      <c r="C333" s="324"/>
      <c r="E333" s="324"/>
      <c r="G333" s="324"/>
    </row>
    <row r="334">
      <c r="C334" s="324"/>
      <c r="E334" s="324"/>
      <c r="G334" s="324"/>
    </row>
    <row r="335">
      <c r="C335" s="324"/>
      <c r="E335" s="324"/>
      <c r="G335" s="324"/>
    </row>
    <row r="336">
      <c r="C336" s="324"/>
      <c r="E336" s="324"/>
      <c r="G336" s="324"/>
    </row>
    <row r="337">
      <c r="C337" s="324"/>
      <c r="E337" s="324"/>
      <c r="G337" s="324"/>
    </row>
    <row r="338">
      <c r="C338" s="324"/>
      <c r="E338" s="324"/>
      <c r="G338" s="324"/>
    </row>
    <row r="339">
      <c r="C339" s="324"/>
      <c r="E339" s="324"/>
      <c r="G339" s="324"/>
    </row>
    <row r="340">
      <c r="C340" s="324"/>
      <c r="E340" s="324"/>
      <c r="G340" s="324"/>
    </row>
    <row r="341">
      <c r="C341" s="324"/>
      <c r="E341" s="324"/>
      <c r="G341" s="324"/>
    </row>
    <row r="342">
      <c r="C342" s="324"/>
      <c r="E342" s="324"/>
      <c r="G342" s="324"/>
    </row>
    <row r="343">
      <c r="C343" s="324"/>
      <c r="E343" s="324"/>
      <c r="G343" s="324"/>
    </row>
    <row r="344">
      <c r="C344" s="324"/>
      <c r="E344" s="324"/>
      <c r="G344" s="324"/>
    </row>
    <row r="345">
      <c r="C345" s="324"/>
      <c r="E345" s="324"/>
      <c r="G345" s="324"/>
    </row>
    <row r="346">
      <c r="C346" s="324"/>
      <c r="E346" s="324"/>
      <c r="G346" s="324"/>
    </row>
    <row r="347">
      <c r="C347" s="324"/>
      <c r="E347" s="324"/>
      <c r="G347" s="324"/>
    </row>
    <row r="348">
      <c r="C348" s="324"/>
      <c r="E348" s="324"/>
      <c r="G348" s="324"/>
    </row>
    <row r="349">
      <c r="C349" s="324"/>
      <c r="E349" s="324"/>
      <c r="G349" s="324"/>
    </row>
    <row r="350">
      <c r="C350" s="324"/>
      <c r="E350" s="324"/>
      <c r="G350" s="324"/>
    </row>
    <row r="351">
      <c r="C351" s="324"/>
      <c r="E351" s="324"/>
      <c r="G351" s="324"/>
    </row>
    <row r="352">
      <c r="C352" s="324"/>
      <c r="E352" s="324"/>
      <c r="G352" s="324"/>
    </row>
    <row r="353">
      <c r="C353" s="324"/>
      <c r="E353" s="324"/>
      <c r="G353" s="324"/>
    </row>
    <row r="354">
      <c r="C354" s="324"/>
      <c r="E354" s="324"/>
      <c r="G354" s="324"/>
    </row>
    <row r="355">
      <c r="C355" s="324"/>
      <c r="E355" s="324"/>
      <c r="G355" s="324"/>
    </row>
    <row r="356">
      <c r="C356" s="324"/>
      <c r="E356" s="324"/>
      <c r="G356" s="324"/>
    </row>
    <row r="357">
      <c r="C357" s="324"/>
      <c r="E357" s="324"/>
      <c r="G357" s="324"/>
    </row>
    <row r="358">
      <c r="C358" s="324"/>
      <c r="E358" s="324"/>
      <c r="G358" s="324"/>
    </row>
    <row r="359">
      <c r="C359" s="324"/>
      <c r="E359" s="324"/>
      <c r="G359" s="324"/>
    </row>
    <row r="360">
      <c r="C360" s="324"/>
      <c r="E360" s="324"/>
      <c r="G360" s="324"/>
    </row>
    <row r="361">
      <c r="C361" s="324"/>
      <c r="E361" s="324"/>
      <c r="G361" s="324"/>
    </row>
    <row r="362">
      <c r="C362" s="324"/>
      <c r="E362" s="324"/>
      <c r="G362" s="324"/>
    </row>
    <row r="363">
      <c r="C363" s="324"/>
      <c r="E363" s="324"/>
      <c r="G363" s="324"/>
    </row>
    <row r="364">
      <c r="C364" s="324"/>
      <c r="E364" s="324"/>
      <c r="G364" s="324"/>
    </row>
    <row r="365">
      <c r="C365" s="324"/>
      <c r="E365" s="324"/>
      <c r="G365" s="324"/>
    </row>
    <row r="366">
      <c r="C366" s="324"/>
      <c r="E366" s="324"/>
      <c r="G366" s="324"/>
    </row>
    <row r="367">
      <c r="C367" s="324"/>
      <c r="E367" s="324"/>
      <c r="G367" s="324"/>
    </row>
    <row r="368">
      <c r="C368" s="324"/>
      <c r="E368" s="324"/>
      <c r="G368" s="324"/>
    </row>
    <row r="369">
      <c r="C369" s="324"/>
      <c r="E369" s="324"/>
      <c r="G369" s="324"/>
    </row>
    <row r="370">
      <c r="C370" s="324"/>
      <c r="E370" s="324"/>
      <c r="G370" s="324"/>
    </row>
    <row r="371">
      <c r="C371" s="324"/>
      <c r="E371" s="324"/>
      <c r="G371" s="324"/>
    </row>
    <row r="372">
      <c r="C372" s="324"/>
      <c r="E372" s="324"/>
      <c r="G372" s="324"/>
    </row>
    <row r="373">
      <c r="C373" s="324"/>
      <c r="E373" s="324"/>
      <c r="G373" s="324"/>
    </row>
    <row r="374">
      <c r="C374" s="324"/>
      <c r="E374" s="324"/>
      <c r="G374" s="324"/>
    </row>
    <row r="375">
      <c r="C375" s="324"/>
      <c r="E375" s="324"/>
      <c r="G375" s="324"/>
    </row>
    <row r="376">
      <c r="C376" s="324"/>
      <c r="E376" s="324"/>
      <c r="G376" s="324"/>
    </row>
    <row r="377">
      <c r="C377" s="324"/>
      <c r="E377" s="324"/>
      <c r="G377" s="324"/>
    </row>
    <row r="378">
      <c r="C378" s="324"/>
      <c r="E378" s="324"/>
      <c r="G378" s="324"/>
    </row>
    <row r="379">
      <c r="C379" s="324"/>
      <c r="E379" s="324"/>
      <c r="G379" s="324"/>
    </row>
    <row r="380">
      <c r="C380" s="324"/>
      <c r="E380" s="324"/>
      <c r="G380" s="324"/>
    </row>
    <row r="381">
      <c r="C381" s="324"/>
      <c r="E381" s="324"/>
      <c r="G381" s="324"/>
    </row>
    <row r="382">
      <c r="C382" s="324"/>
      <c r="E382" s="324"/>
      <c r="G382" s="324"/>
    </row>
    <row r="383">
      <c r="C383" s="324"/>
      <c r="E383" s="324"/>
      <c r="G383" s="324"/>
    </row>
    <row r="384">
      <c r="C384" s="324"/>
      <c r="E384" s="324"/>
      <c r="G384" s="324"/>
    </row>
    <row r="385">
      <c r="C385" s="324"/>
      <c r="E385" s="324"/>
      <c r="G385" s="324"/>
    </row>
    <row r="386">
      <c r="C386" s="324"/>
      <c r="E386" s="324"/>
      <c r="G386" s="324"/>
    </row>
    <row r="387">
      <c r="C387" s="324"/>
      <c r="E387" s="324"/>
      <c r="G387" s="324"/>
    </row>
    <row r="388">
      <c r="C388" s="324"/>
      <c r="E388" s="324"/>
      <c r="G388" s="324"/>
    </row>
    <row r="389">
      <c r="C389" s="324"/>
      <c r="E389" s="324"/>
      <c r="G389" s="324"/>
    </row>
    <row r="390">
      <c r="C390" s="324"/>
      <c r="E390" s="324"/>
      <c r="G390" s="324"/>
    </row>
    <row r="391">
      <c r="C391" s="324"/>
      <c r="E391" s="324"/>
      <c r="G391" s="324"/>
    </row>
    <row r="392">
      <c r="C392" s="324"/>
      <c r="E392" s="324"/>
      <c r="G392" s="324"/>
    </row>
    <row r="393">
      <c r="C393" s="324"/>
      <c r="E393" s="324"/>
      <c r="G393" s="324"/>
    </row>
    <row r="394">
      <c r="C394" s="324"/>
      <c r="E394" s="324"/>
      <c r="G394" s="324"/>
    </row>
    <row r="395">
      <c r="C395" s="324"/>
      <c r="E395" s="324"/>
      <c r="G395" s="324"/>
    </row>
    <row r="396">
      <c r="C396" s="324"/>
      <c r="E396" s="324"/>
      <c r="G396" s="324"/>
    </row>
    <row r="397">
      <c r="C397" s="324"/>
      <c r="E397" s="324"/>
      <c r="G397" s="324"/>
    </row>
    <row r="398">
      <c r="C398" s="324"/>
      <c r="E398" s="324"/>
      <c r="G398" s="324"/>
    </row>
    <row r="399">
      <c r="C399" s="324"/>
      <c r="E399" s="324"/>
      <c r="G399" s="324"/>
    </row>
    <row r="400">
      <c r="C400" s="324"/>
      <c r="E400" s="324"/>
      <c r="G400" s="324"/>
    </row>
    <row r="401">
      <c r="C401" s="324"/>
      <c r="E401" s="324"/>
      <c r="G401" s="324"/>
    </row>
    <row r="402">
      <c r="C402" s="324"/>
      <c r="E402" s="324"/>
      <c r="G402" s="324"/>
    </row>
    <row r="403">
      <c r="C403" s="324"/>
      <c r="E403" s="324"/>
      <c r="G403" s="324"/>
    </row>
    <row r="404">
      <c r="C404" s="324"/>
      <c r="E404" s="324"/>
      <c r="G404" s="324"/>
    </row>
    <row r="405">
      <c r="C405" s="324"/>
      <c r="E405" s="324"/>
      <c r="G405" s="324"/>
    </row>
    <row r="406">
      <c r="C406" s="324"/>
      <c r="E406" s="324"/>
      <c r="G406" s="324"/>
    </row>
    <row r="407">
      <c r="C407" s="324"/>
      <c r="E407" s="324"/>
      <c r="G407" s="324"/>
    </row>
    <row r="408">
      <c r="C408" s="324"/>
      <c r="E408" s="324"/>
      <c r="G408" s="324"/>
    </row>
    <row r="409">
      <c r="C409" s="324"/>
      <c r="E409" s="324"/>
      <c r="G409" s="324"/>
    </row>
    <row r="410">
      <c r="C410" s="324"/>
      <c r="E410" s="324"/>
      <c r="G410" s="324"/>
    </row>
    <row r="411">
      <c r="C411" s="324"/>
      <c r="E411" s="324"/>
      <c r="G411" s="324"/>
    </row>
    <row r="412">
      <c r="C412" s="324"/>
      <c r="E412" s="324"/>
      <c r="G412" s="324"/>
    </row>
    <row r="413">
      <c r="C413" s="324"/>
      <c r="E413" s="324"/>
      <c r="G413" s="324"/>
    </row>
    <row r="414">
      <c r="C414" s="324"/>
      <c r="E414" s="324"/>
      <c r="G414" s="324"/>
    </row>
    <row r="415">
      <c r="C415" s="324"/>
      <c r="E415" s="324"/>
      <c r="G415" s="324"/>
    </row>
    <row r="416">
      <c r="C416" s="324"/>
      <c r="E416" s="324"/>
      <c r="G416" s="324"/>
    </row>
    <row r="417">
      <c r="C417" s="324"/>
      <c r="E417" s="324"/>
      <c r="G417" s="324"/>
    </row>
    <row r="418">
      <c r="C418" s="324"/>
      <c r="E418" s="324"/>
      <c r="G418" s="324"/>
    </row>
    <row r="419">
      <c r="C419" s="324"/>
      <c r="E419" s="324"/>
      <c r="G419" s="324"/>
    </row>
    <row r="420">
      <c r="C420" s="324"/>
      <c r="E420" s="324"/>
      <c r="G420" s="324"/>
    </row>
    <row r="421">
      <c r="C421" s="324"/>
      <c r="E421" s="324"/>
      <c r="G421" s="324"/>
    </row>
    <row r="422">
      <c r="C422" s="324"/>
      <c r="E422" s="324"/>
      <c r="G422" s="324"/>
    </row>
    <row r="423">
      <c r="C423" s="324"/>
      <c r="E423" s="324"/>
      <c r="G423" s="324"/>
    </row>
    <row r="424">
      <c r="C424" s="324"/>
      <c r="E424" s="324"/>
      <c r="G424" s="324"/>
    </row>
    <row r="425">
      <c r="C425" s="324"/>
      <c r="E425" s="324"/>
      <c r="G425" s="324"/>
    </row>
    <row r="426">
      <c r="C426" s="324"/>
      <c r="E426" s="324"/>
      <c r="G426" s="324"/>
    </row>
    <row r="427">
      <c r="C427" s="324"/>
      <c r="E427" s="324"/>
      <c r="G427" s="324"/>
    </row>
    <row r="428">
      <c r="C428" s="324"/>
      <c r="E428" s="324"/>
      <c r="G428" s="324"/>
    </row>
    <row r="429">
      <c r="C429" s="324"/>
      <c r="E429" s="324"/>
      <c r="G429" s="324"/>
    </row>
    <row r="430">
      <c r="C430" s="324"/>
      <c r="E430" s="324"/>
      <c r="G430" s="324"/>
    </row>
    <row r="431">
      <c r="C431" s="324"/>
      <c r="E431" s="324"/>
      <c r="G431" s="324"/>
    </row>
    <row r="432">
      <c r="C432" s="324"/>
      <c r="E432" s="324"/>
      <c r="G432" s="324"/>
    </row>
    <row r="433">
      <c r="C433" s="324"/>
      <c r="E433" s="324"/>
      <c r="G433" s="324"/>
    </row>
    <row r="434">
      <c r="C434" s="324"/>
      <c r="E434" s="324"/>
      <c r="G434" s="324"/>
    </row>
    <row r="435">
      <c r="C435" s="324"/>
      <c r="E435" s="324"/>
      <c r="G435" s="324"/>
    </row>
    <row r="436">
      <c r="C436" s="324"/>
      <c r="E436" s="324"/>
      <c r="G436" s="324"/>
    </row>
    <row r="437">
      <c r="C437" s="324"/>
      <c r="E437" s="324"/>
      <c r="G437" s="324"/>
    </row>
    <row r="438">
      <c r="C438" s="324"/>
      <c r="E438" s="324"/>
      <c r="G438" s="324"/>
    </row>
    <row r="439">
      <c r="C439" s="324"/>
      <c r="E439" s="324"/>
      <c r="G439" s="324"/>
    </row>
    <row r="440">
      <c r="C440" s="324"/>
      <c r="E440" s="324"/>
      <c r="G440" s="324"/>
    </row>
    <row r="441">
      <c r="C441" s="324"/>
      <c r="E441" s="324"/>
      <c r="G441" s="324"/>
    </row>
    <row r="442">
      <c r="C442" s="324"/>
      <c r="E442" s="324"/>
      <c r="G442" s="324"/>
    </row>
    <row r="443">
      <c r="C443" s="324"/>
      <c r="E443" s="324"/>
      <c r="G443" s="324"/>
    </row>
    <row r="444">
      <c r="C444" s="324"/>
      <c r="E444" s="324"/>
      <c r="G444" s="324"/>
    </row>
    <row r="445">
      <c r="C445" s="324"/>
      <c r="E445" s="324"/>
      <c r="G445" s="324"/>
    </row>
    <row r="446">
      <c r="C446" s="324"/>
      <c r="E446" s="324"/>
      <c r="G446" s="324"/>
    </row>
    <row r="447">
      <c r="C447" s="324"/>
      <c r="E447" s="324"/>
      <c r="G447" s="324"/>
    </row>
    <row r="448">
      <c r="C448" s="324"/>
      <c r="E448" s="324"/>
      <c r="G448" s="324"/>
    </row>
    <row r="449">
      <c r="C449" s="324"/>
      <c r="E449" s="324"/>
      <c r="G449" s="324"/>
    </row>
    <row r="450">
      <c r="C450" s="324"/>
      <c r="E450" s="324"/>
      <c r="G450" s="324"/>
    </row>
    <row r="451">
      <c r="C451" s="324"/>
      <c r="E451" s="324"/>
      <c r="G451" s="324"/>
    </row>
    <row r="452">
      <c r="C452" s="324"/>
      <c r="E452" s="324"/>
      <c r="G452" s="324"/>
    </row>
    <row r="453">
      <c r="C453" s="324"/>
      <c r="E453" s="324"/>
      <c r="G453" s="324"/>
    </row>
    <row r="454">
      <c r="C454" s="324"/>
      <c r="E454" s="324"/>
      <c r="G454" s="324"/>
    </row>
    <row r="455">
      <c r="C455" s="324"/>
      <c r="E455" s="324"/>
      <c r="G455" s="324"/>
    </row>
    <row r="456">
      <c r="C456" s="324"/>
      <c r="E456" s="324"/>
      <c r="G456" s="324"/>
    </row>
    <row r="457">
      <c r="C457" s="324"/>
      <c r="E457" s="324"/>
      <c r="G457" s="324"/>
    </row>
    <row r="458">
      <c r="C458" s="324"/>
      <c r="E458" s="324"/>
      <c r="G458" s="324"/>
    </row>
    <row r="459">
      <c r="C459" s="324"/>
      <c r="E459" s="324"/>
      <c r="G459" s="324"/>
    </row>
    <row r="460">
      <c r="C460" s="324"/>
      <c r="E460" s="324"/>
      <c r="G460" s="324"/>
    </row>
    <row r="461">
      <c r="C461" s="324"/>
      <c r="E461" s="324"/>
      <c r="G461" s="324"/>
    </row>
    <row r="462">
      <c r="C462" s="324"/>
      <c r="E462" s="324"/>
      <c r="G462" s="324"/>
    </row>
    <row r="463">
      <c r="C463" s="324"/>
      <c r="E463" s="324"/>
      <c r="G463" s="324"/>
    </row>
    <row r="464">
      <c r="C464" s="324"/>
      <c r="E464" s="324"/>
      <c r="G464" s="324"/>
    </row>
    <row r="465">
      <c r="C465" s="324"/>
      <c r="E465" s="324"/>
      <c r="G465" s="324"/>
    </row>
    <row r="466">
      <c r="C466" s="324"/>
      <c r="E466" s="324"/>
      <c r="G466" s="324"/>
    </row>
    <row r="467">
      <c r="C467" s="324"/>
      <c r="E467" s="324"/>
      <c r="G467" s="324"/>
    </row>
    <row r="468">
      <c r="C468" s="324"/>
      <c r="E468" s="324"/>
      <c r="G468" s="324"/>
    </row>
    <row r="469">
      <c r="C469" s="324"/>
      <c r="E469" s="324"/>
      <c r="G469" s="324"/>
    </row>
    <row r="470">
      <c r="C470" s="324"/>
      <c r="E470" s="324"/>
      <c r="G470" s="324"/>
    </row>
    <row r="471">
      <c r="C471" s="324"/>
      <c r="E471" s="324"/>
      <c r="G471" s="324"/>
    </row>
    <row r="472">
      <c r="C472" s="324"/>
      <c r="E472" s="324"/>
      <c r="G472" s="324"/>
    </row>
    <row r="473">
      <c r="C473" s="324"/>
      <c r="E473" s="324"/>
      <c r="G473" s="324"/>
    </row>
    <row r="474">
      <c r="C474" s="324"/>
      <c r="E474" s="324"/>
      <c r="G474" s="324"/>
    </row>
    <row r="475">
      <c r="C475" s="324"/>
      <c r="E475" s="324"/>
      <c r="G475" s="324"/>
    </row>
    <row r="476">
      <c r="C476" s="324"/>
      <c r="E476" s="324"/>
      <c r="G476" s="324"/>
    </row>
    <row r="477">
      <c r="C477" s="324"/>
      <c r="E477" s="324"/>
      <c r="G477" s="324"/>
    </row>
    <row r="478">
      <c r="C478" s="324"/>
      <c r="E478" s="324"/>
      <c r="G478" s="324"/>
    </row>
    <row r="479">
      <c r="C479" s="324"/>
      <c r="E479" s="324"/>
      <c r="G479" s="324"/>
    </row>
    <row r="480">
      <c r="C480" s="324"/>
      <c r="E480" s="324"/>
      <c r="G480" s="324"/>
    </row>
    <row r="481">
      <c r="C481" s="324"/>
      <c r="E481" s="324"/>
      <c r="G481" s="324"/>
    </row>
    <row r="482">
      <c r="C482" s="324"/>
      <c r="E482" s="324"/>
      <c r="G482" s="324"/>
    </row>
    <row r="483">
      <c r="C483" s="324"/>
      <c r="E483" s="324"/>
      <c r="G483" s="324"/>
    </row>
    <row r="484">
      <c r="C484" s="324"/>
      <c r="E484" s="324"/>
      <c r="G484" s="324"/>
    </row>
    <row r="485">
      <c r="C485" s="324"/>
      <c r="E485" s="324"/>
      <c r="G485" s="324"/>
    </row>
    <row r="486">
      <c r="C486" s="324"/>
      <c r="E486" s="324"/>
      <c r="G486" s="324"/>
    </row>
    <row r="487">
      <c r="C487" s="324"/>
      <c r="E487" s="324"/>
      <c r="G487" s="324"/>
    </row>
    <row r="488">
      <c r="C488" s="324"/>
      <c r="E488" s="324"/>
      <c r="G488" s="324"/>
    </row>
    <row r="489">
      <c r="C489" s="324"/>
      <c r="E489" s="324"/>
      <c r="G489" s="324"/>
    </row>
    <row r="490">
      <c r="C490" s="324"/>
      <c r="E490" s="324"/>
      <c r="G490" s="324"/>
    </row>
    <row r="491">
      <c r="C491" s="324"/>
      <c r="E491" s="324"/>
      <c r="G491" s="324"/>
    </row>
    <row r="492">
      <c r="C492" s="324"/>
      <c r="E492" s="324"/>
      <c r="G492" s="324"/>
    </row>
    <row r="493">
      <c r="C493" s="324"/>
      <c r="E493" s="324"/>
      <c r="G493" s="324"/>
    </row>
    <row r="494">
      <c r="C494" s="324"/>
      <c r="E494" s="324"/>
      <c r="G494" s="324"/>
    </row>
    <row r="495">
      <c r="C495" s="324"/>
      <c r="E495" s="324"/>
      <c r="G495" s="324"/>
    </row>
    <row r="496">
      <c r="C496" s="324"/>
      <c r="E496" s="324"/>
      <c r="G496" s="324"/>
    </row>
    <row r="497">
      <c r="C497" s="324"/>
      <c r="E497" s="324"/>
      <c r="G497" s="324"/>
    </row>
    <row r="498">
      <c r="C498" s="324"/>
      <c r="E498" s="324"/>
      <c r="G498" s="324"/>
    </row>
    <row r="499">
      <c r="C499" s="324"/>
      <c r="E499" s="324"/>
      <c r="G499" s="324"/>
    </row>
    <row r="500">
      <c r="C500" s="324"/>
      <c r="E500" s="324"/>
      <c r="G500" s="324"/>
    </row>
    <row r="501">
      <c r="C501" s="324"/>
      <c r="E501" s="324"/>
      <c r="G501" s="324"/>
    </row>
    <row r="502">
      <c r="C502" s="324"/>
      <c r="E502" s="324"/>
      <c r="G502" s="324"/>
    </row>
    <row r="503">
      <c r="C503" s="324"/>
      <c r="E503" s="324"/>
      <c r="G503" s="324"/>
    </row>
    <row r="504">
      <c r="C504" s="324"/>
      <c r="E504" s="324"/>
      <c r="G504" s="324"/>
    </row>
    <row r="505">
      <c r="C505" s="324"/>
      <c r="E505" s="324"/>
      <c r="G505" s="324"/>
    </row>
    <row r="506">
      <c r="C506" s="324"/>
      <c r="E506" s="324"/>
      <c r="G506" s="324"/>
    </row>
    <row r="507">
      <c r="C507" s="324"/>
      <c r="E507" s="324"/>
      <c r="G507" s="324"/>
    </row>
    <row r="508">
      <c r="C508" s="324"/>
      <c r="E508" s="324"/>
      <c r="G508" s="324"/>
    </row>
    <row r="509">
      <c r="C509" s="324"/>
      <c r="E509" s="324"/>
      <c r="G509" s="324"/>
    </row>
    <row r="510">
      <c r="C510" s="324"/>
      <c r="E510" s="324"/>
      <c r="G510" s="324"/>
    </row>
    <row r="511">
      <c r="C511" s="324"/>
      <c r="E511" s="324"/>
      <c r="G511" s="324"/>
    </row>
    <row r="512">
      <c r="C512" s="324"/>
      <c r="E512" s="324"/>
      <c r="G512" s="324"/>
    </row>
    <row r="513">
      <c r="C513" s="324"/>
      <c r="E513" s="324"/>
      <c r="G513" s="324"/>
    </row>
    <row r="514">
      <c r="C514" s="324"/>
      <c r="E514" s="324"/>
      <c r="G514" s="324"/>
    </row>
    <row r="515">
      <c r="C515" s="324"/>
      <c r="E515" s="324"/>
      <c r="G515" s="324"/>
    </row>
    <row r="516">
      <c r="C516" s="324"/>
      <c r="E516" s="324"/>
      <c r="G516" s="324"/>
    </row>
    <row r="517">
      <c r="C517" s="324"/>
      <c r="E517" s="324"/>
      <c r="G517" s="324"/>
    </row>
    <row r="518">
      <c r="C518" s="324"/>
      <c r="E518" s="324"/>
      <c r="G518" s="324"/>
    </row>
    <row r="519">
      <c r="C519" s="324"/>
      <c r="E519" s="324"/>
      <c r="G519" s="324"/>
    </row>
    <row r="520">
      <c r="C520" s="324"/>
      <c r="E520" s="324"/>
      <c r="G520" s="324"/>
    </row>
    <row r="521">
      <c r="C521" s="324"/>
      <c r="E521" s="324"/>
      <c r="G521" s="324"/>
    </row>
    <row r="522">
      <c r="C522" s="324"/>
      <c r="E522" s="324"/>
      <c r="G522" s="324"/>
    </row>
    <row r="523">
      <c r="C523" s="324"/>
      <c r="E523" s="324"/>
      <c r="G523" s="324"/>
    </row>
    <row r="524">
      <c r="C524" s="324"/>
      <c r="E524" s="324"/>
      <c r="G524" s="324"/>
    </row>
    <row r="525">
      <c r="C525" s="324"/>
      <c r="E525" s="324"/>
      <c r="G525" s="324"/>
    </row>
    <row r="526">
      <c r="C526" s="324"/>
      <c r="E526" s="324"/>
      <c r="G526" s="324"/>
    </row>
    <row r="527">
      <c r="C527" s="324"/>
      <c r="E527" s="324"/>
      <c r="G527" s="324"/>
    </row>
    <row r="528">
      <c r="C528" s="324"/>
      <c r="E528" s="324"/>
      <c r="G528" s="324"/>
    </row>
    <row r="529">
      <c r="C529" s="324"/>
      <c r="E529" s="324"/>
      <c r="G529" s="324"/>
    </row>
    <row r="530">
      <c r="C530" s="324"/>
      <c r="E530" s="324"/>
      <c r="G530" s="324"/>
    </row>
    <row r="531">
      <c r="C531" s="324"/>
      <c r="E531" s="324"/>
      <c r="G531" s="324"/>
    </row>
    <row r="532">
      <c r="C532" s="324"/>
      <c r="E532" s="324"/>
      <c r="G532" s="324"/>
    </row>
    <row r="533">
      <c r="C533" s="324"/>
      <c r="E533" s="324"/>
      <c r="G533" s="324"/>
    </row>
    <row r="534">
      <c r="C534" s="324"/>
      <c r="E534" s="324"/>
      <c r="G534" s="324"/>
    </row>
    <row r="535">
      <c r="C535" s="324"/>
      <c r="E535" s="324"/>
      <c r="G535" s="324"/>
    </row>
    <row r="536">
      <c r="C536" s="324"/>
      <c r="E536" s="324"/>
      <c r="G536" s="324"/>
    </row>
    <row r="537">
      <c r="C537" s="324"/>
      <c r="E537" s="324"/>
      <c r="G537" s="324"/>
    </row>
    <row r="538">
      <c r="C538" s="324"/>
      <c r="E538" s="324"/>
      <c r="G538" s="324"/>
    </row>
    <row r="539">
      <c r="C539" s="324"/>
      <c r="E539" s="324"/>
      <c r="G539" s="324"/>
    </row>
    <row r="540">
      <c r="C540" s="324"/>
      <c r="E540" s="324"/>
      <c r="G540" s="324"/>
    </row>
    <row r="541">
      <c r="C541" s="324"/>
      <c r="E541" s="324"/>
      <c r="G541" s="324"/>
    </row>
    <row r="542">
      <c r="C542" s="324"/>
      <c r="E542" s="324"/>
      <c r="G542" s="324"/>
    </row>
    <row r="543">
      <c r="C543" s="324"/>
      <c r="E543" s="324"/>
      <c r="G543" s="324"/>
    </row>
    <row r="544">
      <c r="C544" s="324"/>
      <c r="E544" s="324"/>
      <c r="G544" s="324"/>
    </row>
    <row r="545">
      <c r="C545" s="324"/>
      <c r="E545" s="324"/>
      <c r="G545" s="324"/>
    </row>
    <row r="546">
      <c r="C546" s="324"/>
      <c r="E546" s="324"/>
      <c r="G546" s="324"/>
    </row>
    <row r="547">
      <c r="C547" s="324"/>
      <c r="E547" s="324"/>
      <c r="G547" s="324"/>
    </row>
    <row r="548">
      <c r="C548" s="324"/>
      <c r="E548" s="324"/>
      <c r="G548" s="324"/>
    </row>
    <row r="549">
      <c r="C549" s="324"/>
      <c r="E549" s="324"/>
      <c r="G549" s="324"/>
    </row>
    <row r="550">
      <c r="C550" s="324"/>
      <c r="E550" s="324"/>
      <c r="G550" s="324"/>
    </row>
    <row r="551">
      <c r="C551" s="324"/>
      <c r="E551" s="324"/>
      <c r="G551" s="324"/>
    </row>
    <row r="552">
      <c r="C552" s="324"/>
      <c r="E552" s="324"/>
      <c r="G552" s="324"/>
    </row>
    <row r="553">
      <c r="C553" s="324"/>
      <c r="E553" s="324"/>
      <c r="G553" s="324"/>
    </row>
    <row r="554">
      <c r="C554" s="324"/>
      <c r="E554" s="324"/>
      <c r="G554" s="324"/>
    </row>
    <row r="555">
      <c r="C555" s="324"/>
      <c r="E555" s="324"/>
      <c r="G555" s="324"/>
    </row>
    <row r="556">
      <c r="C556" s="324"/>
      <c r="E556" s="324"/>
      <c r="G556" s="324"/>
    </row>
    <row r="557">
      <c r="C557" s="324"/>
      <c r="E557" s="324"/>
      <c r="G557" s="324"/>
    </row>
    <row r="558">
      <c r="C558" s="324"/>
      <c r="E558" s="324"/>
      <c r="G558" s="324"/>
    </row>
    <row r="559">
      <c r="C559" s="324"/>
      <c r="E559" s="324"/>
      <c r="G559" s="324"/>
    </row>
    <row r="560">
      <c r="C560" s="324"/>
      <c r="E560" s="324"/>
      <c r="G560" s="324"/>
    </row>
    <row r="561">
      <c r="C561" s="324"/>
      <c r="E561" s="324"/>
      <c r="G561" s="324"/>
    </row>
    <row r="562">
      <c r="C562" s="324"/>
      <c r="E562" s="324"/>
      <c r="G562" s="324"/>
    </row>
    <row r="563">
      <c r="C563" s="324"/>
      <c r="E563" s="324"/>
      <c r="G563" s="324"/>
    </row>
    <row r="564">
      <c r="C564" s="324"/>
      <c r="E564" s="324"/>
      <c r="G564" s="324"/>
    </row>
    <row r="565">
      <c r="C565" s="324"/>
      <c r="E565" s="324"/>
      <c r="G565" s="324"/>
    </row>
    <row r="566">
      <c r="C566" s="324"/>
      <c r="E566" s="324"/>
      <c r="G566" s="324"/>
    </row>
    <row r="567">
      <c r="C567" s="324"/>
      <c r="E567" s="324"/>
      <c r="G567" s="324"/>
    </row>
    <row r="568">
      <c r="C568" s="324"/>
      <c r="E568" s="324"/>
      <c r="G568" s="324"/>
    </row>
    <row r="569">
      <c r="C569" s="324"/>
      <c r="E569" s="324"/>
      <c r="G569" s="324"/>
    </row>
    <row r="570">
      <c r="C570" s="324"/>
      <c r="E570" s="324"/>
      <c r="G570" s="324"/>
    </row>
    <row r="571">
      <c r="C571" s="324"/>
      <c r="E571" s="324"/>
      <c r="G571" s="324"/>
    </row>
    <row r="572">
      <c r="C572" s="324"/>
      <c r="E572" s="324"/>
      <c r="G572" s="324"/>
    </row>
    <row r="573">
      <c r="C573" s="324"/>
      <c r="E573" s="324"/>
      <c r="G573" s="324"/>
    </row>
    <row r="574">
      <c r="C574" s="324"/>
      <c r="E574" s="324"/>
      <c r="G574" s="324"/>
    </row>
    <row r="575">
      <c r="C575" s="324"/>
      <c r="E575" s="324"/>
      <c r="G575" s="324"/>
    </row>
    <row r="576">
      <c r="C576" s="324"/>
      <c r="E576" s="324"/>
      <c r="G576" s="324"/>
    </row>
    <row r="577">
      <c r="C577" s="324"/>
      <c r="E577" s="324"/>
      <c r="G577" s="324"/>
    </row>
    <row r="578">
      <c r="C578" s="324"/>
      <c r="E578" s="324"/>
      <c r="G578" s="324"/>
    </row>
    <row r="579">
      <c r="C579" s="324"/>
      <c r="E579" s="324"/>
      <c r="G579" s="324"/>
    </row>
    <row r="580">
      <c r="C580" s="324"/>
      <c r="E580" s="324"/>
      <c r="G580" s="324"/>
    </row>
    <row r="581">
      <c r="C581" s="324"/>
      <c r="E581" s="324"/>
      <c r="G581" s="324"/>
    </row>
    <row r="582">
      <c r="C582" s="324"/>
      <c r="E582" s="324"/>
      <c r="G582" s="324"/>
    </row>
    <row r="583">
      <c r="C583" s="324"/>
      <c r="E583" s="324"/>
      <c r="G583" s="324"/>
    </row>
    <row r="584">
      <c r="C584" s="324"/>
      <c r="E584" s="324"/>
      <c r="G584" s="324"/>
    </row>
    <row r="585">
      <c r="C585" s="324"/>
      <c r="E585" s="324"/>
      <c r="G585" s="324"/>
    </row>
    <row r="586">
      <c r="C586" s="324"/>
      <c r="E586" s="324"/>
      <c r="G586" s="324"/>
    </row>
    <row r="587">
      <c r="C587" s="324"/>
      <c r="E587" s="324"/>
      <c r="G587" s="324"/>
    </row>
    <row r="588">
      <c r="C588" s="324"/>
      <c r="E588" s="324"/>
      <c r="G588" s="324"/>
    </row>
    <row r="589">
      <c r="C589" s="324"/>
      <c r="E589" s="324"/>
      <c r="G589" s="324"/>
    </row>
    <row r="590">
      <c r="C590" s="324"/>
      <c r="E590" s="324"/>
      <c r="G590" s="324"/>
    </row>
    <row r="591">
      <c r="C591" s="324"/>
      <c r="E591" s="324"/>
      <c r="G591" s="324"/>
    </row>
    <row r="592">
      <c r="C592" s="324"/>
      <c r="E592" s="324"/>
      <c r="G592" s="324"/>
    </row>
    <row r="593">
      <c r="C593" s="324"/>
      <c r="E593" s="324"/>
      <c r="G593" s="324"/>
    </row>
    <row r="594">
      <c r="C594" s="324"/>
      <c r="E594" s="324"/>
      <c r="G594" s="324"/>
    </row>
    <row r="595">
      <c r="C595" s="324"/>
      <c r="E595" s="324"/>
      <c r="G595" s="324"/>
    </row>
    <row r="596">
      <c r="C596" s="324"/>
      <c r="E596" s="324"/>
      <c r="G596" s="324"/>
    </row>
    <row r="597">
      <c r="C597" s="324"/>
      <c r="E597" s="324"/>
      <c r="G597" s="324"/>
    </row>
    <row r="598">
      <c r="C598" s="324"/>
      <c r="E598" s="324"/>
      <c r="G598" s="324"/>
    </row>
    <row r="599">
      <c r="C599" s="324"/>
      <c r="E599" s="324"/>
      <c r="G599" s="324"/>
    </row>
    <row r="600">
      <c r="C600" s="324"/>
      <c r="E600" s="324"/>
      <c r="G600" s="324"/>
    </row>
    <row r="601">
      <c r="C601" s="324"/>
      <c r="E601" s="324"/>
      <c r="G601" s="324"/>
    </row>
    <row r="602">
      <c r="C602" s="324"/>
      <c r="E602" s="324"/>
      <c r="G602" s="324"/>
    </row>
    <row r="603">
      <c r="C603" s="324"/>
      <c r="E603" s="324"/>
      <c r="G603" s="324"/>
    </row>
    <row r="604">
      <c r="C604" s="324"/>
      <c r="E604" s="324"/>
      <c r="G604" s="324"/>
    </row>
    <row r="605">
      <c r="C605" s="324"/>
      <c r="E605" s="324"/>
      <c r="G605" s="324"/>
    </row>
    <row r="606">
      <c r="C606" s="324"/>
      <c r="E606" s="324"/>
      <c r="G606" s="324"/>
    </row>
    <row r="607">
      <c r="C607" s="324"/>
      <c r="E607" s="324"/>
      <c r="G607" s="324"/>
    </row>
    <row r="608">
      <c r="C608" s="324"/>
      <c r="E608" s="324"/>
      <c r="G608" s="324"/>
    </row>
    <row r="609">
      <c r="C609" s="324"/>
      <c r="E609" s="324"/>
      <c r="G609" s="324"/>
    </row>
    <row r="610">
      <c r="C610" s="324"/>
      <c r="E610" s="324"/>
      <c r="G610" s="324"/>
    </row>
    <row r="611">
      <c r="C611" s="324"/>
      <c r="E611" s="324"/>
      <c r="G611" s="324"/>
    </row>
    <row r="612">
      <c r="C612" s="324"/>
      <c r="E612" s="324"/>
      <c r="G612" s="324"/>
    </row>
    <row r="613">
      <c r="C613" s="324"/>
      <c r="E613" s="324"/>
      <c r="G613" s="324"/>
    </row>
    <row r="614">
      <c r="C614" s="324"/>
      <c r="E614" s="324"/>
      <c r="G614" s="324"/>
    </row>
    <row r="615">
      <c r="C615" s="324"/>
      <c r="E615" s="324"/>
      <c r="G615" s="324"/>
    </row>
    <row r="616">
      <c r="C616" s="324"/>
      <c r="E616" s="324"/>
      <c r="G616" s="324"/>
    </row>
    <row r="617">
      <c r="C617" s="324"/>
      <c r="E617" s="324"/>
      <c r="G617" s="324"/>
    </row>
    <row r="618">
      <c r="C618" s="324"/>
      <c r="E618" s="324"/>
      <c r="G618" s="324"/>
    </row>
    <row r="619">
      <c r="C619" s="324"/>
      <c r="E619" s="324"/>
      <c r="G619" s="324"/>
    </row>
    <row r="620">
      <c r="C620" s="324"/>
      <c r="E620" s="324"/>
      <c r="G620" s="324"/>
    </row>
    <row r="621">
      <c r="C621" s="324"/>
      <c r="E621" s="324"/>
      <c r="G621" s="324"/>
    </row>
    <row r="622">
      <c r="C622" s="324"/>
      <c r="E622" s="324"/>
      <c r="G622" s="324"/>
    </row>
    <row r="623">
      <c r="C623" s="324"/>
      <c r="E623" s="324"/>
      <c r="G623" s="324"/>
    </row>
    <row r="624">
      <c r="C624" s="324"/>
      <c r="E624" s="324"/>
      <c r="G624" s="324"/>
    </row>
    <row r="625">
      <c r="C625" s="324"/>
      <c r="E625" s="324"/>
      <c r="G625" s="324"/>
    </row>
    <row r="626">
      <c r="C626" s="324"/>
      <c r="E626" s="324"/>
      <c r="G626" s="324"/>
    </row>
    <row r="627">
      <c r="C627" s="324"/>
      <c r="E627" s="324"/>
      <c r="G627" s="324"/>
    </row>
    <row r="628">
      <c r="C628" s="324"/>
      <c r="E628" s="324"/>
      <c r="G628" s="324"/>
    </row>
    <row r="629">
      <c r="C629" s="324"/>
      <c r="E629" s="324"/>
      <c r="G629" s="324"/>
    </row>
    <row r="630">
      <c r="C630" s="324"/>
      <c r="E630" s="324"/>
      <c r="G630" s="324"/>
    </row>
    <row r="631">
      <c r="C631" s="324"/>
      <c r="E631" s="324"/>
      <c r="G631" s="324"/>
    </row>
    <row r="632">
      <c r="C632" s="324"/>
      <c r="E632" s="324"/>
      <c r="G632" s="324"/>
    </row>
    <row r="633">
      <c r="C633" s="324"/>
      <c r="E633" s="324"/>
      <c r="G633" s="324"/>
    </row>
    <row r="634">
      <c r="C634" s="324"/>
      <c r="E634" s="324"/>
      <c r="G634" s="324"/>
    </row>
    <row r="635">
      <c r="C635" s="324"/>
      <c r="E635" s="324"/>
      <c r="G635" s="324"/>
    </row>
    <row r="636">
      <c r="C636" s="324"/>
      <c r="E636" s="324"/>
      <c r="G636" s="324"/>
    </row>
    <row r="637">
      <c r="C637" s="324"/>
      <c r="E637" s="324"/>
      <c r="G637" s="324"/>
    </row>
    <row r="638">
      <c r="C638" s="324"/>
      <c r="E638" s="324"/>
      <c r="G638" s="324"/>
    </row>
    <row r="639">
      <c r="C639" s="324"/>
      <c r="E639" s="324"/>
      <c r="G639" s="324"/>
    </row>
    <row r="640">
      <c r="C640" s="324"/>
      <c r="E640" s="324"/>
      <c r="G640" s="324"/>
    </row>
    <row r="641">
      <c r="C641" s="324"/>
      <c r="E641" s="324"/>
      <c r="G641" s="324"/>
    </row>
    <row r="642">
      <c r="C642" s="324"/>
      <c r="E642" s="324"/>
      <c r="G642" s="324"/>
    </row>
    <row r="643">
      <c r="C643" s="324"/>
      <c r="E643" s="324"/>
      <c r="G643" s="324"/>
    </row>
    <row r="644">
      <c r="C644" s="324"/>
      <c r="E644" s="324"/>
      <c r="G644" s="324"/>
    </row>
    <row r="645">
      <c r="C645" s="324"/>
      <c r="E645" s="324"/>
      <c r="G645" s="324"/>
    </row>
    <row r="646">
      <c r="C646" s="324"/>
      <c r="E646" s="324"/>
      <c r="G646" s="324"/>
    </row>
    <row r="647">
      <c r="C647" s="324"/>
      <c r="E647" s="324"/>
      <c r="G647" s="324"/>
    </row>
    <row r="648">
      <c r="C648" s="324"/>
      <c r="E648" s="324"/>
      <c r="G648" s="324"/>
    </row>
    <row r="649">
      <c r="C649" s="324"/>
      <c r="E649" s="324"/>
      <c r="G649" s="324"/>
    </row>
    <row r="650">
      <c r="C650" s="324"/>
      <c r="E650" s="324"/>
      <c r="G650" s="324"/>
    </row>
    <row r="651">
      <c r="C651" s="324"/>
      <c r="E651" s="324"/>
      <c r="G651" s="324"/>
    </row>
    <row r="652">
      <c r="C652" s="324"/>
      <c r="E652" s="324"/>
      <c r="G652" s="324"/>
    </row>
    <row r="653">
      <c r="C653" s="324"/>
      <c r="E653" s="324"/>
      <c r="G653" s="324"/>
    </row>
    <row r="654">
      <c r="C654" s="324"/>
      <c r="E654" s="324"/>
      <c r="G654" s="324"/>
    </row>
    <row r="655">
      <c r="C655" s="324"/>
      <c r="E655" s="324"/>
      <c r="G655" s="324"/>
    </row>
    <row r="656">
      <c r="C656" s="324"/>
      <c r="E656" s="324"/>
      <c r="G656" s="324"/>
    </row>
    <row r="657">
      <c r="C657" s="324"/>
      <c r="E657" s="324"/>
      <c r="G657" s="324"/>
    </row>
    <row r="658">
      <c r="C658" s="324"/>
      <c r="E658" s="324"/>
      <c r="G658" s="324"/>
    </row>
    <row r="659">
      <c r="C659" s="324"/>
      <c r="E659" s="324"/>
      <c r="G659" s="324"/>
    </row>
    <row r="660">
      <c r="C660" s="324"/>
      <c r="E660" s="324"/>
      <c r="G660" s="324"/>
    </row>
    <row r="661">
      <c r="C661" s="324"/>
      <c r="E661" s="324"/>
      <c r="G661" s="324"/>
    </row>
    <row r="662">
      <c r="C662" s="324"/>
      <c r="E662" s="324"/>
      <c r="G662" s="324"/>
    </row>
    <row r="663">
      <c r="C663" s="324"/>
      <c r="E663" s="324"/>
      <c r="G663" s="324"/>
    </row>
    <row r="664">
      <c r="C664" s="324"/>
      <c r="E664" s="324"/>
      <c r="G664" s="324"/>
    </row>
    <row r="665">
      <c r="C665" s="324"/>
      <c r="E665" s="324"/>
      <c r="G665" s="324"/>
    </row>
    <row r="666">
      <c r="C666" s="324"/>
      <c r="E666" s="324"/>
      <c r="G666" s="324"/>
    </row>
    <row r="667">
      <c r="C667" s="324"/>
      <c r="E667" s="324"/>
      <c r="G667" s="324"/>
    </row>
    <row r="668">
      <c r="C668" s="324"/>
      <c r="E668" s="324"/>
      <c r="G668" s="324"/>
    </row>
    <row r="669">
      <c r="C669" s="324"/>
      <c r="E669" s="324"/>
      <c r="G669" s="324"/>
    </row>
    <row r="670">
      <c r="C670" s="324"/>
      <c r="E670" s="324"/>
      <c r="G670" s="324"/>
    </row>
    <row r="671">
      <c r="C671" s="324"/>
      <c r="E671" s="324"/>
      <c r="G671" s="324"/>
    </row>
    <row r="672">
      <c r="C672" s="324"/>
      <c r="E672" s="324"/>
      <c r="G672" s="324"/>
    </row>
    <row r="673">
      <c r="C673" s="324"/>
      <c r="E673" s="324"/>
      <c r="G673" s="324"/>
    </row>
    <row r="674">
      <c r="C674" s="324"/>
      <c r="E674" s="324"/>
      <c r="G674" s="324"/>
    </row>
    <row r="675">
      <c r="C675" s="324"/>
      <c r="E675" s="324"/>
      <c r="G675" s="324"/>
    </row>
    <row r="676">
      <c r="C676" s="324"/>
      <c r="E676" s="324"/>
      <c r="G676" s="324"/>
    </row>
    <row r="677">
      <c r="C677" s="324"/>
      <c r="E677" s="324"/>
      <c r="G677" s="324"/>
    </row>
    <row r="678">
      <c r="C678" s="324"/>
      <c r="E678" s="324"/>
      <c r="G678" s="324"/>
    </row>
    <row r="679">
      <c r="C679" s="324"/>
      <c r="E679" s="324"/>
      <c r="G679" s="324"/>
    </row>
    <row r="680">
      <c r="C680" s="324"/>
      <c r="E680" s="324"/>
      <c r="G680" s="324"/>
    </row>
    <row r="681">
      <c r="C681" s="324"/>
      <c r="E681" s="324"/>
      <c r="G681" s="324"/>
    </row>
    <row r="682">
      <c r="C682" s="324"/>
      <c r="E682" s="324"/>
      <c r="G682" s="324"/>
    </row>
    <row r="683">
      <c r="C683" s="324"/>
      <c r="E683" s="324"/>
      <c r="G683" s="324"/>
    </row>
    <row r="684">
      <c r="C684" s="324"/>
      <c r="E684" s="324"/>
      <c r="G684" s="324"/>
    </row>
    <row r="685">
      <c r="C685" s="324"/>
      <c r="E685" s="324"/>
      <c r="G685" s="324"/>
    </row>
    <row r="686">
      <c r="C686" s="324"/>
      <c r="E686" s="324"/>
      <c r="G686" s="324"/>
    </row>
    <row r="687">
      <c r="C687" s="324"/>
      <c r="E687" s="324"/>
      <c r="G687" s="324"/>
    </row>
    <row r="688">
      <c r="C688" s="324"/>
      <c r="E688" s="324"/>
      <c r="G688" s="324"/>
    </row>
    <row r="689">
      <c r="C689" s="324"/>
      <c r="E689" s="324"/>
      <c r="G689" s="324"/>
    </row>
    <row r="690">
      <c r="C690" s="324"/>
      <c r="E690" s="324"/>
      <c r="G690" s="324"/>
    </row>
    <row r="691">
      <c r="C691" s="324"/>
      <c r="E691" s="324"/>
      <c r="G691" s="324"/>
    </row>
    <row r="692">
      <c r="C692" s="324"/>
      <c r="E692" s="324"/>
      <c r="G692" s="324"/>
    </row>
    <row r="693">
      <c r="C693" s="324"/>
      <c r="E693" s="324"/>
      <c r="G693" s="324"/>
    </row>
    <row r="694">
      <c r="C694" s="324"/>
      <c r="E694" s="324"/>
      <c r="G694" s="324"/>
    </row>
    <row r="695">
      <c r="C695" s="324"/>
      <c r="E695" s="324"/>
      <c r="G695" s="324"/>
    </row>
    <row r="696">
      <c r="C696" s="324"/>
      <c r="E696" s="324"/>
      <c r="G696" s="324"/>
    </row>
    <row r="697">
      <c r="C697" s="324"/>
      <c r="E697" s="324"/>
      <c r="G697" s="324"/>
    </row>
    <row r="698">
      <c r="C698" s="324"/>
      <c r="E698" s="324"/>
      <c r="G698" s="324"/>
    </row>
    <row r="699">
      <c r="C699" s="324"/>
      <c r="E699" s="324"/>
      <c r="G699" s="324"/>
    </row>
    <row r="700">
      <c r="C700" s="324"/>
      <c r="E700" s="324"/>
      <c r="G700" s="324"/>
    </row>
    <row r="701">
      <c r="C701" s="324"/>
      <c r="E701" s="324"/>
      <c r="G701" s="324"/>
    </row>
    <row r="702">
      <c r="C702" s="324"/>
      <c r="E702" s="324"/>
      <c r="G702" s="324"/>
    </row>
    <row r="703">
      <c r="C703" s="324"/>
      <c r="E703" s="324"/>
      <c r="G703" s="324"/>
    </row>
    <row r="704">
      <c r="C704" s="324"/>
      <c r="E704" s="324"/>
      <c r="G704" s="324"/>
    </row>
    <row r="705">
      <c r="C705" s="324"/>
      <c r="E705" s="324"/>
      <c r="G705" s="324"/>
    </row>
    <row r="706">
      <c r="C706" s="324"/>
      <c r="E706" s="324"/>
      <c r="G706" s="324"/>
    </row>
    <row r="707">
      <c r="C707" s="324"/>
      <c r="E707" s="324"/>
      <c r="G707" s="324"/>
    </row>
    <row r="708">
      <c r="C708" s="324"/>
      <c r="E708" s="324"/>
      <c r="G708" s="324"/>
    </row>
    <row r="709">
      <c r="C709" s="324"/>
      <c r="E709" s="324"/>
      <c r="G709" s="324"/>
    </row>
    <row r="710">
      <c r="C710" s="324"/>
      <c r="E710" s="324"/>
      <c r="G710" s="324"/>
    </row>
    <row r="711">
      <c r="C711" s="324"/>
      <c r="E711" s="324"/>
      <c r="G711" s="324"/>
    </row>
    <row r="712">
      <c r="C712" s="324"/>
      <c r="E712" s="324"/>
      <c r="G712" s="324"/>
    </row>
    <row r="713">
      <c r="C713" s="324"/>
      <c r="E713" s="324"/>
      <c r="G713" s="324"/>
    </row>
    <row r="714">
      <c r="C714" s="324"/>
      <c r="E714" s="324"/>
      <c r="G714" s="324"/>
    </row>
    <row r="715">
      <c r="C715" s="324"/>
      <c r="E715" s="324"/>
      <c r="G715" s="324"/>
    </row>
    <row r="716">
      <c r="C716" s="324"/>
      <c r="E716" s="324"/>
      <c r="G716" s="324"/>
    </row>
    <row r="717">
      <c r="C717" s="324"/>
      <c r="E717" s="324"/>
      <c r="G717" s="324"/>
    </row>
    <row r="718">
      <c r="C718" s="324"/>
      <c r="E718" s="324"/>
      <c r="G718" s="324"/>
    </row>
    <row r="719">
      <c r="C719" s="324"/>
      <c r="E719" s="324"/>
      <c r="G719" s="324"/>
    </row>
    <row r="720">
      <c r="C720" s="324"/>
      <c r="E720" s="324"/>
      <c r="G720" s="324"/>
    </row>
    <row r="721">
      <c r="C721" s="324"/>
      <c r="E721" s="324"/>
      <c r="G721" s="324"/>
    </row>
    <row r="722">
      <c r="C722" s="324"/>
      <c r="E722" s="324"/>
      <c r="G722" s="324"/>
    </row>
    <row r="723">
      <c r="C723" s="324"/>
      <c r="E723" s="324"/>
      <c r="G723" s="324"/>
    </row>
    <row r="724">
      <c r="C724" s="324"/>
      <c r="E724" s="324"/>
      <c r="G724" s="324"/>
    </row>
    <row r="725">
      <c r="C725" s="324"/>
      <c r="E725" s="324"/>
      <c r="G725" s="324"/>
    </row>
    <row r="726">
      <c r="C726" s="324"/>
      <c r="E726" s="324"/>
      <c r="G726" s="324"/>
    </row>
    <row r="727">
      <c r="C727" s="324"/>
      <c r="E727" s="324"/>
      <c r="G727" s="324"/>
    </row>
    <row r="728">
      <c r="C728" s="324"/>
      <c r="E728" s="324"/>
      <c r="G728" s="324"/>
    </row>
    <row r="729">
      <c r="C729" s="324"/>
      <c r="E729" s="324"/>
      <c r="G729" s="324"/>
    </row>
    <row r="730">
      <c r="C730" s="324"/>
      <c r="E730" s="324"/>
      <c r="G730" s="324"/>
    </row>
    <row r="731">
      <c r="C731" s="324"/>
      <c r="E731" s="324"/>
      <c r="G731" s="324"/>
    </row>
    <row r="732">
      <c r="C732" s="324"/>
      <c r="E732" s="324"/>
      <c r="G732" s="324"/>
    </row>
    <row r="733">
      <c r="C733" s="324"/>
      <c r="E733" s="324"/>
      <c r="G733" s="324"/>
    </row>
    <row r="734">
      <c r="C734" s="324"/>
      <c r="E734" s="324"/>
      <c r="G734" s="324"/>
    </row>
    <row r="735">
      <c r="C735" s="324"/>
      <c r="E735" s="324"/>
      <c r="G735" s="324"/>
    </row>
    <row r="736">
      <c r="C736" s="324"/>
      <c r="E736" s="324"/>
      <c r="G736" s="324"/>
    </row>
    <row r="737">
      <c r="C737" s="324"/>
      <c r="E737" s="324"/>
      <c r="G737" s="324"/>
    </row>
    <row r="738">
      <c r="C738" s="324"/>
      <c r="E738" s="324"/>
      <c r="G738" s="324"/>
    </row>
    <row r="739">
      <c r="C739" s="324"/>
      <c r="E739" s="324"/>
      <c r="G739" s="324"/>
    </row>
    <row r="740">
      <c r="C740" s="324"/>
      <c r="E740" s="324"/>
      <c r="G740" s="324"/>
    </row>
    <row r="741">
      <c r="C741" s="324"/>
      <c r="E741" s="324"/>
      <c r="G741" s="324"/>
    </row>
    <row r="742">
      <c r="C742" s="324"/>
      <c r="E742" s="324"/>
      <c r="G742" s="324"/>
    </row>
    <row r="743">
      <c r="C743" s="324"/>
      <c r="E743" s="324"/>
      <c r="G743" s="324"/>
    </row>
    <row r="744">
      <c r="C744" s="324"/>
      <c r="E744" s="324"/>
      <c r="G744" s="324"/>
    </row>
    <row r="745">
      <c r="C745" s="324"/>
      <c r="E745" s="324"/>
      <c r="G745" s="324"/>
    </row>
    <row r="746">
      <c r="C746" s="324"/>
      <c r="E746" s="324"/>
      <c r="G746" s="324"/>
    </row>
    <row r="747">
      <c r="C747" s="324"/>
      <c r="E747" s="324"/>
      <c r="G747" s="324"/>
    </row>
    <row r="748">
      <c r="C748" s="324"/>
      <c r="E748" s="324"/>
      <c r="G748" s="324"/>
    </row>
    <row r="749">
      <c r="C749" s="324"/>
      <c r="E749" s="324"/>
      <c r="G749" s="324"/>
    </row>
    <row r="750">
      <c r="C750" s="324"/>
      <c r="E750" s="324"/>
      <c r="G750" s="324"/>
    </row>
    <row r="751">
      <c r="C751" s="324"/>
      <c r="E751" s="324"/>
      <c r="G751" s="324"/>
    </row>
    <row r="752">
      <c r="C752" s="324"/>
      <c r="E752" s="324"/>
      <c r="G752" s="324"/>
    </row>
    <row r="753">
      <c r="C753" s="324"/>
      <c r="E753" s="324"/>
      <c r="G753" s="324"/>
    </row>
    <row r="754">
      <c r="C754" s="324"/>
      <c r="E754" s="324"/>
      <c r="G754" s="324"/>
    </row>
    <row r="755">
      <c r="C755" s="324"/>
      <c r="E755" s="324"/>
      <c r="G755" s="324"/>
    </row>
    <row r="756">
      <c r="C756" s="324"/>
      <c r="E756" s="324"/>
      <c r="G756" s="324"/>
    </row>
    <row r="757">
      <c r="C757" s="324"/>
      <c r="E757" s="324"/>
      <c r="G757" s="324"/>
    </row>
    <row r="758">
      <c r="C758" s="324"/>
      <c r="E758" s="324"/>
      <c r="G758" s="324"/>
    </row>
    <row r="759">
      <c r="C759" s="324"/>
      <c r="E759" s="324"/>
      <c r="G759" s="324"/>
    </row>
    <row r="760">
      <c r="C760" s="324"/>
      <c r="E760" s="324"/>
      <c r="G760" s="324"/>
    </row>
    <row r="761">
      <c r="C761" s="324"/>
      <c r="E761" s="324"/>
      <c r="G761" s="324"/>
    </row>
    <row r="762">
      <c r="C762" s="324"/>
      <c r="E762" s="324"/>
      <c r="G762" s="324"/>
    </row>
    <row r="763">
      <c r="C763" s="324"/>
      <c r="E763" s="324"/>
      <c r="G763" s="324"/>
    </row>
    <row r="764">
      <c r="C764" s="324"/>
      <c r="E764" s="324"/>
      <c r="G764" s="324"/>
    </row>
    <row r="765">
      <c r="C765" s="324"/>
      <c r="E765" s="324"/>
      <c r="G765" s="324"/>
    </row>
    <row r="766">
      <c r="C766" s="324"/>
      <c r="E766" s="324"/>
      <c r="G766" s="324"/>
    </row>
    <row r="767">
      <c r="C767" s="324"/>
      <c r="E767" s="324"/>
      <c r="G767" s="324"/>
    </row>
    <row r="768">
      <c r="C768" s="324"/>
      <c r="E768" s="324"/>
      <c r="G768" s="324"/>
    </row>
    <row r="769">
      <c r="C769" s="324"/>
      <c r="E769" s="324"/>
      <c r="G769" s="324"/>
    </row>
    <row r="770">
      <c r="C770" s="324"/>
      <c r="E770" s="324"/>
      <c r="G770" s="324"/>
    </row>
    <row r="771">
      <c r="C771" s="324"/>
      <c r="E771" s="324"/>
      <c r="G771" s="324"/>
    </row>
    <row r="772">
      <c r="C772" s="324"/>
      <c r="E772" s="324"/>
      <c r="G772" s="324"/>
    </row>
    <row r="773">
      <c r="C773" s="324"/>
      <c r="E773" s="324"/>
      <c r="G773" s="324"/>
    </row>
    <row r="774">
      <c r="C774" s="324"/>
      <c r="E774" s="324"/>
      <c r="G774" s="324"/>
    </row>
    <row r="775">
      <c r="C775" s="324"/>
      <c r="E775" s="324"/>
      <c r="G775" s="324"/>
    </row>
    <row r="776">
      <c r="C776" s="324"/>
      <c r="E776" s="324"/>
      <c r="G776" s="324"/>
    </row>
    <row r="777">
      <c r="C777" s="324"/>
      <c r="E777" s="324"/>
      <c r="G777" s="324"/>
    </row>
    <row r="778">
      <c r="C778" s="324"/>
      <c r="E778" s="324"/>
      <c r="G778" s="324"/>
    </row>
    <row r="779">
      <c r="C779" s="324"/>
      <c r="E779" s="324"/>
      <c r="G779" s="324"/>
    </row>
    <row r="780">
      <c r="C780" s="324"/>
      <c r="E780" s="324"/>
      <c r="G780" s="324"/>
    </row>
    <row r="781">
      <c r="C781" s="324"/>
      <c r="E781" s="324"/>
      <c r="G781" s="324"/>
    </row>
    <row r="782">
      <c r="C782" s="324"/>
      <c r="E782" s="324"/>
      <c r="G782" s="324"/>
    </row>
    <row r="783">
      <c r="C783" s="324"/>
      <c r="E783" s="324"/>
      <c r="G783" s="324"/>
    </row>
    <row r="784">
      <c r="C784" s="324"/>
      <c r="E784" s="324"/>
      <c r="G784" s="324"/>
    </row>
    <row r="785">
      <c r="C785" s="324"/>
      <c r="E785" s="324"/>
      <c r="G785" s="324"/>
    </row>
    <row r="786">
      <c r="C786" s="324"/>
      <c r="E786" s="324"/>
      <c r="G786" s="324"/>
    </row>
    <row r="787">
      <c r="C787" s="324"/>
      <c r="E787" s="324"/>
      <c r="G787" s="324"/>
    </row>
    <row r="788">
      <c r="C788" s="324"/>
      <c r="E788" s="324"/>
      <c r="G788" s="324"/>
    </row>
    <row r="789">
      <c r="C789" s="324"/>
      <c r="E789" s="324"/>
      <c r="G789" s="324"/>
    </row>
    <row r="790">
      <c r="C790" s="324"/>
      <c r="E790" s="324"/>
      <c r="G790" s="324"/>
    </row>
    <row r="791">
      <c r="C791" s="324"/>
      <c r="E791" s="324"/>
      <c r="G791" s="324"/>
    </row>
    <row r="792">
      <c r="C792" s="324"/>
      <c r="E792" s="324"/>
      <c r="G792" s="324"/>
    </row>
    <row r="793">
      <c r="C793" s="324"/>
      <c r="E793" s="324"/>
      <c r="G793" s="324"/>
    </row>
    <row r="794">
      <c r="C794" s="324"/>
      <c r="E794" s="324"/>
      <c r="G794" s="324"/>
    </row>
    <row r="795">
      <c r="C795" s="324"/>
      <c r="E795" s="324"/>
      <c r="G795" s="324"/>
    </row>
    <row r="796">
      <c r="C796" s="324"/>
      <c r="E796" s="324"/>
      <c r="G796" s="324"/>
    </row>
    <row r="797">
      <c r="C797" s="324"/>
      <c r="E797" s="324"/>
      <c r="G797" s="324"/>
    </row>
    <row r="798">
      <c r="C798" s="324"/>
      <c r="E798" s="324"/>
      <c r="G798" s="324"/>
    </row>
    <row r="799">
      <c r="C799" s="324"/>
      <c r="E799" s="324"/>
      <c r="G799" s="324"/>
    </row>
    <row r="800">
      <c r="C800" s="324"/>
      <c r="E800" s="324"/>
      <c r="G800" s="324"/>
    </row>
    <row r="801">
      <c r="C801" s="324"/>
      <c r="E801" s="324"/>
      <c r="G801" s="324"/>
    </row>
    <row r="802">
      <c r="C802" s="324"/>
      <c r="E802" s="324"/>
      <c r="G802" s="324"/>
    </row>
    <row r="803">
      <c r="C803" s="324"/>
      <c r="E803" s="324"/>
      <c r="G803" s="324"/>
    </row>
    <row r="804">
      <c r="C804" s="324"/>
      <c r="E804" s="324"/>
      <c r="G804" s="324"/>
    </row>
    <row r="805">
      <c r="C805" s="324"/>
      <c r="E805" s="324"/>
      <c r="G805" s="324"/>
    </row>
    <row r="806">
      <c r="C806" s="324"/>
      <c r="E806" s="324"/>
      <c r="G806" s="324"/>
    </row>
    <row r="807">
      <c r="C807" s="324"/>
      <c r="E807" s="324"/>
      <c r="G807" s="324"/>
    </row>
    <row r="808">
      <c r="C808" s="324"/>
      <c r="E808" s="324"/>
      <c r="G808" s="324"/>
    </row>
    <row r="809">
      <c r="C809" s="324"/>
      <c r="E809" s="324"/>
      <c r="G809" s="324"/>
    </row>
    <row r="810">
      <c r="C810" s="324"/>
      <c r="E810" s="324"/>
      <c r="G810" s="324"/>
    </row>
    <row r="811">
      <c r="C811" s="324"/>
      <c r="E811" s="324"/>
      <c r="G811" s="324"/>
    </row>
    <row r="812">
      <c r="C812" s="324"/>
      <c r="E812" s="324"/>
      <c r="G812" s="324"/>
    </row>
    <row r="813">
      <c r="C813" s="324"/>
      <c r="E813" s="324"/>
      <c r="G813" s="324"/>
    </row>
    <row r="814">
      <c r="C814" s="324"/>
      <c r="E814" s="324"/>
      <c r="G814" s="324"/>
    </row>
    <row r="815">
      <c r="C815" s="324"/>
      <c r="E815" s="324"/>
      <c r="G815" s="324"/>
    </row>
    <row r="816">
      <c r="C816" s="324"/>
      <c r="E816" s="324"/>
      <c r="G816" s="324"/>
    </row>
    <row r="817">
      <c r="C817" s="324"/>
      <c r="E817" s="324"/>
      <c r="G817" s="324"/>
    </row>
    <row r="818">
      <c r="C818" s="324"/>
      <c r="E818" s="324"/>
      <c r="G818" s="324"/>
    </row>
    <row r="819">
      <c r="C819" s="324"/>
      <c r="E819" s="324"/>
      <c r="G819" s="324"/>
    </row>
    <row r="820">
      <c r="C820" s="324"/>
      <c r="E820" s="324"/>
      <c r="G820" s="324"/>
    </row>
    <row r="821">
      <c r="C821" s="324"/>
      <c r="E821" s="324"/>
      <c r="G821" s="324"/>
    </row>
    <row r="822">
      <c r="C822" s="324"/>
      <c r="E822" s="324"/>
      <c r="G822" s="324"/>
    </row>
    <row r="823">
      <c r="C823" s="324"/>
      <c r="E823" s="324"/>
      <c r="G823" s="324"/>
    </row>
    <row r="824">
      <c r="C824" s="324"/>
      <c r="E824" s="324"/>
      <c r="G824" s="324"/>
    </row>
    <row r="825">
      <c r="C825" s="324"/>
      <c r="E825" s="324"/>
      <c r="G825" s="324"/>
    </row>
    <row r="826">
      <c r="C826" s="324"/>
      <c r="E826" s="324"/>
      <c r="G826" s="324"/>
    </row>
    <row r="827">
      <c r="C827" s="324"/>
      <c r="E827" s="324"/>
      <c r="G827" s="324"/>
    </row>
    <row r="828">
      <c r="C828" s="324"/>
      <c r="E828" s="324"/>
      <c r="G828" s="324"/>
    </row>
    <row r="829">
      <c r="C829" s="324"/>
      <c r="E829" s="324"/>
      <c r="G829" s="324"/>
    </row>
    <row r="830">
      <c r="C830" s="324"/>
      <c r="E830" s="324"/>
      <c r="G830" s="324"/>
    </row>
    <row r="831">
      <c r="C831" s="324"/>
      <c r="E831" s="324"/>
      <c r="G831" s="324"/>
    </row>
    <row r="832">
      <c r="C832" s="324"/>
      <c r="E832" s="324"/>
      <c r="G832" s="324"/>
    </row>
    <row r="833">
      <c r="C833" s="324"/>
      <c r="E833" s="324"/>
      <c r="G833" s="324"/>
    </row>
    <row r="834">
      <c r="C834" s="324"/>
      <c r="E834" s="324"/>
      <c r="G834" s="324"/>
    </row>
    <row r="835">
      <c r="C835" s="324"/>
      <c r="E835" s="324"/>
      <c r="G835" s="324"/>
    </row>
    <row r="836">
      <c r="C836" s="324"/>
      <c r="E836" s="324"/>
      <c r="G836" s="324"/>
    </row>
    <row r="837">
      <c r="C837" s="324"/>
      <c r="E837" s="324"/>
      <c r="G837" s="324"/>
    </row>
    <row r="838">
      <c r="C838" s="324"/>
      <c r="E838" s="324"/>
      <c r="G838" s="324"/>
    </row>
    <row r="839">
      <c r="C839" s="324"/>
      <c r="E839" s="324"/>
      <c r="G839" s="324"/>
    </row>
    <row r="840">
      <c r="C840" s="324"/>
      <c r="E840" s="324"/>
      <c r="G840" s="324"/>
    </row>
    <row r="841">
      <c r="C841" s="324"/>
      <c r="E841" s="324"/>
      <c r="G841" s="324"/>
    </row>
    <row r="842">
      <c r="C842" s="324"/>
      <c r="E842" s="324"/>
      <c r="G842" s="324"/>
    </row>
    <row r="843">
      <c r="C843" s="324"/>
      <c r="E843" s="324"/>
      <c r="G843" s="324"/>
    </row>
    <row r="844">
      <c r="C844" s="324"/>
      <c r="E844" s="324"/>
      <c r="G844" s="324"/>
    </row>
    <row r="845">
      <c r="C845" s="324"/>
      <c r="E845" s="324"/>
      <c r="G845" s="324"/>
    </row>
    <row r="846">
      <c r="C846" s="324"/>
      <c r="E846" s="324"/>
      <c r="G846" s="324"/>
    </row>
    <row r="847">
      <c r="C847" s="324"/>
      <c r="E847" s="324"/>
      <c r="G847" s="324"/>
    </row>
    <row r="848">
      <c r="C848" s="324"/>
      <c r="E848" s="324"/>
      <c r="G848" s="324"/>
    </row>
    <row r="849">
      <c r="C849" s="324"/>
      <c r="E849" s="324"/>
      <c r="G849" s="324"/>
    </row>
    <row r="850">
      <c r="C850" s="324"/>
      <c r="E850" s="324"/>
      <c r="G850" s="324"/>
    </row>
    <row r="851">
      <c r="C851" s="324"/>
      <c r="E851" s="324"/>
      <c r="G851" s="324"/>
    </row>
    <row r="852">
      <c r="C852" s="324"/>
      <c r="E852" s="324"/>
      <c r="G852" s="324"/>
    </row>
    <row r="853">
      <c r="C853" s="324"/>
      <c r="E853" s="324"/>
      <c r="G853" s="324"/>
    </row>
    <row r="854">
      <c r="C854" s="324"/>
      <c r="E854" s="324"/>
      <c r="G854" s="324"/>
    </row>
    <row r="855">
      <c r="C855" s="324"/>
      <c r="E855" s="324"/>
      <c r="G855" s="324"/>
    </row>
    <row r="856">
      <c r="C856" s="324"/>
      <c r="E856" s="324"/>
      <c r="G856" s="324"/>
    </row>
    <row r="857">
      <c r="C857" s="324"/>
      <c r="E857" s="324"/>
      <c r="G857" s="324"/>
    </row>
    <row r="858">
      <c r="C858" s="324"/>
      <c r="E858" s="324"/>
      <c r="G858" s="324"/>
    </row>
    <row r="859">
      <c r="C859" s="324"/>
      <c r="E859" s="324"/>
      <c r="G859" s="324"/>
    </row>
    <row r="860">
      <c r="C860" s="324"/>
      <c r="E860" s="324"/>
      <c r="G860" s="324"/>
    </row>
    <row r="861">
      <c r="C861" s="324"/>
      <c r="E861" s="324"/>
      <c r="G861" s="324"/>
    </row>
    <row r="862">
      <c r="C862" s="324"/>
      <c r="E862" s="324"/>
      <c r="G862" s="324"/>
    </row>
    <row r="863">
      <c r="C863" s="324"/>
      <c r="E863" s="324"/>
      <c r="G863" s="324"/>
    </row>
    <row r="864">
      <c r="C864" s="324"/>
      <c r="E864" s="324"/>
      <c r="G864" s="324"/>
    </row>
    <row r="865">
      <c r="C865" s="324"/>
      <c r="E865" s="324"/>
      <c r="G865" s="324"/>
    </row>
    <row r="866">
      <c r="C866" s="324"/>
      <c r="E866" s="324"/>
      <c r="G866" s="324"/>
    </row>
    <row r="867">
      <c r="C867" s="324"/>
      <c r="E867" s="324"/>
      <c r="G867" s="324"/>
    </row>
    <row r="868">
      <c r="C868" s="324"/>
      <c r="E868" s="324"/>
      <c r="G868" s="324"/>
    </row>
    <row r="869">
      <c r="C869" s="324"/>
      <c r="E869" s="324"/>
      <c r="G869" s="324"/>
    </row>
    <row r="870">
      <c r="C870" s="324"/>
      <c r="E870" s="324"/>
      <c r="G870" s="324"/>
    </row>
    <row r="871">
      <c r="C871" s="324"/>
      <c r="E871" s="324"/>
      <c r="G871" s="324"/>
    </row>
    <row r="872">
      <c r="C872" s="324"/>
      <c r="E872" s="324"/>
      <c r="G872" s="324"/>
    </row>
    <row r="873">
      <c r="C873" s="324"/>
      <c r="E873" s="324"/>
      <c r="G873" s="324"/>
    </row>
    <row r="874">
      <c r="C874" s="324"/>
      <c r="E874" s="324"/>
      <c r="G874" s="324"/>
    </row>
    <row r="875">
      <c r="C875" s="324"/>
      <c r="E875" s="324"/>
      <c r="G875" s="324"/>
    </row>
    <row r="876">
      <c r="C876" s="324"/>
      <c r="E876" s="324"/>
      <c r="G876" s="324"/>
    </row>
    <row r="877">
      <c r="C877" s="324"/>
      <c r="E877" s="324"/>
      <c r="G877" s="324"/>
    </row>
    <row r="878">
      <c r="C878" s="324"/>
      <c r="E878" s="324"/>
      <c r="G878" s="324"/>
    </row>
    <row r="879">
      <c r="C879" s="324"/>
      <c r="E879" s="324"/>
      <c r="G879" s="324"/>
    </row>
    <row r="880">
      <c r="C880" s="324"/>
      <c r="E880" s="324"/>
      <c r="G880" s="324"/>
    </row>
    <row r="881">
      <c r="C881" s="324"/>
      <c r="E881" s="324"/>
      <c r="G881" s="324"/>
    </row>
    <row r="882">
      <c r="C882" s="324"/>
      <c r="E882" s="324"/>
      <c r="G882" s="324"/>
    </row>
    <row r="883">
      <c r="C883" s="324"/>
      <c r="E883" s="324"/>
      <c r="G883" s="324"/>
    </row>
    <row r="884">
      <c r="C884" s="324"/>
      <c r="E884" s="324"/>
      <c r="G884" s="324"/>
    </row>
    <row r="885">
      <c r="C885" s="324"/>
      <c r="E885" s="324"/>
      <c r="G885" s="324"/>
    </row>
    <row r="886">
      <c r="C886" s="324"/>
      <c r="E886" s="324"/>
      <c r="G886" s="324"/>
    </row>
    <row r="887">
      <c r="C887" s="324"/>
      <c r="E887" s="324"/>
      <c r="G887" s="324"/>
    </row>
    <row r="888">
      <c r="C888" s="324"/>
      <c r="E888" s="324"/>
      <c r="G888" s="324"/>
    </row>
    <row r="889">
      <c r="C889" s="324"/>
      <c r="E889" s="324"/>
      <c r="G889" s="324"/>
    </row>
    <row r="890">
      <c r="C890" s="324"/>
      <c r="E890" s="324"/>
      <c r="G890" s="324"/>
    </row>
    <row r="891">
      <c r="C891" s="324"/>
      <c r="E891" s="324"/>
      <c r="G891" s="324"/>
    </row>
    <row r="892">
      <c r="C892" s="324"/>
      <c r="E892" s="324"/>
      <c r="G892" s="324"/>
    </row>
    <row r="893">
      <c r="C893" s="324"/>
      <c r="E893" s="324"/>
      <c r="G893" s="324"/>
    </row>
    <row r="894">
      <c r="C894" s="324"/>
      <c r="E894" s="324"/>
      <c r="G894" s="324"/>
    </row>
    <row r="895">
      <c r="C895" s="324"/>
      <c r="E895" s="324"/>
      <c r="G895" s="324"/>
    </row>
    <row r="896">
      <c r="C896" s="324"/>
      <c r="E896" s="324"/>
      <c r="G896" s="324"/>
    </row>
    <row r="897">
      <c r="C897" s="324"/>
      <c r="E897" s="324"/>
      <c r="G897" s="324"/>
    </row>
    <row r="898">
      <c r="C898" s="324"/>
      <c r="E898" s="324"/>
      <c r="G898" s="324"/>
    </row>
    <row r="899">
      <c r="C899" s="324"/>
      <c r="E899" s="324"/>
      <c r="G899" s="324"/>
    </row>
    <row r="900">
      <c r="C900" s="324"/>
      <c r="E900" s="324"/>
      <c r="G900" s="324"/>
    </row>
    <row r="901">
      <c r="C901" s="324"/>
      <c r="E901" s="324"/>
      <c r="G901" s="324"/>
    </row>
    <row r="902">
      <c r="C902" s="324"/>
      <c r="E902" s="324"/>
      <c r="G902" s="324"/>
    </row>
    <row r="903">
      <c r="C903" s="324"/>
      <c r="E903" s="324"/>
      <c r="G903" s="324"/>
    </row>
    <row r="904">
      <c r="C904" s="324"/>
      <c r="E904" s="324"/>
      <c r="G904" s="324"/>
    </row>
    <row r="905">
      <c r="C905" s="324"/>
      <c r="E905" s="324"/>
      <c r="G905" s="324"/>
    </row>
    <row r="906">
      <c r="C906" s="324"/>
      <c r="E906" s="324"/>
      <c r="G906" s="324"/>
    </row>
    <row r="907">
      <c r="C907" s="324"/>
      <c r="E907" s="324"/>
      <c r="G907" s="324"/>
    </row>
    <row r="908">
      <c r="C908" s="324"/>
      <c r="E908" s="324"/>
      <c r="G908" s="324"/>
    </row>
    <row r="909">
      <c r="C909" s="324"/>
      <c r="E909" s="324"/>
      <c r="G909" s="324"/>
    </row>
    <row r="910">
      <c r="C910" s="324"/>
      <c r="E910" s="324"/>
      <c r="G910" s="324"/>
    </row>
    <row r="911">
      <c r="C911" s="324"/>
      <c r="E911" s="324"/>
      <c r="G911" s="324"/>
    </row>
    <row r="912">
      <c r="C912" s="324"/>
      <c r="E912" s="324"/>
      <c r="G912" s="324"/>
    </row>
    <row r="913">
      <c r="C913" s="324"/>
      <c r="E913" s="324"/>
      <c r="G913" s="324"/>
    </row>
    <row r="914">
      <c r="C914" s="324"/>
      <c r="E914" s="324"/>
      <c r="G914" s="324"/>
    </row>
    <row r="915">
      <c r="C915" s="324"/>
      <c r="E915" s="324"/>
      <c r="G915" s="324"/>
    </row>
    <row r="916">
      <c r="C916" s="324"/>
      <c r="E916" s="324"/>
      <c r="G916" s="324"/>
    </row>
    <row r="917">
      <c r="C917" s="324"/>
      <c r="E917" s="324"/>
      <c r="G917" s="324"/>
    </row>
    <row r="918">
      <c r="C918" s="324"/>
      <c r="E918" s="324"/>
      <c r="G918" s="324"/>
    </row>
    <row r="919">
      <c r="C919" s="324"/>
      <c r="E919" s="324"/>
      <c r="G919" s="324"/>
    </row>
    <row r="920">
      <c r="C920" s="324"/>
      <c r="E920" s="324"/>
      <c r="G920" s="324"/>
    </row>
    <row r="921">
      <c r="C921" s="324"/>
      <c r="E921" s="324"/>
      <c r="G921" s="324"/>
    </row>
    <row r="922">
      <c r="C922" s="324"/>
      <c r="E922" s="324"/>
      <c r="G922" s="324"/>
    </row>
    <row r="923">
      <c r="C923" s="324"/>
      <c r="E923" s="324"/>
      <c r="G923" s="324"/>
    </row>
    <row r="924">
      <c r="C924" s="324"/>
      <c r="E924" s="324"/>
      <c r="G924" s="324"/>
    </row>
    <row r="925">
      <c r="C925" s="324"/>
      <c r="E925" s="324"/>
      <c r="G925" s="324"/>
    </row>
    <row r="926">
      <c r="C926" s="324"/>
      <c r="E926" s="324"/>
      <c r="G926" s="324"/>
    </row>
    <row r="927">
      <c r="C927" s="324"/>
      <c r="E927" s="324"/>
      <c r="G927" s="324"/>
    </row>
    <row r="928">
      <c r="C928" s="324"/>
      <c r="E928" s="324"/>
      <c r="G928" s="324"/>
    </row>
    <row r="929">
      <c r="C929" s="324"/>
      <c r="E929" s="324"/>
      <c r="G929" s="324"/>
    </row>
    <row r="930">
      <c r="C930" s="324"/>
      <c r="E930" s="324"/>
      <c r="G930" s="324"/>
    </row>
    <row r="931">
      <c r="C931" s="324"/>
      <c r="E931" s="324"/>
      <c r="G931" s="324"/>
    </row>
    <row r="932">
      <c r="C932" s="324"/>
      <c r="E932" s="324"/>
      <c r="G932" s="324"/>
    </row>
    <row r="933">
      <c r="C933" s="324"/>
      <c r="E933" s="324"/>
      <c r="G933" s="324"/>
    </row>
    <row r="934">
      <c r="C934" s="324"/>
      <c r="E934" s="324"/>
      <c r="G934" s="324"/>
    </row>
    <row r="935">
      <c r="C935" s="324"/>
      <c r="E935" s="324"/>
      <c r="G935" s="324"/>
    </row>
    <row r="936">
      <c r="C936" s="324"/>
      <c r="E936" s="324"/>
      <c r="G936" s="324"/>
    </row>
    <row r="937">
      <c r="C937" s="324"/>
      <c r="E937" s="324"/>
      <c r="G937" s="324"/>
    </row>
    <row r="938">
      <c r="C938" s="324"/>
      <c r="E938" s="324"/>
      <c r="G938" s="324"/>
    </row>
    <row r="939">
      <c r="C939" s="324"/>
      <c r="E939" s="324"/>
      <c r="G939" s="324"/>
    </row>
    <row r="940">
      <c r="C940" s="324"/>
      <c r="E940" s="324"/>
      <c r="G940" s="324"/>
    </row>
    <row r="941">
      <c r="C941" s="324"/>
      <c r="E941" s="324"/>
      <c r="G941" s="324"/>
    </row>
    <row r="942">
      <c r="C942" s="324"/>
      <c r="E942" s="324"/>
      <c r="G942" s="324"/>
    </row>
    <row r="943">
      <c r="C943" s="324"/>
      <c r="E943" s="324"/>
      <c r="G943" s="324"/>
    </row>
    <row r="944">
      <c r="C944" s="324"/>
      <c r="E944" s="324"/>
      <c r="G944" s="324"/>
    </row>
    <row r="945">
      <c r="C945" s="324"/>
      <c r="E945" s="324"/>
      <c r="G945" s="324"/>
    </row>
    <row r="946">
      <c r="C946" s="324"/>
      <c r="E946" s="324"/>
      <c r="G946" s="324"/>
    </row>
    <row r="947">
      <c r="C947" s="324"/>
      <c r="E947" s="324"/>
      <c r="G947" s="324"/>
    </row>
    <row r="948">
      <c r="C948" s="324"/>
      <c r="E948" s="324"/>
      <c r="G948" s="324"/>
    </row>
    <row r="949">
      <c r="C949" s="324"/>
      <c r="E949" s="324"/>
      <c r="G949" s="324"/>
    </row>
    <row r="950">
      <c r="C950" s="324"/>
      <c r="E950" s="324"/>
      <c r="G950" s="324"/>
    </row>
    <row r="951">
      <c r="C951" s="324"/>
      <c r="E951" s="324"/>
      <c r="G951" s="324"/>
    </row>
    <row r="952">
      <c r="C952" s="324"/>
      <c r="E952" s="324"/>
      <c r="G952" s="324"/>
    </row>
    <row r="953">
      <c r="C953" s="324"/>
      <c r="E953" s="324"/>
      <c r="G953" s="324"/>
    </row>
    <row r="954">
      <c r="C954" s="324"/>
      <c r="E954" s="324"/>
      <c r="G954" s="324"/>
    </row>
    <row r="955">
      <c r="C955" s="324"/>
      <c r="E955" s="324"/>
      <c r="G955" s="324"/>
    </row>
    <row r="956">
      <c r="C956" s="324"/>
      <c r="E956" s="324"/>
      <c r="G956" s="324"/>
    </row>
    <row r="957">
      <c r="C957" s="324"/>
      <c r="E957" s="324"/>
      <c r="G957" s="324"/>
    </row>
    <row r="958">
      <c r="C958" s="324"/>
      <c r="E958" s="324"/>
      <c r="G958" s="324"/>
    </row>
    <row r="959">
      <c r="C959" s="324"/>
      <c r="E959" s="324"/>
      <c r="G959" s="324"/>
    </row>
    <row r="960">
      <c r="C960" s="324"/>
      <c r="E960" s="324"/>
      <c r="G960" s="324"/>
    </row>
    <row r="961">
      <c r="C961" s="324"/>
      <c r="E961" s="324"/>
      <c r="G961" s="324"/>
    </row>
    <row r="962">
      <c r="C962" s="324"/>
      <c r="E962" s="324"/>
      <c r="G962" s="324"/>
    </row>
    <row r="963">
      <c r="C963" s="324"/>
      <c r="E963" s="324"/>
      <c r="G963" s="324"/>
    </row>
    <row r="964">
      <c r="C964" s="324"/>
      <c r="E964" s="324"/>
      <c r="G964" s="324"/>
    </row>
    <row r="965">
      <c r="C965" s="324"/>
      <c r="E965" s="324"/>
      <c r="G965" s="324"/>
    </row>
    <row r="966">
      <c r="C966" s="324"/>
      <c r="E966" s="324"/>
      <c r="G966" s="324"/>
    </row>
    <row r="967">
      <c r="C967" s="324"/>
      <c r="E967" s="324"/>
      <c r="G967" s="324"/>
    </row>
    <row r="968">
      <c r="C968" s="324"/>
      <c r="E968" s="324"/>
      <c r="G968" s="324"/>
    </row>
    <row r="969">
      <c r="C969" s="324"/>
      <c r="E969" s="324"/>
      <c r="G969" s="324"/>
    </row>
    <row r="970">
      <c r="C970" s="324"/>
      <c r="E970" s="324"/>
      <c r="G970" s="324"/>
    </row>
    <row r="971">
      <c r="C971" s="324"/>
      <c r="E971" s="324"/>
      <c r="G971" s="324"/>
    </row>
    <row r="972">
      <c r="C972" s="324"/>
      <c r="E972" s="324"/>
      <c r="G972" s="324"/>
    </row>
    <row r="973">
      <c r="C973" s="324"/>
      <c r="E973" s="324"/>
      <c r="G973" s="324"/>
    </row>
    <row r="974">
      <c r="C974" s="324"/>
      <c r="E974" s="324"/>
      <c r="G974" s="324"/>
    </row>
    <row r="975">
      <c r="C975" s="324"/>
      <c r="E975" s="324"/>
      <c r="G975" s="324"/>
    </row>
    <row r="976">
      <c r="C976" s="324"/>
      <c r="E976" s="324"/>
      <c r="G976" s="324"/>
    </row>
    <row r="977">
      <c r="C977" s="324"/>
      <c r="E977" s="324"/>
      <c r="G977" s="324"/>
    </row>
    <row r="978">
      <c r="C978" s="324"/>
      <c r="E978" s="324"/>
      <c r="G978" s="324"/>
    </row>
    <row r="979">
      <c r="C979" s="324"/>
      <c r="E979" s="324"/>
      <c r="G979" s="324"/>
    </row>
    <row r="980">
      <c r="C980" s="324"/>
      <c r="E980" s="324"/>
      <c r="G980" s="324"/>
    </row>
    <row r="981">
      <c r="C981" s="324"/>
      <c r="E981" s="324"/>
      <c r="G981" s="324"/>
    </row>
    <row r="982">
      <c r="C982" s="324"/>
      <c r="E982" s="324"/>
      <c r="G982" s="324"/>
    </row>
    <row r="983">
      <c r="C983" s="324"/>
      <c r="E983" s="324"/>
      <c r="G983" s="324"/>
    </row>
    <row r="984">
      <c r="C984" s="324"/>
      <c r="E984" s="324"/>
      <c r="G984" s="324"/>
    </row>
    <row r="985">
      <c r="C985" s="324"/>
      <c r="E985" s="324"/>
      <c r="G985" s="324"/>
    </row>
    <row r="986">
      <c r="C986" s="324"/>
      <c r="E986" s="324"/>
      <c r="G986" s="324"/>
    </row>
    <row r="987">
      <c r="C987" s="324"/>
      <c r="E987" s="324"/>
      <c r="G987" s="324"/>
    </row>
    <row r="988">
      <c r="C988" s="324"/>
      <c r="E988" s="324"/>
      <c r="G988" s="324"/>
    </row>
    <row r="989">
      <c r="C989" s="324"/>
      <c r="E989" s="324"/>
      <c r="G989" s="324"/>
    </row>
    <row r="990">
      <c r="C990" s="324"/>
      <c r="E990" s="324"/>
      <c r="G990" s="324"/>
    </row>
    <row r="991">
      <c r="C991" s="324"/>
      <c r="E991" s="324"/>
      <c r="G991" s="324"/>
    </row>
    <row r="992">
      <c r="C992" s="324"/>
      <c r="E992" s="324"/>
      <c r="G992" s="324"/>
    </row>
    <row r="993">
      <c r="C993" s="324"/>
      <c r="E993" s="324"/>
      <c r="G993" s="324"/>
    </row>
    <row r="994">
      <c r="C994" s="324"/>
      <c r="E994" s="324"/>
      <c r="G994" s="324"/>
    </row>
    <row r="995">
      <c r="C995" s="324"/>
      <c r="E995" s="324"/>
      <c r="G995" s="324"/>
    </row>
    <row r="996">
      <c r="C996" s="324"/>
      <c r="E996" s="324"/>
      <c r="G996" s="324"/>
    </row>
    <row r="997">
      <c r="C997" s="324"/>
      <c r="E997" s="324"/>
      <c r="G997" s="324"/>
    </row>
    <row r="998">
      <c r="C998" s="324"/>
      <c r="E998" s="324"/>
      <c r="G998" s="324"/>
    </row>
    <row r="999">
      <c r="C999" s="324"/>
      <c r="E999" s="324"/>
      <c r="G999" s="324"/>
    </row>
    <row r="1000">
      <c r="C1000" s="324"/>
      <c r="E1000" s="324"/>
      <c r="G1000" s="324"/>
    </row>
  </sheetData>
  <mergeCells count="2">
    <mergeCell ref="I2:J2"/>
    <mergeCell ref="I4:J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c r="B1" s="5"/>
      <c r="C1" s="5"/>
      <c r="D1" s="5"/>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5"/>
      <c r="B3" s="325" t="s">
        <v>0</v>
      </c>
      <c r="C3" s="5"/>
      <c r="D3" s="9" t="s">
        <v>109</v>
      </c>
      <c r="E3" s="326" t="s">
        <v>110</v>
      </c>
      <c r="F3" s="5"/>
      <c r="G3" s="5"/>
      <c r="H3" s="5"/>
      <c r="I3" s="5"/>
      <c r="J3" s="5"/>
      <c r="K3" s="5"/>
      <c r="L3" s="5"/>
      <c r="M3" s="5"/>
      <c r="N3" s="5"/>
      <c r="O3" s="5"/>
      <c r="P3" s="5"/>
      <c r="Q3" s="5"/>
      <c r="R3" s="5"/>
      <c r="S3" s="5"/>
      <c r="T3" s="5"/>
      <c r="U3" s="5"/>
      <c r="V3" s="5"/>
      <c r="W3" s="5"/>
      <c r="X3" s="5"/>
      <c r="Y3" s="5"/>
      <c r="Z3" s="5"/>
    </row>
    <row r="4">
      <c r="A4" s="5"/>
      <c r="B4" s="5"/>
      <c r="C4" s="5"/>
      <c r="D4" s="9" t="s">
        <v>98</v>
      </c>
      <c r="E4" s="327">
        <f>TODAY()</f>
        <v>46090</v>
      </c>
      <c r="F4" s="5"/>
      <c r="G4" s="5"/>
      <c r="H4" s="5"/>
      <c r="I4" s="5"/>
      <c r="J4" s="5"/>
      <c r="K4" s="5"/>
      <c r="L4" s="5"/>
      <c r="M4" s="5"/>
      <c r="N4" s="5"/>
      <c r="O4" s="5"/>
      <c r="P4" s="5"/>
      <c r="Q4" s="5"/>
      <c r="R4" s="5"/>
      <c r="S4" s="5"/>
      <c r="T4" s="5"/>
      <c r="U4" s="5"/>
      <c r="V4" s="5"/>
      <c r="W4" s="5"/>
      <c r="X4" s="5"/>
      <c r="Y4" s="5"/>
      <c r="Z4" s="5"/>
    </row>
    <row r="5">
      <c r="A5" s="5"/>
      <c r="B5" s="9" t="s">
        <v>111</v>
      </c>
      <c r="C5" s="9" t="s">
        <v>112</v>
      </c>
      <c r="D5" s="9" t="s">
        <v>113</v>
      </c>
      <c r="E5" s="328">
        <f>BALANCE!C10</f>
        <v>20664.60449</v>
      </c>
      <c r="F5" s="5"/>
      <c r="G5" s="5"/>
      <c r="H5" s="5"/>
      <c r="I5" s="5"/>
      <c r="J5" s="5"/>
      <c r="K5" s="5"/>
      <c r="L5" s="5"/>
      <c r="M5" s="5"/>
      <c r="N5" s="5"/>
      <c r="O5" s="5"/>
      <c r="P5" s="5"/>
      <c r="Q5" s="5"/>
      <c r="R5" s="5"/>
      <c r="S5" s="5"/>
      <c r="T5" s="5"/>
      <c r="U5" s="5"/>
      <c r="V5" s="5"/>
      <c r="W5" s="5"/>
      <c r="X5" s="5"/>
      <c r="Y5" s="5"/>
      <c r="Z5" s="5"/>
    </row>
    <row r="6">
      <c r="A6" s="5"/>
      <c r="D6" s="5"/>
      <c r="E6" s="5"/>
      <c r="F6" s="5"/>
      <c r="G6" s="5"/>
      <c r="H6" s="5"/>
      <c r="I6" s="5"/>
      <c r="J6" s="5"/>
      <c r="K6" s="5"/>
      <c r="L6" s="5"/>
      <c r="M6" s="5"/>
      <c r="N6" s="5"/>
      <c r="O6" s="5"/>
      <c r="P6" s="5"/>
      <c r="Q6" s="5"/>
      <c r="R6" s="5"/>
      <c r="S6" s="5"/>
      <c r="T6" s="5"/>
      <c r="U6" s="5"/>
      <c r="V6" s="5"/>
      <c r="W6" s="5"/>
      <c r="X6" s="5"/>
      <c r="Y6" s="5"/>
      <c r="Z6" s="5"/>
    </row>
    <row r="7">
      <c r="A7" s="5"/>
      <c r="B7" s="11"/>
      <c r="C7" s="11"/>
      <c r="D7" s="11"/>
      <c r="E7" s="11"/>
      <c r="F7" s="11"/>
      <c r="G7" s="5"/>
      <c r="H7" s="5"/>
      <c r="I7" s="5"/>
      <c r="J7" s="5"/>
      <c r="K7" s="5"/>
      <c r="L7" s="5"/>
      <c r="M7" s="5"/>
      <c r="N7" s="5"/>
      <c r="O7" s="5"/>
      <c r="P7" s="5"/>
      <c r="Q7" s="5"/>
      <c r="R7" s="5"/>
      <c r="S7" s="5"/>
      <c r="T7" s="5"/>
      <c r="U7" s="5"/>
      <c r="V7" s="5"/>
      <c r="W7" s="5"/>
      <c r="X7" s="5"/>
      <c r="Y7" s="5"/>
      <c r="Z7" s="5"/>
    </row>
    <row r="8">
      <c r="A8" s="329"/>
      <c r="B8" s="330" t="s">
        <v>1</v>
      </c>
      <c r="C8" s="331" t="s">
        <v>114</v>
      </c>
      <c r="D8" s="332" t="s">
        <v>115</v>
      </c>
      <c r="E8" s="331" t="s">
        <v>2</v>
      </c>
      <c r="F8" s="333" t="s">
        <v>67</v>
      </c>
      <c r="G8" s="4"/>
      <c r="H8" s="5"/>
      <c r="I8" s="5"/>
      <c r="J8" s="5"/>
      <c r="K8" s="5"/>
      <c r="L8" s="5"/>
      <c r="M8" s="5"/>
      <c r="N8" s="5"/>
      <c r="O8" s="5"/>
      <c r="P8" s="5"/>
      <c r="Q8" s="5"/>
      <c r="R8" s="5"/>
      <c r="S8" s="5"/>
      <c r="T8" s="5"/>
      <c r="U8" s="5"/>
      <c r="V8" s="5"/>
      <c r="W8" s="5"/>
      <c r="X8" s="5"/>
      <c r="Y8" s="5"/>
      <c r="Z8" s="5"/>
    </row>
    <row r="9">
      <c r="A9" s="329"/>
      <c r="B9" s="334"/>
      <c r="C9" s="335"/>
      <c r="D9" s="336">
        <f t="shared" ref="D9:E9" si="1">SUM(D10:D1000)</f>
        <v>18.14876074</v>
      </c>
      <c r="E9" s="337">
        <f t="shared" si="1"/>
        <v>390000</v>
      </c>
      <c r="F9" s="338">
        <f>SUMIF(CLIENTES!B:B,C5,CLIENTES!F:F)</f>
        <v>375036.9626</v>
      </c>
      <c r="G9" s="4"/>
      <c r="H9" s="5"/>
      <c r="I9" s="5"/>
      <c r="J9" s="5"/>
      <c r="K9" s="5"/>
      <c r="L9" s="5"/>
      <c r="M9" s="5"/>
      <c r="N9" s="5"/>
      <c r="O9" s="5"/>
      <c r="P9" s="5"/>
      <c r="Q9" s="5"/>
      <c r="R9" s="5"/>
      <c r="S9" s="5"/>
      <c r="T9" s="5"/>
      <c r="U9" s="5"/>
      <c r="V9" s="5"/>
      <c r="W9" s="5"/>
      <c r="X9" s="5"/>
      <c r="Y9" s="5"/>
      <c r="Z9" s="5"/>
    </row>
    <row r="10">
      <c r="A10" s="5"/>
      <c r="B10" s="339">
        <f>IFERROR(__xludf.DUMMYFUNCTION("FILTER(INVERSIONISTAS!B:B,INVERSIONISTAS!$A:$A=$C$5)"),46069.0)</f>
        <v>46069</v>
      </c>
      <c r="C10" s="340">
        <f>IFERROR(__xludf.DUMMYFUNCTION("FILTER(INVERSIONISTAS!C:C,INVERSIONISTAS!$A:$A=$C$5)"),21606.708874691583)</f>
        <v>21606.70887</v>
      </c>
      <c r="D10" s="341">
        <f>IFERROR(__xludf.DUMMYFUNCTION("FILTER(INVERSIONISTAS!D:D,INVERSIONISTAS!$A:$A=$C$5)"),11.570480328581208)</f>
        <v>11.57048033</v>
      </c>
      <c r="E10" s="64">
        <f>IFERROR(__xludf.DUMMYFUNCTION("FILTER(INVERSIONISTAS!E:E,INVERSIONISTAS!$A:$A=$C$5)"),250000.0)</f>
        <v>250000</v>
      </c>
      <c r="F10" s="328">
        <f>IFERROR(__xludf.DUMMYFUNCTION("FILTER(INVERSIONISTAS!F:F,INVERSIONISTAS!$A:$A=$C$5)"),239099.39970223006)</f>
        <v>239099.3997</v>
      </c>
      <c r="G10" s="5"/>
      <c r="H10" s="5"/>
      <c r="I10" s="5"/>
      <c r="J10" s="5"/>
      <c r="K10" s="5"/>
      <c r="L10" s="5"/>
      <c r="M10" s="5"/>
      <c r="N10" s="5"/>
      <c r="O10" s="5"/>
      <c r="P10" s="5"/>
      <c r="Q10" s="5"/>
      <c r="R10" s="5"/>
      <c r="S10" s="5"/>
      <c r="T10" s="5"/>
      <c r="U10" s="5"/>
      <c r="V10" s="5"/>
      <c r="W10" s="5"/>
      <c r="X10" s="5"/>
      <c r="Y10" s="5"/>
      <c r="Z10" s="5"/>
    </row>
    <row r="11">
      <c r="A11" s="5"/>
      <c r="B11" s="339">
        <f>IFERROR(__xludf.DUMMYFUNCTION("""COMPUTED_VALUE"""),46070.0)</f>
        <v>46070</v>
      </c>
      <c r="C11" s="340">
        <f>IFERROR(__xludf.DUMMYFUNCTION("""COMPUTED_VALUE"""),21611.52539101849)</f>
        <v>21611.52539</v>
      </c>
      <c r="D11" s="341">
        <f>IFERROR(__xludf.DUMMYFUNCTION("""COMPUTED_VALUE"""),4.164444590172381)</f>
        <v>4.16444459</v>
      </c>
      <c r="E11" s="64">
        <f>IFERROR(__xludf.DUMMYFUNCTION("""COMPUTED_VALUE"""),90000.0)</f>
        <v>90000</v>
      </c>
      <c r="F11" s="328">
        <f>IFERROR(__xludf.DUMMYFUNCTION("""COMPUTED_VALUE"""),86056.60035943487)</f>
        <v>86056.60036</v>
      </c>
      <c r="G11" s="5"/>
      <c r="H11" s="5"/>
      <c r="I11" s="5"/>
      <c r="J11" s="5"/>
      <c r="K11" s="5"/>
      <c r="L11" s="5"/>
      <c r="M11" s="5"/>
      <c r="N11" s="5"/>
      <c r="O11" s="5"/>
      <c r="P11" s="5"/>
      <c r="Q11" s="5"/>
      <c r="R11" s="5"/>
      <c r="S11" s="5"/>
      <c r="T11" s="5"/>
      <c r="U11" s="5"/>
      <c r="V11" s="5"/>
      <c r="W11" s="5"/>
      <c r="X11" s="5"/>
      <c r="Y11" s="5"/>
      <c r="Z11" s="5"/>
    </row>
    <row r="12">
      <c r="A12" s="5"/>
      <c r="B12" s="339">
        <f>IFERROR(__xludf.DUMMYFUNCTION("""COMPUTED_VALUE"""),46084.0)</f>
        <v>46084</v>
      </c>
      <c r="C12" s="340">
        <f>IFERROR(__xludf.DUMMYFUNCTION("""COMPUTED_VALUE"""),20713.919143575476)</f>
        <v>20713.91914</v>
      </c>
      <c r="D12" s="341">
        <f>IFERROR(__xludf.DUMMYFUNCTION("""COMPUTED_VALUE"""),2.4138358199350094)</f>
        <v>2.41383582</v>
      </c>
      <c r="E12" s="64">
        <f>IFERROR(__xludf.DUMMYFUNCTION("""COMPUTED_VALUE"""),50000.0)</f>
        <v>50000</v>
      </c>
      <c r="F12" s="328">
        <f>IFERROR(__xludf.DUMMYFUNCTION("""COMPUTED_VALUE"""),49880.96251289956)</f>
        <v>49880.96251</v>
      </c>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3.88"/>
    <col customWidth="1" min="3" max="3" width="10.88"/>
    <col customWidth="1" min="4" max="4" width="11.63"/>
    <col customWidth="1" min="7" max="7" width="8.88"/>
    <col customWidth="1" min="8" max="8" width="10.63"/>
    <col customWidth="1" min="12" max="12" width="13.5"/>
    <col customWidth="1" min="14" max="14" width="6.38"/>
    <col customWidth="1" min="18" max="18" width="6.88"/>
  </cols>
  <sheetData>
    <row r="1">
      <c r="A1" s="342"/>
      <c r="B1" s="343" t="s">
        <v>116</v>
      </c>
      <c r="C1" s="344" t="s">
        <v>117</v>
      </c>
      <c r="D1" s="345" t="s">
        <v>118</v>
      </c>
      <c r="E1" s="345" t="s">
        <v>119</v>
      </c>
      <c r="F1" s="345" t="s">
        <v>120</v>
      </c>
      <c r="G1" s="346" t="s">
        <v>103</v>
      </c>
      <c r="H1" s="347" t="s">
        <v>121</v>
      </c>
      <c r="I1" s="348"/>
      <c r="J1" s="349"/>
      <c r="K1" s="349"/>
      <c r="L1" s="350" t="s">
        <v>122</v>
      </c>
      <c r="M1" s="350" t="s">
        <v>123</v>
      </c>
      <c r="N1" s="351"/>
      <c r="O1" s="352" t="s">
        <v>122</v>
      </c>
      <c r="P1" s="353" t="s">
        <v>124</v>
      </c>
      <c r="Q1" s="354" t="s">
        <v>125</v>
      </c>
      <c r="R1" s="354" t="s">
        <v>64</v>
      </c>
      <c r="U1" s="349"/>
      <c r="V1" s="349"/>
      <c r="W1" s="349"/>
      <c r="X1" s="349"/>
      <c r="Y1" s="349"/>
      <c r="Z1" s="349"/>
    </row>
    <row r="2">
      <c r="A2" s="355"/>
      <c r="B2" s="356" t="s">
        <v>126</v>
      </c>
      <c r="C2" s="357">
        <f>SUMIF(INVERSIONISTAS!A:A,B2,INVERSIONISTAS!D:D)</f>
        <v>2.347642631</v>
      </c>
      <c r="D2" s="358">
        <f t="shared" ref="D2:D19" si="1">E2/C2</f>
        <v>21297.96049</v>
      </c>
      <c r="E2" s="358">
        <f>IF(SUMIF(INVERSIONISTAS!$A$2:$A$113,B2,INVERSIONISTAS!$E$2:$E$113)&lt;&gt;0,SUMIF(INVERSIONISTAS!$A$2:$A$113,B2,INVERSIONISTAS!$E$2:$E$113),0)</f>
        <v>50000</v>
      </c>
      <c r="F2" s="358">
        <f>C2*INVERSIONISTAS!$N$4</f>
        <v>48513.10644</v>
      </c>
      <c r="G2" s="359">
        <f t="shared" ref="G2:G19" si="2">F2-E2</f>
        <v>-1486.893564</v>
      </c>
      <c r="H2" s="360">
        <f t="shared" ref="H2:H19" si="3">IF(E2&lt;&gt;0,F2/E2-1,)</f>
        <v>-0.02973787128</v>
      </c>
      <c r="I2" s="348">
        <f>G2*7%</f>
        <v>-104.0825495</v>
      </c>
      <c r="J2" s="349"/>
      <c r="K2" s="349"/>
      <c r="L2" s="361" t="s">
        <v>127</v>
      </c>
      <c r="M2" s="362">
        <f>IFERROR(__xludf.DUMMYFUNCTION("XIRR({FILTER(Q2:Q999, Q2:Q999&lt;&gt;""""); L5},{FILTER(P2:P999, Q2:Q999&lt;&gt;""""); L8})"),0.40529319603032454)</f>
        <v>0.405293196</v>
      </c>
      <c r="N2" s="348"/>
      <c r="O2" s="349" t="str">
        <f>IFERROR(__xludf.DUMMYFUNCTION("FILTER(INVERSIONISTAS!A:A, INVERSIONISTAS!A:A=$L$2)"),"INVER9")</f>
        <v>INVER9</v>
      </c>
      <c r="P2" s="363">
        <f>IFERROR(__xludf.DUMMYFUNCTION("FILTER(INVERSIONISTAS!$B:$B, INVERSIONISTAS!$A:$A=$L$2)"),45351.0)</f>
        <v>45351</v>
      </c>
      <c r="Q2" s="364">
        <f>IFERROR(__xludf.DUMMYFUNCTION("FILTER(INVERSIONISTAS!$K:$K, INVERSIONISTAS!$A:$A=$L$2)"),-75282.0)</f>
        <v>-75282</v>
      </c>
      <c r="R2" s="349">
        <f>IFERROR(__xludf.DUMMYFUNCTION("FILTER(INVERSIONISTAS!$I:$I, INVERSIONISTAS!$A:$A=$L$2)"),739.0)</f>
        <v>739</v>
      </c>
      <c r="U2" s="349"/>
      <c r="V2" s="349"/>
      <c r="W2" s="349"/>
      <c r="X2" s="349"/>
      <c r="Y2" s="349"/>
      <c r="Z2" s="349"/>
    </row>
    <row r="3">
      <c r="A3" s="355"/>
      <c r="B3" s="356" t="s">
        <v>128</v>
      </c>
      <c r="C3" s="357">
        <f>SUMIF(INVERSIONISTAS!A:A,B3,INVERSIONISTAS!D:D)</f>
        <v>4.808741981</v>
      </c>
      <c r="D3" s="358">
        <f t="shared" si="1"/>
        <v>21679.26672</v>
      </c>
      <c r="E3" s="358">
        <f>IF(SUMIF(INVERSIONISTAS!$A$2:$A$113,B3,INVERSIONISTAS!$E$2:$E$113)&lt;&gt;0,SUMIF(INVERSIONISTAS!$A$2:$A$113,B3,INVERSIONISTAS!$E$2:$E$113),0)</f>
        <v>104250</v>
      </c>
      <c r="F3" s="358">
        <f>C3*INVERSIONISTAS!$N$4</f>
        <v>99370.75112</v>
      </c>
      <c r="G3" s="359">
        <f t="shared" si="2"/>
        <v>-4879.248883</v>
      </c>
      <c r="H3" s="360">
        <f t="shared" si="3"/>
        <v>-0.0468033466</v>
      </c>
      <c r="I3" s="348"/>
      <c r="J3" s="349"/>
      <c r="K3" s="349"/>
      <c r="L3" s="365"/>
      <c r="M3" s="365"/>
      <c r="N3" s="349"/>
      <c r="O3" s="349" t="str">
        <f>IFERROR(__xludf.DUMMYFUNCTION("""COMPUTED_VALUE"""),"INVER9")</f>
        <v>INVER9</v>
      </c>
      <c r="P3" s="363">
        <f>IFERROR(__xludf.DUMMYFUNCTION("""COMPUTED_VALUE"""),45372.0)</f>
        <v>45372</v>
      </c>
      <c r="Q3" s="364">
        <f>IFERROR(__xludf.DUMMYFUNCTION("""COMPUTED_VALUE"""),-5000.0)</f>
        <v>-5000</v>
      </c>
      <c r="R3" s="349">
        <f>IFERROR(__xludf.DUMMYFUNCTION("""COMPUTED_VALUE"""),718.0)</f>
        <v>718</v>
      </c>
      <c r="S3" s="349"/>
      <c r="T3" s="349"/>
      <c r="U3" s="349"/>
      <c r="V3" s="349"/>
      <c r="W3" s="349"/>
      <c r="X3" s="349"/>
      <c r="Y3" s="349"/>
      <c r="Z3" s="349"/>
    </row>
    <row r="4">
      <c r="A4" s="355"/>
      <c r="B4" s="356" t="s">
        <v>129</v>
      </c>
      <c r="C4" s="357">
        <f>SUMIF(INVERSIONISTAS!A:A,B4,INVERSIONISTAS!D:D)</f>
        <v>9.240640374</v>
      </c>
      <c r="D4" s="358">
        <f t="shared" si="1"/>
        <v>21643.52165</v>
      </c>
      <c r="E4" s="358">
        <f>IF(SUMIF(INVERSIONISTAS!$A$2:$A$113,B4,INVERSIONISTAS!$E$2:$E$113)&lt;&gt;0,SUMIF(INVERSIONISTAS!$A$2:$A$113,B4,INVERSIONISTAS!$E$2:$E$113),0)</f>
        <v>200000</v>
      </c>
      <c r="F4" s="358">
        <f>C4*INVERSIONISTAS!$N$4</f>
        <v>190954.1785</v>
      </c>
      <c r="G4" s="359">
        <f t="shared" si="2"/>
        <v>-9045.82147</v>
      </c>
      <c r="H4" s="360">
        <f t="shared" si="3"/>
        <v>-0.04522910735</v>
      </c>
      <c r="I4" s="348">
        <f t="shared" ref="I4:I13" si="4">G4*7%</f>
        <v>-633.2075029</v>
      </c>
      <c r="J4" s="349"/>
      <c r="K4" s="349"/>
      <c r="L4" s="366" t="s">
        <v>67</v>
      </c>
      <c r="M4" s="366" t="s">
        <v>130</v>
      </c>
      <c r="N4" s="349"/>
      <c r="O4" s="349" t="str">
        <f>IFERROR(__xludf.DUMMYFUNCTION("""COMPUTED_VALUE"""),"INVER9")</f>
        <v>INVER9</v>
      </c>
      <c r="P4" s="363">
        <f>IFERROR(__xludf.DUMMYFUNCTION("""COMPUTED_VALUE"""),45384.0)</f>
        <v>45384</v>
      </c>
      <c r="Q4" s="364">
        <f>IFERROR(__xludf.DUMMYFUNCTION("""COMPUTED_VALUE"""),-11000.0)</f>
        <v>-11000</v>
      </c>
      <c r="R4" s="349">
        <f>IFERROR(__xludf.DUMMYFUNCTION("""COMPUTED_VALUE"""),706.0)</f>
        <v>706</v>
      </c>
      <c r="S4" s="349"/>
      <c r="T4" s="349"/>
      <c r="U4" s="349"/>
      <c r="V4" s="349"/>
      <c r="W4" s="349"/>
      <c r="X4" s="349"/>
      <c r="Y4" s="349"/>
      <c r="Z4" s="349"/>
    </row>
    <row r="5">
      <c r="A5" s="355"/>
      <c r="B5" s="356" t="s">
        <v>131</v>
      </c>
      <c r="C5" s="357">
        <f>SUMIF(INVERSIONISTAS!A:A,B5,INVERSIONISTAS!D:D)</f>
        <v>9.5014514</v>
      </c>
      <c r="D5" s="358">
        <f t="shared" si="1"/>
        <v>21049.41567</v>
      </c>
      <c r="E5" s="358">
        <f>IF(SUMIF(INVERSIONISTAS!$A$2:$A$113,B5,INVERSIONISTAS!$E$2:$E$113)&lt;&gt;0,SUMIF(INVERSIONISTAS!$A$2:$A$113,B5,INVERSIONISTAS!$E$2:$E$113),0)</f>
        <v>200000</v>
      </c>
      <c r="F5" s="358">
        <f>C5*INVERSIONISTAS!$N$4</f>
        <v>196343.7352</v>
      </c>
      <c r="G5" s="359">
        <f t="shared" si="2"/>
        <v>-3656.264772</v>
      </c>
      <c r="H5" s="360">
        <f t="shared" si="3"/>
        <v>-0.01828132386</v>
      </c>
      <c r="I5" s="348">
        <f t="shared" si="4"/>
        <v>-255.938534</v>
      </c>
      <c r="J5" s="349"/>
      <c r="K5" s="349"/>
      <c r="L5" s="367">
        <f t="array" ref="L5">INDEX($F:$F, MATCH($L$2, $B:$B, 0))</f>
        <v>555320.7547</v>
      </c>
      <c r="M5" s="368">
        <f>-SUM(Q:Q)</f>
        <v>337008</v>
      </c>
      <c r="N5" s="349"/>
      <c r="O5" s="349" t="str">
        <f>IFERROR(__xludf.DUMMYFUNCTION("""COMPUTED_VALUE"""),"INVER9")</f>
        <v>INVER9</v>
      </c>
      <c r="P5" s="363">
        <f>IFERROR(__xludf.DUMMYFUNCTION("""COMPUTED_VALUE"""),45392.0)</f>
        <v>45392</v>
      </c>
      <c r="Q5" s="364">
        <f>IFERROR(__xludf.DUMMYFUNCTION("""COMPUTED_VALUE"""),-10000.0)</f>
        <v>-10000</v>
      </c>
      <c r="R5" s="349">
        <f>IFERROR(__xludf.DUMMYFUNCTION("""COMPUTED_VALUE"""),698.0)</f>
        <v>698</v>
      </c>
      <c r="S5" s="349"/>
      <c r="T5" s="349"/>
      <c r="U5" s="349"/>
      <c r="V5" s="349"/>
      <c r="W5" s="349"/>
      <c r="X5" s="349"/>
      <c r="Y5" s="349"/>
      <c r="Z5" s="349"/>
    </row>
    <row r="6">
      <c r="A6" s="355"/>
      <c r="B6" s="356" t="s">
        <v>132</v>
      </c>
      <c r="C6" s="357">
        <f>SUMIF(INVERSIONISTAS!A:A,B6,INVERSIONISTAS!D:D)</f>
        <v>9.011700163</v>
      </c>
      <c r="D6" s="358">
        <f t="shared" si="1"/>
        <v>22193.37044</v>
      </c>
      <c r="E6" s="358">
        <f>IF(SUMIF(INVERSIONISTAS!$A$2:$A$113,B6,INVERSIONISTAS!$E$2:$E$113)&lt;&gt;0,SUMIF(INVERSIONISTAS!$A$2:$A$113,B6,INVERSIONISTAS!$E$2:$E$113),0)</f>
        <v>200000</v>
      </c>
      <c r="F6" s="358">
        <f>C6*INVERSIONISTAS!$N$4</f>
        <v>186223.2196</v>
      </c>
      <c r="G6" s="359">
        <f t="shared" si="2"/>
        <v>-13776.78039</v>
      </c>
      <c r="H6" s="360">
        <f t="shared" si="3"/>
        <v>-0.06888390194</v>
      </c>
      <c r="I6" s="348">
        <f t="shared" si="4"/>
        <v>-964.3746271</v>
      </c>
      <c r="J6" s="349"/>
      <c r="K6" s="349"/>
      <c r="L6" s="349"/>
      <c r="M6" s="349"/>
      <c r="N6" s="349"/>
      <c r="O6" s="349" t="str">
        <f>IFERROR(__xludf.DUMMYFUNCTION("""COMPUTED_VALUE"""),"INVER9")</f>
        <v>INVER9</v>
      </c>
      <c r="P6" s="363">
        <f>IFERROR(__xludf.DUMMYFUNCTION("""COMPUTED_VALUE"""),45420.0)</f>
        <v>45420</v>
      </c>
      <c r="Q6" s="364">
        <f>IFERROR(__xludf.DUMMYFUNCTION("""COMPUTED_VALUE"""),-20000.0)</f>
        <v>-20000</v>
      </c>
      <c r="R6" s="349">
        <f>IFERROR(__xludf.DUMMYFUNCTION("""COMPUTED_VALUE"""),670.0)</f>
        <v>670</v>
      </c>
      <c r="S6" s="349"/>
      <c r="T6" s="349"/>
      <c r="U6" s="349"/>
      <c r="V6" s="349"/>
      <c r="W6" s="349"/>
      <c r="X6" s="349"/>
      <c r="Y6" s="349"/>
      <c r="Z6" s="349"/>
    </row>
    <row r="7">
      <c r="A7" s="355"/>
      <c r="B7" s="356" t="s">
        <v>133</v>
      </c>
      <c r="C7" s="357">
        <f>SUMIF(INVERSIONISTAS!A:A,B7,INVERSIONISTAS!D:D)</f>
        <v>14.2345842</v>
      </c>
      <c r="D7" s="358">
        <f t="shared" si="1"/>
        <v>21075.43121</v>
      </c>
      <c r="E7" s="358">
        <f>IF(SUMIF(INVERSIONISTAS!$A$2:$A$113,B7,INVERSIONISTAS!$E$2:$E$113)&lt;&gt;0,SUMIF(INVERSIONISTAS!$A$2:$A$113,B7,INVERSIONISTAS!$E$2:$E$113),0)</f>
        <v>300000</v>
      </c>
      <c r="F7" s="358">
        <f>C7*INVERSIONISTAS!$N$4</f>
        <v>294152.0524</v>
      </c>
      <c r="G7" s="359">
        <f t="shared" si="2"/>
        <v>-5847.94758</v>
      </c>
      <c r="H7" s="360">
        <f t="shared" si="3"/>
        <v>-0.0194931586</v>
      </c>
      <c r="I7" s="348">
        <f t="shared" si="4"/>
        <v>-409.3563306</v>
      </c>
      <c r="J7" s="349"/>
      <c r="K7" s="349"/>
      <c r="L7" s="366" t="s">
        <v>134</v>
      </c>
      <c r="M7" s="366" t="s">
        <v>135</v>
      </c>
      <c r="N7" s="349"/>
      <c r="O7" s="349" t="str">
        <f>IFERROR(__xludf.DUMMYFUNCTION("""COMPUTED_VALUE"""),"INVER9")</f>
        <v>INVER9</v>
      </c>
      <c r="P7" s="363">
        <f>IFERROR(__xludf.DUMMYFUNCTION("""COMPUTED_VALUE"""),45527.0)</f>
        <v>45527</v>
      </c>
      <c r="Q7" s="364">
        <f>IFERROR(__xludf.DUMMYFUNCTION("""COMPUTED_VALUE"""),-20000.0)</f>
        <v>-20000</v>
      </c>
      <c r="R7" s="349">
        <f>IFERROR(__xludf.DUMMYFUNCTION("""COMPUTED_VALUE"""),563.0)</f>
        <v>563</v>
      </c>
      <c r="S7" s="349"/>
      <c r="T7" s="349"/>
      <c r="U7" s="349"/>
      <c r="V7" s="349"/>
      <c r="W7" s="349"/>
      <c r="X7" s="349"/>
      <c r="Y7" s="349"/>
      <c r="Z7" s="349"/>
    </row>
    <row r="8">
      <c r="A8" s="342"/>
      <c r="B8" s="356" t="s">
        <v>112</v>
      </c>
      <c r="C8" s="357">
        <f>SUMIF(INVERSIONISTAS!A:A,B8,INVERSIONISTAS!D:D)</f>
        <v>18.14876074</v>
      </c>
      <c r="D8" s="358">
        <f t="shared" si="1"/>
        <v>21489.07056</v>
      </c>
      <c r="E8" s="358">
        <f>IF(SUMIF(INVERSIONISTAS!$A$2:$A$113,B8,INVERSIONISTAS!$E$2:$E$113)&lt;&gt;0,SUMIF(INVERSIONISTAS!$A$2:$A$113,B8,INVERSIONISTAS!$E$2:$E$113),0)</f>
        <v>390000</v>
      </c>
      <c r="F8" s="358">
        <f>C8*INVERSIONISTAS!$N$4</f>
        <v>375036.9626</v>
      </c>
      <c r="G8" s="359">
        <f t="shared" si="2"/>
        <v>-14963.03743</v>
      </c>
      <c r="H8" s="360">
        <f t="shared" si="3"/>
        <v>-0.03836676263</v>
      </c>
      <c r="I8" s="348">
        <f t="shared" si="4"/>
        <v>-1047.41262</v>
      </c>
      <c r="J8" s="349"/>
      <c r="K8" s="349"/>
      <c r="L8" s="369">
        <f>TODAY()</f>
        <v>46090</v>
      </c>
      <c r="M8" s="370">
        <f>SUMPRODUCT(R2:R999, IF(-Q2:Q999&gt;0, -Q2:Q999, 0)) / -SUMIF(Q2:Q999,"&lt;0")
</f>
        <v>411.6114242</v>
      </c>
      <c r="N8" s="349"/>
      <c r="O8" s="349" t="str">
        <f>IFERROR(__xludf.DUMMYFUNCTION("""COMPUTED_VALUE"""),"INVER9")</f>
        <v>INVER9</v>
      </c>
      <c r="P8" s="363">
        <f>IFERROR(__xludf.DUMMYFUNCTION("""COMPUTED_VALUE"""),45576.0)</f>
        <v>45576</v>
      </c>
      <c r="Q8" s="364">
        <f>IFERROR(__xludf.DUMMYFUNCTION("""COMPUTED_VALUE"""),-30000.0)</f>
        <v>-30000</v>
      </c>
      <c r="R8" s="349">
        <f>IFERROR(__xludf.DUMMYFUNCTION("""COMPUTED_VALUE"""),514.0)</f>
        <v>514</v>
      </c>
      <c r="S8" s="349"/>
      <c r="T8" s="349"/>
      <c r="U8" s="349"/>
      <c r="V8" s="349"/>
      <c r="W8" s="349"/>
      <c r="X8" s="349"/>
      <c r="Y8" s="349"/>
      <c r="Z8" s="349"/>
    </row>
    <row r="9">
      <c r="A9" s="355"/>
      <c r="B9" s="356" t="s">
        <v>136</v>
      </c>
      <c r="C9" s="357">
        <f>SUMIF(INVERSIONISTAS!A:A,B9,INVERSIONISTAS!D:D)</f>
        <v>30.77068862</v>
      </c>
      <c r="D9" s="358">
        <f t="shared" si="1"/>
        <v>20541.21345</v>
      </c>
      <c r="E9" s="358">
        <f>IF(SUMIF(INVERSIONISTAS!$A$2:$A$113,B9,INVERSIONISTAS!$E$2:$E$113)&lt;&gt;0,SUMIF(INVERSIONISTAS!$A$2:$A$113,B9,INVERSIONISTAS!$E$2:$E$113),0)</f>
        <v>632067.2829</v>
      </c>
      <c r="F9" s="358">
        <f>C9*INVERSIONISTAS!$N$4</f>
        <v>635864.1102</v>
      </c>
      <c r="G9" s="359">
        <f t="shared" si="2"/>
        <v>3796.827259</v>
      </c>
      <c r="H9" s="360">
        <f t="shared" si="3"/>
        <v>0.00600699856</v>
      </c>
      <c r="I9" s="348">
        <f t="shared" si="4"/>
        <v>265.7779081</v>
      </c>
      <c r="J9" s="371"/>
      <c r="K9" s="349"/>
      <c r="L9" s="366" t="s">
        <v>137</v>
      </c>
      <c r="M9" s="366" t="s">
        <v>138</v>
      </c>
      <c r="N9" s="349"/>
      <c r="O9" s="349" t="str">
        <f>IFERROR(__xludf.DUMMYFUNCTION("""COMPUTED_VALUE"""),"INVER9")</f>
        <v>INVER9</v>
      </c>
      <c r="P9" s="363">
        <f>IFERROR(__xludf.DUMMYFUNCTION("""COMPUTED_VALUE"""),45722.0)</f>
        <v>45722</v>
      </c>
      <c r="Q9" s="364">
        <f>IFERROR(__xludf.DUMMYFUNCTION("""COMPUTED_VALUE"""),-50000.0)</f>
        <v>-50000</v>
      </c>
      <c r="R9" s="349">
        <f>IFERROR(__xludf.DUMMYFUNCTION("""COMPUTED_VALUE"""),368.0)</f>
        <v>368</v>
      </c>
      <c r="S9" s="349"/>
      <c r="T9" s="349"/>
      <c r="U9" s="349"/>
      <c r="V9" s="349"/>
      <c r="W9" s="349"/>
      <c r="X9" s="349"/>
      <c r="Y9" s="349"/>
      <c r="Z9" s="349"/>
    </row>
    <row r="10">
      <c r="A10" s="355"/>
      <c r="B10" s="356" t="s">
        <v>127</v>
      </c>
      <c r="C10" s="357">
        <f>SUMIF(INVERSIONISTAS!A:A,B10,INVERSIONISTAS!D:D)</f>
        <v>26.87304057</v>
      </c>
      <c r="D10" s="358">
        <f t="shared" si="1"/>
        <v>12540.74689</v>
      </c>
      <c r="E10" s="358">
        <f>IF(SUMIF(INVERSIONISTAS!$A$2:$A$113,B10,INVERSIONISTAS!$E$2:$E$113)&lt;&gt;0,SUMIF(INVERSIONISTAS!$A$2:$A$113,B10,INVERSIONISTAS!$E$2:$E$113),0)</f>
        <v>337008</v>
      </c>
      <c r="F10" s="358">
        <f>C10*INVERSIONISTAS!$N$4</f>
        <v>555320.7547</v>
      </c>
      <c r="G10" s="359">
        <f t="shared" si="2"/>
        <v>218312.7547</v>
      </c>
      <c r="H10" s="360">
        <f t="shared" si="3"/>
        <v>0.6477969506</v>
      </c>
      <c r="I10" s="348">
        <f t="shared" si="4"/>
        <v>15281.89283</v>
      </c>
      <c r="J10" s="349"/>
      <c r="K10" s="349"/>
      <c r="L10" s="370">
        <f>COUNTIF(Q:Q,"&lt;0")</f>
        <v>12</v>
      </c>
      <c r="M10" s="370">
        <f>-AVERAGE(Q:Q)</f>
        <v>25923.69231</v>
      </c>
      <c r="N10" s="349"/>
      <c r="O10" s="349" t="str">
        <f>IFERROR(__xludf.DUMMYFUNCTION("""COMPUTED_VALUE"""),"INVER9")</f>
        <v>INVER9</v>
      </c>
      <c r="P10" s="363">
        <f>IFERROR(__xludf.DUMMYFUNCTION("""COMPUTED_VALUE"""),45744.0)</f>
        <v>45744</v>
      </c>
      <c r="Q10" s="364">
        <f>IFERROR(__xludf.DUMMYFUNCTION("""COMPUTED_VALUE"""),-40000.0)</f>
        <v>-40000</v>
      </c>
      <c r="R10" s="349">
        <f>IFERROR(__xludf.DUMMYFUNCTION("""COMPUTED_VALUE"""),346.0)</f>
        <v>346</v>
      </c>
      <c r="S10" s="349"/>
      <c r="T10" s="349"/>
      <c r="U10" s="349"/>
      <c r="V10" s="349"/>
      <c r="W10" s="349"/>
      <c r="X10" s="349"/>
      <c r="Y10" s="349"/>
      <c r="Z10" s="349"/>
    </row>
    <row r="11">
      <c r="A11" s="355"/>
      <c r="B11" s="356" t="s">
        <v>139</v>
      </c>
      <c r="C11" s="357">
        <f>SUMIF(INVERSIONISTAS!A:A,B11,INVERSIONISTAS!D:D)</f>
        <v>35.64119603</v>
      </c>
      <c r="D11" s="358">
        <f t="shared" si="1"/>
        <v>18377.60998</v>
      </c>
      <c r="E11" s="358">
        <f>IF(SUMIF(INVERSIONISTAS!$A$2:$A$113,B11,INVERSIONISTAS!$E$2:$E$113)&lt;&gt;0,SUMIF(INVERSIONISTAS!$A$2:$A$113,B11,INVERSIONISTAS!$E$2:$E$113),0)</f>
        <v>655000</v>
      </c>
      <c r="F11" s="358">
        <f>C11*INVERSIONISTAS!$N$4</f>
        <v>736511.2194</v>
      </c>
      <c r="G11" s="359">
        <f t="shared" si="2"/>
        <v>81511.21935</v>
      </c>
      <c r="H11" s="360">
        <f t="shared" si="3"/>
        <v>0.1244446097</v>
      </c>
      <c r="I11" s="348">
        <f t="shared" si="4"/>
        <v>5705.785355</v>
      </c>
      <c r="J11" s="349"/>
      <c r="K11" s="349"/>
      <c r="L11" s="372"/>
      <c r="M11" s="372"/>
      <c r="N11" s="349"/>
      <c r="O11" s="349" t="str">
        <f>IFERROR(__xludf.DUMMYFUNCTION("""COMPUTED_VALUE"""),"INVER9")</f>
        <v>INVER9</v>
      </c>
      <c r="P11" s="363">
        <f>IFERROR(__xludf.DUMMYFUNCTION("""COMPUTED_VALUE"""),45785.0)</f>
        <v>45785</v>
      </c>
      <c r="Q11" s="364">
        <f>IFERROR(__xludf.DUMMYFUNCTION("""COMPUTED_VALUE"""),-85726.0)</f>
        <v>-85726</v>
      </c>
      <c r="R11" s="349">
        <f>IFERROR(__xludf.DUMMYFUNCTION("""COMPUTED_VALUE"""),305.0)</f>
        <v>305</v>
      </c>
      <c r="S11" s="349"/>
      <c r="T11" s="349"/>
      <c r="U11" s="349"/>
      <c r="V11" s="349"/>
      <c r="W11" s="349"/>
      <c r="X11" s="349"/>
      <c r="Y11" s="349"/>
      <c r="Z11" s="349"/>
    </row>
    <row r="12">
      <c r="A12" s="342"/>
      <c r="B12" s="356" t="s">
        <v>140</v>
      </c>
      <c r="C12" s="357">
        <f>SUMIF(INVERSIONISTAS!A:A,B12,INVERSIONISTAS!D:D)</f>
        <v>35.62207455</v>
      </c>
      <c r="D12" s="358">
        <f t="shared" si="1"/>
        <v>14597.68996</v>
      </c>
      <c r="E12" s="358">
        <f>IF(SUMIF(INVERSIONISTAS!$A$2:$A$113,B12,INVERSIONISTAS!$E$2:$E$113)&lt;&gt;0,SUMIF(INVERSIONISTAS!$A$2:$A$113,B12,INVERSIONISTAS!$E$2:$E$113),0)</f>
        <v>520000</v>
      </c>
      <c r="F12" s="358">
        <f>C12*INVERSIONISTAS!$N$4</f>
        <v>736116.0815</v>
      </c>
      <c r="G12" s="359">
        <f t="shared" si="2"/>
        <v>216116.0815</v>
      </c>
      <c r="H12" s="360">
        <f t="shared" si="3"/>
        <v>0.4156078491</v>
      </c>
      <c r="I12" s="348">
        <f t="shared" si="4"/>
        <v>15128.12571</v>
      </c>
      <c r="J12" s="349"/>
      <c r="K12" s="342"/>
      <c r="L12" s="373" t="s">
        <v>141</v>
      </c>
      <c r="M12" s="374">
        <f>SUMIF(GRAFICO!A:A,L8,GRAFICO!B:B)</f>
        <v>0</v>
      </c>
      <c r="N12" s="348"/>
      <c r="O12" s="349" t="str">
        <f>IFERROR(__xludf.DUMMYFUNCTION("""COMPUTED_VALUE"""),"INVER9")</f>
        <v>INVER9</v>
      </c>
      <c r="P12" s="363">
        <f>IFERROR(__xludf.DUMMYFUNCTION("""COMPUTED_VALUE"""),45872.0)</f>
        <v>45872</v>
      </c>
      <c r="Q12" s="364">
        <f>IFERROR(__xludf.DUMMYFUNCTION("""COMPUTED_VALUE"""),-50000.0)</f>
        <v>-50000</v>
      </c>
      <c r="R12" s="349">
        <f>IFERROR(__xludf.DUMMYFUNCTION("""COMPUTED_VALUE"""),218.0)</f>
        <v>218</v>
      </c>
      <c r="S12" s="349"/>
      <c r="T12" s="349"/>
      <c r="U12" s="349"/>
      <c r="V12" s="349"/>
      <c r="W12" s="349"/>
      <c r="X12" s="349"/>
      <c r="Y12" s="349"/>
      <c r="Z12" s="349"/>
    </row>
    <row r="13">
      <c r="A13" s="342"/>
      <c r="B13" s="375" t="s">
        <v>142</v>
      </c>
      <c r="C13" s="357">
        <f>SUMIF(INVERSIONISTAS!A:A,B13,INVERSIONISTAS!D:D)</f>
        <v>47.27517294</v>
      </c>
      <c r="D13" s="358">
        <f t="shared" si="1"/>
        <v>21152.75181</v>
      </c>
      <c r="E13" s="358">
        <f>IF(SUMIF(INVERSIONISTAS!$A$2:$A$113,B13,INVERSIONISTAS!$E$2:$E$113)&lt;&gt;0,SUMIF(INVERSIONISTAS!$A$2:$A$113,B13,INVERSIONISTAS!$E$2:$E$113),0)</f>
        <v>1000000</v>
      </c>
      <c r="F13" s="358">
        <f>C13*INVERSIONISTAS!$N$4</f>
        <v>976922.7508</v>
      </c>
      <c r="G13" s="359">
        <f t="shared" si="2"/>
        <v>-23077.24919</v>
      </c>
      <c r="H13" s="360">
        <f t="shared" si="3"/>
        <v>-0.02307724919</v>
      </c>
      <c r="I13" s="348">
        <f t="shared" si="4"/>
        <v>-1615.407443</v>
      </c>
      <c r="J13" s="349"/>
      <c r="K13" s="342"/>
      <c r="L13" s="376" t="s">
        <v>143</v>
      </c>
      <c r="M13" s="377">
        <f>SUMIF(B:B,L2,C:C)</f>
        <v>26.87304057</v>
      </c>
      <c r="N13" s="348"/>
      <c r="O13" s="349" t="str">
        <f>IFERROR(__xludf.DUMMYFUNCTION("""COMPUTED_VALUE"""),"INVER9")</f>
        <v>INVER9</v>
      </c>
      <c r="P13" s="363">
        <f>IFERROR(__xludf.DUMMYFUNCTION("""COMPUTED_VALUE"""),45963.0)</f>
        <v>45963</v>
      </c>
      <c r="Q13" s="364">
        <f>IFERROR(__xludf.DUMMYFUNCTION("""COMPUTED_VALUE"""),-70000.0)</f>
        <v>-70000</v>
      </c>
      <c r="R13" s="349">
        <f>IFERROR(__xludf.DUMMYFUNCTION("""COMPUTED_VALUE"""),127.0)</f>
        <v>127</v>
      </c>
      <c r="S13" s="349"/>
      <c r="T13" s="349"/>
      <c r="U13" s="349"/>
      <c r="V13" s="349"/>
      <c r="W13" s="349"/>
      <c r="X13" s="349"/>
      <c r="Y13" s="349"/>
      <c r="Z13" s="349"/>
    </row>
    <row r="14">
      <c r="A14" s="342"/>
      <c r="B14" s="375" t="s">
        <v>144</v>
      </c>
      <c r="C14" s="357">
        <f>SUMIF(INVERSIONISTAS!A:A,B14,INVERSIONISTAS!D:D)</f>
        <v>105.5099487</v>
      </c>
      <c r="D14" s="358">
        <f t="shared" si="1"/>
        <v>15088.62453</v>
      </c>
      <c r="E14" s="358">
        <f>IF(SUMIF(INVERSIONISTAS!$A$2:$A$113,B14,INVERSIONISTAS!$E$2:$E$113)&lt;&gt;0,SUMIF(INVERSIONISTAS!$A$2:$A$113,B14,INVERSIONISTAS!$E$2:$E$113),0)</f>
        <v>1592000</v>
      </c>
      <c r="F14" s="358">
        <f>C14*INVERSIONISTAS!$N$4</f>
        <v>2180321.359</v>
      </c>
      <c r="G14" s="359">
        <f t="shared" si="2"/>
        <v>588321.3594</v>
      </c>
      <c r="H14" s="360">
        <f t="shared" si="3"/>
        <v>0.3695485926</v>
      </c>
      <c r="I14" s="348"/>
      <c r="J14" s="349"/>
      <c r="K14" s="342"/>
      <c r="L14" s="376" t="s">
        <v>145</v>
      </c>
      <c r="M14" s="378">
        <f>SUMIF(B:B,L2,D:D)</f>
        <v>12540.74689</v>
      </c>
      <c r="N14" s="348"/>
      <c r="O14" s="349" t="str">
        <f>IFERROR(__xludf.DUMMYFUNCTION("""COMPUTED_VALUE"""),"INVER9")</f>
        <v>INVER9</v>
      </c>
      <c r="P14" s="363">
        <f>IFERROR(__xludf.DUMMYFUNCTION("""COMPUTED_VALUE"""),45980.0)</f>
        <v>45980</v>
      </c>
      <c r="Q14" s="364">
        <f>IFERROR(__xludf.DUMMYFUNCTION("""COMPUTED_VALUE"""),130000.0)</f>
        <v>130000</v>
      </c>
      <c r="R14" s="349">
        <f>IFERROR(__xludf.DUMMYFUNCTION("""COMPUTED_VALUE"""),110.0)</f>
        <v>110</v>
      </c>
      <c r="S14" s="349"/>
      <c r="T14" s="349"/>
      <c r="U14" s="349"/>
      <c r="V14" s="349"/>
      <c r="W14" s="349"/>
      <c r="X14" s="349"/>
      <c r="Y14" s="349"/>
      <c r="Z14" s="349"/>
    </row>
    <row r="15">
      <c r="A15" s="355"/>
      <c r="B15" s="356" t="s">
        <v>146</v>
      </c>
      <c r="C15" s="357">
        <f>SUMIF(INVERSIONISTAS!A:A,B15,INVERSIONISTAS!D:D)</f>
        <v>185.4192185</v>
      </c>
      <c r="D15" s="358">
        <f t="shared" si="1"/>
        <v>20882.40924</v>
      </c>
      <c r="E15" s="358">
        <f>IF(SUMIF(INVERSIONISTAS!$A$2:$A$113,B15,INVERSIONISTAS!$E$2:$E$113)&lt;&gt;0,SUMIF(INVERSIONISTAS!$A$2:$A$113,B15,INVERSIONISTAS!$E$2:$E$113),0)</f>
        <v>3872000</v>
      </c>
      <c r="F15" s="358">
        <f>C15*INVERSIONISTAS!$N$4</f>
        <v>3831614.814</v>
      </c>
      <c r="G15" s="359">
        <f t="shared" si="2"/>
        <v>-40385.18635</v>
      </c>
      <c r="H15" s="360">
        <f t="shared" si="3"/>
        <v>-0.01043005846</v>
      </c>
      <c r="I15" s="348"/>
      <c r="J15" s="349"/>
      <c r="K15" s="342"/>
      <c r="L15" s="376" t="s">
        <v>147</v>
      </c>
      <c r="M15" s="379">
        <f>(L5-M5)*16%</f>
        <v>34930.04076</v>
      </c>
      <c r="N15" s="348"/>
      <c r="O15" s="349"/>
      <c r="P15" s="349"/>
      <c r="Q15" s="349"/>
      <c r="R15" s="349"/>
      <c r="S15" s="349"/>
      <c r="T15" s="349"/>
      <c r="U15" s="349"/>
      <c r="V15" s="349"/>
      <c r="W15" s="349"/>
      <c r="X15" s="349"/>
      <c r="Y15" s="349"/>
      <c r="Z15" s="349"/>
    </row>
    <row r="16">
      <c r="A16" s="342"/>
      <c r="B16" s="356" t="s">
        <v>148</v>
      </c>
      <c r="C16" s="357">
        <f>SUMIF(INVERSIONISTAS!A:A,B16,INVERSIONISTAS!D:D)</f>
        <v>232.5449472</v>
      </c>
      <c r="D16" s="358">
        <f t="shared" si="1"/>
        <v>17200.97576</v>
      </c>
      <c r="E16" s="358">
        <f>IF(SUMIF(INVERSIONISTAS!$A$2:$A$113,B16,INVERSIONISTAS!$E$2:$E$113)&lt;&gt;0,SUMIF(INVERSIONISTAS!$A$2:$A$113,B16,INVERSIONISTAS!$E$2:$E$113),0)</f>
        <v>4000000</v>
      </c>
      <c r="F16" s="358">
        <f>C16*INVERSIONISTAS!$N$4</f>
        <v>4805449.36</v>
      </c>
      <c r="G16" s="359">
        <f t="shared" si="2"/>
        <v>805449.3601</v>
      </c>
      <c r="H16" s="360">
        <f t="shared" si="3"/>
        <v>0.20136234</v>
      </c>
      <c r="I16" s="348"/>
      <c r="J16" s="349"/>
      <c r="K16" s="342"/>
      <c r="L16" s="380" t="s">
        <v>149</v>
      </c>
      <c r="M16" s="381">
        <f>L5-M15</f>
        <v>520390.714</v>
      </c>
      <c r="N16" s="348"/>
      <c r="O16" s="349"/>
      <c r="P16" s="349"/>
      <c r="Q16" s="349"/>
      <c r="R16" s="349"/>
      <c r="S16" s="349"/>
      <c r="T16" s="349"/>
      <c r="U16" s="349"/>
      <c r="V16" s="349"/>
      <c r="W16" s="349"/>
      <c r="X16" s="349"/>
      <c r="Y16" s="349"/>
      <c r="Z16" s="349"/>
    </row>
    <row r="17">
      <c r="A17" s="355"/>
      <c r="B17" s="382" t="s">
        <v>150</v>
      </c>
      <c r="C17" s="357">
        <f>SUMIF(INVERSIONISTAS!A:A,B17,INVERSIONISTAS!D:D)</f>
        <v>208.6446299</v>
      </c>
      <c r="D17" s="358">
        <f t="shared" si="1"/>
        <v>19171.35371</v>
      </c>
      <c r="E17" s="358">
        <f>IF(SUMIF(INVERSIONISTAS!$A$2:$A$113,B17,INVERSIONISTAS!$E$2:$E$113)&lt;&gt;0,SUMIF(INVERSIONISTAS!$A$2:$A$113,B17,INVERSIONISTAS!$E$2:$E$113),0)</f>
        <v>4000000</v>
      </c>
      <c r="F17" s="358">
        <f>C17*INVERSIONISTAS!$N$4</f>
        <v>4311558.756</v>
      </c>
      <c r="G17" s="359">
        <f t="shared" si="2"/>
        <v>311558.7557</v>
      </c>
      <c r="H17" s="360">
        <f t="shared" si="3"/>
        <v>0.07788968892</v>
      </c>
      <c r="I17" s="348"/>
      <c r="J17" s="349"/>
      <c r="K17" s="349"/>
      <c r="L17" s="365"/>
      <c r="M17" s="365"/>
      <c r="N17" s="349"/>
      <c r="O17" s="349"/>
      <c r="P17" s="349"/>
      <c r="Q17" s="349"/>
      <c r="R17" s="349"/>
      <c r="S17" s="349"/>
      <c r="T17" s="349"/>
      <c r="U17" s="349"/>
      <c r="V17" s="349"/>
      <c r="W17" s="349"/>
      <c r="X17" s="349"/>
      <c r="Y17" s="349"/>
      <c r="Z17" s="349"/>
    </row>
    <row r="18">
      <c r="A18" s="355"/>
      <c r="B18" s="356" t="s">
        <v>151</v>
      </c>
      <c r="C18" s="357">
        <f>SUMIF(INVERSIONISTAS!A:A,B18,INVERSIONISTAS!D:D)</f>
        <v>177.2029124</v>
      </c>
      <c r="D18" s="358">
        <f t="shared" si="1"/>
        <v>19751.36837</v>
      </c>
      <c r="E18" s="358">
        <f>IF(SUMIF(INVERSIONISTAS!$A$2:$A$113,B18,INVERSIONISTAS!$E$2:$E$113)&lt;&gt;0,SUMIF(INVERSIONISTAS!$A$2:$A$113,B18,INVERSIONISTAS!$E$2:$E$113),0)</f>
        <v>3500000</v>
      </c>
      <c r="F18" s="358">
        <f>C18*INVERSIONISTAS!$N$4</f>
        <v>3661828.099</v>
      </c>
      <c r="G18" s="359">
        <f t="shared" si="2"/>
        <v>161828.099</v>
      </c>
      <c r="H18" s="360">
        <f t="shared" si="3"/>
        <v>0.04623659972</v>
      </c>
      <c r="I18" s="348"/>
      <c r="J18" s="383">
        <f>NOMINAL(9%,12)/12</f>
        <v>0.007207323316</v>
      </c>
      <c r="K18" s="349"/>
      <c r="L18" s="349"/>
      <c r="M18" s="349"/>
      <c r="N18" s="349"/>
      <c r="O18" s="349"/>
      <c r="P18" s="349"/>
      <c r="Q18" s="349"/>
      <c r="R18" s="349"/>
      <c r="S18" s="349"/>
      <c r="T18" s="349"/>
      <c r="U18" s="349"/>
      <c r="V18" s="349"/>
      <c r="W18" s="349"/>
      <c r="X18" s="349"/>
      <c r="Y18" s="349"/>
      <c r="Z18" s="349"/>
    </row>
    <row r="19">
      <c r="A19" s="342"/>
      <c r="B19" s="356" t="s">
        <v>152</v>
      </c>
      <c r="C19" s="357">
        <f>SUMIF(INVERSIONISTAS!A:A,B19,INVERSIONISTAS!D:D)</f>
        <v>238.5334176</v>
      </c>
      <c r="D19" s="358">
        <f t="shared" si="1"/>
        <v>20961.42357</v>
      </c>
      <c r="E19" s="358">
        <f>IF(SUMIF(INVERSIONISTAS!$A$2:$A$113,B19,INVERSIONISTAS!$E$2:$E$113)&lt;&gt;0,SUMIF(INVERSIONISTAS!$A$2:$A$113,B19,INVERSIONISTAS!$E$2:$E$113),0)</f>
        <v>5000000</v>
      </c>
      <c r="F19" s="358">
        <f>C19*INVERSIONISTAS!$N$4</f>
        <v>4929198.73</v>
      </c>
      <c r="G19" s="359">
        <f t="shared" si="2"/>
        <v>-70801.26953</v>
      </c>
      <c r="H19" s="360">
        <f t="shared" si="3"/>
        <v>-0.01416025391</v>
      </c>
      <c r="I19" s="348"/>
      <c r="J19" s="349"/>
      <c r="K19" s="349"/>
      <c r="L19" s="349"/>
      <c r="M19" s="371"/>
      <c r="N19" s="371"/>
      <c r="O19" s="349"/>
      <c r="P19" s="349"/>
      <c r="Q19" s="349"/>
      <c r="R19" s="349"/>
      <c r="S19" s="349"/>
      <c r="T19" s="349"/>
      <c r="U19" s="349"/>
      <c r="V19" s="349"/>
      <c r="W19" s="349"/>
      <c r="X19" s="349"/>
      <c r="Y19" s="349"/>
      <c r="Z19" s="349"/>
    </row>
    <row r="20">
      <c r="A20" s="342"/>
      <c r="B20" s="384"/>
      <c r="C20" s="357"/>
      <c r="D20" s="358"/>
      <c r="E20" s="358"/>
      <c r="F20" s="385"/>
      <c r="G20" s="359"/>
      <c r="H20" s="386"/>
      <c r="I20" s="348"/>
      <c r="J20" s="349"/>
      <c r="K20" s="349"/>
      <c r="L20" s="349"/>
      <c r="M20" s="349"/>
      <c r="N20" s="349"/>
      <c r="O20" s="349"/>
      <c r="P20" s="349"/>
      <c r="Q20" s="349"/>
      <c r="R20" s="349"/>
      <c r="S20" s="349"/>
      <c r="T20" s="349"/>
      <c r="U20" s="349"/>
      <c r="V20" s="349"/>
      <c r="W20" s="349"/>
      <c r="X20" s="349"/>
      <c r="Y20" s="349"/>
      <c r="Z20" s="349"/>
    </row>
    <row r="21">
      <c r="A21" s="342"/>
      <c r="B21" s="384"/>
      <c r="C21" s="357"/>
      <c r="D21" s="358"/>
      <c r="E21" s="358"/>
      <c r="F21" s="385"/>
      <c r="G21" s="359"/>
      <c r="H21" s="386"/>
      <c r="I21" s="348"/>
      <c r="J21" s="349"/>
      <c r="K21" s="349"/>
      <c r="L21" s="349"/>
      <c r="M21" s="349"/>
      <c r="N21" s="349"/>
      <c r="O21" s="349"/>
      <c r="P21" s="349"/>
      <c r="Q21" s="349"/>
      <c r="R21" s="349"/>
      <c r="S21" s="349"/>
      <c r="T21" s="349"/>
      <c r="U21" s="349"/>
      <c r="V21" s="349"/>
      <c r="W21" s="349"/>
      <c r="X21" s="349"/>
      <c r="Y21" s="349"/>
      <c r="Z21" s="349"/>
    </row>
    <row r="22">
      <c r="A22" s="342"/>
      <c r="B22" s="387"/>
      <c r="C22" s="388"/>
      <c r="D22" s="389"/>
      <c r="E22" s="389"/>
      <c r="F22" s="390"/>
      <c r="G22" s="391"/>
      <c r="H22" s="392"/>
      <c r="I22" s="348"/>
      <c r="J22" s="349"/>
      <c r="K22" s="349"/>
      <c r="L22" s="349"/>
      <c r="M22" s="349"/>
      <c r="N22" s="349"/>
      <c r="O22" s="349"/>
      <c r="P22" s="349"/>
      <c r="Q22" s="349"/>
      <c r="R22" s="349"/>
      <c r="S22" s="349"/>
      <c r="T22" s="349"/>
      <c r="U22" s="349"/>
      <c r="V22" s="349"/>
      <c r="W22" s="349"/>
      <c r="X22" s="349"/>
      <c r="Y22" s="349"/>
      <c r="Z22" s="349"/>
    </row>
    <row r="23">
      <c r="A23" s="349"/>
      <c r="B23" s="365"/>
      <c r="C23" s="393"/>
      <c r="D23" s="365"/>
      <c r="E23" s="365"/>
      <c r="F23" s="365"/>
      <c r="G23" s="394"/>
      <c r="H23" s="365"/>
      <c r="I23" s="349"/>
      <c r="J23" s="349"/>
      <c r="K23" s="349"/>
      <c r="L23" s="349"/>
      <c r="M23" s="349"/>
      <c r="N23" s="349"/>
      <c r="O23" s="349"/>
      <c r="P23" s="349"/>
      <c r="Q23" s="349"/>
      <c r="R23" s="349"/>
      <c r="S23" s="349"/>
      <c r="T23" s="349"/>
      <c r="U23" s="349"/>
      <c r="V23" s="349"/>
      <c r="W23" s="349"/>
      <c r="X23" s="349"/>
      <c r="Y23" s="349"/>
      <c r="Z23" s="349"/>
    </row>
    <row r="24">
      <c r="A24" s="349"/>
      <c r="B24" s="349"/>
      <c r="C24" s="395"/>
      <c r="D24" s="349"/>
      <c r="E24" s="349"/>
      <c r="F24" s="349"/>
      <c r="G24" s="396"/>
      <c r="H24" s="349"/>
      <c r="I24" s="349"/>
      <c r="J24" s="349"/>
      <c r="K24" s="349"/>
      <c r="L24" s="349"/>
      <c r="M24" s="349"/>
      <c r="N24" s="349"/>
      <c r="O24" s="349"/>
      <c r="P24" s="349"/>
      <c r="Q24" s="349"/>
      <c r="R24" s="349"/>
      <c r="S24" s="349"/>
      <c r="T24" s="349"/>
      <c r="U24" s="349"/>
      <c r="V24" s="349"/>
      <c r="W24" s="349"/>
      <c r="X24" s="349"/>
      <c r="Y24" s="349"/>
      <c r="Z24" s="349"/>
    </row>
    <row r="25">
      <c r="A25" s="349"/>
      <c r="B25" s="349"/>
      <c r="C25" s="395"/>
      <c r="D25" s="349"/>
      <c r="E25" s="349"/>
      <c r="F25" s="349"/>
      <c r="G25" s="396"/>
      <c r="H25" s="349"/>
      <c r="I25" s="349"/>
      <c r="J25" s="349"/>
      <c r="K25" s="349"/>
      <c r="L25" s="349"/>
      <c r="M25" s="349"/>
      <c r="N25" s="349"/>
      <c r="O25" s="349"/>
      <c r="P25" s="349"/>
      <c r="Q25" s="349"/>
      <c r="R25" s="349"/>
      <c r="S25" s="349"/>
      <c r="T25" s="349"/>
      <c r="U25" s="349"/>
      <c r="V25" s="349"/>
      <c r="W25" s="349"/>
      <c r="X25" s="349"/>
      <c r="Y25" s="349"/>
      <c r="Z25" s="349"/>
    </row>
    <row r="26">
      <c r="A26" s="349"/>
      <c r="B26" s="349"/>
      <c r="C26" s="395"/>
      <c r="D26" s="349"/>
      <c r="E26" s="349"/>
      <c r="F26" s="349"/>
      <c r="G26" s="396"/>
      <c r="H26" s="349"/>
      <c r="I26" s="349"/>
      <c r="J26" s="349"/>
      <c r="K26" s="349"/>
      <c r="L26" s="349"/>
      <c r="M26" s="349"/>
      <c r="N26" s="349"/>
      <c r="O26" s="349"/>
      <c r="P26" s="349"/>
      <c r="Q26" s="349"/>
      <c r="R26" s="349"/>
      <c r="S26" s="349"/>
      <c r="T26" s="349"/>
      <c r="U26" s="349"/>
      <c r="V26" s="349"/>
      <c r="W26" s="349"/>
      <c r="X26" s="349"/>
      <c r="Y26" s="349"/>
      <c r="Z26" s="349"/>
    </row>
    <row r="27">
      <c r="A27" s="349"/>
      <c r="B27" s="349"/>
      <c r="C27" s="395"/>
      <c r="D27" s="349"/>
      <c r="E27" s="349"/>
      <c r="F27" s="349"/>
      <c r="G27" s="396"/>
      <c r="H27" s="349"/>
      <c r="I27" s="349"/>
      <c r="J27" s="349"/>
      <c r="K27" s="349"/>
      <c r="L27" s="349"/>
      <c r="M27" s="349"/>
      <c r="N27" s="349"/>
      <c r="O27" s="349"/>
      <c r="P27" s="349"/>
      <c r="Q27" s="349"/>
      <c r="R27" s="349"/>
      <c r="S27" s="349"/>
      <c r="T27" s="349"/>
      <c r="U27" s="349"/>
      <c r="V27" s="349"/>
      <c r="W27" s="349"/>
      <c r="X27" s="349"/>
      <c r="Y27" s="349"/>
      <c r="Z27" s="349"/>
    </row>
    <row r="28">
      <c r="A28" s="349"/>
      <c r="B28" s="349"/>
      <c r="C28" s="395"/>
      <c r="D28" s="349"/>
      <c r="E28" s="349"/>
      <c r="F28" s="349"/>
      <c r="G28" s="396"/>
      <c r="H28" s="349"/>
      <c r="I28" s="349"/>
      <c r="J28" s="349"/>
      <c r="K28" s="349"/>
      <c r="L28" s="349"/>
      <c r="M28" s="349"/>
      <c r="N28" s="349"/>
      <c r="O28" s="349"/>
      <c r="P28" s="349"/>
      <c r="Q28" s="349"/>
      <c r="R28" s="349"/>
      <c r="S28" s="349"/>
      <c r="T28" s="349"/>
      <c r="U28" s="349"/>
      <c r="V28" s="349"/>
      <c r="W28" s="349"/>
      <c r="X28" s="349"/>
      <c r="Y28" s="349"/>
      <c r="Z28" s="349"/>
    </row>
    <row r="29">
      <c r="A29" s="349"/>
      <c r="B29" s="349"/>
      <c r="C29" s="395"/>
      <c r="D29" s="349"/>
      <c r="E29" s="349"/>
      <c r="F29" s="349"/>
      <c r="G29" s="396"/>
      <c r="H29" s="349"/>
      <c r="I29" s="349"/>
      <c r="J29" s="349"/>
      <c r="K29" s="349"/>
      <c r="L29" s="349"/>
      <c r="M29" s="349"/>
      <c r="N29" s="349"/>
      <c r="O29" s="349"/>
      <c r="P29" s="349"/>
      <c r="Q29" s="349"/>
      <c r="R29" s="349"/>
      <c r="S29" s="349"/>
      <c r="T29" s="349"/>
      <c r="U29" s="349"/>
      <c r="V29" s="349"/>
      <c r="W29" s="349"/>
      <c r="X29" s="349"/>
      <c r="Y29" s="349"/>
      <c r="Z29" s="349"/>
    </row>
    <row r="30">
      <c r="A30" s="349"/>
      <c r="B30" s="349"/>
      <c r="C30" s="395"/>
      <c r="D30" s="349"/>
      <c r="E30" s="349"/>
      <c r="F30" s="349"/>
      <c r="G30" s="396"/>
      <c r="H30" s="349"/>
      <c r="I30" s="349"/>
      <c r="J30" s="349"/>
      <c r="K30" s="349"/>
      <c r="L30" s="349"/>
      <c r="M30" s="349"/>
      <c r="N30" s="349"/>
      <c r="O30" s="349"/>
      <c r="P30" s="349"/>
      <c r="Q30" s="349"/>
      <c r="R30" s="349"/>
      <c r="S30" s="349"/>
      <c r="T30" s="349"/>
      <c r="U30" s="349"/>
      <c r="V30" s="349"/>
      <c r="W30" s="349"/>
      <c r="X30" s="349"/>
      <c r="Y30" s="349"/>
      <c r="Z30" s="349"/>
    </row>
    <row r="31">
      <c r="A31" s="349"/>
      <c r="B31" s="349"/>
      <c r="C31" s="395"/>
      <c r="D31" s="349"/>
      <c r="E31" s="349"/>
      <c r="F31" s="349"/>
      <c r="G31" s="396"/>
      <c r="H31" s="349"/>
      <c r="I31" s="349"/>
      <c r="J31" s="349"/>
      <c r="K31" s="349"/>
      <c r="L31" s="349"/>
      <c r="M31" s="349"/>
      <c r="N31" s="349"/>
      <c r="O31" s="349"/>
      <c r="P31" s="349"/>
      <c r="Q31" s="349"/>
      <c r="R31" s="349"/>
      <c r="S31" s="349"/>
      <c r="T31" s="349"/>
      <c r="U31" s="349"/>
      <c r="V31" s="349"/>
      <c r="W31" s="349"/>
      <c r="X31" s="349"/>
      <c r="Y31" s="349"/>
      <c r="Z31" s="349"/>
    </row>
    <row r="32">
      <c r="A32" s="349"/>
      <c r="B32" s="349"/>
      <c r="C32" s="395"/>
      <c r="D32" s="349"/>
      <c r="E32" s="349"/>
      <c r="F32" s="349"/>
      <c r="G32" s="396"/>
      <c r="H32" s="349"/>
      <c r="I32" s="349"/>
      <c r="J32" s="349"/>
      <c r="K32" s="349"/>
      <c r="L32" s="349"/>
      <c r="M32" s="349"/>
      <c r="N32" s="349"/>
      <c r="O32" s="349"/>
      <c r="P32" s="349"/>
      <c r="Q32" s="349"/>
      <c r="R32" s="349"/>
      <c r="S32" s="349"/>
      <c r="T32" s="349"/>
      <c r="U32" s="349"/>
      <c r="V32" s="349"/>
      <c r="W32" s="349"/>
      <c r="X32" s="349"/>
      <c r="Y32" s="349"/>
      <c r="Z32" s="349"/>
    </row>
    <row r="33">
      <c r="A33" s="349"/>
      <c r="B33" s="349"/>
      <c r="C33" s="395"/>
      <c r="D33" s="349"/>
      <c r="E33" s="349"/>
      <c r="F33" s="349"/>
      <c r="G33" s="396"/>
      <c r="H33" s="349"/>
      <c r="I33" s="349"/>
      <c r="J33" s="349"/>
      <c r="K33" s="349"/>
      <c r="L33" s="349"/>
      <c r="M33" s="349"/>
      <c r="N33" s="349"/>
      <c r="O33" s="349"/>
      <c r="P33" s="349"/>
      <c r="Q33" s="349"/>
      <c r="R33" s="349"/>
      <c r="S33" s="349"/>
      <c r="T33" s="349"/>
      <c r="U33" s="349"/>
      <c r="V33" s="349"/>
      <c r="W33" s="349"/>
      <c r="X33" s="349"/>
      <c r="Y33" s="349"/>
      <c r="Z33" s="349"/>
    </row>
    <row r="34">
      <c r="A34" s="349"/>
      <c r="B34" s="349"/>
      <c r="C34" s="395"/>
      <c r="D34" s="349"/>
      <c r="E34" s="349"/>
      <c r="F34" s="349"/>
      <c r="G34" s="396"/>
      <c r="H34" s="349"/>
      <c r="I34" s="349"/>
      <c r="J34" s="349"/>
      <c r="K34" s="349"/>
      <c r="L34" s="349"/>
      <c r="M34" s="349"/>
      <c r="N34" s="349"/>
      <c r="O34" s="349"/>
      <c r="P34" s="349"/>
      <c r="Q34" s="349"/>
      <c r="R34" s="349"/>
      <c r="S34" s="349"/>
      <c r="T34" s="349"/>
      <c r="U34" s="349"/>
      <c r="V34" s="349"/>
      <c r="W34" s="349"/>
      <c r="X34" s="349"/>
      <c r="Y34" s="349"/>
      <c r="Z34" s="349"/>
    </row>
    <row r="35">
      <c r="A35" s="349"/>
      <c r="B35" s="349"/>
      <c r="C35" s="395"/>
      <c r="D35" s="349"/>
      <c r="E35" s="349"/>
      <c r="F35" s="349"/>
      <c r="G35" s="396"/>
      <c r="H35" s="349"/>
      <c r="I35" s="349"/>
      <c r="J35" s="349"/>
      <c r="K35" s="349"/>
      <c r="L35" s="349"/>
      <c r="M35" s="349"/>
      <c r="N35" s="349"/>
      <c r="O35" s="349"/>
      <c r="P35" s="349"/>
      <c r="Q35" s="349"/>
      <c r="R35" s="349"/>
      <c r="S35" s="349"/>
      <c r="T35" s="349"/>
      <c r="U35" s="349"/>
      <c r="V35" s="349"/>
      <c r="W35" s="349"/>
      <c r="X35" s="349"/>
      <c r="Y35" s="349"/>
      <c r="Z35" s="349"/>
    </row>
    <row r="36">
      <c r="A36" s="349"/>
      <c r="B36" s="349"/>
      <c r="C36" s="395"/>
      <c r="D36" s="349"/>
      <c r="E36" s="349"/>
      <c r="F36" s="349"/>
      <c r="G36" s="396"/>
      <c r="H36" s="349"/>
      <c r="I36" s="349"/>
      <c r="J36" s="349"/>
      <c r="K36" s="349"/>
      <c r="L36" s="349"/>
      <c r="M36" s="349"/>
      <c r="N36" s="349"/>
      <c r="O36" s="349"/>
      <c r="P36" s="349"/>
      <c r="Q36" s="349"/>
      <c r="R36" s="349"/>
      <c r="S36" s="349"/>
      <c r="T36" s="349"/>
      <c r="U36" s="349"/>
      <c r="V36" s="349"/>
      <c r="W36" s="349"/>
      <c r="X36" s="349"/>
      <c r="Y36" s="349"/>
      <c r="Z36" s="349"/>
    </row>
    <row r="37">
      <c r="A37" s="349"/>
      <c r="B37" s="349"/>
      <c r="C37" s="395"/>
      <c r="D37" s="349"/>
      <c r="E37" s="349"/>
      <c r="F37" s="349"/>
      <c r="G37" s="396"/>
      <c r="H37" s="349"/>
      <c r="I37" s="349"/>
      <c r="J37" s="349"/>
      <c r="K37" s="349"/>
      <c r="L37" s="349"/>
      <c r="M37" s="349"/>
      <c r="N37" s="349"/>
      <c r="O37" s="349"/>
      <c r="P37" s="349"/>
      <c r="Q37" s="349"/>
      <c r="R37" s="349"/>
      <c r="S37" s="349"/>
      <c r="T37" s="349"/>
      <c r="U37" s="349"/>
      <c r="V37" s="349"/>
      <c r="W37" s="349"/>
      <c r="X37" s="349"/>
      <c r="Y37" s="349"/>
      <c r="Z37" s="349"/>
    </row>
    <row r="38">
      <c r="A38" s="349"/>
      <c r="B38" s="349"/>
      <c r="C38" s="395"/>
      <c r="D38" s="349"/>
      <c r="E38" s="349"/>
      <c r="F38" s="349"/>
      <c r="G38" s="396"/>
      <c r="H38" s="349"/>
      <c r="I38" s="349"/>
      <c r="J38" s="349"/>
      <c r="K38" s="349"/>
      <c r="L38" s="349"/>
      <c r="M38" s="349"/>
      <c r="N38" s="349"/>
      <c r="O38" s="349"/>
      <c r="P38" s="349"/>
      <c r="Q38" s="349"/>
      <c r="R38" s="349"/>
      <c r="S38" s="349"/>
      <c r="T38" s="349"/>
      <c r="U38" s="349"/>
      <c r="V38" s="349"/>
      <c r="W38" s="349"/>
      <c r="X38" s="349"/>
      <c r="Y38" s="349"/>
      <c r="Z38" s="349"/>
    </row>
    <row r="39">
      <c r="A39" s="349"/>
      <c r="B39" s="349"/>
      <c r="C39" s="395"/>
      <c r="D39" s="349"/>
      <c r="E39" s="349"/>
      <c r="F39" s="349"/>
      <c r="G39" s="396"/>
      <c r="H39" s="349"/>
      <c r="I39" s="349"/>
      <c r="J39" s="349"/>
      <c r="K39" s="349"/>
      <c r="L39" s="349"/>
      <c r="M39" s="349"/>
      <c r="N39" s="349"/>
      <c r="O39" s="349"/>
      <c r="P39" s="349"/>
      <c r="Q39" s="349"/>
      <c r="R39" s="349"/>
      <c r="S39" s="349"/>
      <c r="T39" s="349"/>
      <c r="U39" s="349"/>
      <c r="V39" s="349"/>
      <c r="W39" s="349"/>
      <c r="X39" s="349"/>
      <c r="Y39" s="349"/>
      <c r="Z39" s="349"/>
    </row>
    <row r="40">
      <c r="A40" s="349"/>
      <c r="B40" s="349"/>
      <c r="C40" s="395"/>
      <c r="D40" s="349"/>
      <c r="E40" s="349"/>
      <c r="F40" s="349"/>
      <c r="G40" s="396"/>
      <c r="H40" s="349"/>
      <c r="I40" s="349"/>
      <c r="J40" s="349"/>
      <c r="K40" s="349"/>
      <c r="L40" s="349"/>
      <c r="M40" s="349"/>
      <c r="N40" s="349"/>
      <c r="O40" s="349"/>
      <c r="P40" s="349"/>
      <c r="Q40" s="349"/>
      <c r="R40" s="349"/>
      <c r="S40" s="349"/>
      <c r="T40" s="349"/>
      <c r="U40" s="349"/>
      <c r="V40" s="349"/>
      <c r="W40" s="349"/>
      <c r="X40" s="349"/>
      <c r="Y40" s="349"/>
      <c r="Z40" s="349"/>
    </row>
    <row r="41">
      <c r="A41" s="349"/>
      <c r="B41" s="349"/>
      <c r="C41" s="395"/>
      <c r="D41" s="349"/>
      <c r="E41" s="349"/>
      <c r="F41" s="349"/>
      <c r="G41" s="396"/>
      <c r="H41" s="349"/>
      <c r="I41" s="349"/>
      <c r="J41" s="349"/>
      <c r="K41" s="349"/>
      <c r="L41" s="349"/>
      <c r="M41" s="349"/>
      <c r="N41" s="349"/>
      <c r="O41" s="349"/>
      <c r="P41" s="349"/>
      <c r="Q41" s="349"/>
      <c r="R41" s="349"/>
      <c r="S41" s="349"/>
      <c r="T41" s="349"/>
      <c r="U41" s="349"/>
      <c r="V41" s="349"/>
      <c r="W41" s="349"/>
      <c r="X41" s="349"/>
      <c r="Y41" s="349"/>
      <c r="Z41" s="349"/>
    </row>
    <row r="42">
      <c r="A42" s="349"/>
      <c r="B42" s="349"/>
      <c r="C42" s="395"/>
      <c r="D42" s="349"/>
      <c r="E42" s="349"/>
      <c r="F42" s="349"/>
      <c r="G42" s="396"/>
      <c r="H42" s="349"/>
      <c r="I42" s="349"/>
      <c r="J42" s="349"/>
      <c r="K42" s="349"/>
      <c r="L42" s="349"/>
      <c r="M42" s="349"/>
      <c r="N42" s="349"/>
      <c r="O42" s="349"/>
      <c r="P42" s="349"/>
      <c r="Q42" s="349"/>
      <c r="R42" s="349"/>
      <c r="S42" s="349"/>
      <c r="T42" s="349"/>
      <c r="U42" s="349"/>
      <c r="V42" s="349"/>
      <c r="W42" s="349"/>
      <c r="X42" s="349"/>
      <c r="Y42" s="349"/>
      <c r="Z42" s="349"/>
    </row>
    <row r="43">
      <c r="A43" s="349"/>
      <c r="B43" s="349"/>
      <c r="C43" s="395"/>
      <c r="D43" s="349"/>
      <c r="E43" s="349"/>
      <c r="F43" s="349"/>
      <c r="G43" s="396"/>
      <c r="H43" s="349"/>
      <c r="I43" s="349"/>
      <c r="J43" s="349"/>
      <c r="K43" s="349"/>
      <c r="L43" s="349"/>
      <c r="M43" s="349"/>
      <c r="N43" s="349"/>
      <c r="O43" s="349"/>
      <c r="P43" s="349"/>
      <c r="Q43" s="349"/>
      <c r="R43" s="349"/>
      <c r="S43" s="349"/>
      <c r="T43" s="349"/>
      <c r="U43" s="349"/>
      <c r="V43" s="349"/>
      <c r="W43" s="349"/>
      <c r="X43" s="349"/>
      <c r="Y43" s="349"/>
      <c r="Z43" s="349"/>
    </row>
    <row r="44">
      <c r="A44" s="349"/>
      <c r="B44" s="349"/>
      <c r="C44" s="395"/>
      <c r="D44" s="349"/>
      <c r="E44" s="349"/>
      <c r="F44" s="349"/>
      <c r="G44" s="396"/>
      <c r="H44" s="349"/>
      <c r="I44" s="349"/>
      <c r="J44" s="349"/>
      <c r="K44" s="349"/>
      <c r="L44" s="349"/>
      <c r="M44" s="349"/>
      <c r="N44" s="349"/>
      <c r="O44" s="349"/>
      <c r="P44" s="349"/>
      <c r="Q44" s="349"/>
      <c r="R44" s="349"/>
      <c r="S44" s="349"/>
      <c r="T44" s="349"/>
      <c r="U44" s="349"/>
      <c r="V44" s="349"/>
      <c r="W44" s="349"/>
      <c r="X44" s="349"/>
      <c r="Y44" s="349"/>
      <c r="Z44" s="349"/>
    </row>
    <row r="45">
      <c r="A45" s="349"/>
      <c r="B45" s="349"/>
      <c r="C45" s="395"/>
      <c r="D45" s="349"/>
      <c r="E45" s="349"/>
      <c r="F45" s="349"/>
      <c r="G45" s="396"/>
      <c r="H45" s="349"/>
      <c r="I45" s="349"/>
      <c r="J45" s="349"/>
      <c r="K45" s="349"/>
      <c r="L45" s="349"/>
      <c r="M45" s="349"/>
      <c r="N45" s="349"/>
      <c r="O45" s="349"/>
      <c r="P45" s="349"/>
      <c r="Q45" s="349"/>
      <c r="R45" s="349"/>
      <c r="S45" s="349"/>
      <c r="T45" s="349"/>
      <c r="U45" s="349"/>
      <c r="V45" s="349"/>
      <c r="W45" s="349"/>
      <c r="X45" s="349"/>
      <c r="Y45" s="349"/>
      <c r="Z45" s="349"/>
    </row>
    <row r="46">
      <c r="A46" s="349"/>
      <c r="B46" s="349"/>
      <c r="C46" s="395"/>
      <c r="D46" s="349"/>
      <c r="E46" s="349"/>
      <c r="F46" s="349"/>
      <c r="G46" s="396"/>
      <c r="H46" s="349"/>
      <c r="I46" s="349"/>
      <c r="J46" s="349"/>
      <c r="K46" s="349"/>
      <c r="L46" s="349"/>
      <c r="M46" s="349"/>
      <c r="N46" s="349"/>
      <c r="O46" s="349"/>
      <c r="P46" s="349"/>
      <c r="Q46" s="349"/>
      <c r="R46" s="349"/>
      <c r="S46" s="349"/>
      <c r="T46" s="349"/>
      <c r="U46" s="349"/>
      <c r="V46" s="349"/>
      <c r="W46" s="349"/>
      <c r="X46" s="349"/>
      <c r="Y46" s="349"/>
      <c r="Z46" s="349"/>
    </row>
    <row r="47">
      <c r="A47" s="349"/>
      <c r="B47" s="349"/>
      <c r="C47" s="395"/>
      <c r="D47" s="349"/>
      <c r="E47" s="349"/>
      <c r="F47" s="349"/>
      <c r="G47" s="396"/>
      <c r="H47" s="349"/>
      <c r="I47" s="349"/>
      <c r="J47" s="349"/>
      <c r="K47" s="349"/>
      <c r="L47" s="349"/>
      <c r="M47" s="349"/>
      <c r="N47" s="349"/>
      <c r="O47" s="349"/>
      <c r="P47" s="349"/>
      <c r="Q47" s="349"/>
      <c r="R47" s="349"/>
      <c r="S47" s="349"/>
      <c r="T47" s="349"/>
      <c r="U47" s="349"/>
      <c r="V47" s="349"/>
      <c r="W47" s="349"/>
      <c r="X47" s="349"/>
      <c r="Y47" s="349"/>
      <c r="Z47" s="349"/>
    </row>
    <row r="48">
      <c r="A48" s="349"/>
      <c r="B48" s="349"/>
      <c r="C48" s="395"/>
      <c r="D48" s="349"/>
      <c r="E48" s="349"/>
      <c r="F48" s="349"/>
      <c r="G48" s="396"/>
      <c r="H48" s="349"/>
      <c r="I48" s="349"/>
      <c r="J48" s="349"/>
      <c r="K48" s="349"/>
      <c r="L48" s="349"/>
      <c r="M48" s="349"/>
      <c r="N48" s="349"/>
      <c r="O48" s="349"/>
      <c r="P48" s="349"/>
      <c r="Q48" s="349"/>
      <c r="R48" s="349"/>
      <c r="S48" s="349"/>
      <c r="T48" s="349"/>
      <c r="U48" s="349"/>
      <c r="V48" s="349"/>
      <c r="W48" s="349"/>
      <c r="X48" s="349"/>
      <c r="Y48" s="349"/>
      <c r="Z48" s="349"/>
    </row>
    <row r="49">
      <c r="A49" s="349"/>
      <c r="B49" s="349"/>
      <c r="C49" s="395"/>
      <c r="D49" s="349"/>
      <c r="E49" s="349"/>
      <c r="F49" s="349"/>
      <c r="G49" s="396"/>
      <c r="H49" s="349"/>
      <c r="I49" s="349"/>
      <c r="J49" s="349"/>
      <c r="K49" s="349"/>
      <c r="L49" s="349"/>
      <c r="M49" s="349"/>
      <c r="N49" s="349"/>
      <c r="O49" s="349"/>
      <c r="P49" s="349"/>
      <c r="Q49" s="349"/>
      <c r="R49" s="349"/>
      <c r="S49" s="349"/>
      <c r="T49" s="349"/>
      <c r="U49" s="349"/>
      <c r="V49" s="349"/>
      <c r="W49" s="349"/>
      <c r="X49" s="349"/>
      <c r="Y49" s="349"/>
      <c r="Z49" s="349"/>
    </row>
    <row r="50">
      <c r="A50" s="349"/>
      <c r="B50" s="349"/>
      <c r="C50" s="395"/>
      <c r="D50" s="349"/>
      <c r="E50" s="349"/>
      <c r="F50" s="349"/>
      <c r="G50" s="396"/>
      <c r="H50" s="349"/>
      <c r="I50" s="349"/>
      <c r="J50" s="349"/>
      <c r="K50" s="349"/>
      <c r="L50" s="349"/>
      <c r="M50" s="349"/>
      <c r="N50" s="349"/>
      <c r="O50" s="349"/>
      <c r="P50" s="349"/>
      <c r="Q50" s="349"/>
      <c r="R50" s="349"/>
      <c r="S50" s="349"/>
      <c r="T50" s="349"/>
      <c r="U50" s="349"/>
      <c r="V50" s="349"/>
      <c r="W50" s="349"/>
      <c r="X50" s="349"/>
      <c r="Y50" s="349"/>
      <c r="Z50" s="349"/>
    </row>
    <row r="51">
      <c r="A51" s="349"/>
      <c r="B51" s="349"/>
      <c r="C51" s="395"/>
      <c r="D51" s="349"/>
      <c r="E51" s="349"/>
      <c r="F51" s="349"/>
      <c r="G51" s="396"/>
      <c r="H51" s="349"/>
      <c r="I51" s="349"/>
      <c r="J51" s="349"/>
      <c r="K51" s="349"/>
      <c r="L51" s="349"/>
      <c r="M51" s="349"/>
      <c r="N51" s="349"/>
      <c r="O51" s="349"/>
      <c r="P51" s="349"/>
      <c r="Q51" s="349"/>
      <c r="R51" s="349"/>
      <c r="S51" s="349"/>
      <c r="T51" s="349"/>
      <c r="U51" s="349"/>
      <c r="V51" s="349"/>
      <c r="W51" s="349"/>
      <c r="X51" s="349"/>
      <c r="Y51" s="349"/>
      <c r="Z51" s="349"/>
    </row>
    <row r="52">
      <c r="A52" s="349"/>
      <c r="B52" s="349"/>
      <c r="C52" s="395"/>
      <c r="D52" s="349"/>
      <c r="E52" s="349"/>
      <c r="F52" s="349"/>
      <c r="G52" s="396"/>
      <c r="H52" s="349"/>
      <c r="I52" s="349"/>
      <c r="J52" s="349"/>
      <c r="K52" s="349"/>
      <c r="L52" s="349"/>
      <c r="M52" s="349"/>
      <c r="N52" s="349"/>
      <c r="O52" s="349"/>
      <c r="P52" s="349"/>
      <c r="Q52" s="349"/>
      <c r="R52" s="349"/>
      <c r="S52" s="349"/>
      <c r="T52" s="349"/>
      <c r="U52" s="349"/>
      <c r="V52" s="349"/>
      <c r="W52" s="349"/>
      <c r="X52" s="349"/>
      <c r="Y52" s="349"/>
      <c r="Z52" s="349"/>
    </row>
    <row r="53">
      <c r="A53" s="349"/>
      <c r="B53" s="349"/>
      <c r="C53" s="395"/>
      <c r="D53" s="349"/>
      <c r="E53" s="349"/>
      <c r="F53" s="349"/>
      <c r="G53" s="396"/>
      <c r="H53" s="349"/>
      <c r="I53" s="349"/>
      <c r="J53" s="349"/>
      <c r="K53" s="349"/>
      <c r="L53" s="349"/>
      <c r="M53" s="349"/>
      <c r="N53" s="349"/>
      <c r="O53" s="349"/>
      <c r="P53" s="349"/>
      <c r="Q53" s="349"/>
      <c r="R53" s="349"/>
      <c r="S53" s="349"/>
      <c r="T53" s="349"/>
      <c r="U53" s="349"/>
      <c r="V53" s="349"/>
      <c r="W53" s="349"/>
      <c r="X53" s="349"/>
      <c r="Y53" s="349"/>
      <c r="Z53" s="349"/>
    </row>
    <row r="54">
      <c r="A54" s="349"/>
      <c r="B54" s="349"/>
      <c r="C54" s="395"/>
      <c r="D54" s="349"/>
      <c r="E54" s="349"/>
      <c r="F54" s="349"/>
      <c r="G54" s="396"/>
      <c r="H54" s="349"/>
      <c r="I54" s="349"/>
      <c r="J54" s="349"/>
      <c r="K54" s="349"/>
      <c r="L54" s="349"/>
      <c r="M54" s="349"/>
      <c r="N54" s="349"/>
      <c r="O54" s="349"/>
      <c r="P54" s="349"/>
      <c r="Q54" s="349"/>
      <c r="R54" s="349"/>
      <c r="S54" s="349"/>
      <c r="T54" s="349"/>
      <c r="U54" s="349"/>
      <c r="V54" s="349"/>
      <c r="W54" s="349"/>
      <c r="X54" s="349"/>
      <c r="Y54" s="349"/>
      <c r="Z54" s="349"/>
    </row>
    <row r="55">
      <c r="A55" s="349"/>
      <c r="B55" s="349"/>
      <c r="C55" s="395"/>
      <c r="D55" s="349"/>
      <c r="E55" s="349"/>
      <c r="F55" s="349"/>
      <c r="G55" s="396"/>
      <c r="H55" s="349"/>
      <c r="I55" s="349"/>
      <c r="J55" s="349"/>
      <c r="K55" s="349"/>
      <c r="L55" s="349"/>
      <c r="M55" s="349"/>
      <c r="N55" s="349"/>
      <c r="O55" s="349"/>
      <c r="P55" s="349"/>
      <c r="Q55" s="349"/>
      <c r="R55" s="349"/>
      <c r="S55" s="349"/>
      <c r="T55" s="349"/>
      <c r="U55" s="349"/>
      <c r="V55" s="349"/>
      <c r="W55" s="349"/>
      <c r="X55" s="349"/>
      <c r="Y55" s="349"/>
      <c r="Z55" s="349"/>
    </row>
    <row r="56">
      <c r="A56" s="349"/>
      <c r="B56" s="349"/>
      <c r="C56" s="395"/>
      <c r="D56" s="349"/>
      <c r="E56" s="349"/>
      <c r="F56" s="349"/>
      <c r="G56" s="396"/>
      <c r="H56" s="349"/>
      <c r="I56" s="349"/>
      <c r="J56" s="349"/>
      <c r="K56" s="349"/>
      <c r="L56" s="349"/>
      <c r="M56" s="349"/>
      <c r="N56" s="349"/>
      <c r="O56" s="349"/>
      <c r="P56" s="349"/>
      <c r="Q56" s="349"/>
      <c r="R56" s="349"/>
      <c r="S56" s="349"/>
      <c r="T56" s="349"/>
      <c r="U56" s="349"/>
      <c r="V56" s="349"/>
      <c r="W56" s="349"/>
      <c r="X56" s="349"/>
      <c r="Y56" s="349"/>
      <c r="Z56" s="349"/>
    </row>
    <row r="57">
      <c r="A57" s="349"/>
      <c r="B57" s="349"/>
      <c r="C57" s="395"/>
      <c r="D57" s="349"/>
      <c r="E57" s="349"/>
      <c r="F57" s="349"/>
      <c r="G57" s="396"/>
      <c r="H57" s="349"/>
      <c r="I57" s="349"/>
      <c r="J57" s="349"/>
      <c r="K57" s="349"/>
      <c r="L57" s="349"/>
      <c r="M57" s="349"/>
      <c r="N57" s="349"/>
      <c r="O57" s="349"/>
      <c r="P57" s="349"/>
      <c r="Q57" s="349"/>
      <c r="R57" s="349"/>
      <c r="S57" s="349"/>
      <c r="T57" s="349"/>
      <c r="U57" s="349"/>
      <c r="V57" s="349"/>
      <c r="W57" s="349"/>
      <c r="X57" s="349"/>
      <c r="Y57" s="349"/>
      <c r="Z57" s="349"/>
    </row>
    <row r="58">
      <c r="A58" s="349"/>
      <c r="B58" s="349"/>
      <c r="C58" s="395"/>
      <c r="D58" s="349"/>
      <c r="E58" s="349"/>
      <c r="F58" s="349"/>
      <c r="G58" s="396"/>
      <c r="H58" s="349"/>
      <c r="I58" s="349"/>
      <c r="J58" s="349"/>
      <c r="K58" s="349"/>
      <c r="L58" s="349"/>
      <c r="M58" s="349"/>
      <c r="N58" s="349"/>
      <c r="O58" s="349"/>
      <c r="P58" s="349"/>
      <c r="Q58" s="349"/>
      <c r="R58" s="349"/>
      <c r="S58" s="349"/>
      <c r="T58" s="349"/>
      <c r="U58" s="349"/>
      <c r="V58" s="349"/>
      <c r="W58" s="349"/>
      <c r="X58" s="349"/>
      <c r="Y58" s="349"/>
      <c r="Z58" s="349"/>
    </row>
    <row r="59">
      <c r="A59" s="349"/>
      <c r="B59" s="349"/>
      <c r="C59" s="395"/>
      <c r="D59" s="349"/>
      <c r="E59" s="349"/>
      <c r="F59" s="349"/>
      <c r="G59" s="396"/>
      <c r="H59" s="349"/>
      <c r="I59" s="349"/>
      <c r="J59" s="349"/>
      <c r="K59" s="349"/>
      <c r="L59" s="349"/>
      <c r="M59" s="349"/>
      <c r="N59" s="349"/>
      <c r="O59" s="349"/>
      <c r="P59" s="349"/>
      <c r="Q59" s="349"/>
      <c r="R59" s="349"/>
      <c r="S59" s="349"/>
      <c r="T59" s="349"/>
      <c r="U59" s="349"/>
      <c r="V59" s="349"/>
      <c r="W59" s="349"/>
      <c r="X59" s="349"/>
      <c r="Y59" s="349"/>
      <c r="Z59" s="349"/>
    </row>
    <row r="60">
      <c r="A60" s="349"/>
      <c r="B60" s="349"/>
      <c r="C60" s="395"/>
      <c r="D60" s="349"/>
      <c r="E60" s="349"/>
      <c r="F60" s="349"/>
      <c r="G60" s="396"/>
      <c r="H60" s="349"/>
      <c r="I60" s="349"/>
      <c r="J60" s="349"/>
      <c r="K60" s="349"/>
      <c r="L60" s="349"/>
      <c r="M60" s="349"/>
      <c r="N60" s="349"/>
      <c r="O60" s="349"/>
      <c r="P60" s="349"/>
      <c r="Q60" s="349"/>
      <c r="R60" s="349"/>
      <c r="S60" s="349"/>
      <c r="T60" s="349"/>
      <c r="U60" s="349"/>
      <c r="V60" s="349"/>
      <c r="W60" s="349"/>
      <c r="X60" s="349"/>
      <c r="Y60" s="349"/>
      <c r="Z60" s="349"/>
    </row>
    <row r="61">
      <c r="A61" s="349"/>
      <c r="B61" s="349"/>
      <c r="C61" s="395"/>
      <c r="D61" s="349"/>
      <c r="E61" s="349"/>
      <c r="F61" s="349"/>
      <c r="G61" s="396"/>
      <c r="H61" s="349"/>
      <c r="I61" s="349"/>
      <c r="J61" s="349"/>
      <c r="K61" s="349"/>
      <c r="L61" s="349"/>
      <c r="M61" s="349"/>
      <c r="N61" s="349"/>
      <c r="O61" s="349"/>
      <c r="P61" s="349"/>
      <c r="Q61" s="349"/>
      <c r="R61" s="349"/>
      <c r="S61" s="349"/>
      <c r="T61" s="349"/>
      <c r="U61" s="349"/>
      <c r="V61" s="349"/>
      <c r="W61" s="349"/>
      <c r="X61" s="349"/>
      <c r="Y61" s="349"/>
      <c r="Z61" s="349"/>
    </row>
    <row r="62">
      <c r="A62" s="349"/>
      <c r="B62" s="349"/>
      <c r="C62" s="395"/>
      <c r="D62" s="349"/>
      <c r="E62" s="349"/>
      <c r="F62" s="349"/>
      <c r="G62" s="396"/>
      <c r="H62" s="349"/>
      <c r="I62" s="349"/>
      <c r="J62" s="349"/>
      <c r="K62" s="349"/>
      <c r="L62" s="349"/>
      <c r="M62" s="349"/>
      <c r="N62" s="349"/>
      <c r="O62" s="349"/>
      <c r="P62" s="349"/>
      <c r="Q62" s="349"/>
      <c r="R62" s="349"/>
      <c r="S62" s="349"/>
      <c r="T62" s="349"/>
      <c r="U62" s="349"/>
      <c r="V62" s="349"/>
      <c r="W62" s="349"/>
      <c r="X62" s="349"/>
      <c r="Y62" s="349"/>
      <c r="Z62" s="349"/>
    </row>
    <row r="63">
      <c r="A63" s="349"/>
      <c r="B63" s="349"/>
      <c r="C63" s="395"/>
      <c r="D63" s="349"/>
      <c r="E63" s="349"/>
      <c r="F63" s="349"/>
      <c r="G63" s="396"/>
      <c r="H63" s="349"/>
      <c r="I63" s="349"/>
      <c r="J63" s="349"/>
      <c r="K63" s="349"/>
      <c r="L63" s="349"/>
      <c r="M63" s="349"/>
      <c r="N63" s="349"/>
      <c r="O63" s="349"/>
      <c r="P63" s="349"/>
      <c r="Q63" s="349"/>
      <c r="R63" s="349"/>
      <c r="S63" s="349"/>
      <c r="T63" s="349"/>
      <c r="U63" s="349"/>
      <c r="V63" s="349"/>
      <c r="W63" s="349"/>
      <c r="X63" s="349"/>
      <c r="Y63" s="349"/>
      <c r="Z63" s="349"/>
    </row>
    <row r="64">
      <c r="A64" s="349"/>
      <c r="B64" s="349"/>
      <c r="C64" s="395"/>
      <c r="D64" s="349"/>
      <c r="E64" s="349"/>
      <c r="F64" s="349"/>
      <c r="G64" s="396"/>
      <c r="H64" s="349"/>
      <c r="I64" s="349"/>
      <c r="J64" s="349"/>
      <c r="K64" s="349"/>
      <c r="L64" s="349"/>
      <c r="M64" s="349"/>
      <c r="N64" s="349"/>
      <c r="O64" s="349"/>
      <c r="P64" s="349"/>
      <c r="Q64" s="349"/>
      <c r="R64" s="349"/>
      <c r="S64" s="349"/>
      <c r="T64" s="349"/>
      <c r="U64" s="349"/>
      <c r="V64" s="349"/>
      <c r="W64" s="349"/>
      <c r="X64" s="349"/>
      <c r="Y64" s="349"/>
      <c r="Z64" s="349"/>
    </row>
    <row r="65">
      <c r="A65" s="349"/>
      <c r="B65" s="349"/>
      <c r="C65" s="395"/>
      <c r="D65" s="349"/>
      <c r="E65" s="349"/>
      <c r="F65" s="349"/>
      <c r="G65" s="396"/>
      <c r="H65" s="349"/>
      <c r="I65" s="349"/>
      <c r="J65" s="349"/>
      <c r="K65" s="349"/>
      <c r="L65" s="349"/>
      <c r="M65" s="349"/>
      <c r="N65" s="349"/>
      <c r="O65" s="349"/>
      <c r="P65" s="349"/>
      <c r="Q65" s="349"/>
      <c r="R65" s="349"/>
      <c r="S65" s="349"/>
      <c r="T65" s="349"/>
      <c r="U65" s="349"/>
      <c r="V65" s="349"/>
      <c r="W65" s="349"/>
      <c r="X65" s="349"/>
      <c r="Y65" s="349"/>
      <c r="Z65" s="349"/>
    </row>
    <row r="66">
      <c r="A66" s="349"/>
      <c r="B66" s="349"/>
      <c r="C66" s="395"/>
      <c r="D66" s="349"/>
      <c r="E66" s="349"/>
      <c r="F66" s="349"/>
      <c r="G66" s="396"/>
      <c r="H66" s="349"/>
      <c r="I66" s="349"/>
      <c r="J66" s="349"/>
      <c r="K66" s="349"/>
      <c r="L66" s="349"/>
      <c r="M66" s="349"/>
      <c r="N66" s="349"/>
      <c r="O66" s="349"/>
      <c r="P66" s="349"/>
      <c r="Q66" s="349"/>
      <c r="R66" s="349"/>
      <c r="S66" s="349"/>
      <c r="T66" s="349"/>
      <c r="U66" s="349"/>
      <c r="V66" s="349"/>
      <c r="W66" s="349"/>
      <c r="X66" s="349"/>
      <c r="Y66" s="349"/>
      <c r="Z66" s="349"/>
    </row>
    <row r="67">
      <c r="A67" s="349"/>
      <c r="B67" s="349"/>
      <c r="C67" s="395"/>
      <c r="D67" s="349"/>
      <c r="E67" s="349"/>
      <c r="F67" s="349"/>
      <c r="G67" s="396"/>
      <c r="H67" s="349"/>
      <c r="I67" s="349"/>
      <c r="J67" s="349"/>
      <c r="K67" s="349"/>
      <c r="L67" s="349"/>
      <c r="M67" s="349"/>
      <c r="N67" s="349"/>
      <c r="O67" s="349"/>
      <c r="P67" s="349"/>
      <c r="Q67" s="349"/>
      <c r="R67" s="349"/>
      <c r="S67" s="349"/>
      <c r="T67" s="349"/>
      <c r="U67" s="349"/>
      <c r="V67" s="349"/>
      <c r="W67" s="349"/>
      <c r="X67" s="349"/>
      <c r="Y67" s="349"/>
      <c r="Z67" s="349"/>
    </row>
    <row r="68">
      <c r="A68" s="349"/>
      <c r="B68" s="349"/>
      <c r="C68" s="395"/>
      <c r="D68" s="349"/>
      <c r="E68" s="349"/>
      <c r="F68" s="349"/>
      <c r="G68" s="396"/>
      <c r="H68" s="349"/>
      <c r="I68" s="349"/>
      <c r="J68" s="349"/>
      <c r="K68" s="349"/>
      <c r="L68" s="349"/>
      <c r="M68" s="349"/>
      <c r="N68" s="349"/>
      <c r="O68" s="349"/>
      <c r="P68" s="349"/>
      <c r="Q68" s="349"/>
      <c r="R68" s="349"/>
      <c r="S68" s="349"/>
      <c r="T68" s="349"/>
      <c r="U68" s="349"/>
      <c r="V68" s="349"/>
      <c r="W68" s="349"/>
      <c r="X68" s="349"/>
      <c r="Y68" s="349"/>
      <c r="Z68" s="349"/>
    </row>
    <row r="69">
      <c r="A69" s="349"/>
      <c r="B69" s="349"/>
      <c r="C69" s="395"/>
      <c r="D69" s="349"/>
      <c r="E69" s="349"/>
      <c r="F69" s="349"/>
      <c r="G69" s="396"/>
      <c r="H69" s="349"/>
      <c r="I69" s="349"/>
      <c r="J69" s="349"/>
      <c r="K69" s="349"/>
      <c r="L69" s="349"/>
      <c r="M69" s="349"/>
      <c r="N69" s="349"/>
      <c r="O69" s="349"/>
      <c r="P69" s="349"/>
      <c r="Q69" s="349"/>
      <c r="R69" s="349"/>
      <c r="S69" s="349"/>
      <c r="T69" s="349"/>
      <c r="U69" s="349"/>
      <c r="V69" s="349"/>
      <c r="W69" s="349"/>
      <c r="X69" s="349"/>
      <c r="Y69" s="349"/>
      <c r="Z69" s="349"/>
    </row>
    <row r="70">
      <c r="A70" s="349"/>
      <c r="B70" s="349"/>
      <c r="C70" s="395"/>
      <c r="D70" s="349"/>
      <c r="E70" s="349"/>
      <c r="F70" s="349"/>
      <c r="G70" s="396"/>
      <c r="H70" s="349"/>
      <c r="I70" s="349"/>
      <c r="J70" s="349"/>
      <c r="K70" s="349"/>
      <c r="L70" s="349"/>
      <c r="M70" s="349"/>
      <c r="N70" s="349"/>
      <c r="O70" s="349"/>
      <c r="P70" s="349"/>
      <c r="Q70" s="349"/>
      <c r="R70" s="349"/>
      <c r="S70" s="349"/>
      <c r="T70" s="349"/>
      <c r="U70" s="349"/>
      <c r="V70" s="349"/>
      <c r="W70" s="349"/>
      <c r="X70" s="349"/>
      <c r="Y70" s="349"/>
      <c r="Z70" s="349"/>
    </row>
    <row r="71">
      <c r="A71" s="349"/>
      <c r="B71" s="349"/>
      <c r="C71" s="395"/>
      <c r="D71" s="349"/>
      <c r="E71" s="349"/>
      <c r="F71" s="349"/>
      <c r="G71" s="396"/>
      <c r="H71" s="349"/>
      <c r="I71" s="349"/>
      <c r="J71" s="349"/>
      <c r="K71" s="349"/>
      <c r="L71" s="349"/>
      <c r="M71" s="349"/>
      <c r="N71" s="349"/>
      <c r="O71" s="349"/>
      <c r="P71" s="349"/>
      <c r="Q71" s="349"/>
      <c r="R71" s="349"/>
      <c r="S71" s="349"/>
      <c r="T71" s="349"/>
      <c r="U71" s="349"/>
      <c r="V71" s="349"/>
      <c r="W71" s="349"/>
      <c r="X71" s="349"/>
      <c r="Y71" s="349"/>
      <c r="Z71" s="349"/>
    </row>
    <row r="72">
      <c r="A72" s="349"/>
      <c r="B72" s="349"/>
      <c r="C72" s="395"/>
      <c r="D72" s="349"/>
      <c r="E72" s="349"/>
      <c r="F72" s="349"/>
      <c r="G72" s="396"/>
      <c r="H72" s="349"/>
      <c r="I72" s="349"/>
      <c r="J72" s="349"/>
      <c r="K72" s="349"/>
      <c r="L72" s="349"/>
      <c r="M72" s="349"/>
      <c r="N72" s="349"/>
      <c r="O72" s="349"/>
      <c r="P72" s="349"/>
      <c r="Q72" s="349"/>
      <c r="R72" s="349"/>
      <c r="S72" s="349"/>
      <c r="T72" s="349"/>
      <c r="U72" s="349"/>
      <c r="V72" s="349"/>
      <c r="W72" s="349"/>
      <c r="X72" s="349"/>
      <c r="Y72" s="349"/>
      <c r="Z72" s="349"/>
    </row>
    <row r="73">
      <c r="A73" s="349"/>
      <c r="B73" s="349"/>
      <c r="C73" s="395"/>
      <c r="D73" s="349"/>
      <c r="E73" s="349"/>
      <c r="F73" s="349"/>
      <c r="G73" s="396"/>
      <c r="H73" s="349"/>
      <c r="I73" s="349"/>
      <c r="J73" s="349"/>
      <c r="K73" s="349"/>
      <c r="L73" s="349"/>
      <c r="M73" s="349"/>
      <c r="N73" s="349"/>
      <c r="O73" s="349"/>
      <c r="P73" s="349"/>
      <c r="Q73" s="349"/>
      <c r="R73" s="349"/>
      <c r="S73" s="349"/>
      <c r="T73" s="349"/>
      <c r="U73" s="349"/>
      <c r="V73" s="349"/>
      <c r="W73" s="349"/>
      <c r="X73" s="349"/>
      <c r="Y73" s="349"/>
      <c r="Z73" s="349"/>
    </row>
    <row r="74">
      <c r="A74" s="349"/>
      <c r="B74" s="349"/>
      <c r="C74" s="395"/>
      <c r="D74" s="349"/>
      <c r="E74" s="349"/>
      <c r="F74" s="349"/>
      <c r="G74" s="396"/>
      <c r="H74" s="349"/>
      <c r="I74" s="349"/>
      <c r="J74" s="349"/>
      <c r="K74" s="349"/>
      <c r="L74" s="349"/>
      <c r="M74" s="349"/>
      <c r="N74" s="349"/>
      <c r="O74" s="349"/>
      <c r="P74" s="349"/>
      <c r="Q74" s="349"/>
      <c r="R74" s="349"/>
      <c r="S74" s="349"/>
      <c r="T74" s="349"/>
      <c r="U74" s="349"/>
      <c r="V74" s="349"/>
      <c r="W74" s="349"/>
      <c r="X74" s="349"/>
      <c r="Y74" s="349"/>
      <c r="Z74" s="349"/>
    </row>
    <row r="75">
      <c r="A75" s="349"/>
      <c r="B75" s="349"/>
      <c r="C75" s="395"/>
      <c r="D75" s="349"/>
      <c r="E75" s="349"/>
      <c r="F75" s="349"/>
      <c r="G75" s="396"/>
      <c r="H75" s="349"/>
      <c r="I75" s="349"/>
      <c r="J75" s="349"/>
      <c r="K75" s="349"/>
      <c r="L75" s="349"/>
      <c r="M75" s="349"/>
      <c r="N75" s="349"/>
      <c r="O75" s="349"/>
      <c r="P75" s="349"/>
      <c r="Q75" s="349"/>
      <c r="R75" s="349"/>
      <c r="S75" s="349"/>
      <c r="T75" s="349"/>
      <c r="U75" s="349"/>
      <c r="V75" s="349"/>
      <c r="W75" s="349"/>
      <c r="X75" s="349"/>
      <c r="Y75" s="349"/>
      <c r="Z75" s="349"/>
    </row>
    <row r="76">
      <c r="A76" s="349"/>
      <c r="B76" s="349"/>
      <c r="C76" s="395"/>
      <c r="D76" s="349"/>
      <c r="E76" s="349"/>
      <c r="F76" s="349"/>
      <c r="G76" s="396"/>
      <c r="H76" s="349"/>
      <c r="I76" s="349"/>
      <c r="J76" s="349"/>
      <c r="K76" s="349"/>
      <c r="L76" s="349"/>
      <c r="M76" s="349"/>
      <c r="N76" s="349"/>
      <c r="O76" s="349"/>
      <c r="P76" s="349"/>
      <c r="Q76" s="349"/>
      <c r="R76" s="349"/>
      <c r="S76" s="349"/>
      <c r="T76" s="349"/>
      <c r="U76" s="349"/>
      <c r="V76" s="349"/>
      <c r="W76" s="349"/>
      <c r="X76" s="349"/>
      <c r="Y76" s="349"/>
      <c r="Z76" s="349"/>
    </row>
    <row r="77">
      <c r="A77" s="349"/>
      <c r="B77" s="349"/>
      <c r="C77" s="395"/>
      <c r="D77" s="349"/>
      <c r="E77" s="349"/>
      <c r="F77" s="349"/>
      <c r="G77" s="396"/>
      <c r="H77" s="349"/>
      <c r="I77" s="349"/>
      <c r="J77" s="349"/>
      <c r="K77" s="349"/>
      <c r="L77" s="349"/>
      <c r="M77" s="349"/>
      <c r="N77" s="349"/>
      <c r="O77" s="349"/>
      <c r="P77" s="349"/>
      <c r="Q77" s="349"/>
      <c r="R77" s="349"/>
      <c r="S77" s="349"/>
      <c r="T77" s="349"/>
      <c r="U77" s="349"/>
      <c r="V77" s="349"/>
      <c r="W77" s="349"/>
      <c r="X77" s="349"/>
      <c r="Y77" s="349"/>
      <c r="Z77" s="349"/>
    </row>
    <row r="78">
      <c r="A78" s="349"/>
      <c r="B78" s="349"/>
      <c r="C78" s="395"/>
      <c r="D78" s="349"/>
      <c r="E78" s="349"/>
      <c r="F78" s="349"/>
      <c r="G78" s="396"/>
      <c r="H78" s="349"/>
      <c r="I78" s="349"/>
      <c r="J78" s="349"/>
      <c r="K78" s="349"/>
      <c r="L78" s="349"/>
      <c r="M78" s="349"/>
      <c r="N78" s="349"/>
      <c r="O78" s="349"/>
      <c r="P78" s="349"/>
      <c r="Q78" s="349"/>
      <c r="R78" s="349"/>
      <c r="S78" s="349"/>
      <c r="T78" s="349"/>
      <c r="U78" s="349"/>
      <c r="V78" s="349"/>
      <c r="W78" s="349"/>
      <c r="X78" s="349"/>
      <c r="Y78" s="349"/>
      <c r="Z78" s="349"/>
    </row>
    <row r="79">
      <c r="A79" s="349"/>
      <c r="B79" s="349"/>
      <c r="C79" s="395"/>
      <c r="D79" s="349"/>
      <c r="E79" s="349"/>
      <c r="F79" s="349"/>
      <c r="G79" s="396"/>
      <c r="H79" s="349"/>
      <c r="I79" s="349"/>
      <c r="J79" s="349"/>
      <c r="K79" s="349"/>
      <c r="L79" s="349"/>
      <c r="M79" s="349"/>
      <c r="N79" s="349"/>
      <c r="O79" s="349"/>
      <c r="P79" s="349"/>
      <c r="Q79" s="349"/>
      <c r="R79" s="349"/>
      <c r="S79" s="349"/>
      <c r="T79" s="349"/>
      <c r="U79" s="349"/>
      <c r="V79" s="349"/>
      <c r="W79" s="349"/>
      <c r="X79" s="349"/>
      <c r="Y79" s="349"/>
      <c r="Z79" s="349"/>
    </row>
    <row r="80">
      <c r="A80" s="349"/>
      <c r="B80" s="349"/>
      <c r="C80" s="395"/>
      <c r="D80" s="349"/>
      <c r="E80" s="349"/>
      <c r="F80" s="349"/>
      <c r="G80" s="396"/>
      <c r="H80" s="349"/>
      <c r="I80" s="349"/>
      <c r="J80" s="349"/>
      <c r="K80" s="349"/>
      <c r="L80" s="349"/>
      <c r="M80" s="349"/>
      <c r="N80" s="349"/>
      <c r="O80" s="349"/>
      <c r="P80" s="349"/>
      <c r="Q80" s="349"/>
      <c r="R80" s="349"/>
      <c r="S80" s="349"/>
      <c r="T80" s="349"/>
      <c r="U80" s="349"/>
      <c r="V80" s="349"/>
      <c r="W80" s="349"/>
      <c r="X80" s="349"/>
      <c r="Y80" s="349"/>
      <c r="Z80" s="349"/>
    </row>
    <row r="81">
      <c r="A81" s="349"/>
      <c r="B81" s="349"/>
      <c r="C81" s="395"/>
      <c r="D81" s="349"/>
      <c r="E81" s="349"/>
      <c r="F81" s="349"/>
      <c r="G81" s="396"/>
      <c r="H81" s="349"/>
      <c r="I81" s="349"/>
      <c r="J81" s="349"/>
      <c r="K81" s="349"/>
      <c r="L81" s="349"/>
      <c r="M81" s="349"/>
      <c r="N81" s="349"/>
      <c r="O81" s="349"/>
      <c r="P81" s="349"/>
      <c r="Q81" s="349"/>
      <c r="R81" s="349"/>
      <c r="S81" s="349"/>
      <c r="T81" s="349"/>
      <c r="U81" s="349"/>
      <c r="V81" s="349"/>
      <c r="W81" s="349"/>
      <c r="X81" s="349"/>
      <c r="Y81" s="349"/>
      <c r="Z81" s="349"/>
    </row>
    <row r="82">
      <c r="A82" s="349"/>
      <c r="B82" s="349"/>
      <c r="C82" s="395"/>
      <c r="D82" s="349"/>
      <c r="E82" s="349"/>
      <c r="F82" s="349"/>
      <c r="G82" s="396"/>
      <c r="H82" s="349"/>
      <c r="I82" s="349"/>
      <c r="J82" s="349"/>
      <c r="K82" s="349"/>
      <c r="L82" s="349"/>
      <c r="M82" s="349"/>
      <c r="N82" s="349"/>
      <c r="O82" s="349"/>
      <c r="P82" s="349"/>
      <c r="Q82" s="349"/>
      <c r="R82" s="349"/>
      <c r="S82" s="349"/>
      <c r="T82" s="349"/>
      <c r="U82" s="349"/>
      <c r="V82" s="349"/>
      <c r="W82" s="349"/>
      <c r="X82" s="349"/>
      <c r="Y82" s="349"/>
      <c r="Z82" s="349"/>
    </row>
    <row r="83">
      <c r="A83" s="349"/>
      <c r="B83" s="349"/>
      <c r="C83" s="395"/>
      <c r="D83" s="349"/>
      <c r="E83" s="349"/>
      <c r="F83" s="349"/>
      <c r="G83" s="396"/>
      <c r="H83" s="349"/>
      <c r="I83" s="349"/>
      <c r="J83" s="349"/>
      <c r="K83" s="349"/>
      <c r="L83" s="349"/>
      <c r="M83" s="349"/>
      <c r="N83" s="349"/>
      <c r="O83" s="349"/>
      <c r="P83" s="349"/>
      <c r="Q83" s="349"/>
      <c r="R83" s="349"/>
      <c r="S83" s="349"/>
      <c r="T83" s="349"/>
      <c r="U83" s="349"/>
      <c r="V83" s="349"/>
      <c r="W83" s="349"/>
      <c r="X83" s="349"/>
      <c r="Y83" s="349"/>
      <c r="Z83" s="349"/>
    </row>
    <row r="84">
      <c r="A84" s="349"/>
      <c r="B84" s="349"/>
      <c r="C84" s="395"/>
      <c r="D84" s="349"/>
      <c r="E84" s="349"/>
      <c r="F84" s="349"/>
      <c r="G84" s="396"/>
      <c r="H84" s="349"/>
      <c r="I84" s="349"/>
      <c r="J84" s="349"/>
      <c r="K84" s="349"/>
      <c r="L84" s="349"/>
      <c r="M84" s="349"/>
      <c r="N84" s="349"/>
      <c r="O84" s="349"/>
      <c r="P84" s="349"/>
      <c r="Q84" s="349"/>
      <c r="R84" s="349"/>
      <c r="S84" s="349"/>
      <c r="T84" s="349"/>
      <c r="U84" s="349"/>
      <c r="V84" s="349"/>
      <c r="W84" s="349"/>
      <c r="X84" s="349"/>
      <c r="Y84" s="349"/>
      <c r="Z84" s="349"/>
    </row>
    <row r="85">
      <c r="A85" s="349"/>
      <c r="B85" s="349"/>
      <c r="C85" s="395"/>
      <c r="D85" s="349"/>
      <c r="E85" s="349"/>
      <c r="F85" s="349"/>
      <c r="G85" s="396"/>
      <c r="H85" s="349"/>
      <c r="I85" s="349"/>
      <c r="J85" s="349"/>
      <c r="K85" s="349"/>
      <c r="L85" s="349"/>
      <c r="M85" s="349"/>
      <c r="N85" s="349"/>
      <c r="O85" s="349"/>
      <c r="P85" s="349"/>
      <c r="Q85" s="349"/>
      <c r="R85" s="349"/>
      <c r="S85" s="349"/>
      <c r="T85" s="349"/>
      <c r="U85" s="349"/>
      <c r="V85" s="349"/>
      <c r="W85" s="349"/>
      <c r="X85" s="349"/>
      <c r="Y85" s="349"/>
      <c r="Z85" s="349"/>
    </row>
    <row r="86">
      <c r="A86" s="349"/>
      <c r="B86" s="349"/>
      <c r="C86" s="395"/>
      <c r="D86" s="349"/>
      <c r="E86" s="349"/>
      <c r="F86" s="349"/>
      <c r="G86" s="396"/>
      <c r="H86" s="349"/>
      <c r="I86" s="349"/>
      <c r="J86" s="349"/>
      <c r="K86" s="349"/>
      <c r="L86" s="349"/>
      <c r="M86" s="349"/>
      <c r="N86" s="349"/>
      <c r="O86" s="349"/>
      <c r="P86" s="349"/>
      <c r="Q86" s="349"/>
      <c r="R86" s="349"/>
      <c r="S86" s="349"/>
      <c r="T86" s="349"/>
      <c r="U86" s="349"/>
      <c r="V86" s="349"/>
      <c r="W86" s="349"/>
      <c r="X86" s="349"/>
      <c r="Y86" s="349"/>
      <c r="Z86" s="349"/>
    </row>
    <row r="87">
      <c r="A87" s="349"/>
      <c r="B87" s="349"/>
      <c r="C87" s="395"/>
      <c r="D87" s="349"/>
      <c r="E87" s="349"/>
      <c r="F87" s="349"/>
      <c r="G87" s="396"/>
      <c r="H87" s="349"/>
      <c r="I87" s="349"/>
      <c r="J87" s="349"/>
      <c r="K87" s="349"/>
      <c r="L87" s="349"/>
      <c r="M87" s="349"/>
      <c r="N87" s="349"/>
      <c r="O87" s="349"/>
      <c r="P87" s="349"/>
      <c r="Q87" s="349"/>
      <c r="R87" s="349"/>
      <c r="S87" s="349"/>
      <c r="T87" s="349"/>
      <c r="U87" s="349"/>
      <c r="V87" s="349"/>
      <c r="W87" s="349"/>
      <c r="X87" s="349"/>
      <c r="Y87" s="349"/>
      <c r="Z87" s="349"/>
    </row>
    <row r="88">
      <c r="A88" s="349"/>
      <c r="B88" s="349"/>
      <c r="C88" s="395"/>
      <c r="D88" s="349"/>
      <c r="E88" s="349"/>
      <c r="F88" s="349"/>
      <c r="G88" s="396"/>
      <c r="H88" s="349"/>
      <c r="I88" s="349"/>
      <c r="J88" s="349"/>
      <c r="K88" s="349"/>
      <c r="L88" s="349"/>
      <c r="M88" s="349"/>
      <c r="N88" s="349"/>
      <c r="O88" s="349"/>
      <c r="P88" s="349"/>
      <c r="Q88" s="349"/>
      <c r="R88" s="349"/>
      <c r="S88" s="349"/>
      <c r="T88" s="349"/>
      <c r="U88" s="349"/>
      <c r="V88" s="349"/>
      <c r="W88" s="349"/>
      <c r="X88" s="349"/>
      <c r="Y88" s="349"/>
      <c r="Z88" s="349"/>
    </row>
    <row r="89">
      <c r="A89" s="349"/>
      <c r="B89" s="349"/>
      <c r="C89" s="395"/>
      <c r="D89" s="349"/>
      <c r="E89" s="349"/>
      <c r="F89" s="349"/>
      <c r="G89" s="396"/>
      <c r="H89" s="349"/>
      <c r="I89" s="349"/>
      <c r="J89" s="349"/>
      <c r="K89" s="349"/>
      <c r="L89" s="349"/>
      <c r="M89" s="349"/>
      <c r="N89" s="349"/>
      <c r="O89" s="349"/>
      <c r="P89" s="349"/>
      <c r="Q89" s="349"/>
      <c r="R89" s="349"/>
      <c r="S89" s="349"/>
      <c r="T89" s="349"/>
      <c r="U89" s="349"/>
      <c r="V89" s="349"/>
      <c r="W89" s="349"/>
      <c r="X89" s="349"/>
      <c r="Y89" s="349"/>
      <c r="Z89" s="349"/>
    </row>
    <row r="90">
      <c r="A90" s="349"/>
      <c r="B90" s="349"/>
      <c r="C90" s="395"/>
      <c r="D90" s="349"/>
      <c r="E90" s="349"/>
      <c r="F90" s="349"/>
      <c r="G90" s="396"/>
      <c r="H90" s="349"/>
      <c r="I90" s="349"/>
      <c r="J90" s="349"/>
      <c r="K90" s="349"/>
      <c r="L90" s="349"/>
      <c r="M90" s="349"/>
      <c r="N90" s="349"/>
      <c r="O90" s="349"/>
      <c r="P90" s="349"/>
      <c r="Q90" s="349"/>
      <c r="R90" s="349"/>
      <c r="S90" s="349"/>
      <c r="T90" s="349"/>
      <c r="U90" s="349"/>
      <c r="V90" s="349"/>
      <c r="W90" s="349"/>
      <c r="X90" s="349"/>
      <c r="Y90" s="349"/>
      <c r="Z90" s="349"/>
    </row>
    <row r="91">
      <c r="A91" s="349"/>
      <c r="B91" s="349"/>
      <c r="C91" s="395"/>
      <c r="D91" s="349"/>
      <c r="E91" s="349"/>
      <c r="F91" s="349"/>
      <c r="G91" s="396"/>
      <c r="H91" s="349"/>
      <c r="I91" s="349"/>
      <c r="J91" s="349"/>
      <c r="K91" s="349"/>
      <c r="L91" s="349"/>
      <c r="M91" s="349"/>
      <c r="N91" s="349"/>
      <c r="O91" s="349"/>
      <c r="P91" s="349"/>
      <c r="Q91" s="349"/>
      <c r="R91" s="349"/>
      <c r="S91" s="349"/>
      <c r="T91" s="349"/>
      <c r="U91" s="349"/>
      <c r="V91" s="349"/>
      <c r="W91" s="349"/>
      <c r="X91" s="349"/>
      <c r="Y91" s="349"/>
      <c r="Z91" s="349"/>
    </row>
    <row r="92">
      <c r="A92" s="349"/>
      <c r="B92" s="349"/>
      <c r="C92" s="395"/>
      <c r="D92" s="349"/>
      <c r="E92" s="349"/>
      <c r="F92" s="349"/>
      <c r="G92" s="396"/>
      <c r="H92" s="349"/>
      <c r="I92" s="349"/>
      <c r="J92" s="349"/>
      <c r="K92" s="349"/>
      <c r="L92" s="349"/>
      <c r="M92" s="349"/>
      <c r="N92" s="349"/>
      <c r="O92" s="349"/>
      <c r="P92" s="349"/>
      <c r="Q92" s="349"/>
      <c r="R92" s="349"/>
      <c r="S92" s="349"/>
      <c r="T92" s="349"/>
      <c r="U92" s="349"/>
      <c r="V92" s="349"/>
      <c r="W92" s="349"/>
      <c r="X92" s="349"/>
      <c r="Y92" s="349"/>
      <c r="Z92" s="349"/>
    </row>
    <row r="93">
      <c r="A93" s="349"/>
      <c r="B93" s="349"/>
      <c r="C93" s="395"/>
      <c r="D93" s="349"/>
      <c r="E93" s="349"/>
      <c r="F93" s="349"/>
      <c r="G93" s="396"/>
      <c r="H93" s="349"/>
      <c r="I93" s="349"/>
      <c r="J93" s="349"/>
      <c r="K93" s="349"/>
      <c r="L93" s="349"/>
      <c r="M93" s="349"/>
      <c r="N93" s="349"/>
      <c r="O93" s="349"/>
      <c r="P93" s="349"/>
      <c r="Q93" s="349"/>
      <c r="R93" s="349"/>
      <c r="S93" s="349"/>
      <c r="T93" s="349"/>
      <c r="U93" s="349"/>
      <c r="V93" s="349"/>
      <c r="W93" s="349"/>
      <c r="X93" s="349"/>
      <c r="Y93" s="349"/>
      <c r="Z93" s="349"/>
    </row>
    <row r="94">
      <c r="A94" s="349"/>
      <c r="B94" s="349"/>
      <c r="C94" s="395"/>
      <c r="D94" s="349"/>
      <c r="E94" s="349"/>
      <c r="F94" s="349"/>
      <c r="G94" s="396"/>
      <c r="H94" s="349"/>
      <c r="I94" s="349"/>
      <c r="J94" s="349"/>
      <c r="K94" s="349"/>
      <c r="L94" s="349"/>
      <c r="M94" s="349"/>
      <c r="N94" s="349"/>
      <c r="O94" s="349"/>
      <c r="P94" s="349"/>
      <c r="Q94" s="349"/>
      <c r="R94" s="349"/>
      <c r="S94" s="349"/>
      <c r="T94" s="349"/>
      <c r="U94" s="349"/>
      <c r="V94" s="349"/>
      <c r="W94" s="349"/>
      <c r="X94" s="349"/>
      <c r="Y94" s="349"/>
      <c r="Z94" s="349"/>
    </row>
    <row r="95">
      <c r="A95" s="349"/>
      <c r="B95" s="349"/>
      <c r="C95" s="395"/>
      <c r="D95" s="349"/>
      <c r="E95" s="349"/>
      <c r="F95" s="349"/>
      <c r="G95" s="396"/>
      <c r="H95" s="349"/>
      <c r="I95" s="349"/>
      <c r="J95" s="349"/>
      <c r="K95" s="349"/>
      <c r="L95" s="349"/>
      <c r="M95" s="349"/>
      <c r="N95" s="349"/>
      <c r="O95" s="349"/>
      <c r="P95" s="349"/>
      <c r="Q95" s="349"/>
      <c r="R95" s="349"/>
      <c r="S95" s="349"/>
      <c r="T95" s="349"/>
      <c r="U95" s="349"/>
      <c r="V95" s="349"/>
      <c r="W95" s="349"/>
      <c r="X95" s="349"/>
      <c r="Y95" s="349"/>
      <c r="Z95" s="349"/>
    </row>
    <row r="96">
      <c r="A96" s="349"/>
      <c r="B96" s="349"/>
      <c r="C96" s="395"/>
      <c r="D96" s="349"/>
      <c r="E96" s="349"/>
      <c r="F96" s="349"/>
      <c r="G96" s="396"/>
      <c r="H96" s="349"/>
      <c r="I96" s="349"/>
      <c r="J96" s="349"/>
      <c r="K96" s="349"/>
      <c r="L96" s="349"/>
      <c r="M96" s="349"/>
      <c r="N96" s="349"/>
      <c r="O96" s="349"/>
      <c r="P96" s="349"/>
      <c r="Q96" s="349"/>
      <c r="R96" s="349"/>
      <c r="S96" s="349"/>
      <c r="T96" s="349"/>
      <c r="U96" s="349"/>
      <c r="V96" s="349"/>
      <c r="W96" s="349"/>
      <c r="X96" s="349"/>
      <c r="Y96" s="349"/>
      <c r="Z96" s="349"/>
    </row>
    <row r="97">
      <c r="A97" s="349"/>
      <c r="B97" s="349"/>
      <c r="C97" s="395"/>
      <c r="D97" s="349"/>
      <c r="E97" s="349"/>
      <c r="F97" s="349"/>
      <c r="G97" s="396"/>
      <c r="H97" s="349"/>
      <c r="I97" s="349"/>
      <c r="J97" s="349"/>
      <c r="K97" s="349"/>
      <c r="L97" s="349"/>
      <c r="M97" s="349"/>
      <c r="N97" s="349"/>
      <c r="O97" s="349"/>
      <c r="P97" s="349"/>
      <c r="Q97" s="349"/>
      <c r="R97" s="349"/>
      <c r="S97" s="349"/>
      <c r="T97" s="349"/>
      <c r="U97" s="349"/>
      <c r="V97" s="349"/>
      <c r="W97" s="349"/>
      <c r="X97" s="349"/>
      <c r="Y97" s="349"/>
      <c r="Z97" s="349"/>
    </row>
    <row r="98">
      <c r="A98" s="349"/>
      <c r="B98" s="349"/>
      <c r="C98" s="395"/>
      <c r="D98" s="349"/>
      <c r="E98" s="349"/>
      <c r="F98" s="349"/>
      <c r="G98" s="396"/>
      <c r="H98" s="349"/>
      <c r="I98" s="349"/>
      <c r="J98" s="349"/>
      <c r="K98" s="349"/>
      <c r="L98" s="349"/>
      <c r="M98" s="349"/>
      <c r="N98" s="349"/>
      <c r="O98" s="349"/>
      <c r="P98" s="349"/>
      <c r="Q98" s="349"/>
      <c r="R98" s="349"/>
      <c r="S98" s="349"/>
      <c r="T98" s="349"/>
      <c r="U98" s="349"/>
      <c r="V98" s="349"/>
      <c r="W98" s="349"/>
      <c r="X98" s="349"/>
      <c r="Y98" s="349"/>
      <c r="Z98" s="349"/>
    </row>
    <row r="99">
      <c r="A99" s="349"/>
      <c r="B99" s="349"/>
      <c r="C99" s="395"/>
      <c r="D99" s="349"/>
      <c r="E99" s="349"/>
      <c r="F99" s="349"/>
      <c r="G99" s="396"/>
      <c r="H99" s="349"/>
      <c r="I99" s="349"/>
      <c r="J99" s="349"/>
      <c r="K99" s="349"/>
      <c r="L99" s="349"/>
      <c r="M99" s="349"/>
      <c r="N99" s="349"/>
      <c r="O99" s="349"/>
      <c r="P99" s="349"/>
      <c r="Q99" s="349"/>
      <c r="R99" s="349"/>
      <c r="S99" s="349"/>
      <c r="T99" s="349"/>
      <c r="U99" s="349"/>
      <c r="V99" s="349"/>
      <c r="W99" s="349"/>
      <c r="X99" s="349"/>
      <c r="Y99" s="349"/>
      <c r="Z99" s="349"/>
    </row>
    <row r="100">
      <c r="A100" s="349"/>
      <c r="B100" s="349"/>
      <c r="C100" s="395"/>
      <c r="D100" s="349"/>
      <c r="E100" s="349"/>
      <c r="F100" s="349"/>
      <c r="G100" s="396"/>
      <c r="H100" s="349"/>
      <c r="I100" s="349"/>
      <c r="J100" s="349"/>
      <c r="K100" s="349"/>
      <c r="L100" s="349"/>
      <c r="M100" s="349"/>
      <c r="N100" s="349"/>
      <c r="O100" s="349"/>
      <c r="P100" s="349"/>
      <c r="Q100" s="349"/>
      <c r="R100" s="349"/>
      <c r="S100" s="349"/>
      <c r="T100" s="349"/>
      <c r="U100" s="349"/>
      <c r="V100" s="349"/>
      <c r="W100" s="349"/>
      <c r="X100" s="349"/>
      <c r="Y100" s="349"/>
      <c r="Z100" s="349"/>
    </row>
    <row r="101">
      <c r="A101" s="349"/>
      <c r="B101" s="349"/>
      <c r="C101" s="395"/>
      <c r="D101" s="349"/>
      <c r="E101" s="349"/>
      <c r="F101" s="349"/>
      <c r="G101" s="396"/>
      <c r="H101" s="349"/>
      <c r="I101" s="349"/>
      <c r="J101" s="349"/>
      <c r="K101" s="349"/>
      <c r="L101" s="349"/>
      <c r="M101" s="349"/>
      <c r="N101" s="349"/>
      <c r="O101" s="349"/>
      <c r="P101" s="349"/>
      <c r="Q101" s="349"/>
      <c r="R101" s="349"/>
      <c r="S101" s="349"/>
      <c r="T101" s="349"/>
      <c r="U101" s="349"/>
      <c r="V101" s="349"/>
      <c r="W101" s="349"/>
      <c r="X101" s="349"/>
      <c r="Y101" s="349"/>
      <c r="Z101" s="349"/>
    </row>
    <row r="102">
      <c r="A102" s="349"/>
      <c r="B102" s="349"/>
      <c r="C102" s="395"/>
      <c r="D102" s="349"/>
      <c r="E102" s="349"/>
      <c r="F102" s="349"/>
      <c r="G102" s="396"/>
      <c r="H102" s="349"/>
      <c r="I102" s="349"/>
      <c r="J102" s="349"/>
      <c r="K102" s="349"/>
      <c r="L102" s="349"/>
      <c r="M102" s="349"/>
      <c r="N102" s="349"/>
      <c r="O102" s="349"/>
      <c r="P102" s="349"/>
      <c r="Q102" s="349"/>
      <c r="R102" s="349"/>
      <c r="S102" s="349"/>
      <c r="T102" s="349"/>
      <c r="U102" s="349"/>
      <c r="V102" s="349"/>
      <c r="W102" s="349"/>
      <c r="X102" s="349"/>
      <c r="Y102" s="349"/>
      <c r="Z102" s="349"/>
    </row>
    <row r="103">
      <c r="A103" s="349"/>
      <c r="B103" s="349"/>
      <c r="C103" s="395"/>
      <c r="D103" s="349"/>
      <c r="E103" s="349"/>
      <c r="F103" s="349"/>
      <c r="G103" s="396"/>
      <c r="H103" s="349"/>
      <c r="I103" s="349"/>
      <c r="J103" s="349"/>
      <c r="K103" s="349"/>
      <c r="L103" s="349"/>
      <c r="M103" s="349"/>
      <c r="N103" s="349"/>
      <c r="O103" s="349"/>
      <c r="P103" s="349"/>
      <c r="Q103" s="349"/>
      <c r="R103" s="349"/>
      <c r="S103" s="349"/>
      <c r="T103" s="349"/>
      <c r="U103" s="349"/>
      <c r="V103" s="349"/>
      <c r="W103" s="349"/>
      <c r="X103" s="349"/>
      <c r="Y103" s="349"/>
      <c r="Z103" s="349"/>
    </row>
    <row r="104">
      <c r="A104" s="349"/>
      <c r="B104" s="349"/>
      <c r="C104" s="395"/>
      <c r="D104" s="349"/>
      <c r="E104" s="349"/>
      <c r="F104" s="349"/>
      <c r="G104" s="396"/>
      <c r="H104" s="349"/>
      <c r="I104" s="349"/>
      <c r="J104" s="349"/>
      <c r="K104" s="349"/>
      <c r="L104" s="349"/>
      <c r="M104" s="349"/>
      <c r="N104" s="349"/>
      <c r="O104" s="349"/>
      <c r="P104" s="349"/>
      <c r="Q104" s="349"/>
      <c r="R104" s="349"/>
      <c r="S104" s="349"/>
      <c r="T104" s="349"/>
      <c r="U104" s="349"/>
      <c r="V104" s="349"/>
      <c r="W104" s="349"/>
      <c r="X104" s="349"/>
      <c r="Y104" s="349"/>
      <c r="Z104" s="349"/>
    </row>
    <row r="105">
      <c r="A105" s="349"/>
      <c r="B105" s="349"/>
      <c r="C105" s="395"/>
      <c r="D105" s="349"/>
      <c r="E105" s="349"/>
      <c r="F105" s="349"/>
      <c r="G105" s="396"/>
      <c r="H105" s="349"/>
      <c r="I105" s="349"/>
      <c r="J105" s="349"/>
      <c r="K105" s="349"/>
      <c r="L105" s="349"/>
      <c r="M105" s="349"/>
      <c r="N105" s="349"/>
      <c r="O105" s="349"/>
      <c r="P105" s="349"/>
      <c r="Q105" s="349"/>
      <c r="R105" s="349"/>
      <c r="S105" s="349"/>
      <c r="T105" s="349"/>
      <c r="U105" s="349"/>
      <c r="V105" s="349"/>
      <c r="W105" s="349"/>
      <c r="X105" s="349"/>
      <c r="Y105" s="349"/>
      <c r="Z105" s="349"/>
    </row>
    <row r="106">
      <c r="A106" s="349"/>
      <c r="B106" s="349"/>
      <c r="C106" s="395"/>
      <c r="D106" s="349"/>
      <c r="E106" s="349"/>
      <c r="F106" s="349"/>
      <c r="G106" s="396"/>
      <c r="H106" s="349"/>
      <c r="I106" s="349"/>
      <c r="J106" s="349"/>
      <c r="K106" s="349"/>
      <c r="L106" s="349"/>
      <c r="M106" s="349"/>
      <c r="N106" s="349"/>
      <c r="O106" s="349"/>
      <c r="P106" s="349"/>
      <c r="Q106" s="349"/>
      <c r="R106" s="349"/>
      <c r="S106" s="349"/>
      <c r="T106" s="349"/>
      <c r="U106" s="349"/>
      <c r="V106" s="349"/>
      <c r="W106" s="349"/>
      <c r="X106" s="349"/>
      <c r="Y106" s="349"/>
      <c r="Z106" s="349"/>
    </row>
    <row r="107">
      <c r="A107" s="349"/>
      <c r="B107" s="349"/>
      <c r="C107" s="395"/>
      <c r="D107" s="349"/>
      <c r="E107" s="349"/>
      <c r="F107" s="349"/>
      <c r="G107" s="396"/>
      <c r="H107" s="349"/>
      <c r="I107" s="349"/>
      <c r="J107" s="349"/>
      <c r="K107" s="349"/>
      <c r="L107" s="349"/>
      <c r="M107" s="349"/>
      <c r="N107" s="349"/>
      <c r="O107" s="349"/>
      <c r="P107" s="349"/>
      <c r="Q107" s="349"/>
      <c r="R107" s="349"/>
      <c r="S107" s="349"/>
      <c r="T107" s="349"/>
      <c r="U107" s="349"/>
      <c r="V107" s="349"/>
      <c r="W107" s="349"/>
      <c r="X107" s="349"/>
      <c r="Y107" s="349"/>
      <c r="Z107" s="349"/>
    </row>
    <row r="108">
      <c r="A108" s="349"/>
      <c r="B108" s="349"/>
      <c r="C108" s="395"/>
      <c r="D108" s="349"/>
      <c r="E108" s="349"/>
      <c r="F108" s="349"/>
      <c r="G108" s="396"/>
      <c r="H108" s="349"/>
      <c r="I108" s="349"/>
      <c r="J108" s="349"/>
      <c r="K108" s="349"/>
      <c r="L108" s="349"/>
      <c r="M108" s="349"/>
      <c r="N108" s="349"/>
      <c r="O108" s="349"/>
      <c r="P108" s="349"/>
      <c r="Q108" s="349"/>
      <c r="R108" s="349"/>
      <c r="S108" s="349"/>
      <c r="T108" s="349"/>
      <c r="U108" s="349"/>
      <c r="V108" s="349"/>
      <c r="W108" s="349"/>
      <c r="X108" s="349"/>
      <c r="Y108" s="349"/>
      <c r="Z108" s="349"/>
    </row>
    <row r="109">
      <c r="A109" s="349"/>
      <c r="B109" s="349"/>
      <c r="C109" s="395"/>
      <c r="D109" s="349"/>
      <c r="E109" s="349"/>
      <c r="F109" s="349"/>
      <c r="G109" s="396"/>
      <c r="H109" s="349"/>
      <c r="I109" s="349"/>
      <c r="J109" s="349"/>
      <c r="K109" s="349"/>
      <c r="L109" s="349"/>
      <c r="M109" s="349"/>
      <c r="N109" s="349"/>
      <c r="O109" s="349"/>
      <c r="P109" s="349"/>
      <c r="Q109" s="349"/>
      <c r="R109" s="349"/>
      <c r="S109" s="349"/>
      <c r="T109" s="349"/>
      <c r="U109" s="349"/>
      <c r="V109" s="349"/>
      <c r="W109" s="349"/>
      <c r="X109" s="349"/>
      <c r="Y109" s="349"/>
      <c r="Z109" s="349"/>
    </row>
    <row r="110">
      <c r="A110" s="349"/>
      <c r="B110" s="349"/>
      <c r="C110" s="395"/>
      <c r="D110" s="349"/>
      <c r="E110" s="349"/>
      <c r="F110" s="349"/>
      <c r="G110" s="396"/>
      <c r="H110" s="349"/>
      <c r="I110" s="349"/>
      <c r="J110" s="349"/>
      <c r="K110" s="349"/>
      <c r="L110" s="349"/>
      <c r="M110" s="349"/>
      <c r="N110" s="349"/>
      <c r="O110" s="349"/>
      <c r="P110" s="349"/>
      <c r="Q110" s="349"/>
      <c r="R110" s="349"/>
      <c r="S110" s="349"/>
      <c r="T110" s="349"/>
      <c r="U110" s="349"/>
      <c r="V110" s="349"/>
      <c r="W110" s="349"/>
      <c r="X110" s="349"/>
      <c r="Y110" s="349"/>
      <c r="Z110" s="349"/>
    </row>
    <row r="111">
      <c r="A111" s="349"/>
      <c r="B111" s="349"/>
      <c r="C111" s="395"/>
      <c r="D111" s="349"/>
      <c r="E111" s="349"/>
      <c r="F111" s="349"/>
      <c r="G111" s="396"/>
      <c r="H111" s="349"/>
      <c r="I111" s="349"/>
      <c r="J111" s="349"/>
      <c r="K111" s="349"/>
      <c r="L111" s="349"/>
      <c r="M111" s="349"/>
      <c r="N111" s="349"/>
      <c r="O111" s="349"/>
      <c r="P111" s="349"/>
      <c r="Q111" s="349"/>
      <c r="R111" s="349"/>
      <c r="S111" s="349"/>
      <c r="T111" s="349"/>
      <c r="U111" s="349"/>
      <c r="V111" s="349"/>
      <c r="W111" s="349"/>
      <c r="X111" s="349"/>
      <c r="Y111" s="349"/>
      <c r="Z111" s="349"/>
    </row>
    <row r="112">
      <c r="A112" s="349"/>
      <c r="B112" s="349"/>
      <c r="C112" s="395"/>
      <c r="D112" s="349"/>
      <c r="E112" s="349"/>
      <c r="F112" s="349"/>
      <c r="G112" s="396"/>
      <c r="H112" s="349"/>
      <c r="I112" s="349"/>
      <c r="J112" s="349"/>
      <c r="K112" s="349"/>
      <c r="L112" s="349"/>
      <c r="M112" s="349"/>
      <c r="N112" s="349"/>
      <c r="O112" s="349"/>
      <c r="P112" s="349"/>
      <c r="Q112" s="349"/>
      <c r="R112" s="349"/>
      <c r="S112" s="349"/>
      <c r="T112" s="349"/>
      <c r="U112" s="349"/>
      <c r="V112" s="349"/>
      <c r="W112" s="349"/>
      <c r="X112" s="349"/>
      <c r="Y112" s="349"/>
      <c r="Z112" s="349"/>
    </row>
    <row r="113">
      <c r="A113" s="349"/>
      <c r="B113" s="349"/>
      <c r="C113" s="395"/>
      <c r="D113" s="349"/>
      <c r="E113" s="349"/>
      <c r="F113" s="349"/>
      <c r="G113" s="396"/>
      <c r="H113" s="349"/>
      <c r="I113" s="349"/>
      <c r="J113" s="349"/>
      <c r="K113" s="349"/>
      <c r="L113" s="349"/>
      <c r="M113" s="349"/>
      <c r="N113" s="349"/>
      <c r="O113" s="349"/>
      <c r="P113" s="349"/>
      <c r="Q113" s="349"/>
      <c r="R113" s="349"/>
      <c r="S113" s="349"/>
      <c r="T113" s="349"/>
      <c r="U113" s="349"/>
      <c r="V113" s="349"/>
      <c r="W113" s="349"/>
      <c r="X113" s="349"/>
      <c r="Y113" s="349"/>
      <c r="Z113" s="349"/>
    </row>
    <row r="114">
      <c r="A114" s="349"/>
      <c r="B114" s="349"/>
      <c r="C114" s="395"/>
      <c r="D114" s="349"/>
      <c r="E114" s="349"/>
      <c r="F114" s="349"/>
      <c r="G114" s="396"/>
      <c r="H114" s="349"/>
      <c r="I114" s="349"/>
      <c r="J114" s="349"/>
      <c r="K114" s="349"/>
      <c r="L114" s="349"/>
      <c r="M114" s="349"/>
      <c r="N114" s="349"/>
      <c r="O114" s="349"/>
      <c r="P114" s="349"/>
      <c r="Q114" s="349"/>
      <c r="R114" s="349"/>
      <c r="S114" s="349"/>
      <c r="T114" s="349"/>
      <c r="U114" s="349"/>
      <c r="V114" s="349"/>
      <c r="W114" s="349"/>
      <c r="X114" s="349"/>
      <c r="Y114" s="349"/>
      <c r="Z114" s="349"/>
    </row>
    <row r="115">
      <c r="A115" s="349"/>
      <c r="B115" s="349"/>
      <c r="C115" s="395"/>
      <c r="D115" s="349"/>
      <c r="E115" s="349"/>
      <c r="F115" s="349"/>
      <c r="G115" s="396"/>
      <c r="H115" s="349"/>
      <c r="I115" s="349"/>
      <c r="J115" s="349"/>
      <c r="K115" s="349"/>
      <c r="L115" s="349"/>
      <c r="M115" s="349"/>
      <c r="N115" s="349"/>
      <c r="O115" s="349"/>
      <c r="P115" s="349"/>
      <c r="Q115" s="349"/>
      <c r="R115" s="349"/>
      <c r="S115" s="349"/>
      <c r="T115" s="349"/>
      <c r="U115" s="349"/>
      <c r="V115" s="349"/>
      <c r="W115" s="349"/>
      <c r="X115" s="349"/>
      <c r="Y115" s="349"/>
      <c r="Z115" s="349"/>
    </row>
    <row r="116">
      <c r="A116" s="349"/>
      <c r="B116" s="349"/>
      <c r="C116" s="395"/>
      <c r="D116" s="349"/>
      <c r="E116" s="349"/>
      <c r="F116" s="349"/>
      <c r="G116" s="396"/>
      <c r="H116" s="349"/>
      <c r="I116" s="349"/>
      <c r="J116" s="349"/>
      <c r="K116" s="349"/>
      <c r="L116" s="349"/>
      <c r="M116" s="349"/>
      <c r="N116" s="349"/>
      <c r="O116" s="349"/>
      <c r="P116" s="349"/>
      <c r="Q116" s="349"/>
      <c r="R116" s="349"/>
      <c r="S116" s="349"/>
      <c r="T116" s="349"/>
      <c r="U116" s="349"/>
      <c r="V116" s="349"/>
      <c r="W116" s="349"/>
      <c r="X116" s="349"/>
      <c r="Y116" s="349"/>
      <c r="Z116" s="349"/>
    </row>
    <row r="117">
      <c r="A117" s="349"/>
      <c r="B117" s="349"/>
      <c r="C117" s="395"/>
      <c r="D117" s="349"/>
      <c r="E117" s="349"/>
      <c r="F117" s="349"/>
      <c r="G117" s="396"/>
      <c r="H117" s="349"/>
      <c r="I117" s="349"/>
      <c r="J117" s="349"/>
      <c r="K117" s="349"/>
      <c r="L117" s="349"/>
      <c r="M117" s="349"/>
      <c r="N117" s="349"/>
      <c r="O117" s="349"/>
      <c r="P117" s="349"/>
      <c r="Q117" s="349"/>
      <c r="R117" s="349"/>
      <c r="S117" s="349"/>
      <c r="T117" s="349"/>
      <c r="U117" s="349"/>
      <c r="V117" s="349"/>
      <c r="W117" s="349"/>
      <c r="X117" s="349"/>
      <c r="Y117" s="349"/>
      <c r="Z117" s="349"/>
    </row>
    <row r="118">
      <c r="A118" s="349"/>
      <c r="B118" s="349"/>
      <c r="C118" s="395"/>
      <c r="D118" s="349"/>
      <c r="E118" s="349"/>
      <c r="F118" s="349"/>
      <c r="G118" s="396"/>
      <c r="H118" s="349"/>
      <c r="I118" s="349"/>
      <c r="J118" s="349"/>
      <c r="K118" s="349"/>
      <c r="L118" s="349"/>
      <c r="M118" s="349"/>
      <c r="N118" s="349"/>
      <c r="O118" s="349"/>
      <c r="P118" s="349"/>
      <c r="Q118" s="349"/>
      <c r="R118" s="349"/>
      <c r="S118" s="349"/>
      <c r="T118" s="349"/>
      <c r="U118" s="349"/>
      <c r="V118" s="349"/>
      <c r="W118" s="349"/>
      <c r="X118" s="349"/>
      <c r="Y118" s="349"/>
      <c r="Z118" s="349"/>
    </row>
    <row r="119">
      <c r="A119" s="349"/>
      <c r="B119" s="349"/>
      <c r="C119" s="395"/>
      <c r="D119" s="349"/>
      <c r="E119" s="349"/>
      <c r="F119" s="349"/>
      <c r="G119" s="396"/>
      <c r="H119" s="349"/>
      <c r="I119" s="349"/>
      <c r="J119" s="349"/>
      <c r="K119" s="349"/>
      <c r="L119" s="349"/>
      <c r="M119" s="349"/>
      <c r="N119" s="349"/>
      <c r="O119" s="349"/>
      <c r="P119" s="349"/>
      <c r="Q119" s="349"/>
      <c r="R119" s="349"/>
      <c r="S119" s="349"/>
      <c r="T119" s="349"/>
      <c r="U119" s="349"/>
      <c r="V119" s="349"/>
      <c r="W119" s="349"/>
      <c r="X119" s="349"/>
      <c r="Y119" s="349"/>
      <c r="Z119" s="349"/>
    </row>
    <row r="120">
      <c r="A120" s="349"/>
      <c r="B120" s="349"/>
      <c r="C120" s="395"/>
      <c r="D120" s="349"/>
      <c r="E120" s="349"/>
      <c r="F120" s="349"/>
      <c r="G120" s="396"/>
      <c r="H120" s="349"/>
      <c r="I120" s="349"/>
      <c r="J120" s="349"/>
      <c r="K120" s="349"/>
      <c r="L120" s="349"/>
      <c r="M120" s="349"/>
      <c r="N120" s="349"/>
      <c r="O120" s="349"/>
      <c r="P120" s="349"/>
      <c r="Q120" s="349"/>
      <c r="R120" s="349"/>
      <c r="S120" s="349"/>
      <c r="T120" s="349"/>
      <c r="U120" s="349"/>
      <c r="V120" s="349"/>
      <c r="W120" s="349"/>
      <c r="X120" s="349"/>
      <c r="Y120" s="349"/>
      <c r="Z120" s="349"/>
    </row>
    <row r="121">
      <c r="A121" s="349"/>
      <c r="B121" s="349"/>
      <c r="C121" s="395"/>
      <c r="D121" s="349"/>
      <c r="E121" s="349"/>
      <c r="F121" s="349"/>
      <c r="G121" s="396"/>
      <c r="H121" s="349"/>
      <c r="I121" s="349"/>
      <c r="J121" s="349"/>
      <c r="K121" s="349"/>
      <c r="L121" s="349"/>
      <c r="M121" s="349"/>
      <c r="N121" s="349"/>
      <c r="O121" s="349"/>
      <c r="P121" s="349"/>
      <c r="Q121" s="349"/>
      <c r="R121" s="349"/>
      <c r="S121" s="349"/>
      <c r="T121" s="349"/>
      <c r="U121" s="349"/>
      <c r="V121" s="349"/>
      <c r="W121" s="349"/>
      <c r="X121" s="349"/>
      <c r="Y121" s="349"/>
      <c r="Z121" s="349"/>
    </row>
    <row r="122">
      <c r="A122" s="349"/>
      <c r="B122" s="349"/>
      <c r="C122" s="395"/>
      <c r="D122" s="349"/>
      <c r="E122" s="349"/>
      <c r="F122" s="349"/>
      <c r="G122" s="396"/>
      <c r="H122" s="349"/>
      <c r="I122" s="349"/>
      <c r="J122" s="349"/>
      <c r="K122" s="349"/>
      <c r="L122" s="349"/>
      <c r="M122" s="349"/>
      <c r="N122" s="349"/>
      <c r="O122" s="349"/>
      <c r="P122" s="349"/>
      <c r="Q122" s="349"/>
      <c r="R122" s="349"/>
      <c r="S122" s="349"/>
      <c r="T122" s="349"/>
      <c r="U122" s="349"/>
      <c r="V122" s="349"/>
      <c r="W122" s="349"/>
      <c r="X122" s="349"/>
      <c r="Y122" s="349"/>
      <c r="Z122" s="349"/>
    </row>
    <row r="123">
      <c r="A123" s="349"/>
      <c r="B123" s="349"/>
      <c r="C123" s="395"/>
      <c r="D123" s="349"/>
      <c r="E123" s="349"/>
      <c r="F123" s="349"/>
      <c r="G123" s="396"/>
      <c r="H123" s="349"/>
      <c r="I123" s="349"/>
      <c r="J123" s="349"/>
      <c r="K123" s="349"/>
      <c r="L123" s="349"/>
      <c r="M123" s="349"/>
      <c r="N123" s="349"/>
      <c r="O123" s="349"/>
      <c r="P123" s="349"/>
      <c r="Q123" s="349"/>
      <c r="R123" s="349"/>
      <c r="S123" s="349"/>
      <c r="T123" s="349"/>
      <c r="U123" s="349"/>
      <c r="V123" s="349"/>
      <c r="W123" s="349"/>
      <c r="X123" s="349"/>
      <c r="Y123" s="349"/>
      <c r="Z123" s="349"/>
    </row>
    <row r="124">
      <c r="A124" s="349"/>
      <c r="B124" s="349"/>
      <c r="C124" s="395"/>
      <c r="D124" s="349"/>
      <c r="E124" s="349"/>
      <c r="F124" s="349"/>
      <c r="G124" s="396"/>
      <c r="H124" s="349"/>
      <c r="I124" s="349"/>
      <c r="J124" s="349"/>
      <c r="K124" s="349"/>
      <c r="L124" s="349"/>
      <c r="M124" s="349"/>
      <c r="N124" s="349"/>
      <c r="O124" s="349"/>
      <c r="P124" s="349"/>
      <c r="Q124" s="349"/>
      <c r="R124" s="349"/>
      <c r="S124" s="349"/>
      <c r="T124" s="349"/>
      <c r="U124" s="349"/>
      <c r="V124" s="349"/>
      <c r="W124" s="349"/>
      <c r="X124" s="349"/>
      <c r="Y124" s="349"/>
      <c r="Z124" s="349"/>
    </row>
    <row r="125">
      <c r="A125" s="349"/>
      <c r="B125" s="349"/>
      <c r="C125" s="395"/>
      <c r="D125" s="349"/>
      <c r="E125" s="349"/>
      <c r="F125" s="349"/>
      <c r="G125" s="396"/>
      <c r="H125" s="349"/>
      <c r="I125" s="349"/>
      <c r="J125" s="349"/>
      <c r="K125" s="349"/>
      <c r="L125" s="349"/>
      <c r="M125" s="349"/>
      <c r="N125" s="349"/>
      <c r="O125" s="349"/>
      <c r="P125" s="349"/>
      <c r="Q125" s="349"/>
      <c r="R125" s="349"/>
      <c r="S125" s="349"/>
      <c r="T125" s="349"/>
      <c r="U125" s="349"/>
      <c r="V125" s="349"/>
      <c r="W125" s="349"/>
      <c r="X125" s="349"/>
      <c r="Y125" s="349"/>
      <c r="Z125" s="349"/>
    </row>
    <row r="126">
      <c r="A126" s="349"/>
      <c r="B126" s="349"/>
      <c r="C126" s="395"/>
      <c r="D126" s="349"/>
      <c r="E126" s="349"/>
      <c r="F126" s="349"/>
      <c r="G126" s="396"/>
      <c r="H126" s="349"/>
      <c r="I126" s="349"/>
      <c r="J126" s="349"/>
      <c r="K126" s="349"/>
      <c r="L126" s="349"/>
      <c r="M126" s="349"/>
      <c r="N126" s="349"/>
      <c r="O126" s="349"/>
      <c r="P126" s="349"/>
      <c r="Q126" s="349"/>
      <c r="R126" s="349"/>
      <c r="S126" s="349"/>
      <c r="T126" s="349"/>
      <c r="U126" s="349"/>
      <c r="V126" s="349"/>
      <c r="W126" s="349"/>
      <c r="X126" s="349"/>
      <c r="Y126" s="349"/>
      <c r="Z126" s="349"/>
    </row>
    <row r="127">
      <c r="A127" s="349"/>
      <c r="B127" s="349"/>
      <c r="C127" s="395"/>
      <c r="D127" s="349"/>
      <c r="E127" s="349"/>
      <c r="F127" s="349"/>
      <c r="G127" s="396"/>
      <c r="H127" s="349"/>
      <c r="I127" s="349"/>
      <c r="J127" s="349"/>
      <c r="K127" s="349"/>
      <c r="L127" s="349"/>
      <c r="M127" s="349"/>
      <c r="N127" s="349"/>
      <c r="O127" s="349"/>
      <c r="P127" s="349"/>
      <c r="Q127" s="349"/>
      <c r="R127" s="349"/>
      <c r="S127" s="349"/>
      <c r="T127" s="349"/>
      <c r="U127" s="349"/>
      <c r="V127" s="349"/>
      <c r="W127" s="349"/>
      <c r="X127" s="349"/>
      <c r="Y127" s="349"/>
      <c r="Z127" s="349"/>
    </row>
    <row r="128">
      <c r="A128" s="349"/>
      <c r="B128" s="349"/>
      <c r="C128" s="395"/>
      <c r="D128" s="349"/>
      <c r="E128" s="349"/>
      <c r="F128" s="349"/>
      <c r="G128" s="396"/>
      <c r="H128" s="349"/>
      <c r="I128" s="349"/>
      <c r="J128" s="349"/>
      <c r="K128" s="349"/>
      <c r="L128" s="349"/>
      <c r="M128" s="349"/>
      <c r="N128" s="349"/>
      <c r="O128" s="349"/>
      <c r="P128" s="349"/>
      <c r="Q128" s="349"/>
      <c r="R128" s="349"/>
      <c r="S128" s="349"/>
      <c r="T128" s="349"/>
      <c r="U128" s="349"/>
      <c r="V128" s="349"/>
      <c r="W128" s="349"/>
      <c r="X128" s="349"/>
      <c r="Y128" s="349"/>
      <c r="Z128" s="349"/>
    </row>
    <row r="129">
      <c r="A129" s="349"/>
      <c r="B129" s="349"/>
      <c r="C129" s="395"/>
      <c r="D129" s="349"/>
      <c r="E129" s="349"/>
      <c r="F129" s="349"/>
      <c r="G129" s="396"/>
      <c r="H129" s="349"/>
      <c r="I129" s="349"/>
      <c r="J129" s="349"/>
      <c r="K129" s="349"/>
      <c r="L129" s="349"/>
      <c r="M129" s="349"/>
      <c r="N129" s="349"/>
      <c r="O129" s="349"/>
      <c r="P129" s="349"/>
      <c r="Q129" s="349"/>
      <c r="R129" s="349"/>
      <c r="S129" s="349"/>
      <c r="T129" s="349"/>
      <c r="U129" s="349"/>
      <c r="V129" s="349"/>
      <c r="W129" s="349"/>
      <c r="X129" s="349"/>
      <c r="Y129" s="349"/>
      <c r="Z129" s="349"/>
    </row>
    <row r="130">
      <c r="A130" s="349"/>
      <c r="B130" s="349"/>
      <c r="C130" s="395"/>
      <c r="D130" s="349"/>
      <c r="E130" s="349"/>
      <c r="F130" s="349"/>
      <c r="G130" s="396"/>
      <c r="H130" s="349"/>
      <c r="I130" s="349"/>
      <c r="J130" s="349"/>
      <c r="K130" s="349"/>
      <c r="L130" s="349"/>
      <c r="M130" s="349"/>
      <c r="N130" s="349"/>
      <c r="O130" s="349"/>
      <c r="P130" s="349"/>
      <c r="Q130" s="349"/>
      <c r="R130" s="349"/>
      <c r="S130" s="349"/>
      <c r="T130" s="349"/>
      <c r="U130" s="349"/>
      <c r="V130" s="349"/>
      <c r="W130" s="349"/>
      <c r="X130" s="349"/>
      <c r="Y130" s="349"/>
      <c r="Z130" s="349"/>
    </row>
    <row r="131">
      <c r="A131" s="349"/>
      <c r="B131" s="349"/>
      <c r="C131" s="395"/>
      <c r="D131" s="349"/>
      <c r="E131" s="349"/>
      <c r="F131" s="349"/>
      <c r="G131" s="396"/>
      <c r="H131" s="349"/>
      <c r="I131" s="349"/>
      <c r="J131" s="349"/>
      <c r="K131" s="349"/>
      <c r="L131" s="349"/>
      <c r="M131" s="349"/>
      <c r="N131" s="349"/>
      <c r="O131" s="349"/>
      <c r="P131" s="349"/>
      <c r="Q131" s="349"/>
      <c r="R131" s="349"/>
      <c r="S131" s="349"/>
      <c r="T131" s="349"/>
      <c r="U131" s="349"/>
      <c r="V131" s="349"/>
      <c r="W131" s="349"/>
      <c r="X131" s="349"/>
      <c r="Y131" s="349"/>
      <c r="Z131" s="349"/>
    </row>
    <row r="132">
      <c r="A132" s="349"/>
      <c r="B132" s="349"/>
      <c r="C132" s="395"/>
      <c r="D132" s="349"/>
      <c r="E132" s="349"/>
      <c r="F132" s="349"/>
      <c r="G132" s="396"/>
      <c r="H132" s="349"/>
      <c r="I132" s="349"/>
      <c r="J132" s="349"/>
      <c r="K132" s="349"/>
      <c r="L132" s="349"/>
      <c r="M132" s="349"/>
      <c r="N132" s="349"/>
      <c r="O132" s="349"/>
      <c r="P132" s="349"/>
      <c r="Q132" s="349"/>
      <c r="R132" s="349"/>
      <c r="S132" s="349"/>
      <c r="T132" s="349"/>
      <c r="U132" s="349"/>
      <c r="V132" s="349"/>
      <c r="W132" s="349"/>
      <c r="X132" s="349"/>
      <c r="Y132" s="349"/>
      <c r="Z132" s="349"/>
    </row>
    <row r="133">
      <c r="A133" s="349"/>
      <c r="B133" s="349"/>
      <c r="C133" s="395"/>
      <c r="D133" s="349"/>
      <c r="E133" s="349"/>
      <c r="F133" s="349"/>
      <c r="G133" s="396"/>
      <c r="H133" s="349"/>
      <c r="I133" s="349"/>
      <c r="J133" s="349"/>
      <c r="K133" s="349"/>
      <c r="L133" s="349"/>
      <c r="M133" s="349"/>
      <c r="N133" s="349"/>
      <c r="O133" s="349"/>
      <c r="P133" s="349"/>
      <c r="Q133" s="349"/>
      <c r="R133" s="349"/>
      <c r="S133" s="349"/>
      <c r="T133" s="349"/>
      <c r="U133" s="349"/>
      <c r="V133" s="349"/>
      <c r="W133" s="349"/>
      <c r="X133" s="349"/>
      <c r="Y133" s="349"/>
      <c r="Z133" s="349"/>
    </row>
    <row r="134">
      <c r="A134" s="349"/>
      <c r="B134" s="349"/>
      <c r="C134" s="395"/>
      <c r="D134" s="349"/>
      <c r="E134" s="349"/>
      <c r="F134" s="349"/>
      <c r="G134" s="396"/>
      <c r="H134" s="349"/>
      <c r="I134" s="349"/>
      <c r="J134" s="349"/>
      <c r="K134" s="349"/>
      <c r="L134" s="349"/>
      <c r="M134" s="349"/>
      <c r="N134" s="349"/>
      <c r="O134" s="349"/>
      <c r="P134" s="349"/>
      <c r="Q134" s="349"/>
      <c r="R134" s="349"/>
      <c r="S134" s="349"/>
      <c r="T134" s="349"/>
      <c r="U134" s="349"/>
      <c r="V134" s="349"/>
      <c r="W134" s="349"/>
      <c r="X134" s="349"/>
      <c r="Y134" s="349"/>
      <c r="Z134" s="349"/>
    </row>
    <row r="135">
      <c r="A135" s="349"/>
      <c r="B135" s="349"/>
      <c r="C135" s="395"/>
      <c r="D135" s="349"/>
      <c r="E135" s="349"/>
      <c r="F135" s="349"/>
      <c r="G135" s="396"/>
      <c r="H135" s="349"/>
      <c r="I135" s="349"/>
      <c r="J135" s="349"/>
      <c r="K135" s="349"/>
      <c r="L135" s="349"/>
      <c r="M135" s="349"/>
      <c r="N135" s="349"/>
      <c r="O135" s="349"/>
      <c r="P135" s="349"/>
      <c r="Q135" s="349"/>
      <c r="R135" s="349"/>
      <c r="S135" s="349"/>
      <c r="T135" s="349"/>
      <c r="U135" s="349"/>
      <c r="V135" s="349"/>
      <c r="W135" s="349"/>
      <c r="X135" s="349"/>
      <c r="Y135" s="349"/>
      <c r="Z135" s="349"/>
    </row>
    <row r="136">
      <c r="A136" s="349"/>
      <c r="B136" s="349"/>
      <c r="C136" s="395"/>
      <c r="D136" s="349"/>
      <c r="E136" s="349"/>
      <c r="F136" s="349"/>
      <c r="G136" s="396"/>
      <c r="H136" s="349"/>
      <c r="I136" s="349"/>
      <c r="J136" s="349"/>
      <c r="K136" s="349"/>
      <c r="L136" s="349"/>
      <c r="M136" s="349"/>
      <c r="N136" s="349"/>
      <c r="O136" s="349"/>
      <c r="P136" s="349"/>
      <c r="Q136" s="349"/>
      <c r="R136" s="349"/>
      <c r="S136" s="349"/>
      <c r="T136" s="349"/>
      <c r="U136" s="349"/>
      <c r="V136" s="349"/>
      <c r="W136" s="349"/>
      <c r="X136" s="349"/>
      <c r="Y136" s="349"/>
      <c r="Z136" s="349"/>
    </row>
    <row r="137">
      <c r="A137" s="349"/>
      <c r="B137" s="349"/>
      <c r="C137" s="395"/>
      <c r="D137" s="349"/>
      <c r="E137" s="349"/>
      <c r="F137" s="349"/>
      <c r="G137" s="396"/>
      <c r="H137" s="349"/>
      <c r="I137" s="349"/>
      <c r="J137" s="349"/>
      <c r="K137" s="349"/>
      <c r="L137" s="349"/>
      <c r="M137" s="349"/>
      <c r="N137" s="349"/>
      <c r="O137" s="349"/>
      <c r="P137" s="349"/>
      <c r="Q137" s="349"/>
      <c r="R137" s="349"/>
      <c r="S137" s="349"/>
      <c r="T137" s="349"/>
      <c r="U137" s="349"/>
      <c r="V137" s="349"/>
      <c r="W137" s="349"/>
      <c r="X137" s="349"/>
      <c r="Y137" s="349"/>
      <c r="Z137" s="349"/>
    </row>
    <row r="138">
      <c r="A138" s="349"/>
      <c r="B138" s="349"/>
      <c r="C138" s="395"/>
      <c r="D138" s="349"/>
      <c r="E138" s="349"/>
      <c r="F138" s="349"/>
      <c r="G138" s="396"/>
      <c r="H138" s="349"/>
      <c r="I138" s="349"/>
      <c r="J138" s="349"/>
      <c r="K138" s="349"/>
      <c r="L138" s="349"/>
      <c r="M138" s="349"/>
      <c r="N138" s="349"/>
      <c r="O138" s="349"/>
      <c r="P138" s="349"/>
      <c r="Q138" s="349"/>
      <c r="R138" s="349"/>
      <c r="S138" s="349"/>
      <c r="T138" s="349"/>
      <c r="U138" s="349"/>
      <c r="V138" s="349"/>
      <c r="W138" s="349"/>
      <c r="X138" s="349"/>
      <c r="Y138" s="349"/>
      <c r="Z138" s="349"/>
    </row>
    <row r="139">
      <c r="A139" s="349"/>
      <c r="B139" s="349"/>
      <c r="C139" s="395"/>
      <c r="D139" s="349"/>
      <c r="E139" s="349"/>
      <c r="F139" s="349"/>
      <c r="G139" s="396"/>
      <c r="H139" s="349"/>
      <c r="I139" s="349"/>
      <c r="J139" s="349"/>
      <c r="K139" s="349"/>
      <c r="L139" s="349"/>
      <c r="M139" s="349"/>
      <c r="N139" s="349"/>
      <c r="O139" s="349"/>
      <c r="P139" s="349"/>
      <c r="Q139" s="349"/>
      <c r="R139" s="349"/>
      <c r="S139" s="349"/>
      <c r="T139" s="349"/>
      <c r="U139" s="349"/>
      <c r="V139" s="349"/>
      <c r="W139" s="349"/>
      <c r="X139" s="349"/>
      <c r="Y139" s="349"/>
      <c r="Z139" s="349"/>
    </row>
    <row r="140">
      <c r="A140" s="349"/>
      <c r="B140" s="349"/>
      <c r="C140" s="395"/>
      <c r="D140" s="349"/>
      <c r="E140" s="349"/>
      <c r="F140" s="349"/>
      <c r="G140" s="396"/>
      <c r="H140" s="349"/>
      <c r="I140" s="349"/>
      <c r="J140" s="349"/>
      <c r="K140" s="349"/>
      <c r="L140" s="349"/>
      <c r="M140" s="349"/>
      <c r="N140" s="349"/>
      <c r="O140" s="349"/>
      <c r="P140" s="349"/>
      <c r="Q140" s="349"/>
      <c r="R140" s="349"/>
      <c r="S140" s="349"/>
      <c r="T140" s="349"/>
      <c r="U140" s="349"/>
      <c r="V140" s="349"/>
      <c r="W140" s="349"/>
      <c r="X140" s="349"/>
      <c r="Y140" s="349"/>
      <c r="Z140" s="349"/>
    </row>
    <row r="141">
      <c r="A141" s="349"/>
      <c r="B141" s="349"/>
      <c r="C141" s="395"/>
      <c r="D141" s="349"/>
      <c r="E141" s="349"/>
      <c r="F141" s="349"/>
      <c r="G141" s="396"/>
      <c r="H141" s="349"/>
      <c r="I141" s="349"/>
      <c r="J141" s="349"/>
      <c r="K141" s="349"/>
      <c r="L141" s="349"/>
      <c r="M141" s="349"/>
      <c r="N141" s="349"/>
      <c r="O141" s="349"/>
      <c r="P141" s="349"/>
      <c r="Q141" s="349"/>
      <c r="R141" s="349"/>
      <c r="S141" s="349"/>
      <c r="T141" s="349"/>
      <c r="U141" s="349"/>
      <c r="V141" s="349"/>
      <c r="W141" s="349"/>
      <c r="X141" s="349"/>
      <c r="Y141" s="349"/>
      <c r="Z141" s="349"/>
    </row>
    <row r="142">
      <c r="A142" s="349"/>
      <c r="B142" s="349"/>
      <c r="C142" s="395"/>
      <c r="D142" s="349"/>
      <c r="E142" s="349"/>
      <c r="F142" s="349"/>
      <c r="G142" s="396"/>
      <c r="H142" s="349"/>
      <c r="I142" s="349"/>
      <c r="J142" s="349"/>
      <c r="K142" s="349"/>
      <c r="L142" s="349"/>
      <c r="M142" s="349"/>
      <c r="N142" s="349"/>
      <c r="O142" s="349"/>
      <c r="P142" s="349"/>
      <c r="Q142" s="349"/>
      <c r="R142" s="349"/>
      <c r="S142" s="349"/>
      <c r="T142" s="349"/>
      <c r="U142" s="349"/>
      <c r="V142" s="349"/>
      <c r="W142" s="349"/>
      <c r="X142" s="349"/>
      <c r="Y142" s="349"/>
      <c r="Z142" s="349"/>
    </row>
    <row r="143">
      <c r="A143" s="349"/>
      <c r="B143" s="349"/>
      <c r="C143" s="395"/>
      <c r="D143" s="349"/>
      <c r="E143" s="349"/>
      <c r="F143" s="349"/>
      <c r="G143" s="396"/>
      <c r="H143" s="349"/>
      <c r="I143" s="349"/>
      <c r="J143" s="349"/>
      <c r="K143" s="349"/>
      <c r="L143" s="349"/>
      <c r="M143" s="349"/>
      <c r="N143" s="349"/>
      <c r="O143" s="349"/>
      <c r="P143" s="349"/>
      <c r="Q143" s="349"/>
      <c r="R143" s="349"/>
      <c r="S143" s="349"/>
      <c r="T143" s="349"/>
      <c r="U143" s="349"/>
      <c r="V143" s="349"/>
      <c r="W143" s="349"/>
      <c r="X143" s="349"/>
      <c r="Y143" s="349"/>
      <c r="Z143" s="349"/>
    </row>
    <row r="144">
      <c r="A144" s="349"/>
      <c r="B144" s="349"/>
      <c r="C144" s="395"/>
      <c r="D144" s="349"/>
      <c r="E144" s="349"/>
      <c r="F144" s="349"/>
      <c r="G144" s="396"/>
      <c r="H144" s="349"/>
      <c r="I144" s="349"/>
      <c r="J144" s="349"/>
      <c r="K144" s="349"/>
      <c r="L144" s="349"/>
      <c r="M144" s="349"/>
      <c r="N144" s="349"/>
      <c r="O144" s="349"/>
      <c r="P144" s="349"/>
      <c r="Q144" s="349"/>
      <c r="R144" s="349"/>
      <c r="S144" s="349"/>
      <c r="T144" s="349"/>
      <c r="U144" s="349"/>
      <c r="V144" s="349"/>
      <c r="W144" s="349"/>
      <c r="X144" s="349"/>
      <c r="Y144" s="349"/>
      <c r="Z144" s="349"/>
    </row>
    <row r="145">
      <c r="A145" s="349"/>
      <c r="B145" s="349"/>
      <c r="C145" s="395"/>
      <c r="D145" s="349"/>
      <c r="E145" s="349"/>
      <c r="F145" s="349"/>
      <c r="G145" s="396"/>
      <c r="H145" s="349"/>
      <c r="I145" s="349"/>
      <c r="J145" s="349"/>
      <c r="K145" s="349"/>
      <c r="L145" s="349"/>
      <c r="M145" s="349"/>
      <c r="N145" s="349"/>
      <c r="O145" s="349"/>
      <c r="P145" s="349"/>
      <c r="Q145" s="349"/>
      <c r="R145" s="349"/>
      <c r="S145" s="349"/>
      <c r="T145" s="349"/>
      <c r="U145" s="349"/>
      <c r="V145" s="349"/>
      <c r="W145" s="349"/>
      <c r="X145" s="349"/>
      <c r="Y145" s="349"/>
      <c r="Z145" s="349"/>
    </row>
    <row r="146">
      <c r="A146" s="349"/>
      <c r="B146" s="349"/>
      <c r="C146" s="395"/>
      <c r="D146" s="349"/>
      <c r="E146" s="349"/>
      <c r="F146" s="349"/>
      <c r="G146" s="396"/>
      <c r="H146" s="349"/>
      <c r="I146" s="349"/>
      <c r="J146" s="349"/>
      <c r="K146" s="349"/>
      <c r="L146" s="349"/>
      <c r="M146" s="349"/>
      <c r="N146" s="349"/>
      <c r="O146" s="349"/>
      <c r="P146" s="349"/>
      <c r="Q146" s="349"/>
      <c r="R146" s="349"/>
      <c r="S146" s="349"/>
      <c r="T146" s="349"/>
      <c r="U146" s="349"/>
      <c r="V146" s="349"/>
      <c r="W146" s="349"/>
      <c r="X146" s="349"/>
      <c r="Y146" s="349"/>
      <c r="Z146" s="349"/>
    </row>
    <row r="147">
      <c r="A147" s="349"/>
      <c r="B147" s="349"/>
      <c r="C147" s="395"/>
      <c r="D147" s="349"/>
      <c r="E147" s="349"/>
      <c r="F147" s="349"/>
      <c r="G147" s="396"/>
      <c r="H147" s="349"/>
      <c r="I147" s="349"/>
      <c r="J147" s="349"/>
      <c r="K147" s="349"/>
      <c r="L147" s="349"/>
      <c r="M147" s="349"/>
      <c r="N147" s="349"/>
      <c r="O147" s="349"/>
      <c r="P147" s="349"/>
      <c r="Q147" s="349"/>
      <c r="R147" s="349"/>
      <c r="S147" s="349"/>
      <c r="T147" s="349"/>
      <c r="U147" s="349"/>
      <c r="V147" s="349"/>
      <c r="W147" s="349"/>
      <c r="X147" s="349"/>
      <c r="Y147" s="349"/>
      <c r="Z147" s="349"/>
    </row>
    <row r="148">
      <c r="A148" s="349"/>
      <c r="B148" s="349"/>
      <c r="C148" s="395"/>
      <c r="D148" s="349"/>
      <c r="E148" s="349"/>
      <c r="F148" s="349"/>
      <c r="G148" s="396"/>
      <c r="H148" s="349"/>
      <c r="I148" s="349"/>
      <c r="J148" s="349"/>
      <c r="K148" s="349"/>
      <c r="L148" s="349"/>
      <c r="M148" s="349"/>
      <c r="N148" s="349"/>
      <c r="O148" s="349"/>
      <c r="P148" s="349"/>
      <c r="Q148" s="349"/>
      <c r="R148" s="349"/>
      <c r="S148" s="349"/>
      <c r="T148" s="349"/>
      <c r="U148" s="349"/>
      <c r="V148" s="349"/>
      <c r="W148" s="349"/>
      <c r="X148" s="349"/>
      <c r="Y148" s="349"/>
      <c r="Z148" s="349"/>
    </row>
    <row r="149">
      <c r="A149" s="349"/>
      <c r="B149" s="349"/>
      <c r="C149" s="395"/>
      <c r="D149" s="349"/>
      <c r="E149" s="349"/>
      <c r="F149" s="349"/>
      <c r="G149" s="396"/>
      <c r="H149" s="349"/>
      <c r="I149" s="349"/>
      <c r="J149" s="349"/>
      <c r="K149" s="349"/>
      <c r="L149" s="349"/>
      <c r="M149" s="349"/>
      <c r="N149" s="349"/>
      <c r="O149" s="349"/>
      <c r="P149" s="349"/>
      <c r="Q149" s="349"/>
      <c r="R149" s="349"/>
      <c r="S149" s="349"/>
      <c r="T149" s="349"/>
      <c r="U149" s="349"/>
      <c r="V149" s="349"/>
      <c r="W149" s="349"/>
      <c r="X149" s="349"/>
      <c r="Y149" s="349"/>
      <c r="Z149" s="349"/>
    </row>
    <row r="150">
      <c r="A150" s="349"/>
      <c r="B150" s="349"/>
      <c r="C150" s="395"/>
      <c r="D150" s="349"/>
      <c r="E150" s="349"/>
      <c r="F150" s="349"/>
      <c r="G150" s="396"/>
      <c r="H150" s="349"/>
      <c r="I150" s="349"/>
      <c r="J150" s="349"/>
      <c r="K150" s="349"/>
      <c r="L150" s="349"/>
      <c r="M150" s="349"/>
      <c r="N150" s="349"/>
      <c r="O150" s="349"/>
      <c r="P150" s="349"/>
      <c r="Q150" s="349"/>
      <c r="R150" s="349"/>
      <c r="S150" s="349"/>
      <c r="T150" s="349"/>
      <c r="U150" s="349"/>
      <c r="V150" s="349"/>
      <c r="W150" s="349"/>
      <c r="X150" s="349"/>
      <c r="Y150" s="349"/>
      <c r="Z150" s="349"/>
    </row>
    <row r="151">
      <c r="A151" s="349"/>
      <c r="B151" s="349"/>
      <c r="C151" s="395"/>
      <c r="D151" s="349"/>
      <c r="E151" s="349"/>
      <c r="F151" s="349"/>
      <c r="G151" s="396"/>
      <c r="H151" s="349"/>
      <c r="I151" s="349"/>
      <c r="J151" s="349"/>
      <c r="K151" s="349"/>
      <c r="L151" s="349"/>
      <c r="M151" s="349"/>
      <c r="N151" s="349"/>
      <c r="O151" s="349"/>
      <c r="P151" s="349"/>
      <c r="Q151" s="349"/>
      <c r="R151" s="349"/>
      <c r="S151" s="349"/>
      <c r="T151" s="349"/>
      <c r="U151" s="349"/>
      <c r="V151" s="349"/>
      <c r="W151" s="349"/>
      <c r="X151" s="349"/>
      <c r="Y151" s="349"/>
      <c r="Z151" s="349"/>
    </row>
    <row r="152">
      <c r="A152" s="349"/>
      <c r="B152" s="349"/>
      <c r="C152" s="395"/>
      <c r="D152" s="349"/>
      <c r="E152" s="349"/>
      <c r="F152" s="349"/>
      <c r="G152" s="396"/>
      <c r="H152" s="349"/>
      <c r="I152" s="349"/>
      <c r="J152" s="349"/>
      <c r="K152" s="349"/>
      <c r="L152" s="349"/>
      <c r="M152" s="349"/>
      <c r="N152" s="349"/>
      <c r="O152" s="349"/>
      <c r="P152" s="349"/>
      <c r="Q152" s="349"/>
      <c r="R152" s="349"/>
      <c r="S152" s="349"/>
      <c r="T152" s="349"/>
      <c r="U152" s="349"/>
      <c r="V152" s="349"/>
      <c r="W152" s="349"/>
      <c r="X152" s="349"/>
      <c r="Y152" s="349"/>
      <c r="Z152" s="349"/>
    </row>
    <row r="153">
      <c r="A153" s="349"/>
      <c r="B153" s="349"/>
      <c r="C153" s="395"/>
      <c r="D153" s="349"/>
      <c r="E153" s="349"/>
      <c r="F153" s="349"/>
      <c r="G153" s="396"/>
      <c r="H153" s="349"/>
      <c r="I153" s="349"/>
      <c r="J153" s="349"/>
      <c r="K153" s="349"/>
      <c r="L153" s="349"/>
      <c r="M153" s="349"/>
      <c r="N153" s="349"/>
      <c r="O153" s="349"/>
      <c r="P153" s="349"/>
      <c r="Q153" s="349"/>
      <c r="R153" s="349"/>
      <c r="S153" s="349"/>
      <c r="T153" s="349"/>
      <c r="U153" s="349"/>
      <c r="V153" s="349"/>
      <c r="W153" s="349"/>
      <c r="X153" s="349"/>
      <c r="Y153" s="349"/>
      <c r="Z153" s="349"/>
    </row>
    <row r="154">
      <c r="A154" s="349"/>
      <c r="B154" s="349"/>
      <c r="C154" s="395"/>
      <c r="D154" s="349"/>
      <c r="E154" s="349"/>
      <c r="F154" s="349"/>
      <c r="G154" s="396"/>
      <c r="H154" s="349"/>
      <c r="I154" s="349"/>
      <c r="J154" s="349"/>
      <c r="K154" s="349"/>
      <c r="L154" s="349"/>
      <c r="M154" s="349"/>
      <c r="N154" s="349"/>
      <c r="O154" s="349"/>
      <c r="P154" s="349"/>
      <c r="Q154" s="349"/>
      <c r="R154" s="349"/>
      <c r="S154" s="349"/>
      <c r="T154" s="349"/>
      <c r="U154" s="349"/>
      <c r="V154" s="349"/>
      <c r="W154" s="349"/>
      <c r="X154" s="349"/>
      <c r="Y154" s="349"/>
      <c r="Z154" s="349"/>
    </row>
    <row r="155">
      <c r="A155" s="349"/>
      <c r="B155" s="349"/>
      <c r="C155" s="395"/>
      <c r="D155" s="349"/>
      <c r="E155" s="349"/>
      <c r="F155" s="349"/>
      <c r="G155" s="396"/>
      <c r="H155" s="349"/>
      <c r="I155" s="349"/>
      <c r="J155" s="349"/>
      <c r="K155" s="349"/>
      <c r="L155" s="349"/>
      <c r="M155" s="349"/>
      <c r="N155" s="349"/>
      <c r="O155" s="349"/>
      <c r="P155" s="349"/>
      <c r="Q155" s="349"/>
      <c r="R155" s="349"/>
      <c r="S155" s="349"/>
      <c r="T155" s="349"/>
      <c r="U155" s="349"/>
      <c r="V155" s="349"/>
      <c r="W155" s="349"/>
      <c r="X155" s="349"/>
      <c r="Y155" s="349"/>
      <c r="Z155" s="349"/>
    </row>
    <row r="156">
      <c r="A156" s="349"/>
      <c r="B156" s="349"/>
      <c r="C156" s="395"/>
      <c r="D156" s="349"/>
      <c r="E156" s="349"/>
      <c r="F156" s="349"/>
      <c r="G156" s="396"/>
      <c r="H156" s="349"/>
      <c r="I156" s="349"/>
      <c r="J156" s="349"/>
      <c r="K156" s="349"/>
      <c r="L156" s="349"/>
      <c r="M156" s="349"/>
      <c r="N156" s="349"/>
      <c r="O156" s="349"/>
      <c r="P156" s="349"/>
      <c r="Q156" s="349"/>
      <c r="R156" s="349"/>
      <c r="S156" s="349"/>
      <c r="T156" s="349"/>
      <c r="U156" s="349"/>
      <c r="V156" s="349"/>
      <c r="W156" s="349"/>
      <c r="X156" s="349"/>
      <c r="Y156" s="349"/>
      <c r="Z156" s="349"/>
    </row>
    <row r="157">
      <c r="A157" s="349"/>
      <c r="B157" s="349"/>
      <c r="C157" s="395"/>
      <c r="D157" s="349"/>
      <c r="E157" s="349"/>
      <c r="F157" s="349"/>
      <c r="G157" s="396"/>
      <c r="H157" s="349"/>
      <c r="I157" s="349"/>
      <c r="J157" s="349"/>
      <c r="K157" s="349"/>
      <c r="L157" s="349"/>
      <c r="M157" s="349"/>
      <c r="N157" s="349"/>
      <c r="O157" s="349"/>
      <c r="P157" s="349"/>
      <c r="Q157" s="349"/>
      <c r="R157" s="349"/>
      <c r="S157" s="349"/>
      <c r="T157" s="349"/>
      <c r="U157" s="349"/>
      <c r="V157" s="349"/>
      <c r="W157" s="349"/>
      <c r="X157" s="349"/>
      <c r="Y157" s="349"/>
      <c r="Z157" s="349"/>
    </row>
    <row r="158">
      <c r="A158" s="349"/>
      <c r="B158" s="349"/>
      <c r="C158" s="395"/>
      <c r="D158" s="349"/>
      <c r="E158" s="349"/>
      <c r="F158" s="349"/>
      <c r="G158" s="396"/>
      <c r="H158" s="349"/>
      <c r="I158" s="349"/>
      <c r="J158" s="349"/>
      <c r="K158" s="349"/>
      <c r="L158" s="349"/>
      <c r="M158" s="349"/>
      <c r="N158" s="349"/>
      <c r="O158" s="349"/>
      <c r="P158" s="349"/>
      <c r="Q158" s="349"/>
      <c r="R158" s="349"/>
      <c r="S158" s="349"/>
      <c r="T158" s="349"/>
      <c r="U158" s="349"/>
      <c r="V158" s="349"/>
      <c r="W158" s="349"/>
      <c r="X158" s="349"/>
      <c r="Y158" s="349"/>
      <c r="Z158" s="349"/>
    </row>
    <row r="159">
      <c r="A159" s="349"/>
      <c r="B159" s="349"/>
      <c r="C159" s="395"/>
      <c r="D159" s="349"/>
      <c r="E159" s="349"/>
      <c r="F159" s="349"/>
      <c r="G159" s="396"/>
      <c r="H159" s="349"/>
      <c r="I159" s="349"/>
      <c r="J159" s="349"/>
      <c r="K159" s="349"/>
      <c r="L159" s="349"/>
      <c r="M159" s="349"/>
      <c r="N159" s="349"/>
      <c r="O159" s="349"/>
      <c r="P159" s="349"/>
      <c r="Q159" s="349"/>
      <c r="R159" s="349"/>
      <c r="S159" s="349"/>
      <c r="T159" s="349"/>
      <c r="U159" s="349"/>
      <c r="V159" s="349"/>
      <c r="W159" s="349"/>
      <c r="X159" s="349"/>
      <c r="Y159" s="349"/>
      <c r="Z159" s="349"/>
    </row>
    <row r="160">
      <c r="A160" s="349"/>
      <c r="B160" s="349"/>
      <c r="C160" s="395"/>
      <c r="D160" s="349"/>
      <c r="E160" s="349"/>
      <c r="F160" s="349"/>
      <c r="G160" s="396"/>
      <c r="H160" s="349"/>
      <c r="I160" s="349"/>
      <c r="J160" s="349"/>
      <c r="K160" s="349"/>
      <c r="L160" s="349"/>
      <c r="M160" s="349"/>
      <c r="N160" s="349"/>
      <c r="O160" s="349"/>
      <c r="P160" s="349"/>
      <c r="Q160" s="349"/>
      <c r="R160" s="349"/>
      <c r="S160" s="349"/>
      <c r="T160" s="349"/>
      <c r="U160" s="349"/>
      <c r="V160" s="349"/>
      <c r="W160" s="349"/>
      <c r="X160" s="349"/>
      <c r="Y160" s="349"/>
      <c r="Z160" s="349"/>
    </row>
    <row r="161">
      <c r="A161" s="349"/>
      <c r="B161" s="349"/>
      <c r="C161" s="395"/>
      <c r="D161" s="349"/>
      <c r="E161" s="349"/>
      <c r="F161" s="349"/>
      <c r="G161" s="396"/>
      <c r="H161" s="349"/>
      <c r="I161" s="349"/>
      <c r="J161" s="349"/>
      <c r="K161" s="349"/>
      <c r="L161" s="349"/>
      <c r="M161" s="349"/>
      <c r="N161" s="349"/>
      <c r="O161" s="349"/>
      <c r="P161" s="349"/>
      <c r="Q161" s="349"/>
      <c r="R161" s="349"/>
      <c r="S161" s="349"/>
      <c r="T161" s="349"/>
      <c r="U161" s="349"/>
      <c r="V161" s="349"/>
      <c r="W161" s="349"/>
      <c r="X161" s="349"/>
      <c r="Y161" s="349"/>
      <c r="Z161" s="349"/>
    </row>
    <row r="162">
      <c r="A162" s="349"/>
      <c r="B162" s="349"/>
      <c r="C162" s="395"/>
      <c r="D162" s="349"/>
      <c r="E162" s="349"/>
      <c r="F162" s="349"/>
      <c r="G162" s="396"/>
      <c r="H162" s="349"/>
      <c r="I162" s="349"/>
      <c r="J162" s="349"/>
      <c r="K162" s="349"/>
      <c r="L162" s="349"/>
      <c r="M162" s="349"/>
      <c r="N162" s="349"/>
      <c r="O162" s="349"/>
      <c r="P162" s="349"/>
      <c r="Q162" s="349"/>
      <c r="R162" s="349"/>
      <c r="S162" s="349"/>
      <c r="T162" s="349"/>
      <c r="U162" s="349"/>
      <c r="V162" s="349"/>
      <c r="W162" s="349"/>
      <c r="X162" s="349"/>
      <c r="Y162" s="349"/>
      <c r="Z162" s="349"/>
    </row>
    <row r="163">
      <c r="A163" s="349"/>
      <c r="B163" s="349"/>
      <c r="C163" s="395"/>
      <c r="D163" s="349"/>
      <c r="E163" s="349"/>
      <c r="F163" s="349"/>
      <c r="G163" s="396"/>
      <c r="H163" s="349"/>
      <c r="I163" s="349"/>
      <c r="J163" s="349"/>
      <c r="K163" s="349"/>
      <c r="L163" s="349"/>
      <c r="M163" s="349"/>
      <c r="N163" s="349"/>
      <c r="O163" s="349"/>
      <c r="P163" s="349"/>
      <c r="Q163" s="349"/>
      <c r="R163" s="349"/>
      <c r="S163" s="349"/>
      <c r="T163" s="349"/>
      <c r="U163" s="349"/>
      <c r="V163" s="349"/>
      <c r="W163" s="349"/>
      <c r="X163" s="349"/>
      <c r="Y163" s="349"/>
      <c r="Z163" s="349"/>
    </row>
    <row r="164">
      <c r="A164" s="349"/>
      <c r="B164" s="349"/>
      <c r="C164" s="395"/>
      <c r="D164" s="349"/>
      <c r="E164" s="349"/>
      <c r="F164" s="349"/>
      <c r="G164" s="396"/>
      <c r="H164" s="349"/>
      <c r="I164" s="349"/>
      <c r="J164" s="349"/>
      <c r="K164" s="349"/>
      <c r="L164" s="349"/>
      <c r="M164" s="349"/>
      <c r="N164" s="349"/>
      <c r="O164" s="349"/>
      <c r="P164" s="349"/>
      <c r="Q164" s="349"/>
      <c r="R164" s="349"/>
      <c r="S164" s="349"/>
      <c r="T164" s="349"/>
      <c r="U164" s="349"/>
      <c r="V164" s="349"/>
      <c r="W164" s="349"/>
      <c r="X164" s="349"/>
      <c r="Y164" s="349"/>
      <c r="Z164" s="349"/>
    </row>
    <row r="165">
      <c r="A165" s="349"/>
      <c r="B165" s="349"/>
      <c r="C165" s="395"/>
      <c r="D165" s="349"/>
      <c r="E165" s="349"/>
      <c r="F165" s="349"/>
      <c r="G165" s="396"/>
      <c r="H165" s="349"/>
      <c r="I165" s="349"/>
      <c r="J165" s="349"/>
      <c r="K165" s="349"/>
      <c r="L165" s="349"/>
      <c r="M165" s="349"/>
      <c r="N165" s="349"/>
      <c r="O165" s="349"/>
      <c r="P165" s="349"/>
      <c r="Q165" s="349"/>
      <c r="R165" s="349"/>
      <c r="S165" s="349"/>
      <c r="T165" s="349"/>
      <c r="U165" s="349"/>
      <c r="V165" s="349"/>
      <c r="W165" s="349"/>
      <c r="X165" s="349"/>
      <c r="Y165" s="349"/>
      <c r="Z165" s="349"/>
    </row>
    <row r="166">
      <c r="A166" s="349"/>
      <c r="B166" s="349"/>
      <c r="C166" s="395"/>
      <c r="D166" s="349"/>
      <c r="E166" s="349"/>
      <c r="F166" s="349"/>
      <c r="G166" s="396"/>
      <c r="H166" s="349"/>
      <c r="I166" s="349"/>
      <c r="J166" s="349"/>
      <c r="K166" s="349"/>
      <c r="L166" s="349"/>
      <c r="M166" s="349"/>
      <c r="N166" s="349"/>
      <c r="O166" s="349"/>
      <c r="P166" s="349"/>
      <c r="Q166" s="349"/>
      <c r="R166" s="349"/>
      <c r="S166" s="349"/>
      <c r="T166" s="349"/>
      <c r="U166" s="349"/>
      <c r="V166" s="349"/>
      <c r="W166" s="349"/>
      <c r="X166" s="349"/>
      <c r="Y166" s="349"/>
      <c r="Z166" s="349"/>
    </row>
    <row r="167">
      <c r="A167" s="349"/>
      <c r="B167" s="349"/>
      <c r="C167" s="395"/>
      <c r="D167" s="349"/>
      <c r="E167" s="349"/>
      <c r="F167" s="349"/>
      <c r="G167" s="396"/>
      <c r="H167" s="349"/>
      <c r="I167" s="349"/>
      <c r="J167" s="349"/>
      <c r="K167" s="349"/>
      <c r="L167" s="349"/>
      <c r="M167" s="349"/>
      <c r="N167" s="349"/>
      <c r="O167" s="349"/>
      <c r="P167" s="349"/>
      <c r="Q167" s="349"/>
      <c r="R167" s="349"/>
      <c r="S167" s="349"/>
      <c r="T167" s="349"/>
      <c r="U167" s="349"/>
      <c r="V167" s="349"/>
      <c r="W167" s="349"/>
      <c r="X167" s="349"/>
      <c r="Y167" s="349"/>
      <c r="Z167" s="349"/>
    </row>
    <row r="168">
      <c r="A168" s="349"/>
      <c r="B168" s="349"/>
      <c r="C168" s="395"/>
      <c r="D168" s="349"/>
      <c r="E168" s="349"/>
      <c r="F168" s="349"/>
      <c r="G168" s="396"/>
      <c r="H168" s="349"/>
      <c r="I168" s="349"/>
      <c r="J168" s="349"/>
      <c r="K168" s="349"/>
      <c r="L168" s="349"/>
      <c r="M168" s="349"/>
      <c r="N168" s="349"/>
      <c r="O168" s="349"/>
      <c r="P168" s="349"/>
      <c r="Q168" s="349"/>
      <c r="R168" s="349"/>
      <c r="S168" s="349"/>
      <c r="T168" s="349"/>
      <c r="U168" s="349"/>
      <c r="V168" s="349"/>
      <c r="W168" s="349"/>
      <c r="X168" s="349"/>
      <c r="Y168" s="349"/>
      <c r="Z168" s="349"/>
    </row>
    <row r="169">
      <c r="A169" s="349"/>
      <c r="B169" s="349"/>
      <c r="C169" s="395"/>
      <c r="D169" s="349"/>
      <c r="E169" s="349"/>
      <c r="F169" s="349"/>
      <c r="G169" s="396"/>
      <c r="H169" s="349"/>
      <c r="I169" s="349"/>
      <c r="J169" s="349"/>
      <c r="K169" s="349"/>
      <c r="L169" s="349"/>
      <c r="M169" s="349"/>
      <c r="N169" s="349"/>
      <c r="O169" s="349"/>
      <c r="P169" s="349"/>
      <c r="Q169" s="349"/>
      <c r="R169" s="349"/>
      <c r="S169" s="349"/>
      <c r="T169" s="349"/>
      <c r="U169" s="349"/>
      <c r="V169" s="349"/>
      <c r="W169" s="349"/>
      <c r="X169" s="349"/>
      <c r="Y169" s="349"/>
      <c r="Z169" s="349"/>
    </row>
    <row r="170">
      <c r="A170" s="349"/>
      <c r="B170" s="349"/>
      <c r="C170" s="395"/>
      <c r="D170" s="349"/>
      <c r="E170" s="349"/>
      <c r="F170" s="349"/>
      <c r="G170" s="396"/>
      <c r="H170" s="349"/>
      <c r="I170" s="349"/>
      <c r="J170" s="349"/>
      <c r="K170" s="349"/>
      <c r="L170" s="349"/>
      <c r="M170" s="349"/>
      <c r="N170" s="349"/>
      <c r="O170" s="349"/>
      <c r="P170" s="349"/>
      <c r="Q170" s="349"/>
      <c r="R170" s="349"/>
      <c r="S170" s="349"/>
      <c r="T170" s="349"/>
      <c r="U170" s="349"/>
      <c r="V170" s="349"/>
      <c r="W170" s="349"/>
      <c r="X170" s="349"/>
      <c r="Y170" s="349"/>
      <c r="Z170" s="349"/>
    </row>
    <row r="171">
      <c r="A171" s="349"/>
      <c r="B171" s="349"/>
      <c r="C171" s="395"/>
      <c r="D171" s="349"/>
      <c r="E171" s="349"/>
      <c r="F171" s="349"/>
      <c r="G171" s="396"/>
      <c r="H171" s="349"/>
      <c r="I171" s="349"/>
      <c r="J171" s="349"/>
      <c r="K171" s="349"/>
      <c r="L171" s="349"/>
      <c r="M171" s="349"/>
      <c r="N171" s="349"/>
      <c r="O171" s="349"/>
      <c r="P171" s="349"/>
      <c r="Q171" s="349"/>
      <c r="R171" s="349"/>
      <c r="S171" s="349"/>
      <c r="T171" s="349"/>
      <c r="U171" s="349"/>
      <c r="V171" s="349"/>
      <c r="W171" s="349"/>
      <c r="X171" s="349"/>
      <c r="Y171" s="349"/>
      <c r="Z171" s="349"/>
    </row>
    <row r="172">
      <c r="A172" s="349"/>
      <c r="B172" s="349"/>
      <c r="C172" s="395"/>
      <c r="D172" s="349"/>
      <c r="E172" s="349"/>
      <c r="F172" s="349"/>
      <c r="G172" s="396"/>
      <c r="H172" s="349"/>
      <c r="I172" s="349"/>
      <c r="J172" s="349"/>
      <c r="K172" s="349"/>
      <c r="L172" s="349"/>
      <c r="M172" s="349"/>
      <c r="N172" s="349"/>
      <c r="O172" s="349"/>
      <c r="P172" s="349"/>
      <c r="Q172" s="349"/>
      <c r="R172" s="349"/>
      <c r="S172" s="349"/>
      <c r="T172" s="349"/>
      <c r="U172" s="349"/>
      <c r="V172" s="349"/>
      <c r="W172" s="349"/>
      <c r="X172" s="349"/>
      <c r="Y172" s="349"/>
      <c r="Z172" s="349"/>
    </row>
    <row r="173">
      <c r="A173" s="349"/>
      <c r="B173" s="349"/>
      <c r="C173" s="395"/>
      <c r="D173" s="349"/>
      <c r="E173" s="349"/>
      <c r="F173" s="349"/>
      <c r="G173" s="396"/>
      <c r="H173" s="349"/>
      <c r="I173" s="349"/>
      <c r="J173" s="349"/>
      <c r="K173" s="349"/>
      <c r="L173" s="349"/>
      <c r="M173" s="349"/>
      <c r="N173" s="349"/>
      <c r="O173" s="349"/>
      <c r="P173" s="349"/>
      <c r="Q173" s="349"/>
      <c r="R173" s="349"/>
      <c r="S173" s="349"/>
      <c r="T173" s="349"/>
      <c r="U173" s="349"/>
      <c r="V173" s="349"/>
      <c r="W173" s="349"/>
      <c r="X173" s="349"/>
      <c r="Y173" s="349"/>
      <c r="Z173" s="349"/>
    </row>
    <row r="174">
      <c r="A174" s="349"/>
      <c r="B174" s="349"/>
      <c r="C174" s="395"/>
      <c r="D174" s="349"/>
      <c r="E174" s="349"/>
      <c r="F174" s="349"/>
      <c r="G174" s="396"/>
      <c r="H174" s="349"/>
      <c r="I174" s="349"/>
      <c r="J174" s="349"/>
      <c r="K174" s="349"/>
      <c r="L174" s="349"/>
      <c r="M174" s="349"/>
      <c r="N174" s="349"/>
      <c r="O174" s="349"/>
      <c r="P174" s="349"/>
      <c r="Q174" s="349"/>
      <c r="R174" s="349"/>
      <c r="S174" s="349"/>
      <c r="T174" s="349"/>
      <c r="U174" s="349"/>
      <c r="V174" s="349"/>
      <c r="W174" s="349"/>
      <c r="X174" s="349"/>
      <c r="Y174" s="349"/>
      <c r="Z174" s="349"/>
    </row>
    <row r="175">
      <c r="A175" s="349"/>
      <c r="B175" s="349"/>
      <c r="C175" s="395"/>
      <c r="D175" s="349"/>
      <c r="E175" s="349"/>
      <c r="F175" s="349"/>
      <c r="G175" s="396"/>
      <c r="H175" s="349"/>
      <c r="I175" s="349"/>
      <c r="J175" s="349"/>
      <c r="K175" s="349"/>
      <c r="L175" s="349"/>
      <c r="M175" s="349"/>
      <c r="N175" s="349"/>
      <c r="O175" s="349"/>
      <c r="P175" s="349"/>
      <c r="Q175" s="349"/>
      <c r="R175" s="349"/>
      <c r="S175" s="349"/>
      <c r="T175" s="349"/>
      <c r="U175" s="349"/>
      <c r="V175" s="349"/>
      <c r="W175" s="349"/>
      <c r="X175" s="349"/>
      <c r="Y175" s="349"/>
      <c r="Z175" s="349"/>
    </row>
    <row r="176">
      <c r="A176" s="349"/>
      <c r="B176" s="349"/>
      <c r="C176" s="395"/>
      <c r="D176" s="349"/>
      <c r="E176" s="349"/>
      <c r="F176" s="349"/>
      <c r="G176" s="396"/>
      <c r="H176" s="349"/>
      <c r="I176" s="349"/>
      <c r="J176" s="349"/>
      <c r="K176" s="349"/>
      <c r="L176" s="349"/>
      <c r="M176" s="349"/>
      <c r="N176" s="349"/>
      <c r="O176" s="349"/>
      <c r="P176" s="349"/>
      <c r="Q176" s="349"/>
      <c r="R176" s="349"/>
      <c r="S176" s="349"/>
      <c r="T176" s="349"/>
      <c r="U176" s="349"/>
      <c r="V176" s="349"/>
      <c r="W176" s="349"/>
      <c r="X176" s="349"/>
      <c r="Y176" s="349"/>
      <c r="Z176" s="349"/>
    </row>
    <row r="177">
      <c r="A177" s="349"/>
      <c r="B177" s="349"/>
      <c r="C177" s="395"/>
      <c r="D177" s="349"/>
      <c r="E177" s="349"/>
      <c r="F177" s="349"/>
      <c r="G177" s="396"/>
      <c r="H177" s="349"/>
      <c r="I177" s="349"/>
      <c r="J177" s="349"/>
      <c r="K177" s="349"/>
      <c r="L177" s="349"/>
      <c r="M177" s="349"/>
      <c r="N177" s="349"/>
      <c r="O177" s="349"/>
      <c r="P177" s="349"/>
      <c r="Q177" s="349"/>
      <c r="R177" s="349"/>
      <c r="S177" s="349"/>
      <c r="T177" s="349"/>
      <c r="U177" s="349"/>
      <c r="V177" s="349"/>
      <c r="W177" s="349"/>
      <c r="X177" s="349"/>
      <c r="Y177" s="349"/>
      <c r="Z177" s="349"/>
    </row>
    <row r="178">
      <c r="A178" s="349"/>
      <c r="B178" s="349"/>
      <c r="C178" s="395"/>
      <c r="D178" s="349"/>
      <c r="E178" s="349"/>
      <c r="F178" s="349"/>
      <c r="G178" s="396"/>
      <c r="H178" s="349"/>
      <c r="I178" s="349"/>
      <c r="J178" s="349"/>
      <c r="K178" s="349"/>
      <c r="L178" s="349"/>
      <c r="M178" s="349"/>
      <c r="N178" s="349"/>
      <c r="O178" s="349"/>
      <c r="P178" s="349"/>
      <c r="Q178" s="349"/>
      <c r="R178" s="349"/>
      <c r="S178" s="349"/>
      <c r="T178" s="349"/>
      <c r="U178" s="349"/>
      <c r="V178" s="349"/>
      <c r="W178" s="349"/>
      <c r="X178" s="349"/>
      <c r="Y178" s="349"/>
      <c r="Z178" s="349"/>
    </row>
    <row r="179">
      <c r="A179" s="349"/>
      <c r="B179" s="349"/>
      <c r="C179" s="395"/>
      <c r="D179" s="349"/>
      <c r="E179" s="349"/>
      <c r="F179" s="349"/>
      <c r="G179" s="396"/>
      <c r="H179" s="349"/>
      <c r="I179" s="349"/>
      <c r="J179" s="349"/>
      <c r="K179" s="349"/>
      <c r="L179" s="349"/>
      <c r="M179" s="349"/>
      <c r="N179" s="349"/>
      <c r="O179" s="349"/>
      <c r="P179" s="349"/>
      <c r="Q179" s="349"/>
      <c r="R179" s="349"/>
      <c r="S179" s="349"/>
      <c r="T179" s="349"/>
      <c r="U179" s="349"/>
      <c r="V179" s="349"/>
      <c r="W179" s="349"/>
      <c r="X179" s="349"/>
      <c r="Y179" s="349"/>
      <c r="Z179" s="349"/>
    </row>
    <row r="180">
      <c r="A180" s="349"/>
      <c r="B180" s="349"/>
      <c r="C180" s="395"/>
      <c r="D180" s="349"/>
      <c r="E180" s="349"/>
      <c r="F180" s="349"/>
      <c r="G180" s="396"/>
      <c r="H180" s="349"/>
      <c r="I180" s="349"/>
      <c r="J180" s="349"/>
      <c r="K180" s="349"/>
      <c r="L180" s="349"/>
      <c r="M180" s="349"/>
      <c r="N180" s="349"/>
      <c r="O180" s="349"/>
      <c r="P180" s="349"/>
      <c r="Q180" s="349"/>
      <c r="R180" s="349"/>
      <c r="S180" s="349"/>
      <c r="T180" s="349"/>
      <c r="U180" s="349"/>
      <c r="V180" s="349"/>
      <c r="W180" s="349"/>
      <c r="X180" s="349"/>
      <c r="Y180" s="349"/>
      <c r="Z180" s="349"/>
    </row>
    <row r="181">
      <c r="A181" s="349"/>
      <c r="B181" s="349"/>
      <c r="C181" s="395"/>
      <c r="D181" s="349"/>
      <c r="E181" s="349"/>
      <c r="F181" s="349"/>
      <c r="G181" s="396"/>
      <c r="H181" s="349"/>
      <c r="I181" s="349"/>
      <c r="J181" s="349"/>
      <c r="K181" s="349"/>
      <c r="L181" s="349"/>
      <c r="M181" s="349"/>
      <c r="N181" s="349"/>
      <c r="O181" s="349"/>
      <c r="P181" s="349"/>
      <c r="Q181" s="349"/>
      <c r="R181" s="349"/>
      <c r="S181" s="349"/>
      <c r="T181" s="349"/>
      <c r="U181" s="349"/>
      <c r="V181" s="349"/>
      <c r="W181" s="349"/>
      <c r="X181" s="349"/>
      <c r="Y181" s="349"/>
      <c r="Z181" s="349"/>
    </row>
    <row r="182">
      <c r="A182" s="349"/>
      <c r="B182" s="349"/>
      <c r="C182" s="395"/>
      <c r="D182" s="349"/>
      <c r="E182" s="349"/>
      <c r="F182" s="349"/>
      <c r="G182" s="396"/>
      <c r="H182" s="349"/>
      <c r="I182" s="349"/>
      <c r="J182" s="349"/>
      <c r="K182" s="349"/>
      <c r="L182" s="349"/>
      <c r="M182" s="349"/>
      <c r="N182" s="349"/>
      <c r="O182" s="349"/>
      <c r="P182" s="349"/>
      <c r="Q182" s="349"/>
      <c r="R182" s="349"/>
      <c r="S182" s="349"/>
      <c r="T182" s="349"/>
      <c r="U182" s="349"/>
      <c r="V182" s="349"/>
      <c r="W182" s="349"/>
      <c r="X182" s="349"/>
      <c r="Y182" s="349"/>
      <c r="Z182" s="349"/>
    </row>
    <row r="183">
      <c r="A183" s="349"/>
      <c r="B183" s="349"/>
      <c r="C183" s="395"/>
      <c r="D183" s="349"/>
      <c r="E183" s="349"/>
      <c r="F183" s="349"/>
      <c r="G183" s="396"/>
      <c r="H183" s="349"/>
      <c r="I183" s="349"/>
      <c r="J183" s="349"/>
      <c r="K183" s="349"/>
      <c r="L183" s="349"/>
      <c r="M183" s="349"/>
      <c r="N183" s="349"/>
      <c r="O183" s="349"/>
      <c r="P183" s="349"/>
      <c r="Q183" s="349"/>
      <c r="R183" s="349"/>
      <c r="S183" s="349"/>
      <c r="T183" s="349"/>
      <c r="U183" s="349"/>
      <c r="V183" s="349"/>
      <c r="W183" s="349"/>
      <c r="X183" s="349"/>
      <c r="Y183" s="349"/>
      <c r="Z183" s="349"/>
    </row>
    <row r="184">
      <c r="A184" s="349"/>
      <c r="B184" s="349"/>
      <c r="C184" s="395"/>
      <c r="D184" s="349"/>
      <c r="E184" s="349"/>
      <c r="F184" s="349"/>
      <c r="G184" s="396"/>
      <c r="H184" s="349"/>
      <c r="I184" s="349"/>
      <c r="J184" s="349"/>
      <c r="K184" s="349"/>
      <c r="L184" s="349"/>
      <c r="M184" s="349"/>
      <c r="N184" s="349"/>
      <c r="O184" s="349"/>
      <c r="P184" s="349"/>
      <c r="Q184" s="349"/>
      <c r="R184" s="349"/>
      <c r="S184" s="349"/>
      <c r="T184" s="349"/>
      <c r="U184" s="349"/>
      <c r="V184" s="349"/>
      <c r="W184" s="349"/>
      <c r="X184" s="349"/>
      <c r="Y184" s="349"/>
      <c r="Z184" s="349"/>
    </row>
    <row r="185">
      <c r="A185" s="349"/>
      <c r="B185" s="349"/>
      <c r="C185" s="395"/>
      <c r="D185" s="349"/>
      <c r="E185" s="349"/>
      <c r="F185" s="349"/>
      <c r="G185" s="396"/>
      <c r="H185" s="349"/>
      <c r="I185" s="349"/>
      <c r="J185" s="349"/>
      <c r="K185" s="349"/>
      <c r="L185" s="349"/>
      <c r="M185" s="349"/>
      <c r="N185" s="349"/>
      <c r="O185" s="349"/>
      <c r="P185" s="349"/>
      <c r="Q185" s="349"/>
      <c r="R185" s="349"/>
      <c r="S185" s="349"/>
      <c r="T185" s="349"/>
      <c r="U185" s="349"/>
      <c r="V185" s="349"/>
      <c r="W185" s="349"/>
      <c r="X185" s="349"/>
      <c r="Y185" s="349"/>
      <c r="Z185" s="349"/>
    </row>
    <row r="186">
      <c r="A186" s="349"/>
      <c r="B186" s="349"/>
      <c r="C186" s="395"/>
      <c r="D186" s="349"/>
      <c r="E186" s="349"/>
      <c r="F186" s="349"/>
      <c r="G186" s="396"/>
      <c r="H186" s="349"/>
      <c r="I186" s="349"/>
      <c r="J186" s="349"/>
      <c r="K186" s="349"/>
      <c r="L186" s="349"/>
      <c r="M186" s="349"/>
      <c r="N186" s="349"/>
      <c r="O186" s="349"/>
      <c r="P186" s="349"/>
      <c r="Q186" s="349"/>
      <c r="R186" s="349"/>
      <c r="S186" s="349"/>
      <c r="T186" s="349"/>
      <c r="U186" s="349"/>
      <c r="V186" s="349"/>
      <c r="W186" s="349"/>
      <c r="X186" s="349"/>
      <c r="Y186" s="349"/>
      <c r="Z186" s="349"/>
    </row>
    <row r="187">
      <c r="A187" s="349"/>
      <c r="B187" s="349"/>
      <c r="C187" s="395"/>
      <c r="D187" s="349"/>
      <c r="E187" s="349"/>
      <c r="F187" s="349"/>
      <c r="G187" s="396"/>
      <c r="H187" s="349"/>
      <c r="I187" s="349"/>
      <c r="J187" s="349"/>
      <c r="K187" s="349"/>
      <c r="L187" s="349"/>
      <c r="M187" s="349"/>
      <c r="N187" s="349"/>
      <c r="O187" s="349"/>
      <c r="P187" s="349"/>
      <c r="Q187" s="349"/>
      <c r="R187" s="349"/>
      <c r="S187" s="349"/>
      <c r="T187" s="349"/>
      <c r="U187" s="349"/>
      <c r="V187" s="349"/>
      <c r="W187" s="349"/>
      <c r="X187" s="349"/>
      <c r="Y187" s="349"/>
      <c r="Z187" s="349"/>
    </row>
    <row r="188">
      <c r="A188" s="349"/>
      <c r="B188" s="349"/>
      <c r="C188" s="395"/>
      <c r="D188" s="349"/>
      <c r="E188" s="349"/>
      <c r="F188" s="349"/>
      <c r="G188" s="396"/>
      <c r="H188" s="349"/>
      <c r="I188" s="349"/>
      <c r="J188" s="349"/>
      <c r="K188" s="349"/>
      <c r="L188" s="349"/>
      <c r="M188" s="349"/>
      <c r="N188" s="349"/>
      <c r="O188" s="349"/>
      <c r="P188" s="349"/>
      <c r="Q188" s="349"/>
      <c r="R188" s="349"/>
      <c r="S188" s="349"/>
      <c r="T188" s="349"/>
      <c r="U188" s="349"/>
      <c r="V188" s="349"/>
      <c r="W188" s="349"/>
      <c r="X188" s="349"/>
      <c r="Y188" s="349"/>
      <c r="Z188" s="349"/>
    </row>
    <row r="189">
      <c r="A189" s="349"/>
      <c r="B189" s="349"/>
      <c r="C189" s="395"/>
      <c r="D189" s="349"/>
      <c r="E189" s="349"/>
      <c r="F189" s="349"/>
      <c r="G189" s="396"/>
      <c r="H189" s="349"/>
      <c r="I189" s="349"/>
      <c r="J189" s="349"/>
      <c r="K189" s="349"/>
      <c r="L189" s="349"/>
      <c r="M189" s="349"/>
      <c r="N189" s="349"/>
      <c r="O189" s="349"/>
      <c r="P189" s="349"/>
      <c r="Q189" s="349"/>
      <c r="R189" s="349"/>
      <c r="S189" s="349"/>
      <c r="T189" s="349"/>
      <c r="U189" s="349"/>
      <c r="V189" s="349"/>
      <c r="W189" s="349"/>
      <c r="X189" s="349"/>
      <c r="Y189" s="349"/>
      <c r="Z189" s="349"/>
    </row>
    <row r="190">
      <c r="A190" s="349"/>
      <c r="B190" s="349"/>
      <c r="C190" s="395"/>
      <c r="D190" s="349"/>
      <c r="E190" s="349"/>
      <c r="F190" s="349"/>
      <c r="G190" s="396"/>
      <c r="H190" s="349"/>
      <c r="I190" s="349"/>
      <c r="J190" s="349"/>
      <c r="K190" s="349"/>
      <c r="L190" s="349"/>
      <c r="M190" s="349"/>
      <c r="N190" s="349"/>
      <c r="O190" s="349"/>
      <c r="P190" s="349"/>
      <c r="Q190" s="349"/>
      <c r="R190" s="349"/>
      <c r="S190" s="349"/>
      <c r="T190" s="349"/>
      <c r="U190" s="349"/>
      <c r="V190" s="349"/>
      <c r="W190" s="349"/>
      <c r="X190" s="349"/>
      <c r="Y190" s="349"/>
      <c r="Z190" s="349"/>
    </row>
    <row r="191">
      <c r="A191" s="349"/>
      <c r="B191" s="349"/>
      <c r="C191" s="395"/>
      <c r="D191" s="349"/>
      <c r="E191" s="349"/>
      <c r="F191" s="349"/>
      <c r="G191" s="396"/>
      <c r="H191" s="349"/>
      <c r="I191" s="349"/>
      <c r="J191" s="349"/>
      <c r="K191" s="349"/>
      <c r="L191" s="349"/>
      <c r="M191" s="349"/>
      <c r="N191" s="349"/>
      <c r="O191" s="349"/>
      <c r="P191" s="349"/>
      <c r="Q191" s="349"/>
      <c r="R191" s="349"/>
      <c r="S191" s="349"/>
      <c r="T191" s="349"/>
      <c r="U191" s="349"/>
      <c r="V191" s="349"/>
      <c r="W191" s="349"/>
      <c r="X191" s="349"/>
      <c r="Y191" s="349"/>
      <c r="Z191" s="349"/>
    </row>
    <row r="192">
      <c r="A192" s="349"/>
      <c r="B192" s="349"/>
      <c r="C192" s="395"/>
      <c r="D192" s="349"/>
      <c r="E192" s="349"/>
      <c r="F192" s="349"/>
      <c r="G192" s="396"/>
      <c r="H192" s="349"/>
      <c r="I192" s="349"/>
      <c r="J192" s="349"/>
      <c r="K192" s="349"/>
      <c r="L192" s="349"/>
      <c r="M192" s="349"/>
      <c r="N192" s="349"/>
      <c r="O192" s="349"/>
      <c r="P192" s="349"/>
      <c r="Q192" s="349"/>
      <c r="R192" s="349"/>
      <c r="S192" s="349"/>
      <c r="T192" s="349"/>
      <c r="U192" s="349"/>
      <c r="V192" s="349"/>
      <c r="W192" s="349"/>
      <c r="X192" s="349"/>
      <c r="Y192" s="349"/>
      <c r="Z192" s="349"/>
    </row>
    <row r="193">
      <c r="A193" s="349"/>
      <c r="B193" s="349"/>
      <c r="C193" s="395"/>
      <c r="D193" s="349"/>
      <c r="E193" s="349"/>
      <c r="F193" s="349"/>
      <c r="G193" s="396"/>
      <c r="H193" s="349"/>
      <c r="I193" s="349"/>
      <c r="J193" s="349"/>
      <c r="K193" s="349"/>
      <c r="L193" s="349"/>
      <c r="M193" s="349"/>
      <c r="N193" s="349"/>
      <c r="O193" s="349"/>
      <c r="P193" s="349"/>
      <c r="Q193" s="349"/>
      <c r="R193" s="349"/>
      <c r="S193" s="349"/>
      <c r="T193" s="349"/>
      <c r="U193" s="349"/>
      <c r="V193" s="349"/>
      <c r="W193" s="349"/>
      <c r="X193" s="349"/>
      <c r="Y193" s="349"/>
      <c r="Z193" s="349"/>
    </row>
    <row r="194">
      <c r="A194" s="349"/>
      <c r="B194" s="349"/>
      <c r="C194" s="395"/>
      <c r="D194" s="349"/>
      <c r="E194" s="349"/>
      <c r="F194" s="349"/>
      <c r="G194" s="396"/>
      <c r="H194" s="349"/>
      <c r="I194" s="349"/>
      <c r="J194" s="349"/>
      <c r="K194" s="349"/>
      <c r="L194" s="349"/>
      <c r="M194" s="349"/>
      <c r="N194" s="349"/>
      <c r="O194" s="349"/>
      <c r="P194" s="349"/>
      <c r="Q194" s="349"/>
      <c r="R194" s="349"/>
      <c r="S194" s="349"/>
      <c r="T194" s="349"/>
      <c r="U194" s="349"/>
      <c r="V194" s="349"/>
      <c r="W194" s="349"/>
      <c r="X194" s="349"/>
      <c r="Y194" s="349"/>
      <c r="Z194" s="349"/>
    </row>
    <row r="195">
      <c r="A195" s="349"/>
      <c r="B195" s="349"/>
      <c r="C195" s="395"/>
      <c r="D195" s="349"/>
      <c r="E195" s="349"/>
      <c r="F195" s="349"/>
      <c r="G195" s="396"/>
      <c r="H195" s="349"/>
      <c r="I195" s="349"/>
      <c r="J195" s="349"/>
      <c r="K195" s="349"/>
      <c r="L195" s="349"/>
      <c r="M195" s="349"/>
      <c r="N195" s="349"/>
      <c r="O195" s="349"/>
      <c r="P195" s="349"/>
      <c r="Q195" s="349"/>
      <c r="R195" s="349"/>
      <c r="S195" s="349"/>
      <c r="T195" s="349"/>
      <c r="U195" s="349"/>
      <c r="V195" s="349"/>
      <c r="W195" s="349"/>
      <c r="X195" s="349"/>
      <c r="Y195" s="349"/>
      <c r="Z195" s="349"/>
    </row>
    <row r="196">
      <c r="A196" s="349"/>
      <c r="B196" s="349"/>
      <c r="C196" s="395"/>
      <c r="D196" s="349"/>
      <c r="E196" s="349"/>
      <c r="F196" s="349"/>
      <c r="G196" s="396"/>
      <c r="H196" s="349"/>
      <c r="I196" s="349"/>
      <c r="J196" s="349"/>
      <c r="K196" s="349"/>
      <c r="L196" s="349"/>
      <c r="M196" s="349"/>
      <c r="N196" s="349"/>
      <c r="O196" s="349"/>
      <c r="P196" s="349"/>
      <c r="Q196" s="349"/>
      <c r="R196" s="349"/>
      <c r="S196" s="349"/>
      <c r="T196" s="349"/>
      <c r="U196" s="349"/>
      <c r="V196" s="349"/>
      <c r="W196" s="349"/>
      <c r="X196" s="349"/>
      <c r="Y196" s="349"/>
      <c r="Z196" s="349"/>
    </row>
    <row r="197">
      <c r="A197" s="349"/>
      <c r="B197" s="349"/>
      <c r="C197" s="395"/>
      <c r="D197" s="349"/>
      <c r="E197" s="349"/>
      <c r="F197" s="349"/>
      <c r="G197" s="396"/>
      <c r="H197" s="349"/>
      <c r="I197" s="349"/>
      <c r="J197" s="349"/>
      <c r="K197" s="349"/>
      <c r="L197" s="349"/>
      <c r="M197" s="349"/>
      <c r="N197" s="349"/>
      <c r="O197" s="349"/>
      <c r="P197" s="349"/>
      <c r="Q197" s="349"/>
      <c r="R197" s="349"/>
      <c r="S197" s="349"/>
      <c r="T197" s="349"/>
      <c r="U197" s="349"/>
      <c r="V197" s="349"/>
      <c r="W197" s="349"/>
      <c r="X197" s="349"/>
      <c r="Y197" s="349"/>
      <c r="Z197" s="349"/>
    </row>
    <row r="198">
      <c r="A198" s="349"/>
      <c r="B198" s="349"/>
      <c r="C198" s="395"/>
      <c r="D198" s="349"/>
      <c r="E198" s="349"/>
      <c r="F198" s="349"/>
      <c r="G198" s="396"/>
      <c r="H198" s="349"/>
      <c r="I198" s="349"/>
      <c r="J198" s="349"/>
      <c r="K198" s="349"/>
      <c r="L198" s="349"/>
      <c r="M198" s="349"/>
      <c r="N198" s="349"/>
      <c r="O198" s="349"/>
      <c r="P198" s="349"/>
      <c r="Q198" s="349"/>
      <c r="R198" s="349"/>
      <c r="S198" s="349"/>
      <c r="T198" s="349"/>
      <c r="U198" s="349"/>
      <c r="V198" s="349"/>
      <c r="W198" s="349"/>
      <c r="X198" s="349"/>
      <c r="Y198" s="349"/>
      <c r="Z198" s="349"/>
    </row>
    <row r="199">
      <c r="A199" s="349"/>
      <c r="B199" s="349"/>
      <c r="C199" s="395"/>
      <c r="D199" s="349"/>
      <c r="E199" s="349"/>
      <c r="F199" s="349"/>
      <c r="G199" s="396"/>
      <c r="H199" s="349"/>
      <c r="I199" s="349"/>
      <c r="J199" s="349"/>
      <c r="K199" s="349"/>
      <c r="L199" s="349"/>
      <c r="M199" s="349"/>
      <c r="N199" s="349"/>
      <c r="O199" s="349"/>
      <c r="P199" s="349"/>
      <c r="Q199" s="349"/>
      <c r="R199" s="349"/>
      <c r="S199" s="349"/>
      <c r="T199" s="349"/>
      <c r="U199" s="349"/>
      <c r="V199" s="349"/>
      <c r="W199" s="349"/>
      <c r="X199" s="349"/>
      <c r="Y199" s="349"/>
      <c r="Z199" s="349"/>
    </row>
    <row r="200">
      <c r="A200" s="349"/>
      <c r="B200" s="349"/>
      <c r="C200" s="395"/>
      <c r="D200" s="349"/>
      <c r="E200" s="349"/>
      <c r="F200" s="349"/>
      <c r="G200" s="396"/>
      <c r="H200" s="349"/>
      <c r="I200" s="349"/>
      <c r="J200" s="349"/>
      <c r="K200" s="349"/>
      <c r="L200" s="349"/>
      <c r="M200" s="349"/>
      <c r="N200" s="349"/>
      <c r="O200" s="349"/>
      <c r="P200" s="349"/>
      <c r="Q200" s="349"/>
      <c r="R200" s="349"/>
      <c r="S200" s="349"/>
      <c r="T200" s="349"/>
      <c r="U200" s="349"/>
      <c r="V200" s="349"/>
      <c r="W200" s="349"/>
      <c r="X200" s="349"/>
      <c r="Y200" s="349"/>
      <c r="Z200" s="349"/>
    </row>
    <row r="201">
      <c r="A201" s="349"/>
      <c r="B201" s="349"/>
      <c r="C201" s="395"/>
      <c r="D201" s="349"/>
      <c r="E201" s="349"/>
      <c r="F201" s="349"/>
      <c r="G201" s="396"/>
      <c r="H201" s="349"/>
      <c r="I201" s="349"/>
      <c r="J201" s="349"/>
      <c r="K201" s="349"/>
      <c r="L201" s="349"/>
      <c r="M201" s="349"/>
      <c r="N201" s="349"/>
      <c r="O201" s="349"/>
      <c r="P201" s="349"/>
      <c r="Q201" s="349"/>
      <c r="R201" s="349"/>
      <c r="S201" s="349"/>
      <c r="T201" s="349"/>
      <c r="U201" s="349"/>
      <c r="V201" s="349"/>
      <c r="W201" s="349"/>
      <c r="X201" s="349"/>
      <c r="Y201" s="349"/>
      <c r="Z201" s="349"/>
    </row>
    <row r="202">
      <c r="A202" s="349"/>
      <c r="B202" s="349"/>
      <c r="C202" s="395"/>
      <c r="D202" s="349"/>
      <c r="E202" s="349"/>
      <c r="F202" s="349"/>
      <c r="G202" s="396"/>
      <c r="H202" s="349"/>
      <c r="I202" s="349"/>
      <c r="J202" s="349"/>
      <c r="K202" s="349"/>
      <c r="L202" s="349"/>
      <c r="M202" s="349"/>
      <c r="N202" s="349"/>
      <c r="O202" s="349"/>
      <c r="P202" s="349"/>
      <c r="Q202" s="349"/>
      <c r="R202" s="349"/>
      <c r="S202" s="349"/>
      <c r="T202" s="349"/>
      <c r="U202" s="349"/>
      <c r="V202" s="349"/>
      <c r="W202" s="349"/>
      <c r="X202" s="349"/>
      <c r="Y202" s="349"/>
      <c r="Z202" s="349"/>
    </row>
    <row r="203">
      <c r="A203" s="349"/>
      <c r="B203" s="349"/>
      <c r="C203" s="395"/>
      <c r="D203" s="349"/>
      <c r="E203" s="349"/>
      <c r="F203" s="349"/>
      <c r="G203" s="396"/>
      <c r="H203" s="349"/>
      <c r="I203" s="349"/>
      <c r="J203" s="349"/>
      <c r="K203" s="349"/>
      <c r="L203" s="349"/>
      <c r="M203" s="349"/>
      <c r="N203" s="349"/>
      <c r="O203" s="349"/>
      <c r="P203" s="349"/>
      <c r="Q203" s="349"/>
      <c r="R203" s="349"/>
      <c r="S203" s="349"/>
      <c r="T203" s="349"/>
      <c r="U203" s="349"/>
      <c r="V203" s="349"/>
      <c r="W203" s="349"/>
      <c r="X203" s="349"/>
      <c r="Y203" s="349"/>
      <c r="Z203" s="349"/>
    </row>
    <row r="204">
      <c r="A204" s="349"/>
      <c r="B204" s="349"/>
      <c r="C204" s="395"/>
      <c r="D204" s="349"/>
      <c r="E204" s="349"/>
      <c r="F204" s="349"/>
      <c r="G204" s="396"/>
      <c r="H204" s="349"/>
      <c r="I204" s="349"/>
      <c r="J204" s="349"/>
      <c r="K204" s="349"/>
      <c r="L204" s="349"/>
      <c r="M204" s="349"/>
      <c r="N204" s="349"/>
      <c r="O204" s="349"/>
      <c r="P204" s="349"/>
      <c r="Q204" s="349"/>
      <c r="R204" s="349"/>
      <c r="S204" s="349"/>
      <c r="T204" s="349"/>
      <c r="U204" s="349"/>
      <c r="V204" s="349"/>
      <c r="W204" s="349"/>
      <c r="X204" s="349"/>
      <c r="Y204" s="349"/>
      <c r="Z204" s="349"/>
    </row>
    <row r="205">
      <c r="A205" s="349"/>
      <c r="B205" s="349"/>
      <c r="C205" s="395"/>
      <c r="D205" s="349"/>
      <c r="E205" s="349"/>
      <c r="F205" s="349"/>
      <c r="G205" s="396"/>
      <c r="H205" s="349"/>
      <c r="I205" s="349"/>
      <c r="J205" s="349"/>
      <c r="K205" s="349"/>
      <c r="L205" s="349"/>
      <c r="M205" s="349"/>
      <c r="N205" s="349"/>
      <c r="O205" s="349"/>
      <c r="P205" s="349"/>
      <c r="Q205" s="349"/>
      <c r="R205" s="349"/>
      <c r="S205" s="349"/>
      <c r="T205" s="349"/>
      <c r="U205" s="349"/>
      <c r="V205" s="349"/>
      <c r="W205" s="349"/>
      <c r="X205" s="349"/>
      <c r="Y205" s="349"/>
      <c r="Z205" s="349"/>
    </row>
    <row r="206">
      <c r="A206" s="349"/>
      <c r="B206" s="349"/>
      <c r="C206" s="395"/>
      <c r="D206" s="349"/>
      <c r="E206" s="349"/>
      <c r="F206" s="349"/>
      <c r="G206" s="396"/>
      <c r="H206" s="349"/>
      <c r="I206" s="349"/>
      <c r="J206" s="349"/>
      <c r="K206" s="349"/>
      <c r="L206" s="349"/>
      <c r="M206" s="349"/>
      <c r="N206" s="349"/>
      <c r="O206" s="349"/>
      <c r="P206" s="349"/>
      <c r="Q206" s="349"/>
      <c r="R206" s="349"/>
      <c r="S206" s="349"/>
      <c r="T206" s="349"/>
      <c r="U206" s="349"/>
      <c r="V206" s="349"/>
      <c r="W206" s="349"/>
      <c r="X206" s="349"/>
      <c r="Y206" s="349"/>
      <c r="Z206" s="349"/>
    </row>
    <row r="207">
      <c r="A207" s="349"/>
      <c r="B207" s="349"/>
      <c r="C207" s="395"/>
      <c r="D207" s="349"/>
      <c r="E207" s="349"/>
      <c r="F207" s="349"/>
      <c r="G207" s="396"/>
      <c r="H207" s="349"/>
      <c r="I207" s="349"/>
      <c r="J207" s="349"/>
      <c r="K207" s="349"/>
      <c r="L207" s="349"/>
      <c r="M207" s="349"/>
      <c r="N207" s="349"/>
      <c r="O207" s="349"/>
      <c r="P207" s="349"/>
      <c r="Q207" s="349"/>
      <c r="R207" s="349"/>
      <c r="S207" s="349"/>
      <c r="T207" s="349"/>
      <c r="U207" s="349"/>
      <c r="V207" s="349"/>
      <c r="W207" s="349"/>
      <c r="X207" s="349"/>
      <c r="Y207" s="349"/>
      <c r="Z207" s="349"/>
    </row>
    <row r="208">
      <c r="A208" s="349"/>
      <c r="B208" s="349"/>
      <c r="C208" s="395"/>
      <c r="D208" s="349"/>
      <c r="E208" s="349"/>
      <c r="F208" s="349"/>
      <c r="G208" s="396"/>
      <c r="H208" s="349"/>
      <c r="I208" s="349"/>
      <c r="J208" s="349"/>
      <c r="K208" s="349"/>
      <c r="L208" s="349"/>
      <c r="M208" s="349"/>
      <c r="N208" s="349"/>
      <c r="O208" s="349"/>
      <c r="P208" s="349"/>
      <c r="Q208" s="349"/>
      <c r="R208" s="349"/>
      <c r="S208" s="349"/>
      <c r="T208" s="349"/>
      <c r="U208" s="349"/>
      <c r="V208" s="349"/>
      <c r="W208" s="349"/>
      <c r="X208" s="349"/>
      <c r="Y208" s="349"/>
      <c r="Z208" s="349"/>
    </row>
    <row r="209">
      <c r="A209" s="349"/>
      <c r="B209" s="349"/>
      <c r="C209" s="395"/>
      <c r="D209" s="349"/>
      <c r="E209" s="349"/>
      <c r="F209" s="349"/>
      <c r="G209" s="396"/>
      <c r="H209" s="349"/>
      <c r="I209" s="349"/>
      <c r="J209" s="349"/>
      <c r="K209" s="349"/>
      <c r="L209" s="349"/>
      <c r="M209" s="349"/>
      <c r="N209" s="349"/>
      <c r="O209" s="349"/>
      <c r="P209" s="349"/>
      <c r="Q209" s="349"/>
      <c r="R209" s="349"/>
      <c r="S209" s="349"/>
      <c r="T209" s="349"/>
      <c r="U209" s="349"/>
      <c r="V209" s="349"/>
      <c r="W209" s="349"/>
      <c r="X209" s="349"/>
      <c r="Y209" s="349"/>
      <c r="Z209" s="349"/>
    </row>
    <row r="210">
      <c r="A210" s="349"/>
      <c r="B210" s="349"/>
      <c r="C210" s="395"/>
      <c r="D210" s="349"/>
      <c r="E210" s="349"/>
      <c r="F210" s="349"/>
      <c r="G210" s="396"/>
      <c r="H210" s="349"/>
      <c r="I210" s="349"/>
      <c r="J210" s="349"/>
      <c r="K210" s="349"/>
      <c r="L210" s="349"/>
      <c r="M210" s="349"/>
      <c r="N210" s="349"/>
      <c r="O210" s="349"/>
      <c r="P210" s="349"/>
      <c r="Q210" s="349"/>
      <c r="R210" s="349"/>
      <c r="S210" s="349"/>
      <c r="T210" s="349"/>
      <c r="U210" s="349"/>
      <c r="V210" s="349"/>
      <c r="W210" s="349"/>
      <c r="X210" s="349"/>
      <c r="Y210" s="349"/>
      <c r="Z210" s="349"/>
    </row>
    <row r="211">
      <c r="A211" s="349"/>
      <c r="B211" s="349"/>
      <c r="C211" s="395"/>
      <c r="D211" s="349"/>
      <c r="E211" s="349"/>
      <c r="F211" s="349"/>
      <c r="G211" s="396"/>
      <c r="H211" s="349"/>
      <c r="I211" s="349"/>
      <c r="J211" s="349"/>
      <c r="K211" s="349"/>
      <c r="L211" s="349"/>
      <c r="M211" s="349"/>
      <c r="N211" s="349"/>
      <c r="O211" s="349"/>
      <c r="P211" s="349"/>
      <c r="Q211" s="349"/>
      <c r="R211" s="349"/>
      <c r="S211" s="349"/>
      <c r="T211" s="349"/>
      <c r="U211" s="349"/>
      <c r="V211" s="349"/>
      <c r="W211" s="349"/>
      <c r="X211" s="349"/>
      <c r="Y211" s="349"/>
      <c r="Z211" s="349"/>
    </row>
    <row r="212">
      <c r="A212" s="349"/>
      <c r="B212" s="349"/>
      <c r="C212" s="395"/>
      <c r="D212" s="349"/>
      <c r="E212" s="349"/>
      <c r="F212" s="349"/>
      <c r="G212" s="396"/>
      <c r="H212" s="349"/>
      <c r="I212" s="349"/>
      <c r="J212" s="349"/>
      <c r="K212" s="349"/>
      <c r="L212" s="349"/>
      <c r="M212" s="349"/>
      <c r="N212" s="349"/>
      <c r="O212" s="349"/>
      <c r="P212" s="349"/>
      <c r="Q212" s="349"/>
      <c r="R212" s="349"/>
      <c r="S212" s="349"/>
      <c r="T212" s="349"/>
      <c r="U212" s="349"/>
      <c r="V212" s="349"/>
      <c r="W212" s="349"/>
      <c r="X212" s="349"/>
      <c r="Y212" s="349"/>
      <c r="Z212" s="349"/>
    </row>
    <row r="213">
      <c r="A213" s="349"/>
      <c r="B213" s="349"/>
      <c r="C213" s="395"/>
      <c r="D213" s="349"/>
      <c r="E213" s="349"/>
      <c r="F213" s="349"/>
      <c r="G213" s="396"/>
      <c r="H213" s="349"/>
      <c r="I213" s="349"/>
      <c r="J213" s="349"/>
      <c r="K213" s="349"/>
      <c r="L213" s="349"/>
      <c r="M213" s="349"/>
      <c r="N213" s="349"/>
      <c r="O213" s="349"/>
      <c r="P213" s="349"/>
      <c r="Q213" s="349"/>
      <c r="R213" s="349"/>
      <c r="S213" s="349"/>
      <c r="T213" s="349"/>
      <c r="U213" s="349"/>
      <c r="V213" s="349"/>
      <c r="W213" s="349"/>
      <c r="X213" s="349"/>
      <c r="Y213" s="349"/>
      <c r="Z213" s="349"/>
    </row>
    <row r="214">
      <c r="A214" s="349"/>
      <c r="B214" s="349"/>
      <c r="C214" s="395"/>
      <c r="D214" s="349"/>
      <c r="E214" s="349"/>
      <c r="F214" s="349"/>
      <c r="G214" s="396"/>
      <c r="H214" s="349"/>
      <c r="I214" s="349"/>
      <c r="J214" s="349"/>
      <c r="K214" s="349"/>
      <c r="L214" s="349"/>
      <c r="M214" s="349"/>
      <c r="N214" s="349"/>
      <c r="O214" s="349"/>
      <c r="P214" s="349"/>
      <c r="Q214" s="349"/>
      <c r="R214" s="349"/>
      <c r="S214" s="349"/>
      <c r="T214" s="349"/>
      <c r="U214" s="349"/>
      <c r="V214" s="349"/>
      <c r="W214" s="349"/>
      <c r="X214" s="349"/>
      <c r="Y214" s="349"/>
      <c r="Z214" s="349"/>
    </row>
    <row r="215">
      <c r="A215" s="349"/>
      <c r="B215" s="349"/>
      <c r="C215" s="395"/>
      <c r="D215" s="349"/>
      <c r="E215" s="349"/>
      <c r="F215" s="349"/>
      <c r="G215" s="396"/>
      <c r="H215" s="349"/>
      <c r="I215" s="349"/>
      <c r="J215" s="349"/>
      <c r="K215" s="349"/>
      <c r="L215" s="349"/>
      <c r="M215" s="349"/>
      <c r="N215" s="349"/>
      <c r="O215" s="349"/>
      <c r="P215" s="349"/>
      <c r="Q215" s="349"/>
      <c r="R215" s="349"/>
      <c r="S215" s="349"/>
      <c r="T215" s="349"/>
      <c r="U215" s="349"/>
      <c r="V215" s="349"/>
      <c r="W215" s="349"/>
      <c r="X215" s="349"/>
      <c r="Y215" s="349"/>
      <c r="Z215" s="349"/>
    </row>
    <row r="216">
      <c r="A216" s="349"/>
      <c r="B216" s="349"/>
      <c r="C216" s="395"/>
      <c r="D216" s="349"/>
      <c r="E216" s="349"/>
      <c r="F216" s="349"/>
      <c r="G216" s="396"/>
      <c r="H216" s="349"/>
      <c r="I216" s="349"/>
      <c r="J216" s="349"/>
      <c r="K216" s="349"/>
      <c r="L216" s="349"/>
      <c r="M216" s="349"/>
      <c r="N216" s="349"/>
      <c r="O216" s="349"/>
      <c r="P216" s="349"/>
      <c r="Q216" s="349"/>
      <c r="R216" s="349"/>
      <c r="S216" s="349"/>
      <c r="T216" s="349"/>
      <c r="U216" s="349"/>
      <c r="V216" s="349"/>
      <c r="W216" s="349"/>
      <c r="X216" s="349"/>
      <c r="Y216" s="349"/>
      <c r="Z216" s="349"/>
    </row>
    <row r="217">
      <c r="A217" s="349"/>
      <c r="B217" s="349"/>
      <c r="C217" s="395"/>
      <c r="D217" s="349"/>
      <c r="E217" s="349"/>
      <c r="F217" s="349"/>
      <c r="G217" s="396"/>
      <c r="H217" s="349"/>
      <c r="I217" s="349"/>
      <c r="J217" s="349"/>
      <c r="K217" s="349"/>
      <c r="L217" s="349"/>
      <c r="M217" s="349"/>
      <c r="N217" s="349"/>
      <c r="O217" s="349"/>
      <c r="P217" s="349"/>
      <c r="Q217" s="349"/>
      <c r="R217" s="349"/>
      <c r="S217" s="349"/>
      <c r="T217" s="349"/>
      <c r="U217" s="349"/>
      <c r="V217" s="349"/>
      <c r="W217" s="349"/>
      <c r="X217" s="349"/>
      <c r="Y217" s="349"/>
      <c r="Z217" s="349"/>
    </row>
    <row r="218">
      <c r="A218" s="349"/>
      <c r="B218" s="349"/>
      <c r="C218" s="395"/>
      <c r="D218" s="349"/>
      <c r="E218" s="349"/>
      <c r="F218" s="349"/>
      <c r="G218" s="396"/>
      <c r="H218" s="349"/>
      <c r="I218" s="349"/>
      <c r="J218" s="349"/>
      <c r="K218" s="349"/>
      <c r="L218" s="349"/>
      <c r="M218" s="349"/>
      <c r="N218" s="349"/>
      <c r="O218" s="349"/>
      <c r="P218" s="349"/>
      <c r="Q218" s="349"/>
      <c r="R218" s="349"/>
      <c r="S218" s="349"/>
      <c r="T218" s="349"/>
      <c r="U218" s="349"/>
      <c r="V218" s="349"/>
      <c r="W218" s="349"/>
      <c r="X218" s="349"/>
      <c r="Y218" s="349"/>
      <c r="Z218" s="349"/>
    </row>
    <row r="219">
      <c r="A219" s="349"/>
      <c r="B219" s="349"/>
      <c r="C219" s="395"/>
      <c r="D219" s="349"/>
      <c r="E219" s="349"/>
      <c r="F219" s="349"/>
      <c r="G219" s="396"/>
      <c r="H219" s="349"/>
      <c r="I219" s="349"/>
      <c r="J219" s="349"/>
      <c r="K219" s="349"/>
      <c r="L219" s="349"/>
      <c r="M219" s="349"/>
      <c r="N219" s="349"/>
      <c r="O219" s="349"/>
      <c r="P219" s="349"/>
      <c r="Q219" s="349"/>
      <c r="R219" s="349"/>
      <c r="S219" s="349"/>
      <c r="T219" s="349"/>
      <c r="U219" s="349"/>
      <c r="V219" s="349"/>
      <c r="W219" s="349"/>
      <c r="X219" s="349"/>
      <c r="Y219" s="349"/>
      <c r="Z219" s="349"/>
    </row>
    <row r="220">
      <c r="A220" s="349"/>
      <c r="B220" s="349"/>
      <c r="C220" s="395"/>
      <c r="D220" s="349"/>
      <c r="E220" s="349"/>
      <c r="F220" s="349"/>
      <c r="G220" s="396"/>
      <c r="H220" s="349"/>
      <c r="I220" s="349"/>
      <c r="J220" s="349"/>
      <c r="K220" s="349"/>
      <c r="L220" s="349"/>
      <c r="M220" s="349"/>
      <c r="N220" s="349"/>
      <c r="O220" s="349"/>
      <c r="P220" s="349"/>
      <c r="Q220" s="349"/>
      <c r="R220" s="349"/>
      <c r="S220" s="349"/>
      <c r="T220" s="349"/>
      <c r="U220" s="349"/>
      <c r="V220" s="349"/>
      <c r="W220" s="349"/>
      <c r="X220" s="349"/>
      <c r="Y220" s="349"/>
      <c r="Z220" s="349"/>
    </row>
    <row r="221">
      <c r="A221" s="349"/>
      <c r="B221" s="349"/>
      <c r="C221" s="395"/>
      <c r="D221" s="349"/>
      <c r="E221" s="349"/>
      <c r="F221" s="349"/>
      <c r="G221" s="396"/>
      <c r="H221" s="349"/>
      <c r="I221" s="349"/>
      <c r="J221" s="349"/>
      <c r="K221" s="349"/>
      <c r="L221" s="349"/>
      <c r="M221" s="349"/>
      <c r="N221" s="349"/>
      <c r="O221" s="349"/>
      <c r="P221" s="349"/>
      <c r="Q221" s="349"/>
      <c r="R221" s="349"/>
      <c r="S221" s="349"/>
      <c r="T221" s="349"/>
      <c r="U221" s="349"/>
      <c r="V221" s="349"/>
      <c r="W221" s="349"/>
      <c r="X221" s="349"/>
      <c r="Y221" s="349"/>
      <c r="Z221" s="349"/>
    </row>
    <row r="222">
      <c r="A222" s="349"/>
      <c r="B222" s="349"/>
      <c r="C222" s="395"/>
      <c r="D222" s="349"/>
      <c r="E222" s="349"/>
      <c r="F222" s="349"/>
      <c r="G222" s="396"/>
      <c r="H222" s="349"/>
      <c r="I222" s="349"/>
      <c r="J222" s="349"/>
      <c r="K222" s="349"/>
      <c r="L222" s="349"/>
      <c r="M222" s="349"/>
      <c r="N222" s="349"/>
      <c r="O222" s="349"/>
      <c r="P222" s="349"/>
      <c r="Q222" s="349"/>
      <c r="R222" s="349"/>
      <c r="S222" s="349"/>
      <c r="T222" s="349"/>
      <c r="U222" s="349"/>
      <c r="V222" s="349"/>
      <c r="W222" s="349"/>
      <c r="X222" s="349"/>
      <c r="Y222" s="349"/>
      <c r="Z222" s="349"/>
    </row>
    <row r="223">
      <c r="A223" s="349"/>
      <c r="B223" s="349"/>
      <c r="C223" s="395"/>
      <c r="D223" s="349"/>
      <c r="E223" s="349"/>
      <c r="F223" s="349"/>
      <c r="G223" s="396"/>
      <c r="H223" s="349"/>
      <c r="I223" s="349"/>
      <c r="J223" s="349"/>
      <c r="K223" s="349"/>
      <c r="L223" s="349"/>
      <c r="M223" s="349"/>
      <c r="N223" s="349"/>
      <c r="O223" s="349"/>
      <c r="P223" s="349"/>
      <c r="Q223" s="349"/>
      <c r="R223" s="349"/>
      <c r="S223" s="349"/>
      <c r="T223" s="349"/>
      <c r="U223" s="349"/>
      <c r="V223" s="349"/>
      <c r="W223" s="349"/>
      <c r="X223" s="349"/>
      <c r="Y223" s="349"/>
      <c r="Z223" s="349"/>
    </row>
    <row r="224">
      <c r="A224" s="349"/>
      <c r="B224" s="349"/>
      <c r="C224" s="395"/>
      <c r="D224" s="349"/>
      <c r="E224" s="349"/>
      <c r="F224" s="349"/>
      <c r="G224" s="396"/>
      <c r="H224" s="349"/>
      <c r="I224" s="349"/>
      <c r="J224" s="349"/>
      <c r="K224" s="349"/>
      <c r="L224" s="349"/>
      <c r="M224" s="349"/>
      <c r="N224" s="349"/>
      <c r="O224" s="349"/>
      <c r="P224" s="349"/>
      <c r="Q224" s="349"/>
      <c r="R224" s="349"/>
      <c r="S224" s="349"/>
      <c r="T224" s="349"/>
      <c r="U224" s="349"/>
      <c r="V224" s="349"/>
      <c r="W224" s="349"/>
      <c r="X224" s="349"/>
      <c r="Y224" s="349"/>
      <c r="Z224" s="349"/>
    </row>
    <row r="225">
      <c r="A225" s="349"/>
      <c r="B225" s="349"/>
      <c r="C225" s="395"/>
      <c r="D225" s="349"/>
      <c r="E225" s="349"/>
      <c r="F225" s="349"/>
      <c r="G225" s="396"/>
      <c r="H225" s="349"/>
      <c r="I225" s="349"/>
      <c r="J225" s="349"/>
      <c r="K225" s="349"/>
      <c r="L225" s="349"/>
      <c r="M225" s="349"/>
      <c r="N225" s="349"/>
      <c r="O225" s="349"/>
      <c r="P225" s="349"/>
      <c r="Q225" s="349"/>
      <c r="R225" s="349"/>
      <c r="S225" s="349"/>
      <c r="T225" s="349"/>
      <c r="U225" s="349"/>
      <c r="V225" s="349"/>
      <c r="W225" s="349"/>
      <c r="X225" s="349"/>
      <c r="Y225" s="349"/>
      <c r="Z225" s="349"/>
    </row>
    <row r="226">
      <c r="A226" s="349"/>
      <c r="B226" s="349"/>
      <c r="C226" s="395"/>
      <c r="D226" s="349"/>
      <c r="E226" s="349"/>
      <c r="F226" s="349"/>
      <c r="G226" s="396"/>
      <c r="H226" s="349"/>
      <c r="I226" s="349"/>
      <c r="J226" s="349"/>
      <c r="K226" s="349"/>
      <c r="L226" s="349"/>
      <c r="M226" s="349"/>
      <c r="N226" s="349"/>
      <c r="O226" s="349"/>
      <c r="P226" s="349"/>
      <c r="Q226" s="349"/>
      <c r="R226" s="349"/>
      <c r="S226" s="349"/>
      <c r="T226" s="349"/>
      <c r="U226" s="349"/>
      <c r="V226" s="349"/>
      <c r="W226" s="349"/>
      <c r="X226" s="349"/>
      <c r="Y226" s="349"/>
      <c r="Z226" s="349"/>
    </row>
    <row r="227">
      <c r="A227" s="349"/>
      <c r="B227" s="349"/>
      <c r="C227" s="395"/>
      <c r="D227" s="349"/>
      <c r="E227" s="349"/>
      <c r="F227" s="349"/>
      <c r="G227" s="396"/>
      <c r="H227" s="349"/>
      <c r="I227" s="349"/>
      <c r="J227" s="349"/>
      <c r="K227" s="349"/>
      <c r="L227" s="349"/>
      <c r="M227" s="349"/>
      <c r="N227" s="349"/>
      <c r="O227" s="349"/>
      <c r="P227" s="349"/>
      <c r="Q227" s="349"/>
      <c r="R227" s="349"/>
      <c r="S227" s="349"/>
      <c r="T227" s="349"/>
      <c r="U227" s="349"/>
      <c r="V227" s="349"/>
      <c r="W227" s="349"/>
      <c r="X227" s="349"/>
      <c r="Y227" s="349"/>
      <c r="Z227" s="349"/>
    </row>
    <row r="228">
      <c r="A228" s="349"/>
      <c r="B228" s="349"/>
      <c r="C228" s="395"/>
      <c r="D228" s="349"/>
      <c r="E228" s="349"/>
      <c r="F228" s="349"/>
      <c r="G228" s="396"/>
      <c r="H228" s="349"/>
      <c r="I228" s="349"/>
      <c r="J228" s="349"/>
      <c r="K228" s="349"/>
      <c r="L228" s="349"/>
      <c r="M228" s="349"/>
      <c r="N228" s="349"/>
      <c r="O228" s="349"/>
      <c r="P228" s="349"/>
      <c r="Q228" s="349"/>
      <c r="R228" s="349"/>
      <c r="S228" s="349"/>
      <c r="T228" s="349"/>
      <c r="U228" s="349"/>
      <c r="V228" s="349"/>
      <c r="W228" s="349"/>
      <c r="X228" s="349"/>
      <c r="Y228" s="349"/>
      <c r="Z228" s="349"/>
    </row>
    <row r="229">
      <c r="A229" s="349"/>
      <c r="B229" s="349"/>
      <c r="C229" s="395"/>
      <c r="D229" s="349"/>
      <c r="E229" s="349"/>
      <c r="F229" s="349"/>
      <c r="G229" s="396"/>
      <c r="H229" s="349"/>
      <c r="I229" s="349"/>
      <c r="J229" s="349"/>
      <c r="K229" s="349"/>
      <c r="L229" s="349"/>
      <c r="M229" s="349"/>
      <c r="N229" s="349"/>
      <c r="O229" s="349"/>
      <c r="P229" s="349"/>
      <c r="Q229" s="349"/>
      <c r="R229" s="349"/>
      <c r="S229" s="349"/>
      <c r="T229" s="349"/>
      <c r="U229" s="349"/>
      <c r="V229" s="349"/>
      <c r="W229" s="349"/>
      <c r="X229" s="349"/>
      <c r="Y229" s="349"/>
      <c r="Z229" s="349"/>
    </row>
    <row r="230">
      <c r="A230" s="349"/>
      <c r="B230" s="349"/>
      <c r="C230" s="395"/>
      <c r="D230" s="349"/>
      <c r="E230" s="349"/>
      <c r="F230" s="349"/>
      <c r="G230" s="396"/>
      <c r="H230" s="349"/>
      <c r="I230" s="349"/>
      <c r="J230" s="349"/>
      <c r="K230" s="349"/>
      <c r="L230" s="349"/>
      <c r="M230" s="349"/>
      <c r="N230" s="349"/>
      <c r="O230" s="349"/>
      <c r="P230" s="349"/>
      <c r="Q230" s="349"/>
      <c r="R230" s="349"/>
      <c r="S230" s="349"/>
      <c r="T230" s="349"/>
      <c r="U230" s="349"/>
      <c r="V230" s="349"/>
      <c r="W230" s="349"/>
      <c r="X230" s="349"/>
      <c r="Y230" s="349"/>
      <c r="Z230" s="349"/>
    </row>
    <row r="231">
      <c r="A231" s="349"/>
      <c r="B231" s="349"/>
      <c r="C231" s="395"/>
      <c r="D231" s="349"/>
      <c r="E231" s="349"/>
      <c r="F231" s="349"/>
      <c r="G231" s="396"/>
      <c r="H231" s="349"/>
      <c r="I231" s="349"/>
      <c r="J231" s="349"/>
      <c r="K231" s="349"/>
      <c r="L231" s="349"/>
      <c r="M231" s="349"/>
      <c r="N231" s="349"/>
      <c r="O231" s="349"/>
      <c r="P231" s="349"/>
      <c r="Q231" s="349"/>
      <c r="R231" s="349"/>
      <c r="S231" s="349"/>
      <c r="T231" s="349"/>
      <c r="U231" s="349"/>
      <c r="V231" s="349"/>
      <c r="W231" s="349"/>
      <c r="X231" s="349"/>
      <c r="Y231" s="349"/>
      <c r="Z231" s="349"/>
    </row>
    <row r="232">
      <c r="A232" s="349"/>
      <c r="B232" s="349"/>
      <c r="C232" s="395"/>
      <c r="D232" s="349"/>
      <c r="E232" s="349"/>
      <c r="F232" s="349"/>
      <c r="G232" s="396"/>
      <c r="H232" s="349"/>
      <c r="I232" s="349"/>
      <c r="J232" s="349"/>
      <c r="K232" s="349"/>
      <c r="L232" s="349"/>
      <c r="M232" s="349"/>
      <c r="N232" s="349"/>
      <c r="O232" s="349"/>
      <c r="P232" s="349"/>
      <c r="Q232" s="349"/>
      <c r="R232" s="349"/>
      <c r="S232" s="349"/>
      <c r="T232" s="349"/>
      <c r="U232" s="349"/>
      <c r="V232" s="349"/>
      <c r="W232" s="349"/>
      <c r="X232" s="349"/>
      <c r="Y232" s="349"/>
      <c r="Z232" s="349"/>
    </row>
    <row r="233">
      <c r="A233" s="349"/>
      <c r="B233" s="349"/>
      <c r="C233" s="395"/>
      <c r="D233" s="349"/>
      <c r="E233" s="349"/>
      <c r="F233" s="349"/>
      <c r="G233" s="396"/>
      <c r="H233" s="349"/>
      <c r="I233" s="349"/>
      <c r="J233" s="349"/>
      <c r="K233" s="349"/>
      <c r="L233" s="349"/>
      <c r="M233" s="349"/>
      <c r="N233" s="349"/>
      <c r="O233" s="349"/>
      <c r="P233" s="349"/>
      <c r="Q233" s="349"/>
      <c r="R233" s="349"/>
      <c r="S233" s="349"/>
      <c r="T233" s="349"/>
      <c r="U233" s="349"/>
      <c r="V233" s="349"/>
      <c r="W233" s="349"/>
      <c r="X233" s="349"/>
      <c r="Y233" s="349"/>
      <c r="Z233" s="349"/>
    </row>
    <row r="234">
      <c r="A234" s="349"/>
      <c r="B234" s="349"/>
      <c r="C234" s="395"/>
      <c r="D234" s="349"/>
      <c r="E234" s="349"/>
      <c r="F234" s="349"/>
      <c r="G234" s="396"/>
      <c r="H234" s="349"/>
      <c r="I234" s="349"/>
      <c r="J234" s="349"/>
      <c r="K234" s="349"/>
      <c r="L234" s="349"/>
      <c r="M234" s="349"/>
      <c r="N234" s="349"/>
      <c r="O234" s="349"/>
      <c r="P234" s="349"/>
      <c r="Q234" s="349"/>
      <c r="R234" s="349"/>
      <c r="S234" s="349"/>
      <c r="T234" s="349"/>
      <c r="U234" s="349"/>
      <c r="V234" s="349"/>
      <c r="W234" s="349"/>
      <c r="X234" s="349"/>
      <c r="Y234" s="349"/>
      <c r="Z234" s="349"/>
    </row>
    <row r="235">
      <c r="A235" s="349"/>
      <c r="B235" s="349"/>
      <c r="C235" s="395"/>
      <c r="D235" s="349"/>
      <c r="E235" s="349"/>
      <c r="F235" s="349"/>
      <c r="G235" s="396"/>
      <c r="H235" s="349"/>
      <c r="I235" s="349"/>
      <c r="J235" s="349"/>
      <c r="K235" s="349"/>
      <c r="L235" s="349"/>
      <c r="M235" s="349"/>
      <c r="N235" s="349"/>
      <c r="O235" s="349"/>
      <c r="P235" s="349"/>
      <c r="Q235" s="349"/>
      <c r="R235" s="349"/>
      <c r="S235" s="349"/>
      <c r="T235" s="349"/>
      <c r="U235" s="349"/>
      <c r="V235" s="349"/>
      <c r="W235" s="349"/>
      <c r="X235" s="349"/>
      <c r="Y235" s="349"/>
      <c r="Z235" s="349"/>
    </row>
    <row r="236">
      <c r="A236" s="349"/>
      <c r="B236" s="349"/>
      <c r="C236" s="395"/>
      <c r="D236" s="349"/>
      <c r="E236" s="349"/>
      <c r="F236" s="349"/>
      <c r="G236" s="396"/>
      <c r="H236" s="349"/>
      <c r="I236" s="349"/>
      <c r="J236" s="349"/>
      <c r="K236" s="349"/>
      <c r="L236" s="349"/>
      <c r="M236" s="349"/>
      <c r="N236" s="349"/>
      <c r="O236" s="349"/>
      <c r="P236" s="349"/>
      <c r="Q236" s="349"/>
      <c r="R236" s="349"/>
      <c r="S236" s="349"/>
      <c r="T236" s="349"/>
      <c r="U236" s="349"/>
      <c r="V236" s="349"/>
      <c r="W236" s="349"/>
      <c r="X236" s="349"/>
      <c r="Y236" s="349"/>
      <c r="Z236" s="349"/>
    </row>
    <row r="237">
      <c r="A237" s="349"/>
      <c r="B237" s="349"/>
      <c r="C237" s="395"/>
      <c r="D237" s="349"/>
      <c r="E237" s="349"/>
      <c r="F237" s="349"/>
      <c r="G237" s="396"/>
      <c r="H237" s="349"/>
      <c r="I237" s="349"/>
      <c r="J237" s="349"/>
      <c r="K237" s="349"/>
      <c r="L237" s="349"/>
      <c r="M237" s="349"/>
      <c r="N237" s="349"/>
      <c r="O237" s="349"/>
      <c r="P237" s="349"/>
      <c r="Q237" s="349"/>
      <c r="R237" s="349"/>
      <c r="S237" s="349"/>
      <c r="T237" s="349"/>
      <c r="U237" s="349"/>
      <c r="V237" s="349"/>
      <c r="W237" s="349"/>
      <c r="X237" s="349"/>
      <c r="Y237" s="349"/>
      <c r="Z237" s="349"/>
    </row>
    <row r="238">
      <c r="A238" s="349"/>
      <c r="B238" s="349"/>
      <c r="C238" s="395"/>
      <c r="D238" s="349"/>
      <c r="E238" s="349"/>
      <c r="F238" s="349"/>
      <c r="G238" s="396"/>
      <c r="H238" s="349"/>
      <c r="I238" s="349"/>
      <c r="J238" s="349"/>
      <c r="K238" s="349"/>
      <c r="L238" s="349"/>
      <c r="M238" s="349"/>
      <c r="N238" s="349"/>
      <c r="O238" s="349"/>
      <c r="P238" s="349"/>
      <c r="Q238" s="349"/>
      <c r="R238" s="349"/>
      <c r="S238" s="349"/>
      <c r="T238" s="349"/>
      <c r="U238" s="349"/>
      <c r="V238" s="349"/>
      <c r="W238" s="349"/>
      <c r="X238" s="349"/>
      <c r="Y238" s="349"/>
      <c r="Z238" s="349"/>
    </row>
    <row r="239">
      <c r="A239" s="349"/>
      <c r="B239" s="349"/>
      <c r="C239" s="395"/>
      <c r="D239" s="349"/>
      <c r="E239" s="349"/>
      <c r="F239" s="349"/>
      <c r="G239" s="396"/>
      <c r="H239" s="349"/>
      <c r="I239" s="349"/>
      <c r="J239" s="349"/>
      <c r="K239" s="349"/>
      <c r="L239" s="349"/>
      <c r="M239" s="349"/>
      <c r="N239" s="349"/>
      <c r="O239" s="349"/>
      <c r="P239" s="349"/>
      <c r="Q239" s="349"/>
      <c r="R239" s="349"/>
      <c r="S239" s="349"/>
      <c r="T239" s="349"/>
      <c r="U239" s="349"/>
      <c r="V239" s="349"/>
      <c r="W239" s="349"/>
      <c r="X239" s="349"/>
      <c r="Y239" s="349"/>
      <c r="Z239" s="349"/>
    </row>
    <row r="240">
      <c r="A240" s="349"/>
      <c r="B240" s="349"/>
      <c r="C240" s="395"/>
      <c r="D240" s="349"/>
      <c r="E240" s="349"/>
      <c r="F240" s="349"/>
      <c r="G240" s="396"/>
      <c r="H240" s="349"/>
      <c r="I240" s="349"/>
      <c r="J240" s="349"/>
      <c r="K240" s="349"/>
      <c r="L240" s="349"/>
      <c r="M240" s="349"/>
      <c r="N240" s="349"/>
      <c r="O240" s="349"/>
      <c r="P240" s="349"/>
      <c r="Q240" s="349"/>
      <c r="R240" s="349"/>
      <c r="S240" s="349"/>
      <c r="T240" s="349"/>
      <c r="U240" s="349"/>
      <c r="V240" s="349"/>
      <c r="W240" s="349"/>
      <c r="X240" s="349"/>
      <c r="Y240" s="349"/>
      <c r="Z240" s="349"/>
    </row>
    <row r="241">
      <c r="A241" s="349"/>
      <c r="B241" s="349"/>
      <c r="C241" s="395"/>
      <c r="D241" s="349"/>
      <c r="E241" s="349"/>
      <c r="F241" s="349"/>
      <c r="G241" s="396"/>
      <c r="H241" s="349"/>
      <c r="I241" s="349"/>
      <c r="J241" s="349"/>
      <c r="K241" s="349"/>
      <c r="L241" s="349"/>
      <c r="M241" s="349"/>
      <c r="N241" s="349"/>
      <c r="O241" s="349"/>
      <c r="P241" s="349"/>
      <c r="Q241" s="349"/>
      <c r="R241" s="349"/>
      <c r="S241" s="349"/>
      <c r="T241" s="349"/>
      <c r="U241" s="349"/>
      <c r="V241" s="349"/>
      <c r="W241" s="349"/>
      <c r="X241" s="349"/>
      <c r="Y241" s="349"/>
      <c r="Z241" s="349"/>
    </row>
    <row r="242">
      <c r="A242" s="349"/>
      <c r="B242" s="349"/>
      <c r="C242" s="395"/>
      <c r="D242" s="349"/>
      <c r="E242" s="349"/>
      <c r="F242" s="349"/>
      <c r="G242" s="396"/>
      <c r="H242" s="349"/>
      <c r="I242" s="349"/>
      <c r="J242" s="349"/>
      <c r="K242" s="349"/>
      <c r="L242" s="349"/>
      <c r="M242" s="349"/>
      <c r="N242" s="349"/>
      <c r="O242" s="349"/>
      <c r="P242" s="349"/>
      <c r="Q242" s="349"/>
      <c r="R242" s="349"/>
      <c r="S242" s="349"/>
      <c r="T242" s="349"/>
      <c r="U242" s="349"/>
      <c r="V242" s="349"/>
      <c r="W242" s="349"/>
      <c r="X242" s="349"/>
      <c r="Y242" s="349"/>
      <c r="Z242" s="349"/>
    </row>
    <row r="243">
      <c r="A243" s="349"/>
      <c r="B243" s="349"/>
      <c r="C243" s="395"/>
      <c r="D243" s="349"/>
      <c r="E243" s="349"/>
      <c r="F243" s="349"/>
      <c r="G243" s="396"/>
      <c r="H243" s="349"/>
      <c r="I243" s="349"/>
      <c r="J243" s="349"/>
      <c r="K243" s="349"/>
      <c r="L243" s="349"/>
      <c r="M243" s="349"/>
      <c r="N243" s="349"/>
      <c r="O243" s="349"/>
      <c r="P243" s="349"/>
      <c r="Q243" s="349"/>
      <c r="R243" s="349"/>
      <c r="S243" s="349"/>
      <c r="T243" s="349"/>
      <c r="U243" s="349"/>
      <c r="V243" s="349"/>
      <c r="W243" s="349"/>
      <c r="X243" s="349"/>
      <c r="Y243" s="349"/>
      <c r="Z243" s="349"/>
    </row>
    <row r="244">
      <c r="A244" s="349"/>
      <c r="B244" s="349"/>
      <c r="C244" s="395"/>
      <c r="D244" s="349"/>
      <c r="E244" s="349"/>
      <c r="F244" s="349"/>
      <c r="G244" s="396"/>
      <c r="H244" s="349"/>
      <c r="I244" s="349"/>
      <c r="J244" s="349"/>
      <c r="K244" s="349"/>
      <c r="L244" s="349"/>
      <c r="M244" s="349"/>
      <c r="N244" s="349"/>
      <c r="O244" s="349"/>
      <c r="P244" s="349"/>
      <c r="Q244" s="349"/>
      <c r="R244" s="349"/>
      <c r="S244" s="349"/>
      <c r="T244" s="349"/>
      <c r="U244" s="349"/>
      <c r="V244" s="349"/>
      <c r="W244" s="349"/>
      <c r="X244" s="349"/>
      <c r="Y244" s="349"/>
      <c r="Z244" s="349"/>
    </row>
    <row r="245">
      <c r="A245" s="349"/>
      <c r="B245" s="349"/>
      <c r="C245" s="395"/>
      <c r="D245" s="349"/>
      <c r="E245" s="349"/>
      <c r="F245" s="349"/>
      <c r="G245" s="396"/>
      <c r="H245" s="349"/>
      <c r="I245" s="349"/>
      <c r="J245" s="349"/>
      <c r="K245" s="349"/>
      <c r="L245" s="349"/>
      <c r="M245" s="349"/>
      <c r="N245" s="349"/>
      <c r="O245" s="349"/>
      <c r="P245" s="349"/>
      <c r="Q245" s="349"/>
      <c r="R245" s="349"/>
      <c r="S245" s="349"/>
      <c r="T245" s="349"/>
      <c r="U245" s="349"/>
      <c r="V245" s="349"/>
      <c r="W245" s="349"/>
      <c r="X245" s="349"/>
      <c r="Y245" s="349"/>
      <c r="Z245" s="349"/>
    </row>
    <row r="246">
      <c r="A246" s="349"/>
      <c r="B246" s="349"/>
      <c r="C246" s="395"/>
      <c r="D246" s="349"/>
      <c r="E246" s="349"/>
      <c r="F246" s="349"/>
      <c r="G246" s="396"/>
      <c r="H246" s="349"/>
      <c r="I246" s="349"/>
      <c r="J246" s="349"/>
      <c r="K246" s="349"/>
      <c r="L246" s="349"/>
      <c r="M246" s="349"/>
      <c r="N246" s="349"/>
      <c r="O246" s="349"/>
      <c r="P246" s="349"/>
      <c r="Q246" s="349"/>
      <c r="R246" s="349"/>
      <c r="S246" s="349"/>
      <c r="T246" s="349"/>
      <c r="U246" s="349"/>
      <c r="V246" s="349"/>
      <c r="W246" s="349"/>
      <c r="X246" s="349"/>
      <c r="Y246" s="349"/>
      <c r="Z246" s="349"/>
    </row>
    <row r="247">
      <c r="A247" s="349"/>
      <c r="B247" s="349"/>
      <c r="C247" s="395"/>
      <c r="D247" s="349"/>
      <c r="E247" s="349"/>
      <c r="F247" s="349"/>
      <c r="G247" s="396"/>
      <c r="H247" s="349"/>
      <c r="I247" s="349"/>
      <c r="J247" s="349"/>
      <c r="K247" s="349"/>
      <c r="L247" s="349"/>
      <c r="M247" s="349"/>
      <c r="N247" s="349"/>
      <c r="O247" s="349"/>
      <c r="P247" s="349"/>
      <c r="Q247" s="349"/>
      <c r="R247" s="349"/>
      <c r="S247" s="349"/>
      <c r="T247" s="349"/>
      <c r="U247" s="349"/>
      <c r="V247" s="349"/>
      <c r="W247" s="349"/>
      <c r="X247" s="349"/>
      <c r="Y247" s="349"/>
      <c r="Z247" s="349"/>
    </row>
    <row r="248">
      <c r="A248" s="349"/>
      <c r="B248" s="349"/>
      <c r="C248" s="395"/>
      <c r="D248" s="349"/>
      <c r="E248" s="349"/>
      <c r="F248" s="349"/>
      <c r="G248" s="396"/>
      <c r="H248" s="349"/>
      <c r="I248" s="349"/>
      <c r="J248" s="349"/>
      <c r="K248" s="349"/>
      <c r="L248" s="349"/>
      <c r="M248" s="349"/>
      <c r="N248" s="349"/>
      <c r="O248" s="349"/>
      <c r="P248" s="349"/>
      <c r="Q248" s="349"/>
      <c r="R248" s="349"/>
      <c r="S248" s="349"/>
      <c r="T248" s="349"/>
      <c r="U248" s="349"/>
      <c r="V248" s="349"/>
      <c r="W248" s="349"/>
      <c r="X248" s="349"/>
      <c r="Y248" s="349"/>
      <c r="Z248" s="349"/>
    </row>
    <row r="249">
      <c r="A249" s="349"/>
      <c r="B249" s="349"/>
      <c r="C249" s="395"/>
      <c r="D249" s="349"/>
      <c r="E249" s="349"/>
      <c r="F249" s="349"/>
      <c r="G249" s="396"/>
      <c r="H249" s="349"/>
      <c r="I249" s="349"/>
      <c r="J249" s="349"/>
      <c r="K249" s="349"/>
      <c r="L249" s="349"/>
      <c r="M249" s="349"/>
      <c r="N249" s="349"/>
      <c r="O249" s="349"/>
      <c r="P249" s="349"/>
      <c r="Q249" s="349"/>
      <c r="R249" s="349"/>
      <c r="S249" s="349"/>
      <c r="T249" s="349"/>
      <c r="U249" s="349"/>
      <c r="V249" s="349"/>
      <c r="W249" s="349"/>
      <c r="X249" s="349"/>
      <c r="Y249" s="349"/>
      <c r="Z249" s="349"/>
    </row>
    <row r="250">
      <c r="A250" s="349"/>
      <c r="B250" s="349"/>
      <c r="C250" s="395"/>
      <c r="D250" s="349"/>
      <c r="E250" s="349"/>
      <c r="F250" s="349"/>
      <c r="G250" s="396"/>
      <c r="H250" s="349"/>
      <c r="I250" s="349"/>
      <c r="J250" s="349"/>
      <c r="K250" s="349"/>
      <c r="L250" s="349"/>
      <c r="M250" s="349"/>
      <c r="N250" s="349"/>
      <c r="O250" s="349"/>
      <c r="P250" s="349"/>
      <c r="Q250" s="349"/>
      <c r="R250" s="349"/>
      <c r="S250" s="349"/>
      <c r="T250" s="349"/>
      <c r="U250" s="349"/>
      <c r="V250" s="349"/>
      <c r="W250" s="349"/>
      <c r="X250" s="349"/>
      <c r="Y250" s="349"/>
      <c r="Z250" s="349"/>
    </row>
    <row r="251">
      <c r="A251" s="349"/>
      <c r="B251" s="349"/>
      <c r="C251" s="395"/>
      <c r="D251" s="349"/>
      <c r="E251" s="349"/>
      <c r="F251" s="349"/>
      <c r="G251" s="396"/>
      <c r="H251" s="349"/>
      <c r="I251" s="349"/>
      <c r="J251" s="349"/>
      <c r="K251" s="349"/>
      <c r="L251" s="349"/>
      <c r="M251" s="349"/>
      <c r="N251" s="349"/>
      <c r="O251" s="349"/>
      <c r="P251" s="349"/>
      <c r="Q251" s="349"/>
      <c r="R251" s="349"/>
      <c r="S251" s="349"/>
      <c r="T251" s="349"/>
      <c r="U251" s="349"/>
      <c r="V251" s="349"/>
      <c r="W251" s="349"/>
      <c r="X251" s="349"/>
      <c r="Y251" s="349"/>
      <c r="Z251" s="349"/>
    </row>
    <row r="252">
      <c r="A252" s="349"/>
      <c r="B252" s="349"/>
      <c r="C252" s="395"/>
      <c r="D252" s="349"/>
      <c r="E252" s="349"/>
      <c r="F252" s="349"/>
      <c r="G252" s="396"/>
      <c r="H252" s="349"/>
      <c r="I252" s="349"/>
      <c r="J252" s="349"/>
      <c r="K252" s="349"/>
      <c r="L252" s="349"/>
      <c r="M252" s="349"/>
      <c r="N252" s="349"/>
      <c r="O252" s="349"/>
      <c r="P252" s="349"/>
      <c r="Q252" s="349"/>
      <c r="R252" s="349"/>
      <c r="S252" s="349"/>
      <c r="T252" s="349"/>
      <c r="U252" s="349"/>
      <c r="V252" s="349"/>
      <c r="W252" s="349"/>
      <c r="X252" s="349"/>
      <c r="Y252" s="349"/>
      <c r="Z252" s="349"/>
    </row>
    <row r="253">
      <c r="A253" s="349"/>
      <c r="B253" s="349"/>
      <c r="C253" s="395"/>
      <c r="D253" s="349"/>
      <c r="E253" s="349"/>
      <c r="F253" s="349"/>
      <c r="G253" s="396"/>
      <c r="H253" s="349"/>
      <c r="I253" s="349"/>
      <c r="J253" s="349"/>
      <c r="K253" s="349"/>
      <c r="L253" s="349"/>
      <c r="M253" s="349"/>
      <c r="N253" s="349"/>
      <c r="O253" s="349"/>
      <c r="P253" s="349"/>
      <c r="Q253" s="349"/>
      <c r="R253" s="349"/>
      <c r="S253" s="349"/>
      <c r="T253" s="349"/>
      <c r="U253" s="349"/>
      <c r="V253" s="349"/>
      <c r="W253" s="349"/>
      <c r="X253" s="349"/>
      <c r="Y253" s="349"/>
      <c r="Z253" s="349"/>
    </row>
    <row r="254">
      <c r="A254" s="349"/>
      <c r="B254" s="349"/>
      <c r="C254" s="395"/>
      <c r="D254" s="349"/>
      <c r="E254" s="349"/>
      <c r="F254" s="349"/>
      <c r="G254" s="396"/>
      <c r="H254" s="349"/>
      <c r="I254" s="349"/>
      <c r="J254" s="349"/>
      <c r="K254" s="349"/>
      <c r="L254" s="349"/>
      <c r="M254" s="349"/>
      <c r="N254" s="349"/>
      <c r="O254" s="349"/>
      <c r="P254" s="349"/>
      <c r="Q254" s="349"/>
      <c r="R254" s="349"/>
      <c r="S254" s="349"/>
      <c r="T254" s="349"/>
      <c r="U254" s="349"/>
      <c r="V254" s="349"/>
      <c r="W254" s="349"/>
      <c r="X254" s="349"/>
      <c r="Y254" s="349"/>
      <c r="Z254" s="349"/>
    </row>
    <row r="255">
      <c r="A255" s="349"/>
      <c r="B255" s="349"/>
      <c r="C255" s="395"/>
      <c r="D255" s="349"/>
      <c r="E255" s="349"/>
      <c r="F255" s="349"/>
      <c r="G255" s="396"/>
      <c r="H255" s="349"/>
      <c r="I255" s="349"/>
      <c r="J255" s="349"/>
      <c r="K255" s="349"/>
      <c r="L255" s="349"/>
      <c r="M255" s="349"/>
      <c r="N255" s="349"/>
      <c r="O255" s="349"/>
      <c r="P255" s="349"/>
      <c r="Q255" s="349"/>
      <c r="R255" s="349"/>
      <c r="S255" s="349"/>
      <c r="T255" s="349"/>
      <c r="U255" s="349"/>
      <c r="V255" s="349"/>
      <c r="W255" s="349"/>
      <c r="X255" s="349"/>
      <c r="Y255" s="349"/>
      <c r="Z255" s="349"/>
    </row>
    <row r="256">
      <c r="A256" s="349"/>
      <c r="B256" s="349"/>
      <c r="C256" s="395"/>
      <c r="D256" s="349"/>
      <c r="E256" s="349"/>
      <c r="F256" s="349"/>
      <c r="G256" s="396"/>
      <c r="H256" s="349"/>
      <c r="I256" s="349"/>
      <c r="J256" s="349"/>
      <c r="K256" s="349"/>
      <c r="L256" s="349"/>
      <c r="M256" s="349"/>
      <c r="N256" s="349"/>
      <c r="O256" s="349"/>
      <c r="P256" s="349"/>
      <c r="Q256" s="349"/>
      <c r="R256" s="349"/>
      <c r="S256" s="349"/>
      <c r="T256" s="349"/>
      <c r="U256" s="349"/>
      <c r="V256" s="349"/>
      <c r="W256" s="349"/>
      <c r="X256" s="349"/>
      <c r="Y256" s="349"/>
      <c r="Z256" s="349"/>
    </row>
    <row r="257">
      <c r="A257" s="349"/>
      <c r="B257" s="349"/>
      <c r="C257" s="395"/>
      <c r="D257" s="349"/>
      <c r="E257" s="349"/>
      <c r="F257" s="349"/>
      <c r="G257" s="396"/>
      <c r="H257" s="349"/>
      <c r="I257" s="349"/>
      <c r="J257" s="349"/>
      <c r="K257" s="349"/>
      <c r="L257" s="349"/>
      <c r="M257" s="349"/>
      <c r="N257" s="349"/>
      <c r="O257" s="349"/>
      <c r="P257" s="349"/>
      <c r="Q257" s="349"/>
      <c r="R257" s="349"/>
      <c r="S257" s="349"/>
      <c r="T257" s="349"/>
      <c r="U257" s="349"/>
      <c r="V257" s="349"/>
      <c r="W257" s="349"/>
      <c r="X257" s="349"/>
      <c r="Y257" s="349"/>
      <c r="Z257" s="349"/>
    </row>
    <row r="258">
      <c r="A258" s="349"/>
      <c r="B258" s="349"/>
      <c r="C258" s="395"/>
      <c r="D258" s="349"/>
      <c r="E258" s="349"/>
      <c r="F258" s="349"/>
      <c r="G258" s="396"/>
      <c r="H258" s="349"/>
      <c r="I258" s="349"/>
      <c r="J258" s="349"/>
      <c r="K258" s="349"/>
      <c r="L258" s="349"/>
      <c r="M258" s="349"/>
      <c r="N258" s="349"/>
      <c r="O258" s="349"/>
      <c r="P258" s="349"/>
      <c r="Q258" s="349"/>
      <c r="R258" s="349"/>
      <c r="S258" s="349"/>
      <c r="T258" s="349"/>
      <c r="U258" s="349"/>
      <c r="V258" s="349"/>
      <c r="W258" s="349"/>
      <c r="X258" s="349"/>
      <c r="Y258" s="349"/>
      <c r="Z258" s="349"/>
    </row>
    <row r="259">
      <c r="A259" s="349"/>
      <c r="B259" s="349"/>
      <c r="C259" s="395"/>
      <c r="D259" s="349"/>
      <c r="E259" s="349"/>
      <c r="F259" s="349"/>
      <c r="G259" s="396"/>
      <c r="H259" s="349"/>
      <c r="I259" s="349"/>
      <c r="J259" s="349"/>
      <c r="K259" s="349"/>
      <c r="L259" s="349"/>
      <c r="M259" s="349"/>
      <c r="N259" s="349"/>
      <c r="O259" s="349"/>
      <c r="P259" s="349"/>
      <c r="Q259" s="349"/>
      <c r="R259" s="349"/>
      <c r="S259" s="349"/>
      <c r="T259" s="349"/>
      <c r="U259" s="349"/>
      <c r="V259" s="349"/>
      <c r="W259" s="349"/>
      <c r="X259" s="349"/>
      <c r="Y259" s="349"/>
      <c r="Z259" s="349"/>
    </row>
    <row r="260">
      <c r="A260" s="349"/>
      <c r="B260" s="349"/>
      <c r="C260" s="395"/>
      <c r="D260" s="349"/>
      <c r="E260" s="349"/>
      <c r="F260" s="349"/>
      <c r="G260" s="396"/>
      <c r="H260" s="349"/>
      <c r="I260" s="349"/>
      <c r="J260" s="349"/>
      <c r="K260" s="349"/>
      <c r="L260" s="349"/>
      <c r="M260" s="349"/>
      <c r="N260" s="349"/>
      <c r="O260" s="349"/>
      <c r="P260" s="349"/>
      <c r="Q260" s="349"/>
      <c r="R260" s="349"/>
      <c r="S260" s="349"/>
      <c r="T260" s="349"/>
      <c r="U260" s="349"/>
      <c r="V260" s="349"/>
      <c r="W260" s="349"/>
      <c r="X260" s="349"/>
      <c r="Y260" s="349"/>
      <c r="Z260" s="349"/>
    </row>
    <row r="261">
      <c r="A261" s="349"/>
      <c r="B261" s="349"/>
      <c r="C261" s="395"/>
      <c r="D261" s="349"/>
      <c r="E261" s="349"/>
      <c r="F261" s="349"/>
      <c r="G261" s="396"/>
      <c r="H261" s="349"/>
      <c r="I261" s="349"/>
      <c r="J261" s="349"/>
      <c r="K261" s="349"/>
      <c r="L261" s="349"/>
      <c r="M261" s="349"/>
      <c r="N261" s="349"/>
      <c r="O261" s="349"/>
      <c r="P261" s="349"/>
      <c r="Q261" s="349"/>
      <c r="R261" s="349"/>
      <c r="S261" s="349"/>
      <c r="T261" s="349"/>
      <c r="U261" s="349"/>
      <c r="V261" s="349"/>
      <c r="W261" s="349"/>
      <c r="X261" s="349"/>
      <c r="Y261" s="349"/>
      <c r="Z261" s="349"/>
    </row>
    <row r="262">
      <c r="A262" s="349"/>
      <c r="B262" s="349"/>
      <c r="C262" s="395"/>
      <c r="D262" s="349"/>
      <c r="E262" s="349"/>
      <c r="F262" s="349"/>
      <c r="G262" s="396"/>
      <c r="H262" s="349"/>
      <c r="I262" s="349"/>
      <c r="J262" s="349"/>
      <c r="K262" s="349"/>
      <c r="L262" s="349"/>
      <c r="M262" s="349"/>
      <c r="N262" s="349"/>
      <c r="O262" s="349"/>
      <c r="P262" s="349"/>
      <c r="Q262" s="349"/>
      <c r="R262" s="349"/>
      <c r="S262" s="349"/>
      <c r="T262" s="349"/>
      <c r="U262" s="349"/>
      <c r="V262" s="349"/>
      <c r="W262" s="349"/>
      <c r="X262" s="349"/>
      <c r="Y262" s="349"/>
      <c r="Z262" s="349"/>
    </row>
    <row r="263">
      <c r="A263" s="349"/>
      <c r="B263" s="349"/>
      <c r="C263" s="395"/>
      <c r="D263" s="349"/>
      <c r="E263" s="349"/>
      <c r="F263" s="349"/>
      <c r="G263" s="396"/>
      <c r="H263" s="349"/>
      <c r="I263" s="349"/>
      <c r="J263" s="349"/>
      <c r="K263" s="349"/>
      <c r="L263" s="349"/>
      <c r="M263" s="349"/>
      <c r="N263" s="349"/>
      <c r="O263" s="349"/>
      <c r="P263" s="349"/>
      <c r="Q263" s="349"/>
      <c r="R263" s="349"/>
      <c r="S263" s="349"/>
      <c r="T263" s="349"/>
      <c r="U263" s="349"/>
      <c r="V263" s="349"/>
      <c r="W263" s="349"/>
      <c r="X263" s="349"/>
      <c r="Y263" s="349"/>
      <c r="Z263" s="349"/>
    </row>
    <row r="264">
      <c r="A264" s="349"/>
      <c r="B264" s="349"/>
      <c r="C264" s="395"/>
      <c r="D264" s="349"/>
      <c r="E264" s="349"/>
      <c r="F264" s="349"/>
      <c r="G264" s="396"/>
      <c r="H264" s="349"/>
      <c r="I264" s="349"/>
      <c r="J264" s="349"/>
      <c r="K264" s="349"/>
      <c r="L264" s="349"/>
      <c r="M264" s="349"/>
      <c r="N264" s="349"/>
      <c r="O264" s="349"/>
      <c r="P264" s="349"/>
      <c r="Q264" s="349"/>
      <c r="R264" s="349"/>
      <c r="S264" s="349"/>
      <c r="T264" s="349"/>
      <c r="U264" s="349"/>
      <c r="V264" s="349"/>
      <c r="W264" s="349"/>
      <c r="X264" s="349"/>
      <c r="Y264" s="349"/>
      <c r="Z264" s="349"/>
    </row>
    <row r="265">
      <c r="A265" s="349"/>
      <c r="B265" s="349"/>
      <c r="C265" s="395"/>
      <c r="D265" s="349"/>
      <c r="E265" s="349"/>
      <c r="F265" s="349"/>
      <c r="G265" s="396"/>
      <c r="H265" s="349"/>
      <c r="I265" s="349"/>
      <c r="J265" s="349"/>
      <c r="K265" s="349"/>
      <c r="L265" s="349"/>
      <c r="M265" s="349"/>
      <c r="N265" s="349"/>
      <c r="O265" s="349"/>
      <c r="P265" s="349"/>
      <c r="Q265" s="349"/>
      <c r="R265" s="349"/>
      <c r="S265" s="349"/>
      <c r="T265" s="349"/>
      <c r="U265" s="349"/>
      <c r="V265" s="349"/>
      <c r="W265" s="349"/>
      <c r="X265" s="349"/>
      <c r="Y265" s="349"/>
      <c r="Z265" s="349"/>
    </row>
    <row r="266">
      <c r="A266" s="349"/>
      <c r="B266" s="349"/>
      <c r="C266" s="395"/>
      <c r="D266" s="349"/>
      <c r="E266" s="349"/>
      <c r="F266" s="349"/>
      <c r="G266" s="396"/>
      <c r="H266" s="349"/>
      <c r="I266" s="349"/>
      <c r="J266" s="349"/>
      <c r="K266" s="349"/>
      <c r="L266" s="349"/>
      <c r="M266" s="349"/>
      <c r="N266" s="349"/>
      <c r="O266" s="349"/>
      <c r="P266" s="349"/>
      <c r="Q266" s="349"/>
      <c r="R266" s="349"/>
      <c r="S266" s="349"/>
      <c r="T266" s="349"/>
      <c r="U266" s="349"/>
      <c r="V266" s="349"/>
      <c r="W266" s="349"/>
      <c r="X266" s="349"/>
      <c r="Y266" s="349"/>
      <c r="Z266" s="349"/>
    </row>
    <row r="267">
      <c r="A267" s="349"/>
      <c r="B267" s="349"/>
      <c r="C267" s="395"/>
      <c r="D267" s="349"/>
      <c r="E267" s="349"/>
      <c r="F267" s="349"/>
      <c r="G267" s="396"/>
      <c r="H267" s="349"/>
      <c r="I267" s="349"/>
      <c r="J267" s="349"/>
      <c r="K267" s="349"/>
      <c r="L267" s="349"/>
      <c r="M267" s="349"/>
      <c r="N267" s="349"/>
      <c r="O267" s="349"/>
      <c r="P267" s="349"/>
      <c r="Q267" s="349"/>
      <c r="R267" s="349"/>
      <c r="S267" s="349"/>
      <c r="T267" s="349"/>
      <c r="U267" s="349"/>
      <c r="V267" s="349"/>
      <c r="W267" s="349"/>
      <c r="X267" s="349"/>
      <c r="Y267" s="349"/>
      <c r="Z267" s="349"/>
    </row>
    <row r="268">
      <c r="A268" s="349"/>
      <c r="B268" s="349"/>
      <c r="C268" s="395"/>
      <c r="D268" s="349"/>
      <c r="E268" s="349"/>
      <c r="F268" s="349"/>
      <c r="G268" s="396"/>
      <c r="H268" s="349"/>
      <c r="I268" s="349"/>
      <c r="J268" s="349"/>
      <c r="K268" s="349"/>
      <c r="L268" s="349"/>
      <c r="M268" s="349"/>
      <c r="N268" s="349"/>
      <c r="O268" s="349"/>
      <c r="P268" s="349"/>
      <c r="Q268" s="349"/>
      <c r="R268" s="349"/>
      <c r="S268" s="349"/>
      <c r="T268" s="349"/>
      <c r="U268" s="349"/>
      <c r="V268" s="349"/>
      <c r="W268" s="349"/>
      <c r="X268" s="349"/>
      <c r="Y268" s="349"/>
      <c r="Z268" s="349"/>
    </row>
    <row r="269">
      <c r="A269" s="349"/>
      <c r="B269" s="349"/>
      <c r="C269" s="395"/>
      <c r="D269" s="349"/>
      <c r="E269" s="349"/>
      <c r="F269" s="349"/>
      <c r="G269" s="396"/>
      <c r="H269" s="349"/>
      <c r="I269" s="349"/>
      <c r="J269" s="349"/>
      <c r="K269" s="349"/>
      <c r="L269" s="349"/>
      <c r="M269" s="349"/>
      <c r="N269" s="349"/>
      <c r="O269" s="349"/>
      <c r="P269" s="349"/>
      <c r="Q269" s="349"/>
      <c r="R269" s="349"/>
      <c r="S269" s="349"/>
      <c r="T269" s="349"/>
      <c r="U269" s="349"/>
      <c r="V269" s="349"/>
      <c r="W269" s="349"/>
      <c r="X269" s="349"/>
      <c r="Y269" s="349"/>
      <c r="Z269" s="349"/>
    </row>
    <row r="270">
      <c r="A270" s="349"/>
      <c r="B270" s="349"/>
      <c r="C270" s="395"/>
      <c r="D270" s="349"/>
      <c r="E270" s="349"/>
      <c r="F270" s="349"/>
      <c r="G270" s="396"/>
      <c r="H270" s="349"/>
      <c r="I270" s="349"/>
      <c r="J270" s="349"/>
      <c r="K270" s="349"/>
      <c r="L270" s="349"/>
      <c r="M270" s="349"/>
      <c r="N270" s="349"/>
      <c r="O270" s="349"/>
      <c r="P270" s="349"/>
      <c r="Q270" s="349"/>
      <c r="R270" s="349"/>
      <c r="S270" s="349"/>
      <c r="T270" s="349"/>
      <c r="U270" s="349"/>
      <c r="V270" s="349"/>
      <c r="W270" s="349"/>
      <c r="X270" s="349"/>
      <c r="Y270" s="349"/>
      <c r="Z270" s="349"/>
    </row>
    <row r="271">
      <c r="A271" s="349"/>
      <c r="B271" s="349"/>
      <c r="C271" s="395"/>
      <c r="D271" s="349"/>
      <c r="E271" s="349"/>
      <c r="F271" s="349"/>
      <c r="G271" s="396"/>
      <c r="H271" s="349"/>
      <c r="I271" s="349"/>
      <c r="J271" s="349"/>
      <c r="K271" s="349"/>
      <c r="L271" s="349"/>
      <c r="M271" s="349"/>
      <c r="N271" s="349"/>
      <c r="O271" s="349"/>
      <c r="P271" s="349"/>
      <c r="Q271" s="349"/>
      <c r="R271" s="349"/>
      <c r="S271" s="349"/>
      <c r="T271" s="349"/>
      <c r="U271" s="349"/>
      <c r="V271" s="349"/>
      <c r="W271" s="349"/>
      <c r="X271" s="349"/>
      <c r="Y271" s="349"/>
      <c r="Z271" s="349"/>
    </row>
    <row r="272">
      <c r="A272" s="349"/>
      <c r="B272" s="349"/>
      <c r="C272" s="395"/>
      <c r="D272" s="349"/>
      <c r="E272" s="349"/>
      <c r="F272" s="349"/>
      <c r="G272" s="396"/>
      <c r="H272" s="349"/>
      <c r="I272" s="349"/>
      <c r="J272" s="349"/>
      <c r="K272" s="349"/>
      <c r="L272" s="349"/>
      <c r="M272" s="349"/>
      <c r="N272" s="349"/>
      <c r="O272" s="349"/>
      <c r="P272" s="349"/>
      <c r="Q272" s="349"/>
      <c r="R272" s="349"/>
      <c r="S272" s="349"/>
      <c r="T272" s="349"/>
      <c r="U272" s="349"/>
      <c r="V272" s="349"/>
      <c r="W272" s="349"/>
      <c r="X272" s="349"/>
      <c r="Y272" s="349"/>
      <c r="Z272" s="349"/>
    </row>
    <row r="273">
      <c r="A273" s="349"/>
      <c r="B273" s="349"/>
      <c r="C273" s="395"/>
      <c r="D273" s="349"/>
      <c r="E273" s="349"/>
      <c r="F273" s="349"/>
      <c r="G273" s="396"/>
      <c r="H273" s="349"/>
      <c r="I273" s="349"/>
      <c r="J273" s="349"/>
      <c r="K273" s="349"/>
      <c r="L273" s="349"/>
      <c r="M273" s="349"/>
      <c r="N273" s="349"/>
      <c r="O273" s="349"/>
      <c r="P273" s="349"/>
      <c r="Q273" s="349"/>
      <c r="R273" s="349"/>
      <c r="S273" s="349"/>
      <c r="T273" s="349"/>
      <c r="U273" s="349"/>
      <c r="V273" s="349"/>
      <c r="W273" s="349"/>
      <c r="X273" s="349"/>
      <c r="Y273" s="349"/>
      <c r="Z273" s="349"/>
    </row>
    <row r="274">
      <c r="A274" s="349"/>
      <c r="B274" s="349"/>
      <c r="C274" s="395"/>
      <c r="D274" s="349"/>
      <c r="E274" s="349"/>
      <c r="F274" s="349"/>
      <c r="G274" s="396"/>
      <c r="H274" s="349"/>
      <c r="I274" s="349"/>
      <c r="J274" s="349"/>
      <c r="K274" s="349"/>
      <c r="L274" s="349"/>
      <c r="M274" s="349"/>
      <c r="N274" s="349"/>
      <c r="O274" s="349"/>
      <c r="P274" s="349"/>
      <c r="Q274" s="349"/>
      <c r="R274" s="349"/>
      <c r="S274" s="349"/>
      <c r="T274" s="349"/>
      <c r="U274" s="349"/>
      <c r="V274" s="349"/>
      <c r="W274" s="349"/>
      <c r="X274" s="349"/>
      <c r="Y274" s="349"/>
      <c r="Z274" s="349"/>
    </row>
    <row r="275">
      <c r="A275" s="349"/>
      <c r="B275" s="349"/>
      <c r="C275" s="395"/>
      <c r="D275" s="349"/>
      <c r="E275" s="349"/>
      <c r="F275" s="349"/>
      <c r="G275" s="396"/>
      <c r="H275" s="349"/>
      <c r="I275" s="349"/>
      <c r="J275" s="349"/>
      <c r="K275" s="349"/>
      <c r="L275" s="349"/>
      <c r="M275" s="349"/>
      <c r="N275" s="349"/>
      <c r="O275" s="349"/>
      <c r="P275" s="349"/>
      <c r="Q275" s="349"/>
      <c r="R275" s="349"/>
      <c r="S275" s="349"/>
      <c r="T275" s="349"/>
      <c r="U275" s="349"/>
      <c r="V275" s="349"/>
      <c r="W275" s="349"/>
      <c r="X275" s="349"/>
      <c r="Y275" s="349"/>
      <c r="Z275" s="349"/>
    </row>
    <row r="276">
      <c r="A276" s="349"/>
      <c r="B276" s="349"/>
      <c r="C276" s="395"/>
      <c r="D276" s="349"/>
      <c r="E276" s="349"/>
      <c r="F276" s="349"/>
      <c r="G276" s="396"/>
      <c r="H276" s="349"/>
      <c r="I276" s="349"/>
      <c r="J276" s="349"/>
      <c r="K276" s="349"/>
      <c r="L276" s="349"/>
      <c r="M276" s="349"/>
      <c r="N276" s="349"/>
      <c r="O276" s="349"/>
      <c r="P276" s="349"/>
      <c r="Q276" s="349"/>
      <c r="R276" s="349"/>
      <c r="S276" s="349"/>
      <c r="T276" s="349"/>
      <c r="U276" s="349"/>
      <c r="V276" s="349"/>
      <c r="W276" s="349"/>
      <c r="X276" s="349"/>
      <c r="Y276" s="349"/>
      <c r="Z276" s="349"/>
    </row>
    <row r="277">
      <c r="A277" s="349"/>
      <c r="B277" s="349"/>
      <c r="C277" s="395"/>
      <c r="D277" s="349"/>
      <c r="E277" s="349"/>
      <c r="F277" s="349"/>
      <c r="G277" s="396"/>
      <c r="H277" s="349"/>
      <c r="I277" s="349"/>
      <c r="J277" s="349"/>
      <c r="K277" s="349"/>
      <c r="L277" s="349"/>
      <c r="M277" s="349"/>
      <c r="N277" s="349"/>
      <c r="O277" s="349"/>
      <c r="P277" s="349"/>
      <c r="Q277" s="349"/>
      <c r="R277" s="349"/>
      <c r="S277" s="349"/>
      <c r="T277" s="349"/>
      <c r="U277" s="349"/>
      <c r="V277" s="349"/>
      <c r="W277" s="349"/>
      <c r="X277" s="349"/>
      <c r="Y277" s="349"/>
      <c r="Z277" s="349"/>
    </row>
    <row r="278">
      <c r="A278" s="349"/>
      <c r="B278" s="349"/>
      <c r="C278" s="395"/>
      <c r="D278" s="349"/>
      <c r="E278" s="349"/>
      <c r="F278" s="349"/>
      <c r="G278" s="396"/>
      <c r="H278" s="349"/>
      <c r="I278" s="349"/>
      <c r="J278" s="349"/>
      <c r="K278" s="349"/>
      <c r="L278" s="349"/>
      <c r="M278" s="349"/>
      <c r="N278" s="349"/>
      <c r="O278" s="349"/>
      <c r="P278" s="349"/>
      <c r="Q278" s="349"/>
      <c r="R278" s="349"/>
      <c r="S278" s="349"/>
      <c r="T278" s="349"/>
      <c r="U278" s="349"/>
      <c r="V278" s="349"/>
      <c r="W278" s="349"/>
      <c r="X278" s="349"/>
      <c r="Y278" s="349"/>
      <c r="Z278" s="349"/>
    </row>
    <row r="279">
      <c r="A279" s="349"/>
      <c r="B279" s="349"/>
      <c r="C279" s="395"/>
      <c r="D279" s="349"/>
      <c r="E279" s="349"/>
      <c r="F279" s="349"/>
      <c r="G279" s="396"/>
      <c r="H279" s="349"/>
      <c r="I279" s="349"/>
      <c r="J279" s="349"/>
      <c r="K279" s="349"/>
      <c r="L279" s="349"/>
      <c r="M279" s="349"/>
      <c r="N279" s="349"/>
      <c r="O279" s="349"/>
      <c r="P279" s="349"/>
      <c r="Q279" s="349"/>
      <c r="R279" s="349"/>
      <c r="S279" s="349"/>
      <c r="T279" s="349"/>
      <c r="U279" s="349"/>
      <c r="V279" s="349"/>
      <c r="W279" s="349"/>
      <c r="X279" s="349"/>
      <c r="Y279" s="349"/>
      <c r="Z279" s="349"/>
    </row>
    <row r="280">
      <c r="A280" s="349"/>
      <c r="B280" s="349"/>
      <c r="C280" s="395"/>
      <c r="D280" s="349"/>
      <c r="E280" s="349"/>
      <c r="F280" s="349"/>
      <c r="G280" s="396"/>
      <c r="H280" s="349"/>
      <c r="I280" s="349"/>
      <c r="J280" s="349"/>
      <c r="K280" s="349"/>
      <c r="L280" s="349"/>
      <c r="M280" s="349"/>
      <c r="N280" s="349"/>
      <c r="O280" s="349"/>
      <c r="P280" s="349"/>
      <c r="Q280" s="349"/>
      <c r="R280" s="349"/>
      <c r="S280" s="349"/>
      <c r="T280" s="349"/>
      <c r="U280" s="349"/>
      <c r="V280" s="349"/>
      <c r="W280" s="349"/>
      <c r="X280" s="349"/>
      <c r="Y280" s="349"/>
      <c r="Z280" s="349"/>
    </row>
    <row r="281">
      <c r="A281" s="349"/>
      <c r="B281" s="349"/>
      <c r="C281" s="395"/>
      <c r="D281" s="349"/>
      <c r="E281" s="349"/>
      <c r="F281" s="349"/>
      <c r="G281" s="396"/>
      <c r="H281" s="349"/>
      <c r="I281" s="349"/>
      <c r="J281" s="349"/>
      <c r="K281" s="349"/>
      <c r="L281" s="349"/>
      <c r="M281" s="349"/>
      <c r="N281" s="349"/>
      <c r="O281" s="349"/>
      <c r="P281" s="349"/>
      <c r="Q281" s="349"/>
      <c r="R281" s="349"/>
      <c r="S281" s="349"/>
      <c r="T281" s="349"/>
      <c r="U281" s="349"/>
      <c r="V281" s="349"/>
      <c r="W281" s="349"/>
      <c r="X281" s="349"/>
      <c r="Y281" s="349"/>
      <c r="Z281" s="349"/>
    </row>
    <row r="282">
      <c r="A282" s="349"/>
      <c r="B282" s="349"/>
      <c r="C282" s="395"/>
      <c r="D282" s="349"/>
      <c r="E282" s="349"/>
      <c r="F282" s="349"/>
      <c r="G282" s="396"/>
      <c r="H282" s="349"/>
      <c r="I282" s="349"/>
      <c r="J282" s="349"/>
      <c r="K282" s="349"/>
      <c r="L282" s="349"/>
      <c r="M282" s="349"/>
      <c r="N282" s="349"/>
      <c r="O282" s="349"/>
      <c r="P282" s="349"/>
      <c r="Q282" s="349"/>
      <c r="R282" s="349"/>
      <c r="S282" s="349"/>
      <c r="T282" s="349"/>
      <c r="U282" s="349"/>
      <c r="V282" s="349"/>
      <c r="W282" s="349"/>
      <c r="X282" s="349"/>
      <c r="Y282" s="349"/>
      <c r="Z282" s="349"/>
    </row>
    <row r="283">
      <c r="A283" s="349"/>
      <c r="B283" s="349"/>
      <c r="C283" s="395"/>
      <c r="D283" s="349"/>
      <c r="E283" s="349"/>
      <c r="F283" s="349"/>
      <c r="G283" s="396"/>
      <c r="H283" s="349"/>
      <c r="I283" s="349"/>
      <c r="J283" s="349"/>
      <c r="K283" s="349"/>
      <c r="L283" s="349"/>
      <c r="M283" s="349"/>
      <c r="N283" s="349"/>
      <c r="O283" s="349"/>
      <c r="P283" s="349"/>
      <c r="Q283" s="349"/>
      <c r="R283" s="349"/>
      <c r="S283" s="349"/>
      <c r="T283" s="349"/>
      <c r="U283" s="349"/>
      <c r="V283" s="349"/>
      <c r="W283" s="349"/>
      <c r="X283" s="349"/>
      <c r="Y283" s="349"/>
      <c r="Z283" s="349"/>
    </row>
    <row r="284">
      <c r="A284" s="349"/>
      <c r="B284" s="349"/>
      <c r="C284" s="395"/>
      <c r="D284" s="349"/>
      <c r="E284" s="349"/>
      <c r="F284" s="349"/>
      <c r="G284" s="396"/>
      <c r="H284" s="349"/>
      <c r="I284" s="349"/>
      <c r="J284" s="349"/>
      <c r="K284" s="349"/>
      <c r="L284" s="349"/>
      <c r="M284" s="349"/>
      <c r="N284" s="349"/>
      <c r="O284" s="349"/>
      <c r="P284" s="349"/>
      <c r="Q284" s="349"/>
      <c r="R284" s="349"/>
      <c r="S284" s="349"/>
      <c r="T284" s="349"/>
      <c r="U284" s="349"/>
      <c r="V284" s="349"/>
      <c r="W284" s="349"/>
      <c r="X284" s="349"/>
      <c r="Y284" s="349"/>
      <c r="Z284" s="349"/>
    </row>
    <row r="285">
      <c r="A285" s="349"/>
      <c r="B285" s="349"/>
      <c r="C285" s="395"/>
      <c r="D285" s="349"/>
      <c r="E285" s="349"/>
      <c r="F285" s="349"/>
      <c r="G285" s="396"/>
      <c r="H285" s="349"/>
      <c r="I285" s="349"/>
      <c r="J285" s="349"/>
      <c r="K285" s="349"/>
      <c r="L285" s="349"/>
      <c r="M285" s="349"/>
      <c r="N285" s="349"/>
      <c r="O285" s="349"/>
      <c r="P285" s="349"/>
      <c r="Q285" s="349"/>
      <c r="R285" s="349"/>
      <c r="S285" s="349"/>
      <c r="T285" s="349"/>
      <c r="U285" s="349"/>
      <c r="V285" s="349"/>
      <c r="W285" s="349"/>
      <c r="X285" s="349"/>
      <c r="Y285" s="349"/>
      <c r="Z285" s="349"/>
    </row>
    <row r="286">
      <c r="A286" s="349"/>
      <c r="B286" s="349"/>
      <c r="C286" s="395"/>
      <c r="D286" s="349"/>
      <c r="E286" s="349"/>
      <c r="F286" s="349"/>
      <c r="G286" s="396"/>
      <c r="H286" s="349"/>
      <c r="I286" s="349"/>
      <c r="J286" s="349"/>
      <c r="K286" s="349"/>
      <c r="L286" s="349"/>
      <c r="M286" s="349"/>
      <c r="N286" s="349"/>
      <c r="O286" s="349"/>
      <c r="P286" s="349"/>
      <c r="Q286" s="349"/>
      <c r="R286" s="349"/>
      <c r="S286" s="349"/>
      <c r="T286" s="349"/>
      <c r="U286" s="349"/>
      <c r="V286" s="349"/>
      <c r="W286" s="349"/>
      <c r="X286" s="349"/>
      <c r="Y286" s="349"/>
      <c r="Z286" s="349"/>
    </row>
    <row r="287">
      <c r="A287" s="349"/>
      <c r="B287" s="349"/>
      <c r="C287" s="395"/>
      <c r="D287" s="349"/>
      <c r="E287" s="349"/>
      <c r="F287" s="349"/>
      <c r="G287" s="396"/>
      <c r="H287" s="349"/>
      <c r="I287" s="349"/>
      <c r="J287" s="349"/>
      <c r="K287" s="349"/>
      <c r="L287" s="349"/>
      <c r="M287" s="349"/>
      <c r="N287" s="349"/>
      <c r="O287" s="349"/>
      <c r="P287" s="349"/>
      <c r="Q287" s="349"/>
      <c r="R287" s="349"/>
      <c r="S287" s="349"/>
      <c r="T287" s="349"/>
      <c r="U287" s="349"/>
      <c r="V287" s="349"/>
      <c r="W287" s="349"/>
      <c r="X287" s="349"/>
      <c r="Y287" s="349"/>
      <c r="Z287" s="349"/>
    </row>
    <row r="288">
      <c r="A288" s="349"/>
      <c r="B288" s="349"/>
      <c r="C288" s="395"/>
      <c r="D288" s="349"/>
      <c r="E288" s="349"/>
      <c r="F288" s="349"/>
      <c r="G288" s="396"/>
      <c r="H288" s="349"/>
      <c r="I288" s="349"/>
      <c r="J288" s="349"/>
      <c r="K288" s="349"/>
      <c r="L288" s="349"/>
      <c r="M288" s="349"/>
      <c r="N288" s="349"/>
      <c r="O288" s="349"/>
      <c r="P288" s="349"/>
      <c r="Q288" s="349"/>
      <c r="R288" s="349"/>
      <c r="S288" s="349"/>
      <c r="T288" s="349"/>
      <c r="U288" s="349"/>
      <c r="V288" s="349"/>
      <c r="W288" s="349"/>
      <c r="X288" s="349"/>
      <c r="Y288" s="349"/>
      <c r="Z288" s="349"/>
    </row>
    <row r="289">
      <c r="A289" s="349"/>
      <c r="B289" s="349"/>
      <c r="C289" s="395"/>
      <c r="D289" s="349"/>
      <c r="E289" s="349"/>
      <c r="F289" s="349"/>
      <c r="G289" s="396"/>
      <c r="H289" s="349"/>
      <c r="I289" s="349"/>
      <c r="J289" s="349"/>
      <c r="K289" s="349"/>
      <c r="L289" s="349"/>
      <c r="M289" s="349"/>
      <c r="N289" s="349"/>
      <c r="O289" s="349"/>
      <c r="P289" s="349"/>
      <c r="Q289" s="349"/>
      <c r="R289" s="349"/>
      <c r="S289" s="349"/>
      <c r="T289" s="349"/>
      <c r="U289" s="349"/>
      <c r="V289" s="349"/>
      <c r="W289" s="349"/>
      <c r="X289" s="349"/>
      <c r="Y289" s="349"/>
      <c r="Z289" s="349"/>
    </row>
    <row r="290">
      <c r="A290" s="349"/>
      <c r="B290" s="349"/>
      <c r="C290" s="395"/>
      <c r="D290" s="349"/>
      <c r="E290" s="349"/>
      <c r="F290" s="349"/>
      <c r="G290" s="396"/>
      <c r="H290" s="349"/>
      <c r="I290" s="349"/>
      <c r="J290" s="349"/>
      <c r="K290" s="349"/>
      <c r="L290" s="349"/>
      <c r="M290" s="349"/>
      <c r="N290" s="349"/>
      <c r="O290" s="349"/>
      <c r="P290" s="349"/>
      <c r="Q290" s="349"/>
      <c r="R290" s="349"/>
      <c r="S290" s="349"/>
      <c r="T290" s="349"/>
      <c r="U290" s="349"/>
      <c r="V290" s="349"/>
      <c r="W290" s="349"/>
      <c r="X290" s="349"/>
      <c r="Y290" s="349"/>
      <c r="Z290" s="349"/>
    </row>
    <row r="291">
      <c r="A291" s="349"/>
      <c r="B291" s="349"/>
      <c r="C291" s="395"/>
      <c r="D291" s="349"/>
      <c r="E291" s="349"/>
      <c r="F291" s="349"/>
      <c r="G291" s="396"/>
      <c r="H291" s="349"/>
      <c r="I291" s="349"/>
      <c r="J291" s="349"/>
      <c r="K291" s="349"/>
      <c r="L291" s="349"/>
      <c r="M291" s="349"/>
      <c r="N291" s="349"/>
      <c r="O291" s="349"/>
      <c r="P291" s="349"/>
      <c r="Q291" s="349"/>
      <c r="R291" s="349"/>
      <c r="S291" s="349"/>
      <c r="T291" s="349"/>
      <c r="U291" s="349"/>
      <c r="V291" s="349"/>
      <c r="W291" s="349"/>
      <c r="X291" s="349"/>
      <c r="Y291" s="349"/>
      <c r="Z291" s="349"/>
    </row>
    <row r="292">
      <c r="A292" s="349"/>
      <c r="B292" s="349"/>
      <c r="C292" s="395"/>
      <c r="D292" s="349"/>
      <c r="E292" s="349"/>
      <c r="F292" s="349"/>
      <c r="G292" s="396"/>
      <c r="H292" s="349"/>
      <c r="I292" s="349"/>
      <c r="J292" s="349"/>
      <c r="K292" s="349"/>
      <c r="L292" s="349"/>
      <c r="M292" s="349"/>
      <c r="N292" s="349"/>
      <c r="O292" s="349"/>
      <c r="P292" s="349"/>
      <c r="Q292" s="349"/>
      <c r="R292" s="349"/>
      <c r="S292" s="349"/>
      <c r="T292" s="349"/>
      <c r="U292" s="349"/>
      <c r="V292" s="349"/>
      <c r="W292" s="349"/>
      <c r="X292" s="349"/>
      <c r="Y292" s="349"/>
      <c r="Z292" s="349"/>
    </row>
    <row r="293">
      <c r="A293" s="349"/>
      <c r="B293" s="349"/>
      <c r="C293" s="395"/>
      <c r="D293" s="349"/>
      <c r="E293" s="349"/>
      <c r="F293" s="349"/>
      <c r="G293" s="396"/>
      <c r="H293" s="349"/>
      <c r="I293" s="349"/>
      <c r="J293" s="349"/>
      <c r="K293" s="349"/>
      <c r="L293" s="349"/>
      <c r="M293" s="349"/>
      <c r="N293" s="349"/>
      <c r="O293" s="349"/>
      <c r="P293" s="349"/>
      <c r="Q293" s="349"/>
      <c r="R293" s="349"/>
      <c r="S293" s="349"/>
      <c r="T293" s="349"/>
      <c r="U293" s="349"/>
      <c r="V293" s="349"/>
      <c r="W293" s="349"/>
      <c r="X293" s="349"/>
      <c r="Y293" s="349"/>
      <c r="Z293" s="349"/>
    </row>
    <row r="294">
      <c r="A294" s="349"/>
      <c r="B294" s="349"/>
      <c r="C294" s="395"/>
      <c r="D294" s="349"/>
      <c r="E294" s="349"/>
      <c r="F294" s="349"/>
      <c r="G294" s="396"/>
      <c r="H294" s="349"/>
      <c r="I294" s="349"/>
      <c r="J294" s="349"/>
      <c r="K294" s="349"/>
      <c r="L294" s="349"/>
      <c r="M294" s="349"/>
      <c r="N294" s="349"/>
      <c r="O294" s="349"/>
      <c r="P294" s="349"/>
      <c r="Q294" s="349"/>
      <c r="R294" s="349"/>
      <c r="S294" s="349"/>
      <c r="T294" s="349"/>
      <c r="U294" s="349"/>
      <c r="V294" s="349"/>
      <c r="W294" s="349"/>
      <c r="X294" s="349"/>
      <c r="Y294" s="349"/>
      <c r="Z294" s="349"/>
    </row>
    <row r="295">
      <c r="A295" s="349"/>
      <c r="B295" s="349"/>
      <c r="C295" s="395"/>
      <c r="D295" s="349"/>
      <c r="E295" s="349"/>
      <c r="F295" s="349"/>
      <c r="G295" s="396"/>
      <c r="H295" s="349"/>
      <c r="I295" s="349"/>
      <c r="J295" s="349"/>
      <c r="K295" s="349"/>
      <c r="L295" s="349"/>
      <c r="M295" s="349"/>
      <c r="N295" s="349"/>
      <c r="O295" s="349"/>
      <c r="P295" s="349"/>
      <c r="Q295" s="349"/>
      <c r="R295" s="349"/>
      <c r="S295" s="349"/>
      <c r="T295" s="349"/>
      <c r="U295" s="349"/>
      <c r="V295" s="349"/>
      <c r="W295" s="349"/>
      <c r="X295" s="349"/>
      <c r="Y295" s="349"/>
      <c r="Z295" s="349"/>
    </row>
    <row r="296">
      <c r="A296" s="349"/>
      <c r="B296" s="349"/>
      <c r="C296" s="395"/>
      <c r="D296" s="349"/>
      <c r="E296" s="349"/>
      <c r="F296" s="349"/>
      <c r="G296" s="396"/>
      <c r="H296" s="349"/>
      <c r="I296" s="349"/>
      <c r="J296" s="349"/>
      <c r="K296" s="349"/>
      <c r="L296" s="349"/>
      <c r="M296" s="349"/>
      <c r="N296" s="349"/>
      <c r="O296" s="349"/>
      <c r="P296" s="349"/>
      <c r="Q296" s="349"/>
      <c r="R296" s="349"/>
      <c r="S296" s="349"/>
      <c r="T296" s="349"/>
      <c r="U296" s="349"/>
      <c r="V296" s="349"/>
      <c r="W296" s="349"/>
      <c r="X296" s="349"/>
      <c r="Y296" s="349"/>
      <c r="Z296" s="349"/>
    </row>
    <row r="297">
      <c r="A297" s="349"/>
      <c r="B297" s="349"/>
      <c r="C297" s="395"/>
      <c r="D297" s="349"/>
      <c r="E297" s="349"/>
      <c r="F297" s="349"/>
      <c r="G297" s="396"/>
      <c r="H297" s="349"/>
      <c r="I297" s="349"/>
      <c r="J297" s="349"/>
      <c r="K297" s="349"/>
      <c r="L297" s="349"/>
      <c r="M297" s="349"/>
      <c r="N297" s="349"/>
      <c r="O297" s="349"/>
      <c r="P297" s="349"/>
      <c r="Q297" s="349"/>
      <c r="R297" s="349"/>
      <c r="S297" s="349"/>
      <c r="T297" s="349"/>
      <c r="U297" s="349"/>
      <c r="V297" s="349"/>
      <c r="W297" s="349"/>
      <c r="X297" s="349"/>
      <c r="Y297" s="349"/>
      <c r="Z297" s="349"/>
    </row>
    <row r="298">
      <c r="A298" s="349"/>
      <c r="B298" s="349"/>
      <c r="C298" s="395"/>
      <c r="D298" s="349"/>
      <c r="E298" s="349"/>
      <c r="F298" s="349"/>
      <c r="G298" s="396"/>
      <c r="H298" s="349"/>
      <c r="I298" s="349"/>
      <c r="J298" s="349"/>
      <c r="K298" s="349"/>
      <c r="L298" s="349"/>
      <c r="M298" s="349"/>
      <c r="N298" s="349"/>
      <c r="O298" s="349"/>
      <c r="P298" s="349"/>
      <c r="Q298" s="349"/>
      <c r="R298" s="349"/>
      <c r="S298" s="349"/>
      <c r="T298" s="349"/>
      <c r="U298" s="349"/>
      <c r="V298" s="349"/>
      <c r="W298" s="349"/>
      <c r="X298" s="349"/>
      <c r="Y298" s="349"/>
      <c r="Z298" s="349"/>
    </row>
    <row r="299">
      <c r="A299" s="349"/>
      <c r="B299" s="349"/>
      <c r="C299" s="395"/>
      <c r="D299" s="349"/>
      <c r="E299" s="349"/>
      <c r="F299" s="349"/>
      <c r="G299" s="396"/>
      <c r="H299" s="349"/>
      <c r="I299" s="349"/>
      <c r="J299" s="349"/>
      <c r="K299" s="349"/>
      <c r="L299" s="349"/>
      <c r="M299" s="349"/>
      <c r="N299" s="349"/>
      <c r="O299" s="349"/>
      <c r="P299" s="349"/>
      <c r="Q299" s="349"/>
      <c r="R299" s="349"/>
      <c r="S299" s="349"/>
      <c r="T299" s="349"/>
      <c r="U299" s="349"/>
      <c r="V299" s="349"/>
      <c r="W299" s="349"/>
      <c r="X299" s="349"/>
      <c r="Y299" s="349"/>
      <c r="Z299" s="349"/>
    </row>
    <row r="300">
      <c r="A300" s="349"/>
      <c r="B300" s="349"/>
      <c r="C300" s="395"/>
      <c r="D300" s="349"/>
      <c r="E300" s="349"/>
      <c r="F300" s="349"/>
      <c r="G300" s="396"/>
      <c r="H300" s="349"/>
      <c r="I300" s="349"/>
      <c r="J300" s="349"/>
      <c r="K300" s="349"/>
      <c r="L300" s="349"/>
      <c r="M300" s="349"/>
      <c r="N300" s="349"/>
      <c r="O300" s="349"/>
      <c r="P300" s="349"/>
      <c r="Q300" s="349"/>
      <c r="R300" s="349"/>
      <c r="S300" s="349"/>
      <c r="T300" s="349"/>
      <c r="U300" s="349"/>
      <c r="V300" s="349"/>
      <c r="W300" s="349"/>
      <c r="X300" s="349"/>
      <c r="Y300" s="349"/>
      <c r="Z300" s="349"/>
    </row>
    <row r="301">
      <c r="A301" s="349"/>
      <c r="B301" s="349"/>
      <c r="C301" s="395"/>
      <c r="D301" s="349"/>
      <c r="E301" s="349"/>
      <c r="F301" s="349"/>
      <c r="G301" s="396"/>
      <c r="H301" s="349"/>
      <c r="I301" s="349"/>
      <c r="J301" s="349"/>
      <c r="K301" s="349"/>
      <c r="L301" s="349"/>
      <c r="M301" s="349"/>
      <c r="N301" s="349"/>
      <c r="O301" s="349"/>
      <c r="P301" s="349"/>
      <c r="Q301" s="349"/>
      <c r="R301" s="349"/>
      <c r="S301" s="349"/>
      <c r="T301" s="349"/>
      <c r="U301" s="349"/>
      <c r="V301" s="349"/>
      <c r="W301" s="349"/>
      <c r="X301" s="349"/>
      <c r="Y301" s="349"/>
      <c r="Z301" s="349"/>
    </row>
    <row r="302">
      <c r="A302" s="349"/>
      <c r="B302" s="349"/>
      <c r="C302" s="395"/>
      <c r="D302" s="349"/>
      <c r="E302" s="349"/>
      <c r="F302" s="349"/>
      <c r="G302" s="396"/>
      <c r="H302" s="349"/>
      <c r="I302" s="349"/>
      <c r="J302" s="349"/>
      <c r="K302" s="349"/>
      <c r="L302" s="349"/>
      <c r="M302" s="349"/>
      <c r="N302" s="349"/>
      <c r="O302" s="349"/>
      <c r="P302" s="349"/>
      <c r="Q302" s="349"/>
      <c r="R302" s="349"/>
      <c r="S302" s="349"/>
      <c r="T302" s="349"/>
      <c r="U302" s="349"/>
      <c r="V302" s="349"/>
      <c r="W302" s="349"/>
      <c r="X302" s="349"/>
      <c r="Y302" s="349"/>
      <c r="Z302" s="349"/>
    </row>
    <row r="303">
      <c r="A303" s="349"/>
      <c r="B303" s="349"/>
      <c r="C303" s="395"/>
      <c r="D303" s="349"/>
      <c r="E303" s="349"/>
      <c r="F303" s="349"/>
      <c r="G303" s="396"/>
      <c r="H303" s="349"/>
      <c r="I303" s="349"/>
      <c r="J303" s="349"/>
      <c r="K303" s="349"/>
      <c r="L303" s="349"/>
      <c r="M303" s="349"/>
      <c r="N303" s="349"/>
      <c r="O303" s="349"/>
      <c r="P303" s="349"/>
      <c r="Q303" s="349"/>
      <c r="R303" s="349"/>
      <c r="S303" s="349"/>
      <c r="T303" s="349"/>
      <c r="U303" s="349"/>
      <c r="V303" s="349"/>
      <c r="W303" s="349"/>
      <c r="X303" s="349"/>
      <c r="Y303" s="349"/>
      <c r="Z303" s="349"/>
    </row>
    <row r="304">
      <c r="A304" s="349"/>
      <c r="B304" s="349"/>
      <c r="C304" s="395"/>
      <c r="D304" s="349"/>
      <c r="E304" s="349"/>
      <c r="F304" s="349"/>
      <c r="G304" s="396"/>
      <c r="H304" s="349"/>
      <c r="I304" s="349"/>
      <c r="J304" s="349"/>
      <c r="K304" s="349"/>
      <c r="L304" s="349"/>
      <c r="M304" s="349"/>
      <c r="N304" s="349"/>
      <c r="O304" s="349"/>
      <c r="P304" s="349"/>
      <c r="Q304" s="349"/>
      <c r="R304" s="349"/>
      <c r="S304" s="349"/>
      <c r="T304" s="349"/>
      <c r="U304" s="349"/>
      <c r="V304" s="349"/>
      <c r="W304" s="349"/>
      <c r="X304" s="349"/>
      <c r="Y304" s="349"/>
      <c r="Z304" s="349"/>
    </row>
    <row r="305">
      <c r="A305" s="349"/>
      <c r="B305" s="349"/>
      <c r="C305" s="395"/>
      <c r="D305" s="349"/>
      <c r="E305" s="349"/>
      <c r="F305" s="349"/>
      <c r="G305" s="396"/>
      <c r="H305" s="349"/>
      <c r="I305" s="349"/>
      <c r="J305" s="349"/>
      <c r="K305" s="349"/>
      <c r="L305" s="349"/>
      <c r="M305" s="349"/>
      <c r="N305" s="349"/>
      <c r="O305" s="349"/>
      <c r="P305" s="349"/>
      <c r="Q305" s="349"/>
      <c r="R305" s="349"/>
      <c r="S305" s="349"/>
      <c r="T305" s="349"/>
      <c r="U305" s="349"/>
      <c r="V305" s="349"/>
      <c r="W305" s="349"/>
      <c r="X305" s="349"/>
      <c r="Y305" s="349"/>
      <c r="Z305" s="349"/>
    </row>
    <row r="306">
      <c r="A306" s="349"/>
      <c r="B306" s="349"/>
      <c r="C306" s="395"/>
      <c r="D306" s="349"/>
      <c r="E306" s="349"/>
      <c r="F306" s="349"/>
      <c r="G306" s="396"/>
      <c r="H306" s="349"/>
      <c r="I306" s="349"/>
      <c r="J306" s="349"/>
      <c r="K306" s="349"/>
      <c r="L306" s="349"/>
      <c r="M306" s="349"/>
      <c r="N306" s="349"/>
      <c r="O306" s="349"/>
      <c r="P306" s="349"/>
      <c r="Q306" s="349"/>
      <c r="R306" s="349"/>
      <c r="S306" s="349"/>
      <c r="T306" s="349"/>
      <c r="U306" s="349"/>
      <c r="V306" s="349"/>
      <c r="W306" s="349"/>
      <c r="X306" s="349"/>
      <c r="Y306" s="349"/>
      <c r="Z306" s="349"/>
    </row>
    <row r="307">
      <c r="A307" s="349"/>
      <c r="B307" s="349"/>
      <c r="C307" s="395"/>
      <c r="D307" s="349"/>
      <c r="E307" s="349"/>
      <c r="F307" s="349"/>
      <c r="G307" s="396"/>
      <c r="H307" s="349"/>
      <c r="I307" s="349"/>
      <c r="J307" s="349"/>
      <c r="K307" s="349"/>
      <c r="L307" s="349"/>
      <c r="M307" s="349"/>
      <c r="N307" s="349"/>
      <c r="O307" s="349"/>
      <c r="P307" s="349"/>
      <c r="Q307" s="349"/>
      <c r="R307" s="349"/>
      <c r="S307" s="349"/>
      <c r="T307" s="349"/>
      <c r="U307" s="349"/>
      <c r="V307" s="349"/>
      <c r="W307" s="349"/>
      <c r="X307" s="349"/>
      <c r="Y307" s="349"/>
      <c r="Z307" s="349"/>
    </row>
    <row r="308">
      <c r="A308" s="349"/>
      <c r="B308" s="349"/>
      <c r="C308" s="395"/>
      <c r="D308" s="349"/>
      <c r="E308" s="349"/>
      <c r="F308" s="349"/>
      <c r="G308" s="396"/>
      <c r="H308" s="349"/>
      <c r="I308" s="349"/>
      <c r="J308" s="349"/>
      <c r="K308" s="349"/>
      <c r="L308" s="349"/>
      <c r="M308" s="349"/>
      <c r="N308" s="349"/>
      <c r="O308" s="349"/>
      <c r="P308" s="349"/>
      <c r="Q308" s="349"/>
      <c r="R308" s="349"/>
      <c r="S308" s="349"/>
      <c r="T308" s="349"/>
      <c r="U308" s="349"/>
      <c r="V308" s="349"/>
      <c r="W308" s="349"/>
      <c r="X308" s="349"/>
      <c r="Y308" s="349"/>
      <c r="Z308" s="349"/>
    </row>
    <row r="309">
      <c r="A309" s="349"/>
      <c r="B309" s="349"/>
      <c r="C309" s="395"/>
      <c r="D309" s="349"/>
      <c r="E309" s="349"/>
      <c r="F309" s="349"/>
      <c r="G309" s="396"/>
      <c r="H309" s="349"/>
      <c r="I309" s="349"/>
      <c r="J309" s="349"/>
      <c r="K309" s="349"/>
      <c r="L309" s="349"/>
      <c r="M309" s="349"/>
      <c r="N309" s="349"/>
      <c r="O309" s="349"/>
      <c r="P309" s="349"/>
      <c r="Q309" s="349"/>
      <c r="R309" s="349"/>
      <c r="S309" s="349"/>
      <c r="T309" s="349"/>
      <c r="U309" s="349"/>
      <c r="V309" s="349"/>
      <c r="W309" s="349"/>
      <c r="X309" s="349"/>
      <c r="Y309" s="349"/>
      <c r="Z309" s="349"/>
    </row>
    <row r="310">
      <c r="A310" s="349"/>
      <c r="B310" s="349"/>
      <c r="C310" s="395"/>
      <c r="D310" s="349"/>
      <c r="E310" s="349"/>
      <c r="F310" s="349"/>
      <c r="G310" s="396"/>
      <c r="H310" s="349"/>
      <c r="I310" s="349"/>
      <c r="J310" s="349"/>
      <c r="K310" s="349"/>
      <c r="L310" s="349"/>
      <c r="M310" s="349"/>
      <c r="N310" s="349"/>
      <c r="O310" s="349"/>
      <c r="P310" s="349"/>
      <c r="Q310" s="349"/>
      <c r="R310" s="349"/>
      <c r="S310" s="349"/>
      <c r="T310" s="349"/>
      <c r="U310" s="349"/>
      <c r="V310" s="349"/>
      <c r="W310" s="349"/>
      <c r="X310" s="349"/>
      <c r="Y310" s="349"/>
      <c r="Z310" s="349"/>
    </row>
    <row r="311">
      <c r="A311" s="349"/>
      <c r="B311" s="349"/>
      <c r="C311" s="395"/>
      <c r="D311" s="349"/>
      <c r="E311" s="349"/>
      <c r="F311" s="349"/>
      <c r="G311" s="396"/>
      <c r="H311" s="349"/>
      <c r="I311" s="349"/>
      <c r="J311" s="349"/>
      <c r="K311" s="349"/>
      <c r="L311" s="349"/>
      <c r="M311" s="349"/>
      <c r="N311" s="349"/>
      <c r="O311" s="349"/>
      <c r="P311" s="349"/>
      <c r="Q311" s="349"/>
      <c r="R311" s="349"/>
      <c r="S311" s="349"/>
      <c r="T311" s="349"/>
      <c r="U311" s="349"/>
      <c r="V311" s="349"/>
      <c r="W311" s="349"/>
      <c r="X311" s="349"/>
      <c r="Y311" s="349"/>
      <c r="Z311" s="349"/>
    </row>
    <row r="312">
      <c r="A312" s="349"/>
      <c r="B312" s="349"/>
      <c r="C312" s="395"/>
      <c r="D312" s="349"/>
      <c r="E312" s="349"/>
      <c r="F312" s="349"/>
      <c r="G312" s="396"/>
      <c r="H312" s="349"/>
      <c r="I312" s="349"/>
      <c r="J312" s="349"/>
      <c r="K312" s="349"/>
      <c r="L312" s="349"/>
      <c r="M312" s="349"/>
      <c r="N312" s="349"/>
      <c r="O312" s="349"/>
      <c r="P312" s="349"/>
      <c r="Q312" s="349"/>
      <c r="R312" s="349"/>
      <c r="S312" s="349"/>
      <c r="T312" s="349"/>
      <c r="U312" s="349"/>
      <c r="V312" s="349"/>
      <c r="W312" s="349"/>
      <c r="X312" s="349"/>
      <c r="Y312" s="349"/>
      <c r="Z312" s="349"/>
    </row>
    <row r="313">
      <c r="A313" s="349"/>
      <c r="B313" s="349"/>
      <c r="C313" s="395"/>
      <c r="D313" s="349"/>
      <c r="E313" s="349"/>
      <c r="F313" s="349"/>
      <c r="G313" s="396"/>
      <c r="H313" s="349"/>
      <c r="I313" s="349"/>
      <c r="J313" s="349"/>
      <c r="K313" s="349"/>
      <c r="L313" s="349"/>
      <c r="M313" s="349"/>
      <c r="N313" s="349"/>
      <c r="O313" s="349"/>
      <c r="P313" s="349"/>
      <c r="Q313" s="349"/>
      <c r="R313" s="349"/>
      <c r="S313" s="349"/>
      <c r="T313" s="349"/>
      <c r="U313" s="349"/>
      <c r="V313" s="349"/>
      <c r="W313" s="349"/>
      <c r="X313" s="349"/>
      <c r="Y313" s="349"/>
      <c r="Z313" s="349"/>
    </row>
    <row r="314">
      <c r="A314" s="349"/>
      <c r="B314" s="349"/>
      <c r="C314" s="395"/>
      <c r="D314" s="349"/>
      <c r="E314" s="349"/>
      <c r="F314" s="349"/>
      <c r="G314" s="396"/>
      <c r="H314" s="349"/>
      <c r="I314" s="349"/>
      <c r="J314" s="349"/>
      <c r="K314" s="349"/>
      <c r="L314" s="349"/>
      <c r="M314" s="349"/>
      <c r="N314" s="349"/>
      <c r="O314" s="349"/>
      <c r="P314" s="349"/>
      <c r="Q314" s="349"/>
      <c r="R314" s="349"/>
      <c r="S314" s="349"/>
      <c r="T314" s="349"/>
      <c r="U314" s="349"/>
      <c r="V314" s="349"/>
      <c r="W314" s="349"/>
      <c r="X314" s="349"/>
      <c r="Y314" s="349"/>
      <c r="Z314" s="349"/>
    </row>
    <row r="315">
      <c r="A315" s="349"/>
      <c r="B315" s="349"/>
      <c r="C315" s="395"/>
      <c r="D315" s="349"/>
      <c r="E315" s="349"/>
      <c r="F315" s="349"/>
      <c r="G315" s="396"/>
      <c r="H315" s="349"/>
      <c r="I315" s="349"/>
      <c r="J315" s="349"/>
      <c r="K315" s="349"/>
      <c r="L315" s="349"/>
      <c r="M315" s="349"/>
      <c r="N315" s="349"/>
      <c r="O315" s="349"/>
      <c r="P315" s="349"/>
      <c r="Q315" s="349"/>
      <c r="R315" s="349"/>
      <c r="S315" s="349"/>
      <c r="T315" s="349"/>
      <c r="U315" s="349"/>
      <c r="V315" s="349"/>
      <c r="W315" s="349"/>
      <c r="X315" s="349"/>
      <c r="Y315" s="349"/>
      <c r="Z315" s="349"/>
    </row>
    <row r="316">
      <c r="A316" s="349"/>
      <c r="B316" s="349"/>
      <c r="C316" s="395"/>
      <c r="D316" s="349"/>
      <c r="E316" s="349"/>
      <c r="F316" s="349"/>
      <c r="G316" s="396"/>
      <c r="H316" s="349"/>
      <c r="I316" s="349"/>
      <c r="J316" s="349"/>
      <c r="K316" s="349"/>
      <c r="L316" s="349"/>
      <c r="M316" s="349"/>
      <c r="N316" s="349"/>
      <c r="O316" s="349"/>
      <c r="P316" s="349"/>
      <c r="Q316" s="349"/>
      <c r="R316" s="349"/>
      <c r="S316" s="349"/>
      <c r="T316" s="349"/>
      <c r="U316" s="349"/>
      <c r="V316" s="349"/>
      <c r="W316" s="349"/>
      <c r="X316" s="349"/>
      <c r="Y316" s="349"/>
      <c r="Z316" s="349"/>
    </row>
    <row r="317">
      <c r="A317" s="349"/>
      <c r="B317" s="349"/>
      <c r="C317" s="395"/>
      <c r="D317" s="349"/>
      <c r="E317" s="349"/>
      <c r="F317" s="349"/>
      <c r="G317" s="396"/>
      <c r="H317" s="349"/>
      <c r="I317" s="349"/>
      <c r="J317" s="349"/>
      <c r="K317" s="349"/>
      <c r="L317" s="349"/>
      <c r="M317" s="349"/>
      <c r="N317" s="349"/>
      <c r="O317" s="349"/>
      <c r="P317" s="349"/>
      <c r="Q317" s="349"/>
      <c r="R317" s="349"/>
      <c r="S317" s="349"/>
      <c r="T317" s="349"/>
      <c r="U317" s="349"/>
      <c r="V317" s="349"/>
      <c r="W317" s="349"/>
      <c r="X317" s="349"/>
      <c r="Y317" s="349"/>
      <c r="Z317" s="349"/>
    </row>
    <row r="318">
      <c r="A318" s="349"/>
      <c r="B318" s="349"/>
      <c r="C318" s="395"/>
      <c r="D318" s="349"/>
      <c r="E318" s="349"/>
      <c r="F318" s="349"/>
      <c r="G318" s="396"/>
      <c r="H318" s="349"/>
      <c r="I318" s="349"/>
      <c r="J318" s="349"/>
      <c r="K318" s="349"/>
      <c r="L318" s="349"/>
      <c r="M318" s="349"/>
      <c r="N318" s="349"/>
      <c r="O318" s="349"/>
      <c r="P318" s="349"/>
      <c r="Q318" s="349"/>
      <c r="R318" s="349"/>
      <c r="S318" s="349"/>
      <c r="T318" s="349"/>
      <c r="U318" s="349"/>
      <c r="V318" s="349"/>
      <c r="W318" s="349"/>
      <c r="X318" s="349"/>
      <c r="Y318" s="349"/>
      <c r="Z318" s="349"/>
    </row>
    <row r="319">
      <c r="A319" s="349"/>
      <c r="B319" s="349"/>
      <c r="C319" s="395"/>
      <c r="D319" s="349"/>
      <c r="E319" s="349"/>
      <c r="F319" s="349"/>
      <c r="G319" s="396"/>
      <c r="H319" s="349"/>
      <c r="I319" s="349"/>
      <c r="J319" s="349"/>
      <c r="K319" s="349"/>
      <c r="L319" s="349"/>
      <c r="M319" s="349"/>
      <c r="N319" s="349"/>
      <c r="O319" s="349"/>
      <c r="P319" s="349"/>
      <c r="Q319" s="349"/>
      <c r="R319" s="349"/>
      <c r="S319" s="349"/>
      <c r="T319" s="349"/>
      <c r="U319" s="349"/>
      <c r="V319" s="349"/>
      <c r="W319" s="349"/>
      <c r="X319" s="349"/>
      <c r="Y319" s="349"/>
      <c r="Z319" s="349"/>
    </row>
    <row r="320">
      <c r="A320" s="349"/>
      <c r="B320" s="349"/>
      <c r="C320" s="395"/>
      <c r="D320" s="349"/>
      <c r="E320" s="349"/>
      <c r="F320" s="349"/>
      <c r="G320" s="396"/>
      <c r="H320" s="349"/>
      <c r="I320" s="349"/>
      <c r="J320" s="349"/>
      <c r="K320" s="349"/>
      <c r="L320" s="349"/>
      <c r="M320" s="349"/>
      <c r="N320" s="349"/>
      <c r="O320" s="349"/>
      <c r="P320" s="349"/>
      <c r="Q320" s="349"/>
      <c r="R320" s="349"/>
      <c r="S320" s="349"/>
      <c r="T320" s="349"/>
      <c r="U320" s="349"/>
      <c r="V320" s="349"/>
      <c r="W320" s="349"/>
      <c r="X320" s="349"/>
      <c r="Y320" s="349"/>
      <c r="Z320" s="349"/>
    </row>
    <row r="321">
      <c r="A321" s="349"/>
      <c r="B321" s="349"/>
      <c r="C321" s="395"/>
      <c r="D321" s="349"/>
      <c r="E321" s="349"/>
      <c r="F321" s="349"/>
      <c r="G321" s="396"/>
      <c r="H321" s="349"/>
      <c r="I321" s="349"/>
      <c r="J321" s="349"/>
      <c r="K321" s="349"/>
      <c r="L321" s="349"/>
      <c r="M321" s="349"/>
      <c r="N321" s="349"/>
      <c r="O321" s="349"/>
      <c r="P321" s="349"/>
      <c r="Q321" s="349"/>
      <c r="R321" s="349"/>
      <c r="S321" s="349"/>
      <c r="T321" s="349"/>
      <c r="U321" s="349"/>
      <c r="V321" s="349"/>
      <c r="W321" s="349"/>
      <c r="X321" s="349"/>
      <c r="Y321" s="349"/>
      <c r="Z321" s="349"/>
    </row>
    <row r="322">
      <c r="A322" s="349"/>
      <c r="B322" s="349"/>
      <c r="C322" s="395"/>
      <c r="D322" s="349"/>
      <c r="E322" s="349"/>
      <c r="F322" s="349"/>
      <c r="G322" s="396"/>
      <c r="H322" s="349"/>
      <c r="I322" s="349"/>
      <c r="J322" s="349"/>
      <c r="K322" s="349"/>
      <c r="L322" s="349"/>
      <c r="M322" s="349"/>
      <c r="N322" s="349"/>
      <c r="O322" s="349"/>
      <c r="P322" s="349"/>
      <c r="Q322" s="349"/>
      <c r="R322" s="349"/>
      <c r="S322" s="349"/>
      <c r="T322" s="349"/>
      <c r="U322" s="349"/>
      <c r="V322" s="349"/>
      <c r="W322" s="349"/>
      <c r="X322" s="349"/>
      <c r="Y322" s="349"/>
      <c r="Z322" s="349"/>
    </row>
    <row r="323">
      <c r="A323" s="349"/>
      <c r="B323" s="349"/>
      <c r="C323" s="395"/>
      <c r="D323" s="349"/>
      <c r="E323" s="349"/>
      <c r="F323" s="349"/>
      <c r="G323" s="396"/>
      <c r="H323" s="349"/>
      <c r="I323" s="349"/>
      <c r="J323" s="349"/>
      <c r="K323" s="349"/>
      <c r="L323" s="349"/>
      <c r="M323" s="349"/>
      <c r="N323" s="349"/>
      <c r="O323" s="349"/>
      <c r="P323" s="349"/>
      <c r="Q323" s="349"/>
      <c r="R323" s="349"/>
      <c r="S323" s="349"/>
      <c r="T323" s="349"/>
      <c r="U323" s="349"/>
      <c r="V323" s="349"/>
      <c r="W323" s="349"/>
      <c r="X323" s="349"/>
      <c r="Y323" s="349"/>
      <c r="Z323" s="349"/>
    </row>
    <row r="324">
      <c r="A324" s="349"/>
      <c r="B324" s="349"/>
      <c r="C324" s="395"/>
      <c r="D324" s="349"/>
      <c r="E324" s="349"/>
      <c r="F324" s="349"/>
      <c r="G324" s="396"/>
      <c r="H324" s="349"/>
      <c r="I324" s="349"/>
      <c r="J324" s="349"/>
      <c r="K324" s="349"/>
      <c r="L324" s="349"/>
      <c r="M324" s="349"/>
      <c r="N324" s="349"/>
      <c r="O324" s="349"/>
      <c r="P324" s="349"/>
      <c r="Q324" s="349"/>
      <c r="R324" s="349"/>
      <c r="S324" s="349"/>
      <c r="T324" s="349"/>
      <c r="U324" s="349"/>
      <c r="V324" s="349"/>
      <c r="W324" s="349"/>
      <c r="X324" s="349"/>
      <c r="Y324" s="349"/>
      <c r="Z324" s="349"/>
    </row>
    <row r="325">
      <c r="A325" s="349"/>
      <c r="B325" s="349"/>
      <c r="C325" s="395"/>
      <c r="D325" s="349"/>
      <c r="E325" s="349"/>
      <c r="F325" s="349"/>
      <c r="G325" s="396"/>
      <c r="H325" s="349"/>
      <c r="I325" s="349"/>
      <c r="J325" s="349"/>
      <c r="K325" s="349"/>
      <c r="L325" s="349"/>
      <c r="M325" s="349"/>
      <c r="N325" s="349"/>
      <c r="O325" s="349"/>
      <c r="P325" s="349"/>
      <c r="Q325" s="349"/>
      <c r="R325" s="349"/>
      <c r="S325" s="349"/>
      <c r="T325" s="349"/>
      <c r="U325" s="349"/>
      <c r="V325" s="349"/>
      <c r="W325" s="349"/>
      <c r="X325" s="349"/>
      <c r="Y325" s="349"/>
      <c r="Z325" s="349"/>
    </row>
    <row r="326">
      <c r="A326" s="349"/>
      <c r="B326" s="349"/>
      <c r="C326" s="395"/>
      <c r="D326" s="349"/>
      <c r="E326" s="349"/>
      <c r="F326" s="349"/>
      <c r="G326" s="396"/>
      <c r="H326" s="349"/>
      <c r="I326" s="349"/>
      <c r="J326" s="349"/>
      <c r="K326" s="349"/>
      <c r="L326" s="349"/>
      <c r="M326" s="349"/>
      <c r="N326" s="349"/>
      <c r="O326" s="349"/>
      <c r="P326" s="349"/>
      <c r="Q326" s="349"/>
      <c r="R326" s="349"/>
      <c r="S326" s="349"/>
      <c r="T326" s="349"/>
      <c r="U326" s="349"/>
      <c r="V326" s="349"/>
      <c r="W326" s="349"/>
      <c r="X326" s="349"/>
      <c r="Y326" s="349"/>
      <c r="Z326" s="349"/>
    </row>
    <row r="327">
      <c r="A327" s="349"/>
      <c r="B327" s="349"/>
      <c r="C327" s="395"/>
      <c r="D327" s="349"/>
      <c r="E327" s="349"/>
      <c r="F327" s="349"/>
      <c r="G327" s="396"/>
      <c r="H327" s="349"/>
      <c r="I327" s="349"/>
      <c r="J327" s="349"/>
      <c r="K327" s="349"/>
      <c r="L327" s="349"/>
      <c r="M327" s="349"/>
      <c r="N327" s="349"/>
      <c r="O327" s="349"/>
      <c r="P327" s="349"/>
      <c r="Q327" s="349"/>
      <c r="R327" s="349"/>
      <c r="S327" s="349"/>
      <c r="T327" s="349"/>
      <c r="U327" s="349"/>
      <c r="V327" s="349"/>
      <c r="W327" s="349"/>
      <c r="X327" s="349"/>
      <c r="Y327" s="349"/>
      <c r="Z327" s="349"/>
    </row>
    <row r="328">
      <c r="A328" s="349"/>
      <c r="B328" s="349"/>
      <c r="C328" s="395"/>
      <c r="D328" s="349"/>
      <c r="E328" s="349"/>
      <c r="F328" s="349"/>
      <c r="G328" s="396"/>
      <c r="H328" s="349"/>
      <c r="I328" s="349"/>
      <c r="J328" s="349"/>
      <c r="K328" s="349"/>
      <c r="L328" s="349"/>
      <c r="M328" s="349"/>
      <c r="N328" s="349"/>
      <c r="O328" s="349"/>
      <c r="P328" s="349"/>
      <c r="Q328" s="349"/>
      <c r="R328" s="349"/>
      <c r="S328" s="349"/>
      <c r="T328" s="349"/>
      <c r="U328" s="349"/>
      <c r="V328" s="349"/>
      <c r="W328" s="349"/>
      <c r="X328" s="349"/>
      <c r="Y328" s="349"/>
      <c r="Z328" s="349"/>
    </row>
    <row r="329">
      <c r="A329" s="349"/>
      <c r="B329" s="349"/>
      <c r="C329" s="395"/>
      <c r="D329" s="349"/>
      <c r="E329" s="349"/>
      <c r="F329" s="349"/>
      <c r="G329" s="396"/>
      <c r="H329" s="349"/>
      <c r="I329" s="349"/>
      <c r="J329" s="349"/>
      <c r="K329" s="349"/>
      <c r="L329" s="349"/>
      <c r="M329" s="349"/>
      <c r="N329" s="349"/>
      <c r="O329" s="349"/>
      <c r="P329" s="349"/>
      <c r="Q329" s="349"/>
      <c r="R329" s="349"/>
      <c r="S329" s="349"/>
      <c r="T329" s="349"/>
      <c r="U329" s="349"/>
      <c r="V329" s="349"/>
      <c r="W329" s="349"/>
      <c r="X329" s="349"/>
      <c r="Y329" s="349"/>
      <c r="Z329" s="349"/>
    </row>
    <row r="330">
      <c r="A330" s="349"/>
      <c r="B330" s="349"/>
      <c r="C330" s="395"/>
      <c r="D330" s="349"/>
      <c r="E330" s="349"/>
      <c r="F330" s="349"/>
      <c r="G330" s="396"/>
      <c r="H330" s="349"/>
      <c r="I330" s="349"/>
      <c r="J330" s="349"/>
      <c r="K330" s="349"/>
      <c r="L330" s="349"/>
      <c r="M330" s="349"/>
      <c r="N330" s="349"/>
      <c r="O330" s="349"/>
      <c r="P330" s="349"/>
      <c r="Q330" s="349"/>
      <c r="R330" s="349"/>
      <c r="S330" s="349"/>
      <c r="T330" s="349"/>
      <c r="U330" s="349"/>
      <c r="V330" s="349"/>
      <c r="W330" s="349"/>
      <c r="X330" s="349"/>
      <c r="Y330" s="349"/>
      <c r="Z330" s="349"/>
    </row>
    <row r="331">
      <c r="A331" s="349"/>
      <c r="B331" s="349"/>
      <c r="C331" s="395"/>
      <c r="D331" s="349"/>
      <c r="E331" s="349"/>
      <c r="F331" s="349"/>
      <c r="G331" s="396"/>
      <c r="H331" s="349"/>
      <c r="I331" s="349"/>
      <c r="J331" s="349"/>
      <c r="K331" s="349"/>
      <c r="L331" s="349"/>
      <c r="M331" s="349"/>
      <c r="N331" s="349"/>
      <c r="O331" s="349"/>
      <c r="P331" s="349"/>
      <c r="Q331" s="349"/>
      <c r="R331" s="349"/>
      <c r="S331" s="349"/>
      <c r="T331" s="349"/>
      <c r="U331" s="349"/>
      <c r="V331" s="349"/>
      <c r="W331" s="349"/>
      <c r="X331" s="349"/>
      <c r="Y331" s="349"/>
      <c r="Z331" s="349"/>
    </row>
    <row r="332">
      <c r="A332" s="349"/>
      <c r="B332" s="349"/>
      <c r="C332" s="395"/>
      <c r="D332" s="349"/>
      <c r="E332" s="349"/>
      <c r="F332" s="349"/>
      <c r="G332" s="396"/>
      <c r="H332" s="349"/>
      <c r="I332" s="349"/>
      <c r="J332" s="349"/>
      <c r="K332" s="349"/>
      <c r="L332" s="349"/>
      <c r="M332" s="349"/>
      <c r="N332" s="349"/>
      <c r="O332" s="349"/>
      <c r="P332" s="349"/>
      <c r="Q332" s="349"/>
      <c r="R332" s="349"/>
      <c r="S332" s="349"/>
      <c r="T332" s="349"/>
      <c r="U332" s="349"/>
      <c r="V332" s="349"/>
      <c r="W332" s="349"/>
      <c r="X332" s="349"/>
      <c r="Y332" s="349"/>
      <c r="Z332" s="349"/>
    </row>
    <row r="333">
      <c r="A333" s="349"/>
      <c r="B333" s="349"/>
      <c r="C333" s="395"/>
      <c r="D333" s="349"/>
      <c r="E333" s="349"/>
      <c r="F333" s="349"/>
      <c r="G333" s="396"/>
      <c r="H333" s="349"/>
      <c r="I333" s="349"/>
      <c r="J333" s="349"/>
      <c r="K333" s="349"/>
      <c r="L333" s="349"/>
      <c r="M333" s="349"/>
      <c r="N333" s="349"/>
      <c r="O333" s="349"/>
      <c r="P333" s="349"/>
      <c r="Q333" s="349"/>
      <c r="R333" s="349"/>
      <c r="S333" s="349"/>
      <c r="T333" s="349"/>
      <c r="U333" s="349"/>
      <c r="V333" s="349"/>
      <c r="W333" s="349"/>
      <c r="X333" s="349"/>
      <c r="Y333" s="349"/>
      <c r="Z333" s="349"/>
    </row>
    <row r="334">
      <c r="A334" s="349"/>
      <c r="B334" s="349"/>
      <c r="C334" s="395"/>
      <c r="D334" s="349"/>
      <c r="E334" s="349"/>
      <c r="F334" s="349"/>
      <c r="G334" s="396"/>
      <c r="H334" s="349"/>
      <c r="I334" s="349"/>
      <c r="J334" s="349"/>
      <c r="K334" s="349"/>
      <c r="L334" s="349"/>
      <c r="M334" s="349"/>
      <c r="N334" s="349"/>
      <c r="O334" s="349"/>
      <c r="P334" s="349"/>
      <c r="Q334" s="349"/>
      <c r="R334" s="349"/>
      <c r="S334" s="349"/>
      <c r="T334" s="349"/>
      <c r="U334" s="349"/>
      <c r="V334" s="349"/>
      <c r="W334" s="349"/>
      <c r="X334" s="349"/>
      <c r="Y334" s="349"/>
      <c r="Z334" s="349"/>
    </row>
    <row r="335">
      <c r="A335" s="349"/>
      <c r="B335" s="349"/>
      <c r="C335" s="395"/>
      <c r="D335" s="349"/>
      <c r="E335" s="349"/>
      <c r="F335" s="349"/>
      <c r="G335" s="396"/>
      <c r="H335" s="349"/>
      <c r="I335" s="349"/>
      <c r="J335" s="349"/>
      <c r="K335" s="349"/>
      <c r="L335" s="349"/>
      <c r="M335" s="349"/>
      <c r="N335" s="349"/>
      <c r="O335" s="349"/>
      <c r="P335" s="349"/>
      <c r="Q335" s="349"/>
      <c r="R335" s="349"/>
      <c r="S335" s="349"/>
      <c r="T335" s="349"/>
      <c r="U335" s="349"/>
      <c r="V335" s="349"/>
      <c r="W335" s="349"/>
      <c r="X335" s="349"/>
      <c r="Y335" s="349"/>
      <c r="Z335" s="349"/>
    </row>
    <row r="336">
      <c r="A336" s="349"/>
      <c r="B336" s="349"/>
      <c r="C336" s="395"/>
      <c r="D336" s="349"/>
      <c r="E336" s="349"/>
      <c r="F336" s="349"/>
      <c r="G336" s="396"/>
      <c r="H336" s="349"/>
      <c r="I336" s="349"/>
      <c r="J336" s="349"/>
      <c r="K336" s="349"/>
      <c r="L336" s="349"/>
      <c r="M336" s="349"/>
      <c r="N336" s="349"/>
      <c r="O336" s="349"/>
      <c r="P336" s="349"/>
      <c r="Q336" s="349"/>
      <c r="R336" s="349"/>
      <c r="S336" s="349"/>
      <c r="T336" s="349"/>
      <c r="U336" s="349"/>
      <c r="V336" s="349"/>
      <c r="W336" s="349"/>
      <c r="X336" s="349"/>
      <c r="Y336" s="349"/>
      <c r="Z336" s="349"/>
    </row>
    <row r="337">
      <c r="A337" s="349"/>
      <c r="B337" s="349"/>
      <c r="C337" s="395"/>
      <c r="D337" s="349"/>
      <c r="E337" s="349"/>
      <c r="F337" s="349"/>
      <c r="G337" s="396"/>
      <c r="H337" s="349"/>
      <c r="I337" s="349"/>
      <c r="J337" s="349"/>
      <c r="K337" s="349"/>
      <c r="L337" s="349"/>
      <c r="M337" s="349"/>
      <c r="N337" s="349"/>
      <c r="O337" s="349"/>
      <c r="P337" s="349"/>
      <c r="Q337" s="349"/>
      <c r="R337" s="349"/>
      <c r="S337" s="349"/>
      <c r="T337" s="349"/>
      <c r="U337" s="349"/>
      <c r="V337" s="349"/>
      <c r="W337" s="349"/>
      <c r="X337" s="349"/>
      <c r="Y337" s="349"/>
      <c r="Z337" s="349"/>
    </row>
    <row r="338">
      <c r="A338" s="349"/>
      <c r="B338" s="349"/>
      <c r="C338" s="395"/>
      <c r="D338" s="349"/>
      <c r="E338" s="349"/>
      <c r="F338" s="349"/>
      <c r="G338" s="396"/>
      <c r="H338" s="349"/>
      <c r="I338" s="349"/>
      <c r="J338" s="349"/>
      <c r="K338" s="349"/>
      <c r="L338" s="349"/>
      <c r="M338" s="349"/>
      <c r="N338" s="349"/>
      <c r="O338" s="349"/>
      <c r="P338" s="349"/>
      <c r="Q338" s="349"/>
      <c r="R338" s="349"/>
      <c r="S338" s="349"/>
      <c r="T338" s="349"/>
      <c r="U338" s="349"/>
      <c r="V338" s="349"/>
      <c r="W338" s="349"/>
      <c r="X338" s="349"/>
      <c r="Y338" s="349"/>
      <c r="Z338" s="349"/>
    </row>
    <row r="339">
      <c r="A339" s="349"/>
      <c r="B339" s="349"/>
      <c r="C339" s="395"/>
      <c r="D339" s="349"/>
      <c r="E339" s="349"/>
      <c r="F339" s="349"/>
      <c r="G339" s="396"/>
      <c r="H339" s="349"/>
      <c r="I339" s="349"/>
      <c r="J339" s="349"/>
      <c r="K339" s="349"/>
      <c r="L339" s="349"/>
      <c r="M339" s="349"/>
      <c r="N339" s="349"/>
      <c r="O339" s="349"/>
      <c r="P339" s="349"/>
      <c r="Q339" s="349"/>
      <c r="R339" s="349"/>
      <c r="S339" s="349"/>
      <c r="T339" s="349"/>
      <c r="U339" s="349"/>
      <c r="V339" s="349"/>
      <c r="W339" s="349"/>
      <c r="X339" s="349"/>
      <c r="Y339" s="349"/>
      <c r="Z339" s="349"/>
    </row>
    <row r="340">
      <c r="A340" s="349"/>
      <c r="B340" s="349"/>
      <c r="C340" s="395"/>
      <c r="D340" s="349"/>
      <c r="E340" s="349"/>
      <c r="F340" s="349"/>
      <c r="G340" s="396"/>
      <c r="H340" s="349"/>
      <c r="I340" s="349"/>
      <c r="J340" s="349"/>
      <c r="K340" s="349"/>
      <c r="L340" s="349"/>
      <c r="M340" s="349"/>
      <c r="N340" s="349"/>
      <c r="O340" s="349"/>
      <c r="P340" s="349"/>
      <c r="Q340" s="349"/>
      <c r="R340" s="349"/>
      <c r="S340" s="349"/>
      <c r="T340" s="349"/>
      <c r="U340" s="349"/>
      <c r="V340" s="349"/>
      <c r="W340" s="349"/>
      <c r="X340" s="349"/>
      <c r="Y340" s="349"/>
      <c r="Z340" s="349"/>
    </row>
    <row r="341">
      <c r="A341" s="349"/>
      <c r="B341" s="349"/>
      <c r="C341" s="395"/>
      <c r="D341" s="349"/>
      <c r="E341" s="349"/>
      <c r="F341" s="349"/>
      <c r="G341" s="396"/>
      <c r="H341" s="349"/>
      <c r="I341" s="349"/>
      <c r="J341" s="349"/>
      <c r="K341" s="349"/>
      <c r="L341" s="349"/>
      <c r="M341" s="349"/>
      <c r="N341" s="349"/>
      <c r="O341" s="349"/>
      <c r="P341" s="349"/>
      <c r="Q341" s="349"/>
      <c r="R341" s="349"/>
      <c r="S341" s="349"/>
      <c r="T341" s="349"/>
      <c r="U341" s="349"/>
      <c r="V341" s="349"/>
      <c r="W341" s="349"/>
      <c r="X341" s="349"/>
      <c r="Y341" s="349"/>
      <c r="Z341" s="349"/>
    </row>
    <row r="342">
      <c r="A342" s="349"/>
      <c r="B342" s="349"/>
      <c r="C342" s="395"/>
      <c r="D342" s="349"/>
      <c r="E342" s="349"/>
      <c r="F342" s="349"/>
      <c r="G342" s="396"/>
      <c r="H342" s="349"/>
      <c r="I342" s="349"/>
      <c r="J342" s="349"/>
      <c r="K342" s="349"/>
      <c r="L342" s="349"/>
      <c r="M342" s="349"/>
      <c r="N342" s="349"/>
      <c r="O342" s="349"/>
      <c r="P342" s="349"/>
      <c r="Q342" s="349"/>
      <c r="R342" s="349"/>
      <c r="S342" s="349"/>
      <c r="T342" s="349"/>
      <c r="U342" s="349"/>
      <c r="V342" s="349"/>
      <c r="W342" s="349"/>
      <c r="X342" s="349"/>
      <c r="Y342" s="349"/>
      <c r="Z342" s="349"/>
    </row>
    <row r="343">
      <c r="A343" s="349"/>
      <c r="B343" s="349"/>
      <c r="C343" s="395"/>
      <c r="D343" s="349"/>
      <c r="E343" s="349"/>
      <c r="F343" s="349"/>
      <c r="G343" s="396"/>
      <c r="H343" s="349"/>
      <c r="I343" s="349"/>
      <c r="J343" s="349"/>
      <c r="K343" s="349"/>
      <c r="L343" s="349"/>
      <c r="M343" s="349"/>
      <c r="N343" s="349"/>
      <c r="O343" s="349"/>
      <c r="P343" s="349"/>
      <c r="Q343" s="349"/>
      <c r="R343" s="349"/>
      <c r="S343" s="349"/>
      <c r="T343" s="349"/>
      <c r="U343" s="349"/>
      <c r="V343" s="349"/>
      <c r="W343" s="349"/>
      <c r="X343" s="349"/>
      <c r="Y343" s="349"/>
      <c r="Z343" s="349"/>
    </row>
    <row r="344">
      <c r="A344" s="349"/>
      <c r="B344" s="349"/>
      <c r="C344" s="395"/>
      <c r="D344" s="349"/>
      <c r="E344" s="349"/>
      <c r="F344" s="349"/>
      <c r="G344" s="396"/>
      <c r="H344" s="349"/>
      <c r="I344" s="349"/>
      <c r="J344" s="349"/>
      <c r="K344" s="349"/>
      <c r="L344" s="349"/>
      <c r="M344" s="349"/>
      <c r="N344" s="349"/>
      <c r="O344" s="349"/>
      <c r="P344" s="349"/>
      <c r="Q344" s="349"/>
      <c r="R344" s="349"/>
      <c r="S344" s="349"/>
      <c r="T344" s="349"/>
      <c r="U344" s="349"/>
      <c r="V344" s="349"/>
      <c r="W344" s="349"/>
      <c r="X344" s="349"/>
      <c r="Y344" s="349"/>
      <c r="Z344" s="349"/>
    </row>
    <row r="345">
      <c r="A345" s="349"/>
      <c r="B345" s="349"/>
      <c r="C345" s="395"/>
      <c r="D345" s="349"/>
      <c r="E345" s="349"/>
      <c r="F345" s="349"/>
      <c r="G345" s="396"/>
      <c r="H345" s="349"/>
      <c r="I345" s="349"/>
      <c r="J345" s="349"/>
      <c r="K345" s="349"/>
      <c r="L345" s="349"/>
      <c r="M345" s="349"/>
      <c r="N345" s="349"/>
      <c r="O345" s="349"/>
      <c r="P345" s="349"/>
      <c r="Q345" s="349"/>
      <c r="R345" s="349"/>
      <c r="S345" s="349"/>
      <c r="T345" s="349"/>
      <c r="U345" s="349"/>
      <c r="V345" s="349"/>
      <c r="W345" s="349"/>
      <c r="X345" s="349"/>
      <c r="Y345" s="349"/>
      <c r="Z345" s="349"/>
    </row>
    <row r="346">
      <c r="A346" s="349"/>
      <c r="B346" s="349"/>
      <c r="C346" s="395"/>
      <c r="D346" s="349"/>
      <c r="E346" s="349"/>
      <c r="F346" s="349"/>
      <c r="G346" s="396"/>
      <c r="H346" s="349"/>
      <c r="I346" s="349"/>
      <c r="J346" s="349"/>
      <c r="K346" s="349"/>
      <c r="L346" s="349"/>
      <c r="M346" s="349"/>
      <c r="N346" s="349"/>
      <c r="O346" s="349"/>
      <c r="P346" s="349"/>
      <c r="Q346" s="349"/>
      <c r="R346" s="349"/>
      <c r="S346" s="349"/>
      <c r="T346" s="349"/>
      <c r="U346" s="349"/>
      <c r="V346" s="349"/>
      <c r="W346" s="349"/>
      <c r="X346" s="349"/>
      <c r="Y346" s="349"/>
      <c r="Z346" s="349"/>
    </row>
    <row r="347">
      <c r="A347" s="349"/>
      <c r="B347" s="349"/>
      <c r="C347" s="395"/>
      <c r="D347" s="349"/>
      <c r="E347" s="349"/>
      <c r="F347" s="349"/>
      <c r="G347" s="396"/>
      <c r="H347" s="349"/>
      <c r="I347" s="349"/>
      <c r="J347" s="349"/>
      <c r="K347" s="349"/>
      <c r="L347" s="349"/>
      <c r="M347" s="349"/>
      <c r="N347" s="349"/>
      <c r="O347" s="349"/>
      <c r="P347" s="349"/>
      <c r="Q347" s="349"/>
      <c r="R347" s="349"/>
      <c r="S347" s="349"/>
      <c r="T347" s="349"/>
      <c r="U347" s="349"/>
      <c r="V347" s="349"/>
      <c r="W347" s="349"/>
      <c r="X347" s="349"/>
      <c r="Y347" s="349"/>
      <c r="Z347" s="349"/>
    </row>
    <row r="348">
      <c r="A348" s="349"/>
      <c r="B348" s="349"/>
      <c r="C348" s="395"/>
      <c r="D348" s="349"/>
      <c r="E348" s="349"/>
      <c r="F348" s="349"/>
      <c r="G348" s="396"/>
      <c r="H348" s="349"/>
      <c r="I348" s="349"/>
      <c r="J348" s="349"/>
      <c r="K348" s="349"/>
      <c r="L348" s="349"/>
      <c r="M348" s="349"/>
      <c r="N348" s="349"/>
      <c r="O348" s="349"/>
      <c r="P348" s="349"/>
      <c r="Q348" s="349"/>
      <c r="R348" s="349"/>
      <c r="S348" s="349"/>
      <c r="T348" s="349"/>
      <c r="U348" s="349"/>
      <c r="V348" s="349"/>
      <c r="W348" s="349"/>
      <c r="X348" s="349"/>
      <c r="Y348" s="349"/>
      <c r="Z348" s="349"/>
    </row>
    <row r="349">
      <c r="A349" s="349"/>
      <c r="B349" s="349"/>
      <c r="C349" s="395"/>
      <c r="D349" s="349"/>
      <c r="E349" s="349"/>
      <c r="F349" s="349"/>
      <c r="G349" s="396"/>
      <c r="H349" s="349"/>
      <c r="I349" s="349"/>
      <c r="J349" s="349"/>
      <c r="K349" s="349"/>
      <c r="L349" s="349"/>
      <c r="M349" s="349"/>
      <c r="N349" s="349"/>
      <c r="O349" s="349"/>
      <c r="P349" s="349"/>
      <c r="Q349" s="349"/>
      <c r="R349" s="349"/>
      <c r="S349" s="349"/>
      <c r="T349" s="349"/>
      <c r="U349" s="349"/>
      <c r="V349" s="349"/>
      <c r="W349" s="349"/>
      <c r="X349" s="349"/>
      <c r="Y349" s="349"/>
      <c r="Z349" s="349"/>
    </row>
    <row r="350">
      <c r="A350" s="349"/>
      <c r="B350" s="349"/>
      <c r="C350" s="395"/>
      <c r="D350" s="349"/>
      <c r="E350" s="349"/>
      <c r="F350" s="349"/>
      <c r="G350" s="396"/>
      <c r="H350" s="349"/>
      <c r="I350" s="349"/>
      <c r="J350" s="349"/>
      <c r="K350" s="349"/>
      <c r="L350" s="349"/>
      <c r="M350" s="349"/>
      <c r="N350" s="349"/>
      <c r="O350" s="349"/>
      <c r="P350" s="349"/>
      <c r="Q350" s="349"/>
      <c r="R350" s="349"/>
      <c r="S350" s="349"/>
      <c r="T350" s="349"/>
      <c r="U350" s="349"/>
      <c r="V350" s="349"/>
      <c r="W350" s="349"/>
      <c r="X350" s="349"/>
      <c r="Y350" s="349"/>
      <c r="Z350" s="349"/>
    </row>
    <row r="351">
      <c r="A351" s="349"/>
      <c r="B351" s="349"/>
      <c r="C351" s="395"/>
      <c r="D351" s="349"/>
      <c r="E351" s="349"/>
      <c r="F351" s="349"/>
      <c r="G351" s="396"/>
      <c r="H351" s="349"/>
      <c r="I351" s="349"/>
      <c r="J351" s="349"/>
      <c r="K351" s="349"/>
      <c r="L351" s="349"/>
      <c r="M351" s="349"/>
      <c r="N351" s="349"/>
      <c r="O351" s="349"/>
      <c r="P351" s="349"/>
      <c r="Q351" s="349"/>
      <c r="R351" s="349"/>
      <c r="S351" s="349"/>
      <c r="T351" s="349"/>
      <c r="U351" s="349"/>
      <c r="V351" s="349"/>
      <c r="W351" s="349"/>
      <c r="X351" s="349"/>
      <c r="Y351" s="349"/>
      <c r="Z351" s="349"/>
    </row>
    <row r="352">
      <c r="A352" s="349"/>
      <c r="B352" s="349"/>
      <c r="C352" s="395"/>
      <c r="D352" s="349"/>
      <c r="E352" s="349"/>
      <c r="F352" s="349"/>
      <c r="G352" s="396"/>
      <c r="H352" s="349"/>
      <c r="I352" s="349"/>
      <c r="J352" s="349"/>
      <c r="K352" s="349"/>
      <c r="L352" s="349"/>
      <c r="M352" s="349"/>
      <c r="N352" s="349"/>
      <c r="O352" s="349"/>
      <c r="P352" s="349"/>
      <c r="Q352" s="349"/>
      <c r="R352" s="349"/>
      <c r="S352" s="349"/>
      <c r="T352" s="349"/>
      <c r="U352" s="349"/>
      <c r="V352" s="349"/>
      <c r="W352" s="349"/>
      <c r="X352" s="349"/>
      <c r="Y352" s="349"/>
      <c r="Z352" s="349"/>
    </row>
    <row r="353">
      <c r="A353" s="349"/>
      <c r="B353" s="349"/>
      <c r="C353" s="395"/>
      <c r="D353" s="349"/>
      <c r="E353" s="349"/>
      <c r="F353" s="349"/>
      <c r="G353" s="396"/>
      <c r="H353" s="349"/>
      <c r="I353" s="349"/>
      <c r="J353" s="349"/>
      <c r="K353" s="349"/>
      <c r="L353" s="349"/>
      <c r="M353" s="349"/>
      <c r="N353" s="349"/>
      <c r="O353" s="349"/>
      <c r="P353" s="349"/>
      <c r="Q353" s="349"/>
      <c r="R353" s="349"/>
      <c r="S353" s="349"/>
      <c r="T353" s="349"/>
      <c r="U353" s="349"/>
      <c r="V353" s="349"/>
      <c r="W353" s="349"/>
      <c r="X353" s="349"/>
      <c r="Y353" s="349"/>
      <c r="Z353" s="349"/>
    </row>
    <row r="354">
      <c r="A354" s="349"/>
      <c r="B354" s="349"/>
      <c r="C354" s="395"/>
      <c r="D354" s="349"/>
      <c r="E354" s="349"/>
      <c r="F354" s="349"/>
      <c r="G354" s="396"/>
      <c r="H354" s="349"/>
      <c r="I354" s="349"/>
      <c r="J354" s="349"/>
      <c r="K354" s="349"/>
      <c r="L354" s="349"/>
      <c r="M354" s="349"/>
      <c r="N354" s="349"/>
      <c r="O354" s="349"/>
      <c r="P354" s="349"/>
      <c r="Q354" s="349"/>
      <c r="R354" s="349"/>
      <c r="S354" s="349"/>
      <c r="T354" s="349"/>
      <c r="U354" s="349"/>
      <c r="V354" s="349"/>
      <c r="W354" s="349"/>
      <c r="X354" s="349"/>
      <c r="Y354" s="349"/>
      <c r="Z354" s="349"/>
    </row>
    <row r="355">
      <c r="A355" s="349"/>
      <c r="B355" s="349"/>
      <c r="C355" s="395"/>
      <c r="D355" s="349"/>
      <c r="E355" s="349"/>
      <c r="F355" s="349"/>
      <c r="G355" s="396"/>
      <c r="H355" s="349"/>
      <c r="I355" s="349"/>
      <c r="J355" s="349"/>
      <c r="K355" s="349"/>
      <c r="L355" s="349"/>
      <c r="M355" s="349"/>
      <c r="N355" s="349"/>
      <c r="O355" s="349"/>
      <c r="P355" s="349"/>
      <c r="Q355" s="349"/>
      <c r="R355" s="349"/>
      <c r="S355" s="349"/>
      <c r="T355" s="349"/>
      <c r="U355" s="349"/>
      <c r="V355" s="349"/>
      <c r="W355" s="349"/>
      <c r="X355" s="349"/>
      <c r="Y355" s="349"/>
      <c r="Z355" s="349"/>
    </row>
    <row r="356">
      <c r="A356" s="349"/>
      <c r="B356" s="349"/>
      <c r="C356" s="395"/>
      <c r="D356" s="349"/>
      <c r="E356" s="349"/>
      <c r="F356" s="349"/>
      <c r="G356" s="396"/>
      <c r="H356" s="349"/>
      <c r="I356" s="349"/>
      <c r="J356" s="349"/>
      <c r="K356" s="349"/>
      <c r="L356" s="349"/>
      <c r="M356" s="349"/>
      <c r="N356" s="349"/>
      <c r="O356" s="349"/>
      <c r="P356" s="349"/>
      <c r="Q356" s="349"/>
      <c r="R356" s="349"/>
      <c r="S356" s="349"/>
      <c r="T356" s="349"/>
      <c r="U356" s="349"/>
      <c r="V356" s="349"/>
      <c r="W356" s="349"/>
      <c r="X356" s="349"/>
      <c r="Y356" s="349"/>
      <c r="Z356" s="349"/>
    </row>
    <row r="357">
      <c r="A357" s="349"/>
      <c r="B357" s="349"/>
      <c r="C357" s="395"/>
      <c r="D357" s="349"/>
      <c r="E357" s="349"/>
      <c r="F357" s="349"/>
      <c r="G357" s="396"/>
      <c r="H357" s="349"/>
      <c r="I357" s="349"/>
      <c r="J357" s="349"/>
      <c r="K357" s="349"/>
      <c r="L357" s="349"/>
      <c r="M357" s="349"/>
      <c r="N357" s="349"/>
      <c r="O357" s="349"/>
      <c r="P357" s="349"/>
      <c r="Q357" s="349"/>
      <c r="R357" s="349"/>
      <c r="S357" s="349"/>
      <c r="T357" s="349"/>
      <c r="U357" s="349"/>
      <c r="V357" s="349"/>
      <c r="W357" s="349"/>
      <c r="X357" s="349"/>
      <c r="Y357" s="349"/>
      <c r="Z357" s="349"/>
    </row>
    <row r="358">
      <c r="A358" s="349"/>
      <c r="B358" s="349"/>
      <c r="C358" s="395"/>
      <c r="D358" s="349"/>
      <c r="E358" s="349"/>
      <c r="F358" s="349"/>
      <c r="G358" s="396"/>
      <c r="H358" s="349"/>
      <c r="I358" s="349"/>
      <c r="J358" s="349"/>
      <c r="K358" s="349"/>
      <c r="L358" s="349"/>
      <c r="M358" s="349"/>
      <c r="N358" s="349"/>
      <c r="O358" s="349"/>
      <c r="P358" s="349"/>
      <c r="Q358" s="349"/>
      <c r="R358" s="349"/>
      <c r="S358" s="349"/>
      <c r="T358" s="349"/>
      <c r="U358" s="349"/>
      <c r="V358" s="349"/>
      <c r="W358" s="349"/>
      <c r="X358" s="349"/>
      <c r="Y358" s="349"/>
      <c r="Z358" s="349"/>
    </row>
    <row r="359">
      <c r="A359" s="349"/>
      <c r="B359" s="349"/>
      <c r="C359" s="395"/>
      <c r="D359" s="349"/>
      <c r="E359" s="349"/>
      <c r="F359" s="349"/>
      <c r="G359" s="396"/>
      <c r="H359" s="349"/>
      <c r="I359" s="349"/>
      <c r="J359" s="349"/>
      <c r="K359" s="349"/>
      <c r="L359" s="349"/>
      <c r="M359" s="349"/>
      <c r="N359" s="349"/>
      <c r="O359" s="349"/>
      <c r="P359" s="349"/>
      <c r="Q359" s="349"/>
      <c r="R359" s="349"/>
      <c r="S359" s="349"/>
      <c r="T359" s="349"/>
      <c r="U359" s="349"/>
      <c r="V359" s="349"/>
      <c r="W359" s="349"/>
      <c r="X359" s="349"/>
      <c r="Y359" s="349"/>
      <c r="Z359" s="349"/>
    </row>
    <row r="360">
      <c r="A360" s="349"/>
      <c r="B360" s="349"/>
      <c r="C360" s="395"/>
      <c r="D360" s="349"/>
      <c r="E360" s="349"/>
      <c r="F360" s="349"/>
      <c r="G360" s="396"/>
      <c r="H360" s="349"/>
      <c r="I360" s="349"/>
      <c r="J360" s="349"/>
      <c r="K360" s="349"/>
      <c r="L360" s="349"/>
      <c r="M360" s="349"/>
      <c r="N360" s="349"/>
      <c r="O360" s="349"/>
      <c r="P360" s="349"/>
      <c r="Q360" s="349"/>
      <c r="R360" s="349"/>
      <c r="S360" s="349"/>
      <c r="T360" s="349"/>
      <c r="U360" s="349"/>
      <c r="V360" s="349"/>
      <c r="W360" s="349"/>
      <c r="X360" s="349"/>
      <c r="Y360" s="349"/>
      <c r="Z360" s="349"/>
    </row>
    <row r="361">
      <c r="A361" s="349"/>
      <c r="B361" s="349"/>
      <c r="C361" s="395"/>
      <c r="D361" s="349"/>
      <c r="E361" s="349"/>
      <c r="F361" s="349"/>
      <c r="G361" s="396"/>
      <c r="H361" s="349"/>
      <c r="I361" s="349"/>
      <c r="J361" s="349"/>
      <c r="K361" s="349"/>
      <c r="L361" s="349"/>
      <c r="M361" s="349"/>
      <c r="N361" s="349"/>
      <c r="O361" s="349"/>
      <c r="P361" s="349"/>
      <c r="Q361" s="349"/>
      <c r="R361" s="349"/>
      <c r="S361" s="349"/>
      <c r="T361" s="349"/>
      <c r="U361" s="349"/>
      <c r="V361" s="349"/>
      <c r="W361" s="349"/>
      <c r="X361" s="349"/>
      <c r="Y361" s="349"/>
      <c r="Z361" s="349"/>
    </row>
    <row r="362">
      <c r="A362" s="349"/>
      <c r="B362" s="349"/>
      <c r="C362" s="395"/>
      <c r="D362" s="349"/>
      <c r="E362" s="349"/>
      <c r="F362" s="349"/>
      <c r="G362" s="396"/>
      <c r="H362" s="349"/>
      <c r="I362" s="349"/>
      <c r="J362" s="349"/>
      <c r="K362" s="349"/>
      <c r="L362" s="349"/>
      <c r="M362" s="349"/>
      <c r="N362" s="349"/>
      <c r="O362" s="349"/>
      <c r="P362" s="349"/>
      <c r="Q362" s="349"/>
      <c r="R362" s="349"/>
      <c r="S362" s="349"/>
      <c r="T362" s="349"/>
      <c r="U362" s="349"/>
      <c r="V362" s="349"/>
      <c r="W362" s="349"/>
      <c r="X362" s="349"/>
      <c r="Y362" s="349"/>
      <c r="Z362" s="349"/>
    </row>
    <row r="363">
      <c r="A363" s="349"/>
      <c r="B363" s="349"/>
      <c r="C363" s="395"/>
      <c r="D363" s="349"/>
      <c r="E363" s="349"/>
      <c r="F363" s="349"/>
      <c r="G363" s="396"/>
      <c r="H363" s="349"/>
      <c r="I363" s="349"/>
      <c r="J363" s="349"/>
      <c r="K363" s="349"/>
      <c r="L363" s="349"/>
      <c r="M363" s="349"/>
      <c r="N363" s="349"/>
      <c r="O363" s="349"/>
      <c r="P363" s="349"/>
      <c r="Q363" s="349"/>
      <c r="R363" s="349"/>
      <c r="S363" s="349"/>
      <c r="T363" s="349"/>
      <c r="U363" s="349"/>
      <c r="V363" s="349"/>
      <c r="W363" s="349"/>
      <c r="X363" s="349"/>
      <c r="Y363" s="349"/>
      <c r="Z363" s="349"/>
    </row>
    <row r="364">
      <c r="A364" s="349"/>
      <c r="B364" s="349"/>
      <c r="C364" s="395"/>
      <c r="D364" s="349"/>
      <c r="E364" s="349"/>
      <c r="F364" s="349"/>
      <c r="G364" s="396"/>
      <c r="H364" s="349"/>
      <c r="I364" s="349"/>
      <c r="J364" s="349"/>
      <c r="K364" s="349"/>
      <c r="L364" s="349"/>
      <c r="M364" s="349"/>
      <c r="N364" s="349"/>
      <c r="O364" s="349"/>
      <c r="P364" s="349"/>
      <c r="Q364" s="349"/>
      <c r="R364" s="349"/>
      <c r="S364" s="349"/>
      <c r="T364" s="349"/>
      <c r="U364" s="349"/>
      <c r="V364" s="349"/>
      <c r="W364" s="349"/>
      <c r="X364" s="349"/>
      <c r="Y364" s="349"/>
      <c r="Z364" s="349"/>
    </row>
    <row r="365">
      <c r="A365" s="349"/>
      <c r="B365" s="349"/>
      <c r="C365" s="395"/>
      <c r="D365" s="349"/>
      <c r="E365" s="349"/>
      <c r="F365" s="349"/>
      <c r="G365" s="396"/>
      <c r="H365" s="349"/>
      <c r="I365" s="349"/>
      <c r="J365" s="349"/>
      <c r="K365" s="349"/>
      <c r="L365" s="349"/>
      <c r="M365" s="349"/>
      <c r="N365" s="349"/>
      <c r="O365" s="349"/>
      <c r="P365" s="349"/>
      <c r="Q365" s="349"/>
      <c r="R365" s="349"/>
      <c r="S365" s="349"/>
      <c r="T365" s="349"/>
      <c r="U365" s="349"/>
      <c r="V365" s="349"/>
      <c r="W365" s="349"/>
      <c r="X365" s="349"/>
      <c r="Y365" s="349"/>
      <c r="Z365" s="349"/>
    </row>
    <row r="366">
      <c r="A366" s="349"/>
      <c r="B366" s="349"/>
      <c r="C366" s="395"/>
      <c r="D366" s="349"/>
      <c r="E366" s="349"/>
      <c r="F366" s="349"/>
      <c r="G366" s="396"/>
      <c r="H366" s="349"/>
      <c r="I366" s="349"/>
      <c r="J366" s="349"/>
      <c r="K366" s="349"/>
      <c r="L366" s="349"/>
      <c r="M366" s="349"/>
      <c r="N366" s="349"/>
      <c r="O366" s="349"/>
      <c r="P366" s="349"/>
      <c r="Q366" s="349"/>
      <c r="R366" s="349"/>
      <c r="S366" s="349"/>
      <c r="T366" s="349"/>
      <c r="U366" s="349"/>
      <c r="V366" s="349"/>
      <c r="W366" s="349"/>
      <c r="X366" s="349"/>
      <c r="Y366" s="349"/>
      <c r="Z366" s="349"/>
    </row>
    <row r="367">
      <c r="A367" s="349"/>
      <c r="B367" s="349"/>
      <c r="C367" s="395"/>
      <c r="D367" s="349"/>
      <c r="E367" s="349"/>
      <c r="F367" s="349"/>
      <c r="G367" s="396"/>
      <c r="H367" s="349"/>
      <c r="I367" s="349"/>
      <c r="J367" s="349"/>
      <c r="K367" s="349"/>
      <c r="L367" s="349"/>
      <c r="M367" s="349"/>
      <c r="N367" s="349"/>
      <c r="O367" s="349"/>
      <c r="P367" s="349"/>
      <c r="Q367" s="349"/>
      <c r="R367" s="349"/>
      <c r="S367" s="349"/>
      <c r="T367" s="349"/>
      <c r="U367" s="349"/>
      <c r="V367" s="349"/>
      <c r="W367" s="349"/>
      <c r="X367" s="349"/>
      <c r="Y367" s="349"/>
      <c r="Z367" s="349"/>
    </row>
    <row r="368">
      <c r="A368" s="349"/>
      <c r="B368" s="349"/>
      <c r="C368" s="395"/>
      <c r="D368" s="349"/>
      <c r="E368" s="349"/>
      <c r="F368" s="349"/>
      <c r="G368" s="396"/>
      <c r="H368" s="349"/>
      <c r="I368" s="349"/>
      <c r="J368" s="349"/>
      <c r="K368" s="349"/>
      <c r="L368" s="349"/>
      <c r="M368" s="349"/>
      <c r="N368" s="349"/>
      <c r="O368" s="349"/>
      <c r="P368" s="349"/>
      <c r="Q368" s="349"/>
      <c r="R368" s="349"/>
      <c r="S368" s="349"/>
      <c r="T368" s="349"/>
      <c r="U368" s="349"/>
      <c r="V368" s="349"/>
      <c r="W368" s="349"/>
      <c r="X368" s="349"/>
      <c r="Y368" s="349"/>
      <c r="Z368" s="349"/>
    </row>
    <row r="369">
      <c r="A369" s="349"/>
      <c r="B369" s="349"/>
      <c r="C369" s="395"/>
      <c r="D369" s="349"/>
      <c r="E369" s="349"/>
      <c r="F369" s="349"/>
      <c r="G369" s="396"/>
      <c r="H369" s="349"/>
      <c r="I369" s="349"/>
      <c r="J369" s="349"/>
      <c r="K369" s="349"/>
      <c r="L369" s="349"/>
      <c r="M369" s="349"/>
      <c r="N369" s="349"/>
      <c r="O369" s="349"/>
      <c r="P369" s="349"/>
      <c r="Q369" s="349"/>
      <c r="R369" s="349"/>
      <c r="S369" s="349"/>
      <c r="T369" s="349"/>
      <c r="U369" s="349"/>
      <c r="V369" s="349"/>
      <c r="W369" s="349"/>
      <c r="X369" s="349"/>
      <c r="Y369" s="349"/>
      <c r="Z369" s="349"/>
    </row>
    <row r="370">
      <c r="A370" s="349"/>
      <c r="B370" s="349"/>
      <c r="C370" s="395"/>
      <c r="D370" s="349"/>
      <c r="E370" s="349"/>
      <c r="F370" s="349"/>
      <c r="G370" s="396"/>
      <c r="H370" s="349"/>
      <c r="I370" s="349"/>
      <c r="J370" s="349"/>
      <c r="K370" s="349"/>
      <c r="L370" s="349"/>
      <c r="M370" s="349"/>
      <c r="N370" s="349"/>
      <c r="O370" s="349"/>
      <c r="P370" s="349"/>
      <c r="Q370" s="349"/>
      <c r="R370" s="349"/>
      <c r="S370" s="349"/>
      <c r="T370" s="349"/>
      <c r="U370" s="349"/>
      <c r="V370" s="349"/>
      <c r="W370" s="349"/>
      <c r="X370" s="349"/>
      <c r="Y370" s="349"/>
      <c r="Z370" s="349"/>
    </row>
    <row r="371">
      <c r="A371" s="349"/>
      <c r="B371" s="349"/>
      <c r="C371" s="395"/>
      <c r="D371" s="349"/>
      <c r="E371" s="349"/>
      <c r="F371" s="349"/>
      <c r="G371" s="396"/>
      <c r="H371" s="349"/>
      <c r="I371" s="349"/>
      <c r="J371" s="349"/>
      <c r="K371" s="349"/>
      <c r="L371" s="349"/>
      <c r="M371" s="349"/>
      <c r="N371" s="349"/>
      <c r="O371" s="349"/>
      <c r="P371" s="349"/>
      <c r="Q371" s="349"/>
      <c r="R371" s="349"/>
      <c r="S371" s="349"/>
      <c r="T371" s="349"/>
      <c r="U371" s="349"/>
      <c r="V371" s="349"/>
      <c r="W371" s="349"/>
      <c r="X371" s="349"/>
      <c r="Y371" s="349"/>
      <c r="Z371" s="349"/>
    </row>
    <row r="372">
      <c r="A372" s="349"/>
      <c r="B372" s="349"/>
      <c r="C372" s="395"/>
      <c r="D372" s="349"/>
      <c r="E372" s="349"/>
      <c r="F372" s="349"/>
      <c r="G372" s="396"/>
      <c r="H372" s="349"/>
      <c r="I372" s="349"/>
      <c r="J372" s="349"/>
      <c r="K372" s="349"/>
      <c r="L372" s="349"/>
      <c r="M372" s="349"/>
      <c r="N372" s="349"/>
      <c r="O372" s="349"/>
      <c r="P372" s="349"/>
      <c r="Q372" s="349"/>
      <c r="R372" s="349"/>
      <c r="S372" s="349"/>
      <c r="T372" s="349"/>
      <c r="U372" s="349"/>
      <c r="V372" s="349"/>
      <c r="W372" s="349"/>
      <c r="X372" s="349"/>
      <c r="Y372" s="349"/>
      <c r="Z372" s="349"/>
    </row>
    <row r="373">
      <c r="A373" s="349"/>
      <c r="B373" s="349"/>
      <c r="C373" s="395"/>
      <c r="D373" s="349"/>
      <c r="E373" s="349"/>
      <c r="F373" s="349"/>
      <c r="G373" s="396"/>
      <c r="H373" s="349"/>
      <c r="I373" s="349"/>
      <c r="J373" s="349"/>
      <c r="K373" s="349"/>
      <c r="L373" s="349"/>
      <c r="M373" s="349"/>
      <c r="N373" s="349"/>
      <c r="O373" s="349"/>
      <c r="P373" s="349"/>
      <c r="Q373" s="349"/>
      <c r="R373" s="349"/>
      <c r="S373" s="349"/>
      <c r="T373" s="349"/>
      <c r="U373" s="349"/>
      <c r="V373" s="349"/>
      <c r="W373" s="349"/>
      <c r="X373" s="349"/>
      <c r="Y373" s="349"/>
      <c r="Z373" s="349"/>
    </row>
    <row r="374">
      <c r="A374" s="349"/>
      <c r="B374" s="349"/>
      <c r="C374" s="395"/>
      <c r="D374" s="349"/>
      <c r="E374" s="349"/>
      <c r="F374" s="349"/>
      <c r="G374" s="396"/>
      <c r="H374" s="349"/>
      <c r="I374" s="349"/>
      <c r="J374" s="349"/>
      <c r="K374" s="349"/>
      <c r="L374" s="349"/>
      <c r="M374" s="349"/>
      <c r="N374" s="349"/>
      <c r="O374" s="349"/>
      <c r="P374" s="349"/>
      <c r="Q374" s="349"/>
      <c r="R374" s="349"/>
      <c r="S374" s="349"/>
      <c r="T374" s="349"/>
      <c r="U374" s="349"/>
      <c r="V374" s="349"/>
      <c r="W374" s="349"/>
      <c r="X374" s="349"/>
      <c r="Y374" s="349"/>
      <c r="Z374" s="349"/>
    </row>
    <row r="375">
      <c r="A375" s="349"/>
      <c r="B375" s="349"/>
      <c r="C375" s="395"/>
      <c r="D375" s="349"/>
      <c r="E375" s="349"/>
      <c r="F375" s="349"/>
      <c r="G375" s="396"/>
      <c r="H375" s="349"/>
      <c r="I375" s="349"/>
      <c r="J375" s="349"/>
      <c r="K375" s="349"/>
      <c r="L375" s="349"/>
      <c r="M375" s="349"/>
      <c r="N375" s="349"/>
      <c r="O375" s="349"/>
      <c r="P375" s="349"/>
      <c r="Q375" s="349"/>
      <c r="R375" s="349"/>
      <c r="S375" s="349"/>
      <c r="T375" s="349"/>
      <c r="U375" s="349"/>
      <c r="V375" s="349"/>
      <c r="W375" s="349"/>
      <c r="X375" s="349"/>
      <c r="Y375" s="349"/>
      <c r="Z375" s="349"/>
    </row>
    <row r="376">
      <c r="A376" s="349"/>
      <c r="B376" s="349"/>
      <c r="C376" s="395"/>
      <c r="D376" s="349"/>
      <c r="E376" s="349"/>
      <c r="F376" s="349"/>
      <c r="G376" s="396"/>
      <c r="H376" s="349"/>
      <c r="I376" s="349"/>
      <c r="J376" s="349"/>
      <c r="K376" s="349"/>
      <c r="L376" s="349"/>
      <c r="M376" s="349"/>
      <c r="N376" s="349"/>
      <c r="O376" s="349"/>
      <c r="P376" s="349"/>
      <c r="Q376" s="349"/>
      <c r="R376" s="349"/>
      <c r="S376" s="349"/>
      <c r="T376" s="349"/>
      <c r="U376" s="349"/>
      <c r="V376" s="349"/>
      <c r="W376" s="349"/>
      <c r="X376" s="349"/>
      <c r="Y376" s="349"/>
      <c r="Z376" s="349"/>
    </row>
    <row r="377">
      <c r="A377" s="349"/>
      <c r="B377" s="349"/>
      <c r="C377" s="395"/>
      <c r="D377" s="349"/>
      <c r="E377" s="349"/>
      <c r="F377" s="349"/>
      <c r="G377" s="396"/>
      <c r="H377" s="349"/>
      <c r="I377" s="349"/>
      <c r="J377" s="349"/>
      <c r="K377" s="349"/>
      <c r="L377" s="349"/>
      <c r="M377" s="349"/>
      <c r="N377" s="349"/>
      <c r="O377" s="349"/>
      <c r="P377" s="349"/>
      <c r="Q377" s="349"/>
      <c r="R377" s="349"/>
      <c r="S377" s="349"/>
      <c r="T377" s="349"/>
      <c r="U377" s="349"/>
      <c r="V377" s="349"/>
      <c r="W377" s="349"/>
      <c r="X377" s="349"/>
      <c r="Y377" s="349"/>
      <c r="Z377" s="349"/>
    </row>
    <row r="378">
      <c r="A378" s="349"/>
      <c r="B378" s="349"/>
      <c r="C378" s="395"/>
      <c r="D378" s="349"/>
      <c r="E378" s="349"/>
      <c r="F378" s="349"/>
      <c r="G378" s="396"/>
      <c r="H378" s="349"/>
      <c r="I378" s="349"/>
      <c r="J378" s="349"/>
      <c r="K378" s="349"/>
      <c r="L378" s="349"/>
      <c r="M378" s="349"/>
      <c r="N378" s="349"/>
      <c r="O378" s="349"/>
      <c r="P378" s="349"/>
      <c r="Q378" s="349"/>
      <c r="R378" s="349"/>
      <c r="S378" s="349"/>
      <c r="T378" s="349"/>
      <c r="U378" s="349"/>
      <c r="V378" s="349"/>
      <c r="W378" s="349"/>
      <c r="X378" s="349"/>
      <c r="Y378" s="349"/>
      <c r="Z378" s="349"/>
    </row>
    <row r="379">
      <c r="A379" s="349"/>
      <c r="B379" s="349"/>
      <c r="C379" s="395"/>
      <c r="D379" s="349"/>
      <c r="E379" s="349"/>
      <c r="F379" s="349"/>
      <c r="G379" s="396"/>
      <c r="H379" s="349"/>
      <c r="I379" s="349"/>
      <c r="J379" s="349"/>
      <c r="K379" s="349"/>
      <c r="L379" s="349"/>
      <c r="M379" s="349"/>
      <c r="N379" s="349"/>
      <c r="O379" s="349"/>
      <c r="P379" s="349"/>
      <c r="Q379" s="349"/>
      <c r="R379" s="349"/>
      <c r="S379" s="349"/>
      <c r="T379" s="349"/>
      <c r="U379" s="349"/>
      <c r="V379" s="349"/>
      <c r="W379" s="349"/>
      <c r="X379" s="349"/>
      <c r="Y379" s="349"/>
      <c r="Z379" s="349"/>
    </row>
    <row r="380">
      <c r="A380" s="349"/>
      <c r="B380" s="349"/>
      <c r="C380" s="395"/>
      <c r="D380" s="349"/>
      <c r="E380" s="349"/>
      <c r="F380" s="349"/>
      <c r="G380" s="396"/>
      <c r="H380" s="349"/>
      <c r="I380" s="349"/>
      <c r="J380" s="349"/>
      <c r="K380" s="349"/>
      <c r="L380" s="349"/>
      <c r="M380" s="349"/>
      <c r="N380" s="349"/>
      <c r="O380" s="349"/>
      <c r="P380" s="349"/>
      <c r="Q380" s="349"/>
      <c r="R380" s="349"/>
      <c r="S380" s="349"/>
      <c r="T380" s="349"/>
      <c r="U380" s="349"/>
      <c r="V380" s="349"/>
      <c r="W380" s="349"/>
      <c r="X380" s="349"/>
      <c r="Y380" s="349"/>
      <c r="Z380" s="349"/>
    </row>
    <row r="381">
      <c r="A381" s="349"/>
      <c r="B381" s="349"/>
      <c r="C381" s="395"/>
      <c r="D381" s="349"/>
      <c r="E381" s="349"/>
      <c r="F381" s="349"/>
      <c r="G381" s="396"/>
      <c r="H381" s="349"/>
      <c r="I381" s="349"/>
      <c r="J381" s="349"/>
      <c r="K381" s="349"/>
      <c r="L381" s="349"/>
      <c r="M381" s="349"/>
      <c r="N381" s="349"/>
      <c r="O381" s="349"/>
      <c r="P381" s="349"/>
      <c r="Q381" s="349"/>
      <c r="R381" s="349"/>
      <c r="S381" s="349"/>
      <c r="T381" s="349"/>
      <c r="U381" s="349"/>
      <c r="V381" s="349"/>
      <c r="W381" s="349"/>
      <c r="X381" s="349"/>
      <c r="Y381" s="349"/>
      <c r="Z381" s="349"/>
    </row>
    <row r="382">
      <c r="A382" s="349"/>
      <c r="B382" s="349"/>
      <c r="C382" s="395"/>
      <c r="D382" s="349"/>
      <c r="E382" s="349"/>
      <c r="F382" s="349"/>
      <c r="G382" s="396"/>
      <c r="H382" s="349"/>
      <c r="I382" s="349"/>
      <c r="J382" s="349"/>
      <c r="K382" s="349"/>
      <c r="L382" s="349"/>
      <c r="M382" s="349"/>
      <c r="N382" s="349"/>
      <c r="O382" s="349"/>
      <c r="P382" s="349"/>
      <c r="Q382" s="349"/>
      <c r="R382" s="349"/>
      <c r="S382" s="349"/>
      <c r="T382" s="349"/>
      <c r="U382" s="349"/>
      <c r="V382" s="349"/>
      <c r="W382" s="349"/>
      <c r="X382" s="349"/>
      <c r="Y382" s="349"/>
      <c r="Z382" s="349"/>
    </row>
    <row r="383">
      <c r="A383" s="349"/>
      <c r="B383" s="349"/>
      <c r="C383" s="395"/>
      <c r="D383" s="349"/>
      <c r="E383" s="349"/>
      <c r="F383" s="349"/>
      <c r="G383" s="396"/>
      <c r="H383" s="349"/>
      <c r="I383" s="349"/>
      <c r="J383" s="349"/>
      <c r="K383" s="349"/>
      <c r="L383" s="349"/>
      <c r="M383" s="349"/>
      <c r="N383" s="349"/>
      <c r="O383" s="349"/>
      <c r="P383" s="349"/>
      <c r="Q383" s="349"/>
      <c r="R383" s="349"/>
      <c r="S383" s="349"/>
      <c r="T383" s="349"/>
      <c r="U383" s="349"/>
      <c r="V383" s="349"/>
      <c r="W383" s="349"/>
      <c r="X383" s="349"/>
      <c r="Y383" s="349"/>
      <c r="Z383" s="349"/>
    </row>
    <row r="384">
      <c r="A384" s="349"/>
      <c r="B384" s="349"/>
      <c r="C384" s="395"/>
      <c r="D384" s="349"/>
      <c r="E384" s="349"/>
      <c r="F384" s="349"/>
      <c r="G384" s="396"/>
      <c r="H384" s="349"/>
      <c r="I384" s="349"/>
      <c r="J384" s="349"/>
      <c r="K384" s="349"/>
      <c r="L384" s="349"/>
      <c r="M384" s="349"/>
      <c r="N384" s="349"/>
      <c r="O384" s="349"/>
      <c r="P384" s="349"/>
      <c r="Q384" s="349"/>
      <c r="R384" s="349"/>
      <c r="S384" s="349"/>
      <c r="T384" s="349"/>
      <c r="U384" s="349"/>
      <c r="V384" s="349"/>
      <c r="W384" s="349"/>
      <c r="X384" s="349"/>
      <c r="Y384" s="349"/>
      <c r="Z384" s="349"/>
    </row>
    <row r="385">
      <c r="A385" s="349"/>
      <c r="B385" s="349"/>
      <c r="C385" s="395"/>
      <c r="D385" s="349"/>
      <c r="E385" s="349"/>
      <c r="F385" s="349"/>
      <c r="G385" s="396"/>
      <c r="H385" s="349"/>
      <c r="I385" s="349"/>
      <c r="J385" s="349"/>
      <c r="K385" s="349"/>
      <c r="L385" s="349"/>
      <c r="M385" s="349"/>
      <c r="N385" s="349"/>
      <c r="O385" s="349"/>
      <c r="P385" s="349"/>
      <c r="Q385" s="349"/>
      <c r="R385" s="349"/>
      <c r="S385" s="349"/>
      <c r="T385" s="349"/>
      <c r="U385" s="349"/>
      <c r="V385" s="349"/>
      <c r="W385" s="349"/>
      <c r="X385" s="349"/>
      <c r="Y385" s="349"/>
      <c r="Z385" s="349"/>
    </row>
    <row r="386">
      <c r="A386" s="349"/>
      <c r="B386" s="349"/>
      <c r="C386" s="395"/>
      <c r="D386" s="349"/>
      <c r="E386" s="349"/>
      <c r="F386" s="349"/>
      <c r="G386" s="396"/>
      <c r="H386" s="349"/>
      <c r="I386" s="349"/>
      <c r="J386" s="349"/>
      <c r="K386" s="349"/>
      <c r="L386" s="349"/>
      <c r="M386" s="349"/>
      <c r="N386" s="349"/>
      <c r="O386" s="349"/>
      <c r="P386" s="349"/>
      <c r="Q386" s="349"/>
      <c r="R386" s="349"/>
      <c r="S386" s="349"/>
      <c r="T386" s="349"/>
      <c r="U386" s="349"/>
      <c r="V386" s="349"/>
      <c r="W386" s="349"/>
      <c r="X386" s="349"/>
      <c r="Y386" s="349"/>
      <c r="Z386" s="349"/>
    </row>
    <row r="387">
      <c r="A387" s="349"/>
      <c r="B387" s="349"/>
      <c r="C387" s="395"/>
      <c r="D387" s="349"/>
      <c r="E387" s="349"/>
      <c r="F387" s="349"/>
      <c r="G387" s="396"/>
      <c r="H387" s="349"/>
      <c r="I387" s="349"/>
      <c r="J387" s="349"/>
      <c r="K387" s="349"/>
      <c r="L387" s="349"/>
      <c r="M387" s="349"/>
      <c r="N387" s="349"/>
      <c r="O387" s="349"/>
      <c r="P387" s="349"/>
      <c r="Q387" s="349"/>
      <c r="R387" s="349"/>
      <c r="S387" s="349"/>
      <c r="T387" s="349"/>
      <c r="U387" s="349"/>
      <c r="V387" s="349"/>
      <c r="W387" s="349"/>
      <c r="X387" s="349"/>
      <c r="Y387" s="349"/>
      <c r="Z387" s="349"/>
    </row>
    <row r="388">
      <c r="A388" s="349"/>
      <c r="B388" s="349"/>
      <c r="C388" s="395"/>
      <c r="D388" s="349"/>
      <c r="E388" s="349"/>
      <c r="F388" s="349"/>
      <c r="G388" s="396"/>
      <c r="H388" s="349"/>
      <c r="I388" s="349"/>
      <c r="J388" s="349"/>
      <c r="K388" s="349"/>
      <c r="L388" s="349"/>
      <c r="M388" s="349"/>
      <c r="N388" s="349"/>
      <c r="O388" s="349"/>
      <c r="P388" s="349"/>
      <c r="Q388" s="349"/>
      <c r="R388" s="349"/>
      <c r="S388" s="349"/>
      <c r="T388" s="349"/>
      <c r="U388" s="349"/>
      <c r="V388" s="349"/>
      <c r="W388" s="349"/>
      <c r="X388" s="349"/>
      <c r="Y388" s="349"/>
      <c r="Z388" s="349"/>
    </row>
    <row r="389">
      <c r="A389" s="349"/>
      <c r="B389" s="349"/>
      <c r="C389" s="395"/>
      <c r="D389" s="349"/>
      <c r="E389" s="349"/>
      <c r="F389" s="349"/>
      <c r="G389" s="396"/>
      <c r="H389" s="349"/>
      <c r="I389" s="349"/>
      <c r="J389" s="349"/>
      <c r="K389" s="349"/>
      <c r="L389" s="349"/>
      <c r="M389" s="349"/>
      <c r="N389" s="349"/>
      <c r="O389" s="349"/>
      <c r="P389" s="349"/>
      <c r="Q389" s="349"/>
      <c r="R389" s="349"/>
      <c r="S389" s="349"/>
      <c r="T389" s="349"/>
      <c r="U389" s="349"/>
      <c r="V389" s="349"/>
      <c r="W389" s="349"/>
      <c r="X389" s="349"/>
      <c r="Y389" s="349"/>
      <c r="Z389" s="349"/>
    </row>
    <row r="390">
      <c r="A390" s="349"/>
      <c r="B390" s="349"/>
      <c r="C390" s="395"/>
      <c r="D390" s="349"/>
      <c r="E390" s="349"/>
      <c r="F390" s="349"/>
      <c r="G390" s="396"/>
      <c r="H390" s="349"/>
      <c r="I390" s="349"/>
      <c r="J390" s="349"/>
      <c r="K390" s="349"/>
      <c r="L390" s="349"/>
      <c r="M390" s="349"/>
      <c r="N390" s="349"/>
      <c r="O390" s="349"/>
      <c r="P390" s="349"/>
      <c r="Q390" s="349"/>
      <c r="R390" s="349"/>
      <c r="S390" s="349"/>
      <c r="T390" s="349"/>
      <c r="U390" s="349"/>
      <c r="V390" s="349"/>
      <c r="W390" s="349"/>
      <c r="X390" s="349"/>
      <c r="Y390" s="349"/>
      <c r="Z390" s="349"/>
    </row>
    <row r="391">
      <c r="A391" s="349"/>
      <c r="B391" s="349"/>
      <c r="C391" s="395"/>
      <c r="D391" s="349"/>
      <c r="E391" s="349"/>
      <c r="F391" s="349"/>
      <c r="G391" s="396"/>
      <c r="H391" s="349"/>
      <c r="I391" s="349"/>
      <c r="J391" s="349"/>
      <c r="K391" s="349"/>
      <c r="L391" s="349"/>
      <c r="M391" s="349"/>
      <c r="N391" s="349"/>
      <c r="O391" s="349"/>
      <c r="P391" s="349"/>
      <c r="Q391" s="349"/>
      <c r="R391" s="349"/>
      <c r="S391" s="349"/>
      <c r="T391" s="349"/>
      <c r="U391" s="349"/>
      <c r="V391" s="349"/>
      <c r="W391" s="349"/>
      <c r="X391" s="349"/>
      <c r="Y391" s="349"/>
      <c r="Z391" s="349"/>
    </row>
    <row r="392">
      <c r="A392" s="349"/>
      <c r="B392" s="349"/>
      <c r="C392" s="395"/>
      <c r="D392" s="349"/>
      <c r="E392" s="349"/>
      <c r="F392" s="349"/>
      <c r="G392" s="396"/>
      <c r="H392" s="349"/>
      <c r="I392" s="349"/>
      <c r="J392" s="349"/>
      <c r="K392" s="349"/>
      <c r="L392" s="349"/>
      <c r="M392" s="349"/>
      <c r="N392" s="349"/>
      <c r="O392" s="349"/>
      <c r="P392" s="349"/>
      <c r="Q392" s="349"/>
      <c r="R392" s="349"/>
      <c r="S392" s="349"/>
      <c r="T392" s="349"/>
      <c r="U392" s="349"/>
      <c r="V392" s="349"/>
      <c r="W392" s="349"/>
      <c r="X392" s="349"/>
      <c r="Y392" s="349"/>
      <c r="Z392" s="349"/>
    </row>
    <row r="393">
      <c r="A393" s="349"/>
      <c r="B393" s="349"/>
      <c r="C393" s="395"/>
      <c r="D393" s="349"/>
      <c r="E393" s="349"/>
      <c r="F393" s="349"/>
      <c r="G393" s="396"/>
      <c r="H393" s="349"/>
      <c r="I393" s="349"/>
      <c r="J393" s="349"/>
      <c r="K393" s="349"/>
      <c r="L393" s="349"/>
      <c r="M393" s="349"/>
      <c r="N393" s="349"/>
      <c r="O393" s="349"/>
      <c r="P393" s="349"/>
      <c r="Q393" s="349"/>
      <c r="R393" s="349"/>
      <c r="S393" s="349"/>
      <c r="T393" s="349"/>
      <c r="U393" s="349"/>
      <c r="V393" s="349"/>
      <c r="W393" s="349"/>
      <c r="X393" s="349"/>
      <c r="Y393" s="349"/>
      <c r="Z393" s="349"/>
    </row>
    <row r="394">
      <c r="A394" s="349"/>
      <c r="B394" s="349"/>
      <c r="C394" s="395"/>
      <c r="D394" s="349"/>
      <c r="E394" s="349"/>
      <c r="F394" s="349"/>
      <c r="G394" s="396"/>
      <c r="H394" s="349"/>
      <c r="I394" s="349"/>
      <c r="J394" s="349"/>
      <c r="K394" s="349"/>
      <c r="L394" s="349"/>
      <c r="M394" s="349"/>
      <c r="N394" s="349"/>
      <c r="O394" s="349"/>
      <c r="P394" s="349"/>
      <c r="Q394" s="349"/>
      <c r="R394" s="349"/>
      <c r="S394" s="349"/>
      <c r="T394" s="349"/>
      <c r="U394" s="349"/>
      <c r="V394" s="349"/>
      <c r="W394" s="349"/>
      <c r="X394" s="349"/>
      <c r="Y394" s="349"/>
      <c r="Z394" s="349"/>
    </row>
    <row r="395">
      <c r="A395" s="349"/>
      <c r="B395" s="349"/>
      <c r="C395" s="395"/>
      <c r="D395" s="349"/>
      <c r="E395" s="349"/>
      <c r="F395" s="349"/>
      <c r="G395" s="396"/>
      <c r="H395" s="349"/>
      <c r="I395" s="349"/>
      <c r="J395" s="349"/>
      <c r="K395" s="349"/>
      <c r="L395" s="349"/>
      <c r="M395" s="349"/>
      <c r="N395" s="349"/>
      <c r="O395" s="349"/>
      <c r="P395" s="349"/>
      <c r="Q395" s="349"/>
      <c r="R395" s="349"/>
      <c r="S395" s="349"/>
      <c r="T395" s="349"/>
      <c r="U395" s="349"/>
      <c r="V395" s="349"/>
      <c r="W395" s="349"/>
      <c r="X395" s="349"/>
      <c r="Y395" s="349"/>
      <c r="Z395" s="349"/>
    </row>
    <row r="396">
      <c r="A396" s="349"/>
      <c r="B396" s="349"/>
      <c r="C396" s="395"/>
      <c r="D396" s="349"/>
      <c r="E396" s="349"/>
      <c r="F396" s="349"/>
      <c r="G396" s="396"/>
      <c r="H396" s="349"/>
      <c r="I396" s="349"/>
      <c r="J396" s="349"/>
      <c r="K396" s="349"/>
      <c r="L396" s="349"/>
      <c r="M396" s="349"/>
      <c r="N396" s="349"/>
      <c r="O396" s="349"/>
      <c r="P396" s="349"/>
      <c r="Q396" s="349"/>
      <c r="R396" s="349"/>
      <c r="S396" s="349"/>
      <c r="T396" s="349"/>
      <c r="U396" s="349"/>
      <c r="V396" s="349"/>
      <c r="W396" s="349"/>
      <c r="X396" s="349"/>
      <c r="Y396" s="349"/>
      <c r="Z396" s="349"/>
    </row>
    <row r="397">
      <c r="A397" s="349"/>
      <c r="B397" s="349"/>
      <c r="C397" s="395"/>
      <c r="D397" s="349"/>
      <c r="E397" s="349"/>
      <c r="F397" s="349"/>
      <c r="G397" s="396"/>
      <c r="H397" s="349"/>
      <c r="I397" s="349"/>
      <c r="J397" s="349"/>
      <c r="K397" s="349"/>
      <c r="L397" s="349"/>
      <c r="M397" s="349"/>
      <c r="N397" s="349"/>
      <c r="O397" s="349"/>
      <c r="P397" s="349"/>
      <c r="Q397" s="349"/>
      <c r="R397" s="349"/>
      <c r="S397" s="349"/>
      <c r="T397" s="349"/>
      <c r="U397" s="349"/>
      <c r="V397" s="349"/>
      <c r="W397" s="349"/>
      <c r="X397" s="349"/>
      <c r="Y397" s="349"/>
      <c r="Z397" s="349"/>
    </row>
    <row r="398">
      <c r="A398" s="349"/>
      <c r="B398" s="349"/>
      <c r="C398" s="395"/>
      <c r="D398" s="349"/>
      <c r="E398" s="349"/>
      <c r="F398" s="349"/>
      <c r="G398" s="396"/>
      <c r="H398" s="349"/>
      <c r="I398" s="349"/>
      <c r="J398" s="349"/>
      <c r="K398" s="349"/>
      <c r="L398" s="349"/>
      <c r="M398" s="349"/>
      <c r="N398" s="349"/>
      <c r="O398" s="349"/>
      <c r="P398" s="349"/>
      <c r="Q398" s="349"/>
      <c r="R398" s="349"/>
      <c r="S398" s="349"/>
      <c r="T398" s="349"/>
      <c r="U398" s="349"/>
      <c r="V398" s="349"/>
      <c r="W398" s="349"/>
      <c r="X398" s="349"/>
      <c r="Y398" s="349"/>
      <c r="Z398" s="349"/>
    </row>
    <row r="399">
      <c r="A399" s="349"/>
      <c r="B399" s="349"/>
      <c r="C399" s="395"/>
      <c r="D399" s="349"/>
      <c r="E399" s="349"/>
      <c r="F399" s="349"/>
      <c r="G399" s="396"/>
      <c r="H399" s="349"/>
      <c r="I399" s="349"/>
      <c r="J399" s="349"/>
      <c r="K399" s="349"/>
      <c r="L399" s="349"/>
      <c r="M399" s="349"/>
      <c r="N399" s="349"/>
      <c r="O399" s="349"/>
      <c r="P399" s="349"/>
      <c r="Q399" s="349"/>
      <c r="R399" s="349"/>
      <c r="S399" s="349"/>
      <c r="T399" s="349"/>
      <c r="U399" s="349"/>
      <c r="V399" s="349"/>
      <c r="W399" s="349"/>
      <c r="X399" s="349"/>
      <c r="Y399" s="349"/>
      <c r="Z399" s="349"/>
    </row>
    <row r="400">
      <c r="A400" s="349"/>
      <c r="B400" s="349"/>
      <c r="C400" s="395"/>
      <c r="D400" s="349"/>
      <c r="E400" s="349"/>
      <c r="F400" s="349"/>
      <c r="G400" s="396"/>
      <c r="H400" s="349"/>
      <c r="I400" s="349"/>
      <c r="J400" s="349"/>
      <c r="K400" s="349"/>
      <c r="L400" s="349"/>
      <c r="M400" s="349"/>
      <c r="N400" s="349"/>
      <c r="O400" s="349"/>
      <c r="P400" s="349"/>
      <c r="Q400" s="349"/>
      <c r="R400" s="349"/>
      <c r="S400" s="349"/>
      <c r="T400" s="349"/>
      <c r="U400" s="349"/>
      <c r="V400" s="349"/>
      <c r="W400" s="349"/>
      <c r="X400" s="349"/>
      <c r="Y400" s="349"/>
      <c r="Z400" s="349"/>
    </row>
    <row r="401">
      <c r="A401" s="349"/>
      <c r="B401" s="349"/>
      <c r="C401" s="395"/>
      <c r="D401" s="349"/>
      <c r="E401" s="349"/>
      <c r="F401" s="349"/>
      <c r="G401" s="396"/>
      <c r="H401" s="349"/>
      <c r="I401" s="349"/>
      <c r="J401" s="349"/>
      <c r="K401" s="349"/>
      <c r="L401" s="349"/>
      <c r="M401" s="349"/>
      <c r="N401" s="349"/>
      <c r="O401" s="349"/>
      <c r="P401" s="349"/>
      <c r="Q401" s="349"/>
      <c r="R401" s="349"/>
      <c r="S401" s="349"/>
      <c r="T401" s="349"/>
      <c r="U401" s="349"/>
      <c r="V401" s="349"/>
      <c r="W401" s="349"/>
      <c r="X401" s="349"/>
      <c r="Y401" s="349"/>
      <c r="Z401" s="349"/>
    </row>
    <row r="402">
      <c r="A402" s="349"/>
      <c r="B402" s="349"/>
      <c r="C402" s="395"/>
      <c r="D402" s="349"/>
      <c r="E402" s="349"/>
      <c r="F402" s="349"/>
      <c r="G402" s="396"/>
      <c r="H402" s="349"/>
      <c r="I402" s="349"/>
      <c r="J402" s="349"/>
      <c r="K402" s="349"/>
      <c r="L402" s="349"/>
      <c r="M402" s="349"/>
      <c r="N402" s="349"/>
      <c r="O402" s="349"/>
      <c r="P402" s="349"/>
      <c r="Q402" s="349"/>
      <c r="R402" s="349"/>
      <c r="S402" s="349"/>
      <c r="T402" s="349"/>
      <c r="U402" s="349"/>
      <c r="V402" s="349"/>
      <c r="W402" s="349"/>
      <c r="X402" s="349"/>
      <c r="Y402" s="349"/>
      <c r="Z402" s="349"/>
    </row>
    <row r="403">
      <c r="A403" s="349"/>
      <c r="B403" s="349"/>
      <c r="C403" s="395"/>
      <c r="D403" s="349"/>
      <c r="E403" s="349"/>
      <c r="F403" s="349"/>
      <c r="G403" s="396"/>
      <c r="H403" s="349"/>
      <c r="I403" s="349"/>
      <c r="J403" s="349"/>
      <c r="K403" s="349"/>
      <c r="L403" s="349"/>
      <c r="M403" s="349"/>
      <c r="N403" s="349"/>
      <c r="O403" s="349"/>
      <c r="P403" s="349"/>
      <c r="Q403" s="349"/>
      <c r="R403" s="349"/>
      <c r="S403" s="349"/>
      <c r="T403" s="349"/>
      <c r="U403" s="349"/>
      <c r="V403" s="349"/>
      <c r="W403" s="349"/>
      <c r="X403" s="349"/>
      <c r="Y403" s="349"/>
      <c r="Z403" s="349"/>
    </row>
    <row r="404">
      <c r="A404" s="349"/>
      <c r="B404" s="349"/>
      <c r="C404" s="395"/>
      <c r="D404" s="349"/>
      <c r="E404" s="349"/>
      <c r="F404" s="349"/>
      <c r="G404" s="396"/>
      <c r="H404" s="349"/>
      <c r="I404" s="349"/>
      <c r="J404" s="349"/>
      <c r="K404" s="349"/>
      <c r="L404" s="349"/>
      <c r="M404" s="349"/>
      <c r="N404" s="349"/>
      <c r="O404" s="349"/>
      <c r="P404" s="349"/>
      <c r="Q404" s="349"/>
      <c r="R404" s="349"/>
      <c r="S404" s="349"/>
      <c r="T404" s="349"/>
      <c r="U404" s="349"/>
      <c r="V404" s="349"/>
      <c r="W404" s="349"/>
      <c r="X404" s="349"/>
      <c r="Y404" s="349"/>
      <c r="Z404" s="349"/>
    </row>
    <row r="405">
      <c r="A405" s="349"/>
      <c r="B405" s="349"/>
      <c r="C405" s="395"/>
      <c r="D405" s="349"/>
      <c r="E405" s="349"/>
      <c r="F405" s="349"/>
      <c r="G405" s="396"/>
      <c r="H405" s="349"/>
      <c r="I405" s="349"/>
      <c r="J405" s="349"/>
      <c r="K405" s="349"/>
      <c r="L405" s="349"/>
      <c r="M405" s="349"/>
      <c r="N405" s="349"/>
      <c r="O405" s="349"/>
      <c r="P405" s="349"/>
      <c r="Q405" s="349"/>
      <c r="R405" s="349"/>
      <c r="S405" s="349"/>
      <c r="T405" s="349"/>
      <c r="U405" s="349"/>
      <c r="V405" s="349"/>
      <c r="W405" s="349"/>
      <c r="X405" s="349"/>
      <c r="Y405" s="349"/>
      <c r="Z405" s="349"/>
    </row>
    <row r="406">
      <c r="A406" s="349"/>
      <c r="B406" s="349"/>
      <c r="C406" s="395"/>
      <c r="D406" s="349"/>
      <c r="E406" s="349"/>
      <c r="F406" s="349"/>
      <c r="G406" s="396"/>
      <c r="H406" s="349"/>
      <c r="I406" s="349"/>
      <c r="J406" s="349"/>
      <c r="K406" s="349"/>
      <c r="L406" s="349"/>
      <c r="M406" s="349"/>
      <c r="N406" s="349"/>
      <c r="O406" s="349"/>
      <c r="P406" s="349"/>
      <c r="Q406" s="349"/>
      <c r="R406" s="349"/>
      <c r="S406" s="349"/>
      <c r="T406" s="349"/>
      <c r="U406" s="349"/>
      <c r="V406" s="349"/>
      <c r="W406" s="349"/>
      <c r="X406" s="349"/>
      <c r="Y406" s="349"/>
      <c r="Z406" s="349"/>
    </row>
    <row r="407">
      <c r="A407" s="349"/>
      <c r="B407" s="349"/>
      <c r="C407" s="395"/>
      <c r="D407" s="349"/>
      <c r="E407" s="349"/>
      <c r="F407" s="349"/>
      <c r="G407" s="396"/>
      <c r="H407" s="349"/>
      <c r="I407" s="349"/>
      <c r="J407" s="349"/>
      <c r="K407" s="349"/>
      <c r="L407" s="349"/>
      <c r="M407" s="349"/>
      <c r="N407" s="349"/>
      <c r="O407" s="349"/>
      <c r="P407" s="349"/>
      <c r="Q407" s="349"/>
      <c r="R407" s="349"/>
      <c r="S407" s="349"/>
      <c r="T407" s="349"/>
      <c r="U407" s="349"/>
      <c r="V407" s="349"/>
      <c r="W407" s="349"/>
      <c r="X407" s="349"/>
      <c r="Y407" s="349"/>
      <c r="Z407" s="349"/>
    </row>
    <row r="408">
      <c r="A408" s="349"/>
      <c r="B408" s="349"/>
      <c r="C408" s="395"/>
      <c r="D408" s="349"/>
      <c r="E408" s="349"/>
      <c r="F408" s="349"/>
      <c r="G408" s="396"/>
      <c r="H408" s="349"/>
      <c r="I408" s="349"/>
      <c r="J408" s="349"/>
      <c r="K408" s="349"/>
      <c r="L408" s="349"/>
      <c r="M408" s="349"/>
      <c r="N408" s="349"/>
      <c r="O408" s="349"/>
      <c r="P408" s="349"/>
      <c r="Q408" s="349"/>
      <c r="R408" s="349"/>
      <c r="S408" s="349"/>
      <c r="T408" s="349"/>
      <c r="U408" s="349"/>
      <c r="V408" s="349"/>
      <c r="W408" s="349"/>
      <c r="X408" s="349"/>
      <c r="Y408" s="349"/>
      <c r="Z408" s="349"/>
    </row>
    <row r="409">
      <c r="A409" s="349"/>
      <c r="B409" s="349"/>
      <c r="C409" s="395"/>
      <c r="D409" s="349"/>
      <c r="E409" s="349"/>
      <c r="F409" s="349"/>
      <c r="G409" s="396"/>
      <c r="H409" s="349"/>
      <c r="I409" s="349"/>
      <c r="J409" s="349"/>
      <c r="K409" s="349"/>
      <c r="L409" s="349"/>
      <c r="M409" s="349"/>
      <c r="N409" s="349"/>
      <c r="O409" s="349"/>
      <c r="P409" s="349"/>
      <c r="Q409" s="349"/>
      <c r="R409" s="349"/>
      <c r="S409" s="349"/>
      <c r="T409" s="349"/>
      <c r="U409" s="349"/>
      <c r="V409" s="349"/>
      <c r="W409" s="349"/>
      <c r="X409" s="349"/>
      <c r="Y409" s="349"/>
      <c r="Z409" s="349"/>
    </row>
    <row r="410">
      <c r="A410" s="349"/>
      <c r="B410" s="349"/>
      <c r="C410" s="395"/>
      <c r="D410" s="349"/>
      <c r="E410" s="349"/>
      <c r="F410" s="349"/>
      <c r="G410" s="396"/>
      <c r="H410" s="349"/>
      <c r="I410" s="349"/>
      <c r="J410" s="349"/>
      <c r="K410" s="349"/>
      <c r="L410" s="349"/>
      <c r="M410" s="349"/>
      <c r="N410" s="349"/>
      <c r="O410" s="349"/>
      <c r="P410" s="349"/>
      <c r="Q410" s="349"/>
      <c r="R410" s="349"/>
      <c r="S410" s="349"/>
      <c r="T410" s="349"/>
      <c r="U410" s="349"/>
      <c r="V410" s="349"/>
      <c r="W410" s="349"/>
      <c r="X410" s="349"/>
      <c r="Y410" s="349"/>
      <c r="Z410" s="349"/>
    </row>
    <row r="411">
      <c r="A411" s="349"/>
      <c r="B411" s="349"/>
      <c r="C411" s="395"/>
      <c r="D411" s="349"/>
      <c r="E411" s="349"/>
      <c r="F411" s="349"/>
      <c r="G411" s="396"/>
      <c r="H411" s="349"/>
      <c r="I411" s="349"/>
      <c r="J411" s="349"/>
      <c r="K411" s="349"/>
      <c r="L411" s="349"/>
      <c r="M411" s="349"/>
      <c r="N411" s="349"/>
      <c r="O411" s="349"/>
      <c r="P411" s="349"/>
      <c r="Q411" s="349"/>
      <c r="R411" s="349"/>
      <c r="S411" s="349"/>
      <c r="T411" s="349"/>
      <c r="U411" s="349"/>
      <c r="V411" s="349"/>
      <c r="W411" s="349"/>
      <c r="X411" s="349"/>
      <c r="Y411" s="349"/>
      <c r="Z411" s="349"/>
    </row>
    <row r="412">
      <c r="A412" s="349"/>
      <c r="B412" s="349"/>
      <c r="C412" s="395"/>
      <c r="D412" s="349"/>
      <c r="E412" s="349"/>
      <c r="F412" s="349"/>
      <c r="G412" s="396"/>
      <c r="H412" s="349"/>
      <c r="I412" s="349"/>
      <c r="J412" s="349"/>
      <c r="K412" s="349"/>
      <c r="L412" s="349"/>
      <c r="M412" s="349"/>
      <c r="N412" s="349"/>
      <c r="O412" s="349"/>
      <c r="P412" s="349"/>
      <c r="Q412" s="349"/>
      <c r="R412" s="349"/>
      <c r="S412" s="349"/>
      <c r="T412" s="349"/>
      <c r="U412" s="349"/>
      <c r="V412" s="349"/>
      <c r="W412" s="349"/>
      <c r="X412" s="349"/>
      <c r="Y412" s="349"/>
      <c r="Z412" s="349"/>
    </row>
    <row r="413">
      <c r="A413" s="349"/>
      <c r="B413" s="349"/>
      <c r="C413" s="395"/>
      <c r="D413" s="349"/>
      <c r="E413" s="349"/>
      <c r="F413" s="349"/>
      <c r="G413" s="396"/>
      <c r="H413" s="349"/>
      <c r="I413" s="349"/>
      <c r="J413" s="349"/>
      <c r="K413" s="349"/>
      <c r="L413" s="349"/>
      <c r="M413" s="349"/>
      <c r="N413" s="349"/>
      <c r="O413" s="349"/>
      <c r="P413" s="349"/>
      <c r="Q413" s="349"/>
      <c r="R413" s="349"/>
      <c r="S413" s="349"/>
      <c r="T413" s="349"/>
      <c r="U413" s="349"/>
      <c r="V413" s="349"/>
      <c r="W413" s="349"/>
      <c r="X413" s="349"/>
      <c r="Y413" s="349"/>
      <c r="Z413" s="349"/>
    </row>
    <row r="414">
      <c r="A414" s="349"/>
      <c r="B414" s="349"/>
      <c r="C414" s="395"/>
      <c r="D414" s="349"/>
      <c r="E414" s="349"/>
      <c r="F414" s="349"/>
      <c r="G414" s="396"/>
      <c r="H414" s="349"/>
      <c r="I414" s="349"/>
      <c r="J414" s="349"/>
      <c r="K414" s="349"/>
      <c r="L414" s="349"/>
      <c r="M414" s="349"/>
      <c r="N414" s="349"/>
      <c r="O414" s="349"/>
      <c r="P414" s="349"/>
      <c r="Q414" s="349"/>
      <c r="R414" s="349"/>
      <c r="S414" s="349"/>
      <c r="T414" s="349"/>
      <c r="U414" s="349"/>
      <c r="V414" s="349"/>
      <c r="W414" s="349"/>
      <c r="X414" s="349"/>
      <c r="Y414" s="349"/>
      <c r="Z414" s="349"/>
    </row>
    <row r="415">
      <c r="A415" s="349"/>
      <c r="B415" s="349"/>
      <c r="C415" s="395"/>
      <c r="D415" s="349"/>
      <c r="E415" s="349"/>
      <c r="F415" s="349"/>
      <c r="G415" s="396"/>
      <c r="H415" s="349"/>
      <c r="I415" s="349"/>
      <c r="J415" s="349"/>
      <c r="K415" s="349"/>
      <c r="L415" s="349"/>
      <c r="M415" s="349"/>
      <c r="N415" s="349"/>
      <c r="O415" s="349"/>
      <c r="P415" s="349"/>
      <c r="Q415" s="349"/>
      <c r="R415" s="349"/>
      <c r="S415" s="349"/>
      <c r="T415" s="349"/>
      <c r="U415" s="349"/>
      <c r="V415" s="349"/>
      <c r="W415" s="349"/>
      <c r="X415" s="349"/>
      <c r="Y415" s="349"/>
      <c r="Z415" s="349"/>
    </row>
    <row r="416">
      <c r="A416" s="349"/>
      <c r="B416" s="349"/>
      <c r="C416" s="395"/>
      <c r="D416" s="349"/>
      <c r="E416" s="349"/>
      <c r="F416" s="349"/>
      <c r="G416" s="396"/>
      <c r="H416" s="349"/>
      <c r="I416" s="349"/>
      <c r="J416" s="349"/>
      <c r="K416" s="349"/>
      <c r="L416" s="349"/>
      <c r="M416" s="349"/>
      <c r="N416" s="349"/>
      <c r="O416" s="349"/>
      <c r="P416" s="349"/>
      <c r="Q416" s="349"/>
      <c r="R416" s="349"/>
      <c r="S416" s="349"/>
      <c r="T416" s="349"/>
      <c r="U416" s="349"/>
      <c r="V416" s="349"/>
      <c r="W416" s="349"/>
      <c r="X416" s="349"/>
      <c r="Y416" s="349"/>
      <c r="Z416" s="349"/>
    </row>
    <row r="417">
      <c r="A417" s="349"/>
      <c r="B417" s="349"/>
      <c r="C417" s="395"/>
      <c r="D417" s="349"/>
      <c r="E417" s="349"/>
      <c r="F417" s="349"/>
      <c r="G417" s="396"/>
      <c r="H417" s="349"/>
      <c r="I417" s="349"/>
      <c r="J417" s="349"/>
      <c r="K417" s="349"/>
      <c r="L417" s="349"/>
      <c r="M417" s="349"/>
      <c r="N417" s="349"/>
      <c r="O417" s="349"/>
      <c r="P417" s="349"/>
      <c r="Q417" s="349"/>
      <c r="R417" s="349"/>
      <c r="S417" s="349"/>
      <c r="T417" s="349"/>
      <c r="U417" s="349"/>
      <c r="V417" s="349"/>
      <c r="W417" s="349"/>
      <c r="X417" s="349"/>
      <c r="Y417" s="349"/>
      <c r="Z417" s="349"/>
    </row>
    <row r="418">
      <c r="A418" s="349"/>
      <c r="B418" s="349"/>
      <c r="C418" s="395"/>
      <c r="D418" s="349"/>
      <c r="E418" s="349"/>
      <c r="F418" s="349"/>
      <c r="G418" s="396"/>
      <c r="H418" s="349"/>
      <c r="I418" s="349"/>
      <c r="J418" s="349"/>
      <c r="K418" s="349"/>
      <c r="L418" s="349"/>
      <c r="M418" s="349"/>
      <c r="N418" s="349"/>
      <c r="O418" s="349"/>
      <c r="P418" s="349"/>
      <c r="Q418" s="349"/>
      <c r="R418" s="349"/>
      <c r="S418" s="349"/>
      <c r="T418" s="349"/>
      <c r="U418" s="349"/>
      <c r="V418" s="349"/>
      <c r="W418" s="349"/>
      <c r="X418" s="349"/>
      <c r="Y418" s="349"/>
      <c r="Z418" s="349"/>
    </row>
    <row r="419">
      <c r="A419" s="349"/>
      <c r="B419" s="349"/>
      <c r="C419" s="395"/>
      <c r="D419" s="349"/>
      <c r="E419" s="349"/>
      <c r="F419" s="349"/>
      <c r="G419" s="396"/>
      <c r="H419" s="349"/>
      <c r="I419" s="349"/>
      <c r="J419" s="349"/>
      <c r="K419" s="349"/>
      <c r="L419" s="349"/>
      <c r="M419" s="349"/>
      <c r="N419" s="349"/>
      <c r="O419" s="349"/>
      <c r="P419" s="349"/>
      <c r="Q419" s="349"/>
      <c r="R419" s="349"/>
      <c r="S419" s="349"/>
      <c r="T419" s="349"/>
      <c r="U419" s="349"/>
      <c r="V419" s="349"/>
      <c r="W419" s="349"/>
      <c r="X419" s="349"/>
      <c r="Y419" s="349"/>
      <c r="Z419" s="349"/>
    </row>
    <row r="420">
      <c r="A420" s="349"/>
      <c r="B420" s="349"/>
      <c r="C420" s="395"/>
      <c r="D420" s="349"/>
      <c r="E420" s="349"/>
      <c r="F420" s="349"/>
      <c r="G420" s="396"/>
      <c r="H420" s="349"/>
      <c r="I420" s="349"/>
      <c r="J420" s="349"/>
      <c r="K420" s="349"/>
      <c r="L420" s="349"/>
      <c r="M420" s="349"/>
      <c r="N420" s="349"/>
      <c r="O420" s="349"/>
      <c r="P420" s="349"/>
      <c r="Q420" s="349"/>
      <c r="R420" s="349"/>
      <c r="S420" s="349"/>
      <c r="T420" s="349"/>
      <c r="U420" s="349"/>
      <c r="V420" s="349"/>
      <c r="W420" s="349"/>
      <c r="X420" s="349"/>
      <c r="Y420" s="349"/>
      <c r="Z420" s="349"/>
    </row>
    <row r="421">
      <c r="A421" s="349"/>
      <c r="B421" s="349"/>
      <c r="C421" s="395"/>
      <c r="D421" s="349"/>
      <c r="E421" s="349"/>
      <c r="F421" s="349"/>
      <c r="G421" s="396"/>
      <c r="H421" s="349"/>
      <c r="I421" s="349"/>
      <c r="J421" s="349"/>
      <c r="K421" s="349"/>
      <c r="L421" s="349"/>
      <c r="M421" s="349"/>
      <c r="N421" s="349"/>
      <c r="O421" s="349"/>
      <c r="P421" s="349"/>
      <c r="Q421" s="349"/>
      <c r="R421" s="349"/>
      <c r="S421" s="349"/>
      <c r="T421" s="349"/>
      <c r="U421" s="349"/>
      <c r="V421" s="349"/>
      <c r="W421" s="349"/>
      <c r="X421" s="349"/>
      <c r="Y421" s="349"/>
      <c r="Z421" s="349"/>
    </row>
    <row r="422">
      <c r="A422" s="349"/>
      <c r="B422" s="349"/>
      <c r="C422" s="395"/>
      <c r="D422" s="349"/>
      <c r="E422" s="349"/>
      <c r="F422" s="349"/>
      <c r="G422" s="396"/>
      <c r="H422" s="349"/>
      <c r="I422" s="349"/>
      <c r="J422" s="349"/>
      <c r="K422" s="349"/>
      <c r="L422" s="349"/>
      <c r="M422" s="349"/>
      <c r="N422" s="349"/>
      <c r="O422" s="349"/>
      <c r="P422" s="349"/>
      <c r="Q422" s="349"/>
      <c r="R422" s="349"/>
      <c r="S422" s="349"/>
      <c r="T422" s="349"/>
      <c r="U422" s="349"/>
      <c r="V422" s="349"/>
      <c r="W422" s="349"/>
      <c r="X422" s="349"/>
      <c r="Y422" s="349"/>
      <c r="Z422" s="349"/>
    </row>
    <row r="423">
      <c r="A423" s="349"/>
      <c r="B423" s="349"/>
      <c r="C423" s="395"/>
      <c r="D423" s="349"/>
      <c r="E423" s="349"/>
      <c r="F423" s="349"/>
      <c r="G423" s="396"/>
      <c r="H423" s="349"/>
      <c r="I423" s="349"/>
      <c r="J423" s="349"/>
      <c r="K423" s="349"/>
      <c r="L423" s="349"/>
      <c r="M423" s="349"/>
      <c r="N423" s="349"/>
      <c r="O423" s="349"/>
      <c r="P423" s="349"/>
      <c r="Q423" s="349"/>
      <c r="R423" s="349"/>
      <c r="S423" s="349"/>
      <c r="T423" s="349"/>
      <c r="U423" s="349"/>
      <c r="V423" s="349"/>
      <c r="W423" s="349"/>
      <c r="X423" s="349"/>
      <c r="Y423" s="349"/>
      <c r="Z423" s="349"/>
    </row>
    <row r="424">
      <c r="A424" s="349"/>
      <c r="B424" s="349"/>
      <c r="C424" s="395"/>
      <c r="D424" s="349"/>
      <c r="E424" s="349"/>
      <c r="F424" s="349"/>
      <c r="G424" s="396"/>
      <c r="H424" s="349"/>
      <c r="I424" s="349"/>
      <c r="J424" s="349"/>
      <c r="K424" s="349"/>
      <c r="L424" s="349"/>
      <c r="M424" s="349"/>
      <c r="N424" s="349"/>
      <c r="O424" s="349"/>
      <c r="P424" s="349"/>
      <c r="Q424" s="349"/>
      <c r="R424" s="349"/>
      <c r="S424" s="349"/>
      <c r="T424" s="349"/>
      <c r="U424" s="349"/>
      <c r="V424" s="349"/>
      <c r="W424" s="349"/>
      <c r="X424" s="349"/>
      <c r="Y424" s="349"/>
      <c r="Z424" s="349"/>
    </row>
    <row r="425">
      <c r="A425" s="349"/>
      <c r="B425" s="349"/>
      <c r="C425" s="395"/>
      <c r="D425" s="349"/>
      <c r="E425" s="349"/>
      <c r="F425" s="349"/>
      <c r="G425" s="396"/>
      <c r="H425" s="349"/>
      <c r="I425" s="349"/>
      <c r="J425" s="349"/>
      <c r="K425" s="349"/>
      <c r="L425" s="349"/>
      <c r="M425" s="349"/>
      <c r="N425" s="349"/>
      <c r="O425" s="349"/>
      <c r="P425" s="349"/>
      <c r="Q425" s="349"/>
      <c r="R425" s="349"/>
      <c r="S425" s="349"/>
      <c r="T425" s="349"/>
      <c r="U425" s="349"/>
      <c r="V425" s="349"/>
      <c r="W425" s="349"/>
      <c r="X425" s="349"/>
      <c r="Y425" s="349"/>
      <c r="Z425" s="349"/>
    </row>
    <row r="426">
      <c r="A426" s="349"/>
      <c r="B426" s="349"/>
      <c r="C426" s="395"/>
      <c r="D426" s="349"/>
      <c r="E426" s="349"/>
      <c r="F426" s="349"/>
      <c r="G426" s="396"/>
      <c r="H426" s="349"/>
      <c r="I426" s="349"/>
      <c r="J426" s="349"/>
      <c r="K426" s="349"/>
      <c r="L426" s="349"/>
      <c r="M426" s="349"/>
      <c r="N426" s="349"/>
      <c r="O426" s="349"/>
      <c r="P426" s="349"/>
      <c r="Q426" s="349"/>
      <c r="R426" s="349"/>
      <c r="S426" s="349"/>
      <c r="T426" s="349"/>
      <c r="U426" s="349"/>
      <c r="V426" s="349"/>
      <c r="W426" s="349"/>
      <c r="X426" s="349"/>
      <c r="Y426" s="349"/>
      <c r="Z426" s="349"/>
    </row>
    <row r="427">
      <c r="A427" s="349"/>
      <c r="B427" s="349"/>
      <c r="C427" s="395"/>
      <c r="D427" s="349"/>
      <c r="E427" s="349"/>
      <c r="F427" s="349"/>
      <c r="G427" s="396"/>
      <c r="H427" s="349"/>
      <c r="I427" s="349"/>
      <c r="J427" s="349"/>
      <c r="K427" s="349"/>
      <c r="L427" s="349"/>
      <c r="M427" s="349"/>
      <c r="N427" s="349"/>
      <c r="O427" s="349"/>
      <c r="P427" s="349"/>
      <c r="Q427" s="349"/>
      <c r="R427" s="349"/>
      <c r="S427" s="349"/>
      <c r="T427" s="349"/>
      <c r="U427" s="349"/>
      <c r="V427" s="349"/>
      <c r="W427" s="349"/>
      <c r="X427" s="349"/>
      <c r="Y427" s="349"/>
      <c r="Z427" s="349"/>
    </row>
    <row r="428">
      <c r="A428" s="349"/>
      <c r="B428" s="349"/>
      <c r="C428" s="395"/>
      <c r="D428" s="349"/>
      <c r="E428" s="349"/>
      <c r="F428" s="349"/>
      <c r="G428" s="396"/>
      <c r="H428" s="349"/>
      <c r="I428" s="349"/>
      <c r="J428" s="349"/>
      <c r="K428" s="349"/>
      <c r="L428" s="349"/>
      <c r="M428" s="349"/>
      <c r="N428" s="349"/>
      <c r="O428" s="349"/>
      <c r="P428" s="349"/>
      <c r="Q428" s="349"/>
      <c r="R428" s="349"/>
      <c r="S428" s="349"/>
      <c r="T428" s="349"/>
      <c r="U428" s="349"/>
      <c r="V428" s="349"/>
      <c r="W428" s="349"/>
      <c r="X428" s="349"/>
      <c r="Y428" s="349"/>
      <c r="Z428" s="349"/>
    </row>
    <row r="429">
      <c r="A429" s="349"/>
      <c r="B429" s="349"/>
      <c r="C429" s="395"/>
      <c r="D429" s="349"/>
      <c r="E429" s="349"/>
      <c r="F429" s="349"/>
      <c r="G429" s="396"/>
      <c r="H429" s="349"/>
      <c r="I429" s="349"/>
      <c r="J429" s="349"/>
      <c r="K429" s="349"/>
      <c r="L429" s="349"/>
      <c r="M429" s="349"/>
      <c r="N429" s="349"/>
      <c r="O429" s="349"/>
      <c r="P429" s="349"/>
      <c r="Q429" s="349"/>
      <c r="R429" s="349"/>
      <c r="S429" s="349"/>
      <c r="T429" s="349"/>
      <c r="U429" s="349"/>
      <c r="V429" s="349"/>
      <c r="W429" s="349"/>
      <c r="X429" s="349"/>
      <c r="Y429" s="349"/>
      <c r="Z429" s="349"/>
    </row>
    <row r="430">
      <c r="A430" s="349"/>
      <c r="B430" s="349"/>
      <c r="C430" s="395"/>
      <c r="D430" s="349"/>
      <c r="E430" s="349"/>
      <c r="F430" s="349"/>
      <c r="G430" s="396"/>
      <c r="H430" s="349"/>
      <c r="I430" s="349"/>
      <c r="J430" s="349"/>
      <c r="K430" s="349"/>
      <c r="L430" s="349"/>
      <c r="M430" s="349"/>
      <c r="N430" s="349"/>
      <c r="O430" s="349"/>
      <c r="P430" s="349"/>
      <c r="Q430" s="349"/>
      <c r="R430" s="349"/>
      <c r="S430" s="349"/>
      <c r="T430" s="349"/>
      <c r="U430" s="349"/>
      <c r="V430" s="349"/>
      <c r="W430" s="349"/>
      <c r="X430" s="349"/>
      <c r="Y430" s="349"/>
      <c r="Z430" s="349"/>
    </row>
    <row r="431">
      <c r="A431" s="349"/>
      <c r="B431" s="349"/>
      <c r="C431" s="395"/>
      <c r="D431" s="349"/>
      <c r="E431" s="349"/>
      <c r="F431" s="349"/>
      <c r="G431" s="396"/>
      <c r="H431" s="349"/>
      <c r="I431" s="349"/>
      <c r="J431" s="349"/>
      <c r="K431" s="349"/>
      <c r="L431" s="349"/>
      <c r="M431" s="349"/>
      <c r="N431" s="349"/>
      <c r="O431" s="349"/>
      <c r="P431" s="349"/>
      <c r="Q431" s="349"/>
      <c r="R431" s="349"/>
      <c r="S431" s="349"/>
      <c r="T431" s="349"/>
      <c r="U431" s="349"/>
      <c r="V431" s="349"/>
      <c r="W431" s="349"/>
      <c r="X431" s="349"/>
      <c r="Y431" s="349"/>
      <c r="Z431" s="349"/>
    </row>
    <row r="432">
      <c r="A432" s="349"/>
      <c r="B432" s="349"/>
      <c r="C432" s="395"/>
      <c r="D432" s="349"/>
      <c r="E432" s="349"/>
      <c r="F432" s="349"/>
      <c r="G432" s="396"/>
      <c r="H432" s="349"/>
      <c r="I432" s="349"/>
      <c r="J432" s="349"/>
      <c r="K432" s="349"/>
      <c r="L432" s="349"/>
      <c r="M432" s="349"/>
      <c r="N432" s="349"/>
      <c r="O432" s="349"/>
      <c r="P432" s="349"/>
      <c r="Q432" s="349"/>
      <c r="R432" s="349"/>
      <c r="S432" s="349"/>
      <c r="T432" s="349"/>
      <c r="U432" s="349"/>
      <c r="V432" s="349"/>
      <c r="W432" s="349"/>
      <c r="X432" s="349"/>
      <c r="Y432" s="349"/>
      <c r="Z432" s="349"/>
    </row>
    <row r="433">
      <c r="A433" s="349"/>
      <c r="B433" s="349"/>
      <c r="C433" s="395"/>
      <c r="D433" s="349"/>
      <c r="E433" s="349"/>
      <c r="F433" s="349"/>
      <c r="G433" s="396"/>
      <c r="H433" s="349"/>
      <c r="I433" s="349"/>
      <c r="J433" s="349"/>
      <c r="K433" s="349"/>
      <c r="L433" s="349"/>
      <c r="M433" s="349"/>
      <c r="N433" s="349"/>
      <c r="O433" s="349"/>
      <c r="P433" s="349"/>
      <c r="Q433" s="349"/>
      <c r="R433" s="349"/>
      <c r="S433" s="349"/>
      <c r="T433" s="349"/>
      <c r="U433" s="349"/>
      <c r="V433" s="349"/>
      <c r="W433" s="349"/>
      <c r="X433" s="349"/>
      <c r="Y433" s="349"/>
      <c r="Z433" s="349"/>
    </row>
    <row r="434">
      <c r="A434" s="349"/>
      <c r="B434" s="349"/>
      <c r="C434" s="395"/>
      <c r="D434" s="349"/>
      <c r="E434" s="349"/>
      <c r="F434" s="349"/>
      <c r="G434" s="396"/>
      <c r="H434" s="349"/>
      <c r="I434" s="349"/>
      <c r="J434" s="349"/>
      <c r="K434" s="349"/>
      <c r="L434" s="349"/>
      <c r="M434" s="349"/>
      <c r="N434" s="349"/>
      <c r="O434" s="349"/>
      <c r="P434" s="349"/>
      <c r="Q434" s="349"/>
      <c r="R434" s="349"/>
      <c r="S434" s="349"/>
      <c r="T434" s="349"/>
      <c r="U434" s="349"/>
      <c r="V434" s="349"/>
      <c r="W434" s="349"/>
      <c r="X434" s="349"/>
      <c r="Y434" s="349"/>
      <c r="Z434" s="349"/>
    </row>
    <row r="435">
      <c r="A435" s="349"/>
      <c r="B435" s="349"/>
      <c r="C435" s="395"/>
      <c r="D435" s="349"/>
      <c r="E435" s="349"/>
      <c r="F435" s="349"/>
      <c r="G435" s="396"/>
      <c r="H435" s="349"/>
      <c r="I435" s="349"/>
      <c r="J435" s="349"/>
      <c r="K435" s="349"/>
      <c r="L435" s="349"/>
      <c r="M435" s="349"/>
      <c r="N435" s="349"/>
      <c r="O435" s="349"/>
      <c r="P435" s="349"/>
      <c r="Q435" s="349"/>
      <c r="R435" s="349"/>
      <c r="S435" s="349"/>
      <c r="T435" s="349"/>
      <c r="U435" s="349"/>
      <c r="V435" s="349"/>
      <c r="W435" s="349"/>
      <c r="X435" s="349"/>
      <c r="Y435" s="349"/>
      <c r="Z435" s="349"/>
    </row>
    <row r="436">
      <c r="A436" s="349"/>
      <c r="B436" s="349"/>
      <c r="C436" s="395"/>
      <c r="D436" s="349"/>
      <c r="E436" s="349"/>
      <c r="F436" s="349"/>
      <c r="G436" s="396"/>
      <c r="H436" s="349"/>
      <c r="I436" s="349"/>
      <c r="J436" s="349"/>
      <c r="K436" s="349"/>
      <c r="L436" s="349"/>
      <c r="M436" s="349"/>
      <c r="N436" s="349"/>
      <c r="O436" s="349"/>
      <c r="P436" s="349"/>
      <c r="Q436" s="349"/>
      <c r="R436" s="349"/>
      <c r="S436" s="349"/>
      <c r="T436" s="349"/>
      <c r="U436" s="349"/>
      <c r="V436" s="349"/>
      <c r="W436" s="349"/>
      <c r="X436" s="349"/>
      <c r="Y436" s="349"/>
      <c r="Z436" s="349"/>
    </row>
    <row r="437">
      <c r="A437" s="349"/>
      <c r="B437" s="349"/>
      <c r="C437" s="395"/>
      <c r="D437" s="349"/>
      <c r="E437" s="349"/>
      <c r="F437" s="349"/>
      <c r="G437" s="396"/>
      <c r="H437" s="349"/>
      <c r="I437" s="349"/>
      <c r="J437" s="349"/>
      <c r="K437" s="349"/>
      <c r="L437" s="349"/>
      <c r="M437" s="349"/>
      <c r="N437" s="349"/>
      <c r="O437" s="349"/>
      <c r="P437" s="349"/>
      <c r="Q437" s="349"/>
      <c r="R437" s="349"/>
      <c r="S437" s="349"/>
      <c r="T437" s="349"/>
      <c r="U437" s="349"/>
      <c r="V437" s="349"/>
      <c r="W437" s="349"/>
      <c r="X437" s="349"/>
      <c r="Y437" s="349"/>
      <c r="Z437" s="349"/>
    </row>
    <row r="438">
      <c r="A438" s="349"/>
      <c r="B438" s="349"/>
      <c r="C438" s="395"/>
      <c r="D438" s="349"/>
      <c r="E438" s="349"/>
      <c r="F438" s="349"/>
      <c r="G438" s="396"/>
      <c r="H438" s="349"/>
      <c r="I438" s="349"/>
      <c r="J438" s="349"/>
      <c r="K438" s="349"/>
      <c r="L438" s="349"/>
      <c r="M438" s="349"/>
      <c r="N438" s="349"/>
      <c r="O438" s="349"/>
      <c r="P438" s="349"/>
      <c r="Q438" s="349"/>
      <c r="R438" s="349"/>
      <c r="S438" s="349"/>
      <c r="T438" s="349"/>
      <c r="U438" s="349"/>
      <c r="V438" s="349"/>
      <c r="W438" s="349"/>
      <c r="X438" s="349"/>
      <c r="Y438" s="349"/>
      <c r="Z438" s="349"/>
    </row>
    <row r="439">
      <c r="A439" s="349"/>
      <c r="B439" s="349"/>
      <c r="C439" s="395"/>
      <c r="D439" s="349"/>
      <c r="E439" s="349"/>
      <c r="F439" s="349"/>
      <c r="G439" s="396"/>
      <c r="H439" s="349"/>
      <c r="I439" s="349"/>
      <c r="J439" s="349"/>
      <c r="K439" s="349"/>
      <c r="L439" s="349"/>
      <c r="M439" s="349"/>
      <c r="N439" s="349"/>
      <c r="O439" s="349"/>
      <c r="P439" s="349"/>
      <c r="Q439" s="349"/>
      <c r="R439" s="349"/>
      <c r="S439" s="349"/>
      <c r="T439" s="349"/>
      <c r="U439" s="349"/>
      <c r="V439" s="349"/>
      <c r="W439" s="349"/>
      <c r="X439" s="349"/>
      <c r="Y439" s="349"/>
      <c r="Z439" s="349"/>
    </row>
    <row r="440">
      <c r="A440" s="349"/>
      <c r="B440" s="349"/>
      <c r="C440" s="395"/>
      <c r="D440" s="349"/>
      <c r="E440" s="349"/>
      <c r="F440" s="349"/>
      <c r="G440" s="396"/>
      <c r="H440" s="349"/>
      <c r="I440" s="349"/>
      <c r="J440" s="349"/>
      <c r="K440" s="349"/>
      <c r="L440" s="349"/>
      <c r="M440" s="349"/>
      <c r="N440" s="349"/>
      <c r="O440" s="349"/>
      <c r="P440" s="349"/>
      <c r="Q440" s="349"/>
      <c r="R440" s="349"/>
      <c r="S440" s="349"/>
      <c r="T440" s="349"/>
      <c r="U440" s="349"/>
      <c r="V440" s="349"/>
      <c r="W440" s="349"/>
      <c r="X440" s="349"/>
      <c r="Y440" s="349"/>
      <c r="Z440" s="349"/>
    </row>
    <row r="441">
      <c r="A441" s="349"/>
      <c r="B441" s="349"/>
      <c r="C441" s="395"/>
      <c r="D441" s="349"/>
      <c r="E441" s="349"/>
      <c r="F441" s="349"/>
      <c r="G441" s="396"/>
      <c r="H441" s="349"/>
      <c r="I441" s="349"/>
      <c r="J441" s="349"/>
      <c r="K441" s="349"/>
      <c r="L441" s="349"/>
      <c r="M441" s="349"/>
      <c r="N441" s="349"/>
      <c r="O441" s="349"/>
      <c r="P441" s="349"/>
      <c r="Q441" s="349"/>
      <c r="R441" s="349"/>
      <c r="S441" s="349"/>
      <c r="T441" s="349"/>
      <c r="U441" s="349"/>
      <c r="V441" s="349"/>
      <c r="W441" s="349"/>
      <c r="X441" s="349"/>
      <c r="Y441" s="349"/>
      <c r="Z441" s="349"/>
    </row>
    <row r="442">
      <c r="A442" s="349"/>
      <c r="B442" s="349"/>
      <c r="C442" s="395"/>
      <c r="D442" s="349"/>
      <c r="E442" s="349"/>
      <c r="F442" s="349"/>
      <c r="G442" s="396"/>
      <c r="H442" s="349"/>
      <c r="I442" s="349"/>
      <c r="J442" s="349"/>
      <c r="K442" s="349"/>
      <c r="L442" s="349"/>
      <c r="M442" s="349"/>
      <c r="N442" s="349"/>
      <c r="O442" s="349"/>
      <c r="P442" s="349"/>
      <c r="Q442" s="349"/>
      <c r="R442" s="349"/>
      <c r="S442" s="349"/>
      <c r="T442" s="349"/>
      <c r="U442" s="349"/>
      <c r="V442" s="349"/>
      <c r="W442" s="349"/>
      <c r="X442" s="349"/>
      <c r="Y442" s="349"/>
      <c r="Z442" s="349"/>
    </row>
    <row r="443">
      <c r="A443" s="349"/>
      <c r="B443" s="349"/>
      <c r="C443" s="395"/>
      <c r="D443" s="349"/>
      <c r="E443" s="349"/>
      <c r="F443" s="349"/>
      <c r="G443" s="396"/>
      <c r="H443" s="349"/>
      <c r="I443" s="349"/>
      <c r="J443" s="349"/>
      <c r="K443" s="349"/>
      <c r="L443" s="349"/>
      <c r="M443" s="349"/>
      <c r="N443" s="349"/>
      <c r="O443" s="349"/>
      <c r="P443" s="349"/>
      <c r="Q443" s="349"/>
      <c r="R443" s="349"/>
      <c r="S443" s="349"/>
      <c r="T443" s="349"/>
      <c r="U443" s="349"/>
      <c r="V443" s="349"/>
      <c r="W443" s="349"/>
      <c r="X443" s="349"/>
      <c r="Y443" s="349"/>
      <c r="Z443" s="349"/>
    </row>
    <row r="444">
      <c r="A444" s="349"/>
      <c r="B444" s="349"/>
      <c r="C444" s="395"/>
      <c r="D444" s="349"/>
      <c r="E444" s="349"/>
      <c r="F444" s="349"/>
      <c r="G444" s="396"/>
      <c r="H444" s="349"/>
      <c r="I444" s="349"/>
      <c r="J444" s="349"/>
      <c r="K444" s="349"/>
      <c r="L444" s="349"/>
      <c r="M444" s="349"/>
      <c r="N444" s="349"/>
      <c r="O444" s="349"/>
      <c r="P444" s="349"/>
      <c r="Q444" s="349"/>
      <c r="R444" s="349"/>
      <c r="S444" s="349"/>
      <c r="T444" s="349"/>
      <c r="U444" s="349"/>
      <c r="V444" s="349"/>
      <c r="W444" s="349"/>
      <c r="X444" s="349"/>
      <c r="Y444" s="349"/>
      <c r="Z444" s="349"/>
    </row>
    <row r="445">
      <c r="A445" s="349"/>
      <c r="B445" s="349"/>
      <c r="C445" s="395"/>
      <c r="D445" s="349"/>
      <c r="E445" s="349"/>
      <c r="F445" s="349"/>
      <c r="G445" s="396"/>
      <c r="H445" s="349"/>
      <c r="I445" s="349"/>
      <c r="J445" s="349"/>
      <c r="K445" s="349"/>
      <c r="L445" s="349"/>
      <c r="M445" s="349"/>
      <c r="N445" s="349"/>
      <c r="O445" s="349"/>
      <c r="P445" s="349"/>
      <c r="Q445" s="349"/>
      <c r="R445" s="349"/>
      <c r="S445" s="349"/>
      <c r="T445" s="349"/>
      <c r="U445" s="349"/>
      <c r="V445" s="349"/>
      <c r="W445" s="349"/>
      <c r="X445" s="349"/>
      <c r="Y445" s="349"/>
      <c r="Z445" s="349"/>
    </row>
    <row r="446">
      <c r="A446" s="349"/>
      <c r="B446" s="349"/>
      <c r="C446" s="395"/>
      <c r="D446" s="349"/>
      <c r="E446" s="349"/>
      <c r="F446" s="349"/>
      <c r="G446" s="396"/>
      <c r="H446" s="349"/>
      <c r="I446" s="349"/>
      <c r="J446" s="349"/>
      <c r="K446" s="349"/>
      <c r="L446" s="349"/>
      <c r="M446" s="349"/>
      <c r="N446" s="349"/>
      <c r="O446" s="349"/>
      <c r="P446" s="349"/>
      <c r="Q446" s="349"/>
      <c r="R446" s="349"/>
      <c r="S446" s="349"/>
      <c r="T446" s="349"/>
      <c r="U446" s="349"/>
      <c r="V446" s="349"/>
      <c r="W446" s="349"/>
      <c r="X446" s="349"/>
      <c r="Y446" s="349"/>
      <c r="Z446" s="349"/>
    </row>
    <row r="447">
      <c r="A447" s="349"/>
      <c r="B447" s="349"/>
      <c r="C447" s="395"/>
      <c r="D447" s="349"/>
      <c r="E447" s="349"/>
      <c r="F447" s="349"/>
      <c r="G447" s="396"/>
      <c r="H447" s="349"/>
      <c r="I447" s="349"/>
      <c r="J447" s="349"/>
      <c r="K447" s="349"/>
      <c r="L447" s="349"/>
      <c r="M447" s="349"/>
      <c r="N447" s="349"/>
      <c r="O447" s="349"/>
      <c r="P447" s="349"/>
      <c r="Q447" s="349"/>
      <c r="R447" s="349"/>
      <c r="S447" s="349"/>
      <c r="T447" s="349"/>
      <c r="U447" s="349"/>
      <c r="V447" s="349"/>
      <c r="W447" s="349"/>
      <c r="X447" s="349"/>
      <c r="Y447" s="349"/>
      <c r="Z447" s="349"/>
    </row>
    <row r="448">
      <c r="A448" s="349"/>
      <c r="B448" s="349"/>
      <c r="C448" s="395"/>
      <c r="D448" s="349"/>
      <c r="E448" s="349"/>
      <c r="F448" s="349"/>
      <c r="G448" s="396"/>
      <c r="H448" s="349"/>
      <c r="I448" s="349"/>
      <c r="J448" s="349"/>
      <c r="K448" s="349"/>
      <c r="L448" s="349"/>
      <c r="M448" s="349"/>
      <c r="N448" s="349"/>
      <c r="O448" s="349"/>
      <c r="P448" s="349"/>
      <c r="Q448" s="349"/>
      <c r="R448" s="349"/>
      <c r="S448" s="349"/>
      <c r="T448" s="349"/>
      <c r="U448" s="349"/>
      <c r="V448" s="349"/>
      <c r="W448" s="349"/>
      <c r="X448" s="349"/>
      <c r="Y448" s="349"/>
      <c r="Z448" s="349"/>
    </row>
    <row r="449">
      <c r="A449" s="349"/>
      <c r="B449" s="349"/>
      <c r="C449" s="395"/>
      <c r="D449" s="349"/>
      <c r="E449" s="349"/>
      <c r="F449" s="349"/>
      <c r="G449" s="396"/>
      <c r="H449" s="349"/>
      <c r="I449" s="349"/>
      <c r="J449" s="349"/>
      <c r="K449" s="349"/>
      <c r="L449" s="349"/>
      <c r="M449" s="349"/>
      <c r="N449" s="349"/>
      <c r="O449" s="349"/>
      <c r="P449" s="349"/>
      <c r="Q449" s="349"/>
      <c r="R449" s="349"/>
      <c r="S449" s="349"/>
      <c r="T449" s="349"/>
      <c r="U449" s="349"/>
      <c r="V449" s="349"/>
      <c r="W449" s="349"/>
      <c r="X449" s="349"/>
      <c r="Y449" s="349"/>
      <c r="Z449" s="349"/>
    </row>
    <row r="450">
      <c r="A450" s="349"/>
      <c r="B450" s="349"/>
      <c r="C450" s="395"/>
      <c r="D450" s="349"/>
      <c r="E450" s="349"/>
      <c r="F450" s="349"/>
      <c r="G450" s="396"/>
      <c r="H450" s="349"/>
      <c r="I450" s="349"/>
      <c r="J450" s="349"/>
      <c r="K450" s="349"/>
      <c r="L450" s="349"/>
      <c r="M450" s="349"/>
      <c r="N450" s="349"/>
      <c r="O450" s="349"/>
      <c r="P450" s="349"/>
      <c r="Q450" s="349"/>
      <c r="R450" s="349"/>
      <c r="S450" s="349"/>
      <c r="T450" s="349"/>
      <c r="U450" s="349"/>
      <c r="V450" s="349"/>
      <c r="W450" s="349"/>
      <c r="X450" s="349"/>
      <c r="Y450" s="349"/>
      <c r="Z450" s="349"/>
    </row>
    <row r="451">
      <c r="A451" s="349"/>
      <c r="B451" s="349"/>
      <c r="C451" s="395"/>
      <c r="D451" s="349"/>
      <c r="E451" s="349"/>
      <c r="F451" s="349"/>
      <c r="G451" s="396"/>
      <c r="H451" s="349"/>
      <c r="I451" s="349"/>
      <c r="J451" s="349"/>
      <c r="K451" s="349"/>
      <c r="L451" s="349"/>
      <c r="M451" s="349"/>
      <c r="N451" s="349"/>
      <c r="O451" s="349"/>
      <c r="P451" s="349"/>
      <c r="Q451" s="349"/>
      <c r="R451" s="349"/>
      <c r="S451" s="349"/>
      <c r="T451" s="349"/>
      <c r="U451" s="349"/>
      <c r="V451" s="349"/>
      <c r="W451" s="349"/>
      <c r="X451" s="349"/>
      <c r="Y451" s="349"/>
      <c r="Z451" s="349"/>
    </row>
    <row r="452">
      <c r="A452" s="349"/>
      <c r="B452" s="349"/>
      <c r="C452" s="395"/>
      <c r="D452" s="349"/>
      <c r="E452" s="349"/>
      <c r="F452" s="349"/>
      <c r="G452" s="396"/>
      <c r="H452" s="349"/>
      <c r="I452" s="349"/>
      <c r="J452" s="349"/>
      <c r="K452" s="349"/>
      <c r="L452" s="349"/>
      <c r="M452" s="349"/>
      <c r="N452" s="349"/>
      <c r="O452" s="349"/>
      <c r="P452" s="349"/>
      <c r="Q452" s="349"/>
      <c r="R452" s="349"/>
      <c r="S452" s="349"/>
      <c r="T452" s="349"/>
      <c r="U452" s="349"/>
      <c r="V452" s="349"/>
      <c r="W452" s="349"/>
      <c r="X452" s="349"/>
      <c r="Y452" s="349"/>
      <c r="Z452" s="349"/>
    </row>
    <row r="453">
      <c r="A453" s="349"/>
      <c r="B453" s="349"/>
      <c r="C453" s="395"/>
      <c r="D453" s="349"/>
      <c r="E453" s="349"/>
      <c r="F453" s="349"/>
      <c r="G453" s="396"/>
      <c r="H453" s="349"/>
      <c r="I453" s="349"/>
      <c r="J453" s="349"/>
      <c r="K453" s="349"/>
      <c r="L453" s="349"/>
      <c r="M453" s="349"/>
      <c r="N453" s="349"/>
      <c r="O453" s="349"/>
      <c r="P453" s="349"/>
      <c r="Q453" s="349"/>
      <c r="R453" s="349"/>
      <c r="S453" s="349"/>
      <c r="T453" s="349"/>
      <c r="U453" s="349"/>
      <c r="V453" s="349"/>
      <c r="W453" s="349"/>
      <c r="X453" s="349"/>
      <c r="Y453" s="349"/>
      <c r="Z453" s="349"/>
    </row>
    <row r="454">
      <c r="A454" s="349"/>
      <c r="B454" s="349"/>
      <c r="C454" s="395"/>
      <c r="D454" s="349"/>
      <c r="E454" s="349"/>
      <c r="F454" s="349"/>
      <c r="G454" s="396"/>
      <c r="H454" s="349"/>
      <c r="I454" s="349"/>
      <c r="J454" s="349"/>
      <c r="K454" s="349"/>
      <c r="L454" s="349"/>
      <c r="M454" s="349"/>
      <c r="N454" s="349"/>
      <c r="O454" s="349"/>
      <c r="P454" s="349"/>
      <c r="Q454" s="349"/>
      <c r="R454" s="349"/>
      <c r="S454" s="349"/>
      <c r="T454" s="349"/>
      <c r="U454" s="349"/>
      <c r="V454" s="349"/>
      <c r="W454" s="349"/>
      <c r="X454" s="349"/>
      <c r="Y454" s="349"/>
      <c r="Z454" s="349"/>
    </row>
    <row r="455">
      <c r="A455" s="349"/>
      <c r="B455" s="349"/>
      <c r="C455" s="395"/>
      <c r="D455" s="349"/>
      <c r="E455" s="349"/>
      <c r="F455" s="349"/>
      <c r="G455" s="396"/>
      <c r="H455" s="349"/>
      <c r="I455" s="349"/>
      <c r="J455" s="349"/>
      <c r="K455" s="349"/>
      <c r="L455" s="349"/>
      <c r="M455" s="349"/>
      <c r="N455" s="349"/>
      <c r="O455" s="349"/>
      <c r="P455" s="349"/>
      <c r="Q455" s="349"/>
      <c r="R455" s="349"/>
      <c r="S455" s="349"/>
      <c r="T455" s="349"/>
      <c r="U455" s="349"/>
      <c r="V455" s="349"/>
      <c r="W455" s="349"/>
      <c r="X455" s="349"/>
      <c r="Y455" s="349"/>
      <c r="Z455" s="349"/>
    </row>
    <row r="456">
      <c r="A456" s="349"/>
      <c r="B456" s="349"/>
      <c r="C456" s="395"/>
      <c r="D456" s="349"/>
      <c r="E456" s="349"/>
      <c r="F456" s="349"/>
      <c r="G456" s="396"/>
      <c r="H456" s="349"/>
      <c r="I456" s="349"/>
      <c r="J456" s="349"/>
      <c r="K456" s="349"/>
      <c r="L456" s="349"/>
      <c r="M456" s="349"/>
      <c r="N456" s="349"/>
      <c r="O456" s="349"/>
      <c r="P456" s="349"/>
      <c r="Q456" s="349"/>
      <c r="R456" s="349"/>
      <c r="S456" s="349"/>
      <c r="T456" s="349"/>
      <c r="U456" s="349"/>
      <c r="V456" s="349"/>
      <c r="W456" s="349"/>
      <c r="X456" s="349"/>
      <c r="Y456" s="349"/>
      <c r="Z456" s="349"/>
    </row>
    <row r="457">
      <c r="A457" s="349"/>
      <c r="B457" s="349"/>
      <c r="C457" s="395"/>
      <c r="D457" s="349"/>
      <c r="E457" s="349"/>
      <c r="F457" s="349"/>
      <c r="G457" s="396"/>
      <c r="H457" s="349"/>
      <c r="I457" s="349"/>
      <c r="J457" s="349"/>
      <c r="K457" s="349"/>
      <c r="L457" s="349"/>
      <c r="M457" s="349"/>
      <c r="N457" s="349"/>
      <c r="O457" s="349"/>
      <c r="P457" s="349"/>
      <c r="Q457" s="349"/>
      <c r="R457" s="349"/>
      <c r="S457" s="349"/>
      <c r="T457" s="349"/>
      <c r="U457" s="349"/>
      <c r="V457" s="349"/>
      <c r="W457" s="349"/>
      <c r="X457" s="349"/>
      <c r="Y457" s="349"/>
      <c r="Z457" s="349"/>
    </row>
    <row r="458">
      <c r="A458" s="349"/>
      <c r="B458" s="349"/>
      <c r="C458" s="395"/>
      <c r="D458" s="349"/>
      <c r="E458" s="349"/>
      <c r="F458" s="349"/>
      <c r="G458" s="396"/>
      <c r="H458" s="349"/>
      <c r="I458" s="349"/>
      <c r="J458" s="349"/>
      <c r="K458" s="349"/>
      <c r="L458" s="349"/>
      <c r="M458" s="349"/>
      <c r="N458" s="349"/>
      <c r="O458" s="349"/>
      <c r="P458" s="349"/>
      <c r="Q458" s="349"/>
      <c r="R458" s="349"/>
      <c r="S458" s="349"/>
      <c r="T458" s="349"/>
      <c r="U458" s="349"/>
      <c r="V458" s="349"/>
      <c r="W458" s="349"/>
      <c r="X458" s="349"/>
      <c r="Y458" s="349"/>
      <c r="Z458" s="349"/>
    </row>
    <row r="459">
      <c r="A459" s="349"/>
      <c r="B459" s="349"/>
      <c r="C459" s="395"/>
      <c r="D459" s="349"/>
      <c r="E459" s="349"/>
      <c r="F459" s="349"/>
      <c r="G459" s="396"/>
      <c r="H459" s="349"/>
      <c r="I459" s="349"/>
      <c r="J459" s="349"/>
      <c r="K459" s="349"/>
      <c r="L459" s="349"/>
      <c r="M459" s="349"/>
      <c r="N459" s="349"/>
      <c r="O459" s="349"/>
      <c r="P459" s="349"/>
      <c r="Q459" s="349"/>
      <c r="R459" s="349"/>
      <c r="S459" s="349"/>
      <c r="T459" s="349"/>
      <c r="U459" s="349"/>
      <c r="V459" s="349"/>
      <c r="W459" s="349"/>
      <c r="X459" s="349"/>
      <c r="Y459" s="349"/>
      <c r="Z459" s="349"/>
    </row>
    <row r="460">
      <c r="A460" s="349"/>
      <c r="B460" s="349"/>
      <c r="C460" s="395"/>
      <c r="D460" s="349"/>
      <c r="E460" s="349"/>
      <c r="F460" s="349"/>
      <c r="G460" s="396"/>
      <c r="H460" s="349"/>
      <c r="I460" s="349"/>
      <c r="J460" s="349"/>
      <c r="K460" s="349"/>
      <c r="L460" s="349"/>
      <c r="M460" s="349"/>
      <c r="N460" s="349"/>
      <c r="O460" s="349"/>
      <c r="P460" s="349"/>
      <c r="Q460" s="349"/>
      <c r="R460" s="349"/>
      <c r="S460" s="349"/>
      <c r="T460" s="349"/>
      <c r="U460" s="349"/>
      <c r="V460" s="349"/>
      <c r="W460" s="349"/>
      <c r="X460" s="349"/>
      <c r="Y460" s="349"/>
      <c r="Z460" s="349"/>
    </row>
    <row r="461">
      <c r="A461" s="349"/>
      <c r="B461" s="349"/>
      <c r="C461" s="395"/>
      <c r="D461" s="349"/>
      <c r="E461" s="349"/>
      <c r="F461" s="349"/>
      <c r="G461" s="396"/>
      <c r="H461" s="349"/>
      <c r="I461" s="349"/>
      <c r="J461" s="349"/>
      <c r="K461" s="349"/>
      <c r="L461" s="349"/>
      <c r="M461" s="349"/>
      <c r="N461" s="349"/>
      <c r="O461" s="349"/>
      <c r="P461" s="349"/>
      <c r="Q461" s="349"/>
      <c r="R461" s="349"/>
      <c r="S461" s="349"/>
      <c r="T461" s="349"/>
      <c r="U461" s="349"/>
      <c r="V461" s="349"/>
      <c r="W461" s="349"/>
      <c r="X461" s="349"/>
      <c r="Y461" s="349"/>
      <c r="Z461" s="349"/>
    </row>
    <row r="462">
      <c r="A462" s="349"/>
      <c r="B462" s="349"/>
      <c r="C462" s="395"/>
      <c r="D462" s="349"/>
      <c r="E462" s="349"/>
      <c r="F462" s="349"/>
      <c r="G462" s="396"/>
      <c r="H462" s="349"/>
      <c r="I462" s="349"/>
      <c r="J462" s="349"/>
      <c r="K462" s="349"/>
      <c r="L462" s="349"/>
      <c r="M462" s="349"/>
      <c r="N462" s="349"/>
      <c r="O462" s="349"/>
      <c r="P462" s="349"/>
      <c r="Q462" s="349"/>
      <c r="R462" s="349"/>
      <c r="S462" s="349"/>
      <c r="T462" s="349"/>
      <c r="U462" s="349"/>
      <c r="V462" s="349"/>
      <c r="W462" s="349"/>
      <c r="X462" s="349"/>
      <c r="Y462" s="349"/>
      <c r="Z462" s="349"/>
    </row>
    <row r="463">
      <c r="A463" s="349"/>
      <c r="B463" s="349"/>
      <c r="C463" s="395"/>
      <c r="D463" s="349"/>
      <c r="E463" s="349"/>
      <c r="F463" s="349"/>
      <c r="G463" s="396"/>
      <c r="H463" s="349"/>
      <c r="I463" s="349"/>
      <c r="J463" s="349"/>
      <c r="K463" s="349"/>
      <c r="L463" s="349"/>
      <c r="M463" s="349"/>
      <c r="N463" s="349"/>
      <c r="O463" s="349"/>
      <c r="P463" s="349"/>
      <c r="Q463" s="349"/>
      <c r="R463" s="349"/>
      <c r="S463" s="349"/>
      <c r="T463" s="349"/>
      <c r="U463" s="349"/>
      <c r="V463" s="349"/>
      <c r="W463" s="349"/>
      <c r="X463" s="349"/>
      <c r="Y463" s="349"/>
      <c r="Z463" s="349"/>
    </row>
    <row r="464">
      <c r="A464" s="349"/>
      <c r="B464" s="349"/>
      <c r="C464" s="395"/>
      <c r="D464" s="349"/>
      <c r="E464" s="349"/>
      <c r="F464" s="349"/>
      <c r="G464" s="396"/>
      <c r="H464" s="349"/>
      <c r="I464" s="349"/>
      <c r="J464" s="349"/>
      <c r="K464" s="349"/>
      <c r="L464" s="349"/>
      <c r="M464" s="349"/>
      <c r="N464" s="349"/>
      <c r="O464" s="349"/>
      <c r="P464" s="349"/>
      <c r="Q464" s="349"/>
      <c r="R464" s="349"/>
      <c r="S464" s="349"/>
      <c r="T464" s="349"/>
      <c r="U464" s="349"/>
      <c r="V464" s="349"/>
      <c r="W464" s="349"/>
      <c r="X464" s="349"/>
      <c r="Y464" s="349"/>
      <c r="Z464" s="349"/>
    </row>
    <row r="465">
      <c r="A465" s="349"/>
      <c r="B465" s="349"/>
      <c r="C465" s="395"/>
      <c r="D465" s="349"/>
      <c r="E465" s="349"/>
      <c r="F465" s="349"/>
      <c r="G465" s="396"/>
      <c r="H465" s="349"/>
      <c r="I465" s="349"/>
      <c r="J465" s="349"/>
      <c r="K465" s="349"/>
      <c r="L465" s="349"/>
      <c r="M465" s="349"/>
      <c r="N465" s="349"/>
      <c r="O465" s="349"/>
      <c r="P465" s="349"/>
      <c r="Q465" s="349"/>
      <c r="R465" s="349"/>
      <c r="S465" s="349"/>
      <c r="T465" s="349"/>
      <c r="U465" s="349"/>
      <c r="V465" s="349"/>
      <c r="W465" s="349"/>
      <c r="X465" s="349"/>
      <c r="Y465" s="349"/>
      <c r="Z465" s="349"/>
    </row>
    <row r="466">
      <c r="A466" s="349"/>
      <c r="B466" s="349"/>
      <c r="C466" s="395"/>
      <c r="D466" s="349"/>
      <c r="E466" s="349"/>
      <c r="F466" s="349"/>
      <c r="G466" s="396"/>
      <c r="H466" s="349"/>
      <c r="I466" s="349"/>
      <c r="J466" s="349"/>
      <c r="K466" s="349"/>
      <c r="L466" s="349"/>
      <c r="M466" s="349"/>
      <c r="N466" s="349"/>
      <c r="O466" s="349"/>
      <c r="P466" s="349"/>
      <c r="Q466" s="349"/>
      <c r="R466" s="349"/>
      <c r="S466" s="349"/>
      <c r="T466" s="349"/>
      <c r="U466" s="349"/>
      <c r="V466" s="349"/>
      <c r="W466" s="349"/>
      <c r="X466" s="349"/>
      <c r="Y466" s="349"/>
      <c r="Z466" s="349"/>
    </row>
    <row r="467">
      <c r="A467" s="349"/>
      <c r="B467" s="349"/>
      <c r="C467" s="395"/>
      <c r="D467" s="349"/>
      <c r="E467" s="349"/>
      <c r="F467" s="349"/>
      <c r="G467" s="396"/>
      <c r="H467" s="349"/>
      <c r="I467" s="349"/>
      <c r="J467" s="349"/>
      <c r="K467" s="349"/>
      <c r="L467" s="349"/>
      <c r="M467" s="349"/>
      <c r="N467" s="349"/>
      <c r="O467" s="349"/>
      <c r="P467" s="349"/>
      <c r="Q467" s="349"/>
      <c r="R467" s="349"/>
      <c r="S467" s="349"/>
      <c r="T467" s="349"/>
      <c r="U467" s="349"/>
      <c r="V467" s="349"/>
      <c r="W467" s="349"/>
      <c r="X467" s="349"/>
      <c r="Y467" s="349"/>
      <c r="Z467" s="349"/>
    </row>
    <row r="468">
      <c r="A468" s="349"/>
      <c r="B468" s="349"/>
      <c r="C468" s="395"/>
      <c r="D468" s="349"/>
      <c r="E468" s="349"/>
      <c r="F468" s="349"/>
      <c r="G468" s="396"/>
      <c r="H468" s="349"/>
      <c r="I468" s="349"/>
      <c r="J468" s="349"/>
      <c r="K468" s="349"/>
      <c r="L468" s="349"/>
      <c r="M468" s="349"/>
      <c r="N468" s="349"/>
      <c r="O468" s="349"/>
      <c r="P468" s="349"/>
      <c r="Q468" s="349"/>
      <c r="R468" s="349"/>
      <c r="S468" s="349"/>
      <c r="T468" s="349"/>
      <c r="U468" s="349"/>
      <c r="V468" s="349"/>
      <c r="W468" s="349"/>
      <c r="X468" s="349"/>
      <c r="Y468" s="349"/>
      <c r="Z468" s="349"/>
    </row>
    <row r="469">
      <c r="A469" s="349"/>
      <c r="B469" s="349"/>
      <c r="C469" s="395"/>
      <c r="D469" s="349"/>
      <c r="E469" s="349"/>
      <c r="F469" s="349"/>
      <c r="G469" s="396"/>
      <c r="H469" s="349"/>
      <c r="I469" s="349"/>
      <c r="J469" s="349"/>
      <c r="K469" s="349"/>
      <c r="L469" s="349"/>
      <c r="M469" s="349"/>
      <c r="N469" s="349"/>
      <c r="O469" s="349"/>
      <c r="P469" s="349"/>
      <c r="Q469" s="349"/>
      <c r="R469" s="349"/>
      <c r="S469" s="349"/>
      <c r="T469" s="349"/>
      <c r="U469" s="349"/>
      <c r="V469" s="349"/>
      <c r="W469" s="349"/>
      <c r="X469" s="349"/>
      <c r="Y469" s="349"/>
      <c r="Z469" s="349"/>
    </row>
    <row r="470">
      <c r="A470" s="349"/>
      <c r="B470" s="349"/>
      <c r="C470" s="395"/>
      <c r="D470" s="349"/>
      <c r="E470" s="349"/>
      <c r="F470" s="349"/>
      <c r="G470" s="396"/>
      <c r="H470" s="349"/>
      <c r="I470" s="349"/>
      <c r="J470" s="349"/>
      <c r="K470" s="349"/>
      <c r="L470" s="349"/>
      <c r="M470" s="349"/>
      <c r="N470" s="349"/>
      <c r="O470" s="349"/>
      <c r="P470" s="349"/>
      <c r="Q470" s="349"/>
      <c r="R470" s="349"/>
      <c r="S470" s="349"/>
      <c r="T470" s="349"/>
      <c r="U470" s="349"/>
      <c r="V470" s="349"/>
      <c r="W470" s="349"/>
      <c r="X470" s="349"/>
      <c r="Y470" s="349"/>
      <c r="Z470" s="349"/>
    </row>
    <row r="471">
      <c r="A471" s="349"/>
      <c r="B471" s="349"/>
      <c r="C471" s="395"/>
      <c r="D471" s="349"/>
      <c r="E471" s="349"/>
      <c r="F471" s="349"/>
      <c r="G471" s="396"/>
      <c r="H471" s="349"/>
      <c r="I471" s="349"/>
      <c r="J471" s="349"/>
      <c r="K471" s="349"/>
      <c r="L471" s="349"/>
      <c r="M471" s="349"/>
      <c r="N471" s="349"/>
      <c r="O471" s="349"/>
      <c r="P471" s="349"/>
      <c r="Q471" s="349"/>
      <c r="R471" s="349"/>
      <c r="S471" s="349"/>
      <c r="T471" s="349"/>
      <c r="U471" s="349"/>
      <c r="V471" s="349"/>
      <c r="W471" s="349"/>
      <c r="X471" s="349"/>
      <c r="Y471" s="349"/>
      <c r="Z471" s="349"/>
    </row>
    <row r="472">
      <c r="A472" s="349"/>
      <c r="B472" s="349"/>
      <c r="C472" s="395"/>
      <c r="D472" s="349"/>
      <c r="E472" s="349"/>
      <c r="F472" s="349"/>
      <c r="G472" s="396"/>
      <c r="H472" s="349"/>
      <c r="I472" s="349"/>
      <c r="J472" s="349"/>
      <c r="K472" s="349"/>
      <c r="L472" s="349"/>
      <c r="M472" s="349"/>
      <c r="N472" s="349"/>
      <c r="O472" s="349"/>
      <c r="P472" s="349"/>
      <c r="Q472" s="349"/>
      <c r="R472" s="349"/>
      <c r="S472" s="349"/>
      <c r="T472" s="349"/>
      <c r="U472" s="349"/>
      <c r="V472" s="349"/>
      <c r="W472" s="349"/>
      <c r="X472" s="349"/>
      <c r="Y472" s="349"/>
      <c r="Z472" s="349"/>
    </row>
    <row r="473">
      <c r="A473" s="349"/>
      <c r="B473" s="349"/>
      <c r="C473" s="395"/>
      <c r="D473" s="349"/>
      <c r="E473" s="349"/>
      <c r="F473" s="349"/>
      <c r="G473" s="396"/>
      <c r="H473" s="349"/>
      <c r="I473" s="349"/>
      <c r="J473" s="349"/>
      <c r="K473" s="349"/>
      <c r="L473" s="349"/>
      <c r="M473" s="349"/>
      <c r="N473" s="349"/>
      <c r="O473" s="349"/>
      <c r="P473" s="349"/>
      <c r="Q473" s="349"/>
      <c r="R473" s="349"/>
      <c r="S473" s="349"/>
      <c r="T473" s="349"/>
      <c r="U473" s="349"/>
      <c r="V473" s="349"/>
      <c r="W473" s="349"/>
      <c r="X473" s="349"/>
      <c r="Y473" s="349"/>
      <c r="Z473" s="349"/>
    </row>
    <row r="474">
      <c r="A474" s="349"/>
      <c r="B474" s="349"/>
      <c r="C474" s="395"/>
      <c r="D474" s="349"/>
      <c r="E474" s="349"/>
      <c r="F474" s="349"/>
      <c r="G474" s="396"/>
      <c r="H474" s="349"/>
      <c r="I474" s="349"/>
      <c r="J474" s="349"/>
      <c r="K474" s="349"/>
      <c r="L474" s="349"/>
      <c r="M474" s="349"/>
      <c r="N474" s="349"/>
      <c r="O474" s="349"/>
      <c r="P474" s="349"/>
      <c r="Q474" s="349"/>
      <c r="R474" s="349"/>
      <c r="S474" s="349"/>
      <c r="T474" s="349"/>
      <c r="U474" s="349"/>
      <c r="V474" s="349"/>
      <c r="W474" s="349"/>
      <c r="X474" s="349"/>
      <c r="Y474" s="349"/>
      <c r="Z474" s="349"/>
    </row>
    <row r="475">
      <c r="A475" s="349"/>
      <c r="B475" s="349"/>
      <c r="C475" s="395"/>
      <c r="D475" s="349"/>
      <c r="E475" s="349"/>
      <c r="F475" s="349"/>
      <c r="G475" s="396"/>
      <c r="H475" s="349"/>
      <c r="I475" s="349"/>
      <c r="J475" s="349"/>
      <c r="K475" s="349"/>
      <c r="L475" s="349"/>
      <c r="M475" s="349"/>
      <c r="N475" s="349"/>
      <c r="O475" s="349"/>
      <c r="P475" s="349"/>
      <c r="Q475" s="349"/>
      <c r="R475" s="349"/>
      <c r="S475" s="349"/>
      <c r="T475" s="349"/>
      <c r="U475" s="349"/>
      <c r="V475" s="349"/>
      <c r="W475" s="349"/>
      <c r="X475" s="349"/>
      <c r="Y475" s="349"/>
      <c r="Z475" s="349"/>
    </row>
    <row r="476">
      <c r="A476" s="349"/>
      <c r="B476" s="349"/>
      <c r="C476" s="395"/>
      <c r="D476" s="349"/>
      <c r="E476" s="349"/>
      <c r="F476" s="349"/>
      <c r="G476" s="396"/>
      <c r="H476" s="349"/>
      <c r="I476" s="349"/>
      <c r="J476" s="349"/>
      <c r="K476" s="349"/>
      <c r="L476" s="349"/>
      <c r="M476" s="349"/>
      <c r="N476" s="349"/>
      <c r="O476" s="349"/>
      <c r="P476" s="349"/>
      <c r="Q476" s="349"/>
      <c r="R476" s="349"/>
      <c r="S476" s="349"/>
      <c r="T476" s="349"/>
      <c r="U476" s="349"/>
      <c r="V476" s="349"/>
      <c r="W476" s="349"/>
      <c r="X476" s="349"/>
      <c r="Y476" s="349"/>
      <c r="Z476" s="349"/>
    </row>
    <row r="477">
      <c r="A477" s="349"/>
      <c r="B477" s="349"/>
      <c r="C477" s="395"/>
      <c r="D477" s="349"/>
      <c r="E477" s="349"/>
      <c r="F477" s="349"/>
      <c r="G477" s="396"/>
      <c r="H477" s="349"/>
      <c r="I477" s="349"/>
      <c r="J477" s="349"/>
      <c r="K477" s="349"/>
      <c r="L477" s="349"/>
      <c r="M477" s="349"/>
      <c r="N477" s="349"/>
      <c r="O477" s="349"/>
      <c r="P477" s="349"/>
      <c r="Q477" s="349"/>
      <c r="R477" s="349"/>
      <c r="S477" s="349"/>
      <c r="T477" s="349"/>
      <c r="U477" s="349"/>
      <c r="V477" s="349"/>
      <c r="W477" s="349"/>
      <c r="X477" s="349"/>
      <c r="Y477" s="349"/>
      <c r="Z477" s="349"/>
    </row>
    <row r="478">
      <c r="A478" s="349"/>
      <c r="B478" s="349"/>
      <c r="C478" s="395"/>
      <c r="D478" s="349"/>
      <c r="E478" s="349"/>
      <c r="F478" s="349"/>
      <c r="G478" s="396"/>
      <c r="H478" s="349"/>
      <c r="I478" s="349"/>
      <c r="J478" s="349"/>
      <c r="K478" s="349"/>
      <c r="L478" s="349"/>
      <c r="M478" s="349"/>
      <c r="N478" s="349"/>
      <c r="O478" s="349"/>
      <c r="P478" s="349"/>
      <c r="Q478" s="349"/>
      <c r="R478" s="349"/>
      <c r="S478" s="349"/>
      <c r="T478" s="349"/>
      <c r="U478" s="349"/>
      <c r="V478" s="349"/>
      <c r="W478" s="349"/>
      <c r="X478" s="349"/>
      <c r="Y478" s="349"/>
      <c r="Z478" s="349"/>
    </row>
    <row r="479">
      <c r="A479" s="349"/>
      <c r="B479" s="349"/>
      <c r="C479" s="395"/>
      <c r="D479" s="349"/>
      <c r="E479" s="349"/>
      <c r="F479" s="349"/>
      <c r="G479" s="396"/>
      <c r="H479" s="349"/>
      <c r="I479" s="349"/>
      <c r="J479" s="349"/>
      <c r="K479" s="349"/>
      <c r="L479" s="349"/>
      <c r="M479" s="349"/>
      <c r="N479" s="349"/>
      <c r="O479" s="349"/>
      <c r="P479" s="349"/>
      <c r="Q479" s="349"/>
      <c r="R479" s="349"/>
      <c r="S479" s="349"/>
      <c r="T479" s="349"/>
      <c r="U479" s="349"/>
      <c r="V479" s="349"/>
      <c r="W479" s="349"/>
      <c r="X479" s="349"/>
      <c r="Y479" s="349"/>
      <c r="Z479" s="349"/>
    </row>
    <row r="480">
      <c r="A480" s="349"/>
      <c r="B480" s="349"/>
      <c r="C480" s="395"/>
      <c r="D480" s="349"/>
      <c r="E480" s="349"/>
      <c r="F480" s="349"/>
      <c r="G480" s="396"/>
      <c r="H480" s="349"/>
      <c r="I480" s="349"/>
      <c r="J480" s="349"/>
      <c r="K480" s="349"/>
      <c r="L480" s="349"/>
      <c r="M480" s="349"/>
      <c r="N480" s="349"/>
      <c r="O480" s="349"/>
      <c r="P480" s="349"/>
      <c r="Q480" s="349"/>
      <c r="R480" s="349"/>
      <c r="S480" s="349"/>
      <c r="T480" s="349"/>
      <c r="U480" s="349"/>
      <c r="V480" s="349"/>
      <c r="W480" s="349"/>
      <c r="X480" s="349"/>
      <c r="Y480" s="349"/>
      <c r="Z480" s="349"/>
    </row>
    <row r="481">
      <c r="A481" s="349"/>
      <c r="B481" s="349"/>
      <c r="C481" s="395"/>
      <c r="D481" s="349"/>
      <c r="E481" s="349"/>
      <c r="F481" s="349"/>
      <c r="G481" s="396"/>
      <c r="H481" s="349"/>
      <c r="I481" s="349"/>
      <c r="J481" s="349"/>
      <c r="K481" s="349"/>
      <c r="L481" s="349"/>
      <c r="M481" s="349"/>
      <c r="N481" s="349"/>
      <c r="O481" s="349"/>
      <c r="P481" s="349"/>
      <c r="Q481" s="349"/>
      <c r="R481" s="349"/>
      <c r="S481" s="349"/>
      <c r="T481" s="349"/>
      <c r="U481" s="349"/>
      <c r="V481" s="349"/>
      <c r="W481" s="349"/>
      <c r="X481" s="349"/>
      <c r="Y481" s="349"/>
      <c r="Z481" s="349"/>
    </row>
    <row r="482">
      <c r="A482" s="349"/>
      <c r="B482" s="349"/>
      <c r="C482" s="395"/>
      <c r="D482" s="349"/>
      <c r="E482" s="349"/>
      <c r="F482" s="349"/>
      <c r="G482" s="396"/>
      <c r="H482" s="349"/>
      <c r="I482" s="349"/>
      <c r="J482" s="349"/>
      <c r="K482" s="349"/>
      <c r="L482" s="349"/>
      <c r="M482" s="349"/>
      <c r="N482" s="349"/>
      <c r="O482" s="349"/>
      <c r="P482" s="349"/>
      <c r="Q482" s="349"/>
      <c r="R482" s="349"/>
      <c r="S482" s="349"/>
      <c r="T482" s="349"/>
      <c r="U482" s="349"/>
      <c r="V482" s="349"/>
      <c r="W482" s="349"/>
      <c r="X482" s="349"/>
      <c r="Y482" s="349"/>
      <c r="Z482" s="349"/>
    </row>
    <row r="483">
      <c r="A483" s="349"/>
      <c r="B483" s="349"/>
      <c r="C483" s="395"/>
      <c r="D483" s="349"/>
      <c r="E483" s="349"/>
      <c r="F483" s="349"/>
      <c r="G483" s="396"/>
      <c r="H483" s="349"/>
      <c r="I483" s="349"/>
      <c r="J483" s="349"/>
      <c r="K483" s="349"/>
      <c r="L483" s="349"/>
      <c r="M483" s="349"/>
      <c r="N483" s="349"/>
      <c r="O483" s="349"/>
      <c r="P483" s="349"/>
      <c r="Q483" s="349"/>
      <c r="R483" s="349"/>
      <c r="S483" s="349"/>
      <c r="T483" s="349"/>
      <c r="U483" s="349"/>
      <c r="V483" s="349"/>
      <c r="W483" s="349"/>
      <c r="X483" s="349"/>
      <c r="Y483" s="349"/>
      <c r="Z483" s="349"/>
    </row>
    <row r="484">
      <c r="A484" s="349"/>
      <c r="B484" s="349"/>
      <c r="C484" s="395"/>
      <c r="D484" s="349"/>
      <c r="E484" s="349"/>
      <c r="F484" s="349"/>
      <c r="G484" s="396"/>
      <c r="H484" s="349"/>
      <c r="I484" s="349"/>
      <c r="J484" s="349"/>
      <c r="K484" s="349"/>
      <c r="L484" s="349"/>
      <c r="M484" s="349"/>
      <c r="N484" s="349"/>
      <c r="O484" s="349"/>
      <c r="P484" s="349"/>
      <c r="Q484" s="349"/>
      <c r="R484" s="349"/>
      <c r="S484" s="349"/>
      <c r="T484" s="349"/>
      <c r="U484" s="349"/>
      <c r="V484" s="349"/>
      <c r="W484" s="349"/>
      <c r="X484" s="349"/>
      <c r="Y484" s="349"/>
      <c r="Z484" s="349"/>
    </row>
    <row r="485">
      <c r="A485" s="349"/>
      <c r="B485" s="349"/>
      <c r="C485" s="395"/>
      <c r="D485" s="349"/>
      <c r="E485" s="349"/>
      <c r="F485" s="349"/>
      <c r="G485" s="396"/>
      <c r="H485" s="349"/>
      <c r="I485" s="349"/>
      <c r="J485" s="349"/>
      <c r="K485" s="349"/>
      <c r="L485" s="349"/>
      <c r="M485" s="349"/>
      <c r="N485" s="349"/>
      <c r="O485" s="349"/>
      <c r="P485" s="349"/>
      <c r="Q485" s="349"/>
      <c r="R485" s="349"/>
      <c r="S485" s="349"/>
      <c r="T485" s="349"/>
      <c r="U485" s="349"/>
      <c r="V485" s="349"/>
      <c r="W485" s="349"/>
      <c r="X485" s="349"/>
      <c r="Y485" s="349"/>
      <c r="Z485" s="349"/>
    </row>
    <row r="486">
      <c r="A486" s="349"/>
      <c r="B486" s="349"/>
      <c r="C486" s="395"/>
      <c r="D486" s="349"/>
      <c r="E486" s="349"/>
      <c r="F486" s="349"/>
      <c r="G486" s="396"/>
      <c r="H486" s="349"/>
      <c r="I486" s="349"/>
      <c r="J486" s="349"/>
      <c r="K486" s="349"/>
      <c r="L486" s="349"/>
      <c r="M486" s="349"/>
      <c r="N486" s="349"/>
      <c r="O486" s="349"/>
      <c r="P486" s="349"/>
      <c r="Q486" s="349"/>
      <c r="R486" s="349"/>
      <c r="S486" s="349"/>
      <c r="T486" s="349"/>
      <c r="U486" s="349"/>
      <c r="V486" s="349"/>
      <c r="W486" s="349"/>
      <c r="X486" s="349"/>
      <c r="Y486" s="349"/>
      <c r="Z486" s="349"/>
    </row>
    <row r="487">
      <c r="A487" s="349"/>
      <c r="B487" s="349"/>
      <c r="C487" s="395"/>
      <c r="D487" s="349"/>
      <c r="E487" s="349"/>
      <c r="F487" s="349"/>
      <c r="G487" s="396"/>
      <c r="H487" s="349"/>
      <c r="I487" s="349"/>
      <c r="J487" s="349"/>
      <c r="K487" s="349"/>
      <c r="L487" s="349"/>
      <c r="M487" s="349"/>
      <c r="N487" s="349"/>
      <c r="O487" s="349"/>
      <c r="P487" s="349"/>
      <c r="Q487" s="349"/>
      <c r="R487" s="349"/>
      <c r="S487" s="349"/>
      <c r="T487" s="349"/>
      <c r="U487" s="349"/>
      <c r="V487" s="349"/>
      <c r="W487" s="349"/>
      <c r="X487" s="349"/>
      <c r="Y487" s="349"/>
      <c r="Z487" s="349"/>
    </row>
    <row r="488">
      <c r="A488" s="349"/>
      <c r="B488" s="349"/>
      <c r="C488" s="395"/>
      <c r="D488" s="349"/>
      <c r="E488" s="349"/>
      <c r="F488" s="349"/>
      <c r="G488" s="396"/>
      <c r="H488" s="349"/>
      <c r="I488" s="349"/>
      <c r="J488" s="349"/>
      <c r="K488" s="349"/>
      <c r="L488" s="349"/>
      <c r="M488" s="349"/>
      <c r="N488" s="349"/>
      <c r="O488" s="349"/>
      <c r="P488" s="349"/>
      <c r="Q488" s="349"/>
      <c r="R488" s="349"/>
      <c r="S488" s="349"/>
      <c r="T488" s="349"/>
      <c r="U488" s="349"/>
      <c r="V488" s="349"/>
      <c r="W488" s="349"/>
      <c r="X488" s="349"/>
      <c r="Y488" s="349"/>
      <c r="Z488" s="349"/>
    </row>
    <row r="489">
      <c r="A489" s="349"/>
      <c r="B489" s="349"/>
      <c r="C489" s="395"/>
      <c r="D489" s="349"/>
      <c r="E489" s="349"/>
      <c r="F489" s="349"/>
      <c r="G489" s="396"/>
      <c r="H489" s="349"/>
      <c r="I489" s="349"/>
      <c r="J489" s="349"/>
      <c r="K489" s="349"/>
      <c r="L489" s="349"/>
      <c r="M489" s="349"/>
      <c r="N489" s="349"/>
      <c r="O489" s="349"/>
      <c r="P489" s="349"/>
      <c r="Q489" s="349"/>
      <c r="R489" s="349"/>
      <c r="S489" s="349"/>
      <c r="T489" s="349"/>
      <c r="U489" s="349"/>
      <c r="V489" s="349"/>
      <c r="W489" s="349"/>
      <c r="X489" s="349"/>
      <c r="Y489" s="349"/>
      <c r="Z489" s="349"/>
    </row>
    <row r="490">
      <c r="A490" s="349"/>
      <c r="B490" s="349"/>
      <c r="C490" s="395"/>
      <c r="D490" s="349"/>
      <c r="E490" s="349"/>
      <c r="F490" s="349"/>
      <c r="G490" s="396"/>
      <c r="H490" s="349"/>
      <c r="I490" s="349"/>
      <c r="J490" s="349"/>
      <c r="K490" s="349"/>
      <c r="L490" s="349"/>
      <c r="M490" s="349"/>
      <c r="N490" s="349"/>
      <c r="O490" s="349"/>
      <c r="P490" s="349"/>
      <c r="Q490" s="349"/>
      <c r="R490" s="349"/>
      <c r="S490" s="349"/>
      <c r="T490" s="349"/>
      <c r="U490" s="349"/>
      <c r="V490" s="349"/>
      <c r="W490" s="349"/>
      <c r="X490" s="349"/>
      <c r="Y490" s="349"/>
      <c r="Z490" s="349"/>
    </row>
    <row r="491">
      <c r="A491" s="349"/>
      <c r="B491" s="349"/>
      <c r="C491" s="395"/>
      <c r="D491" s="349"/>
      <c r="E491" s="349"/>
      <c r="F491" s="349"/>
      <c r="G491" s="396"/>
      <c r="H491" s="349"/>
      <c r="I491" s="349"/>
      <c r="J491" s="349"/>
      <c r="K491" s="349"/>
      <c r="L491" s="349"/>
      <c r="M491" s="349"/>
      <c r="N491" s="349"/>
      <c r="O491" s="349"/>
      <c r="P491" s="349"/>
      <c r="Q491" s="349"/>
      <c r="R491" s="349"/>
      <c r="S491" s="349"/>
      <c r="T491" s="349"/>
      <c r="U491" s="349"/>
      <c r="V491" s="349"/>
      <c r="W491" s="349"/>
      <c r="X491" s="349"/>
      <c r="Y491" s="349"/>
      <c r="Z491" s="349"/>
    </row>
    <row r="492">
      <c r="A492" s="349"/>
      <c r="B492" s="349"/>
      <c r="C492" s="395"/>
      <c r="D492" s="349"/>
      <c r="E492" s="349"/>
      <c r="F492" s="349"/>
      <c r="G492" s="396"/>
      <c r="H492" s="349"/>
      <c r="I492" s="349"/>
      <c r="J492" s="349"/>
      <c r="K492" s="349"/>
      <c r="L492" s="349"/>
      <c r="M492" s="349"/>
      <c r="N492" s="349"/>
      <c r="O492" s="349"/>
      <c r="P492" s="349"/>
      <c r="Q492" s="349"/>
      <c r="R492" s="349"/>
      <c r="S492" s="349"/>
      <c r="T492" s="349"/>
      <c r="U492" s="349"/>
      <c r="V492" s="349"/>
      <c r="W492" s="349"/>
      <c r="X492" s="349"/>
      <c r="Y492" s="349"/>
      <c r="Z492" s="349"/>
    </row>
    <row r="493">
      <c r="A493" s="349"/>
      <c r="B493" s="349"/>
      <c r="C493" s="395"/>
      <c r="D493" s="349"/>
      <c r="E493" s="349"/>
      <c r="F493" s="349"/>
      <c r="G493" s="396"/>
      <c r="H493" s="349"/>
      <c r="I493" s="349"/>
      <c r="J493" s="349"/>
      <c r="K493" s="349"/>
      <c r="L493" s="349"/>
      <c r="M493" s="349"/>
      <c r="N493" s="349"/>
      <c r="O493" s="349"/>
      <c r="P493" s="349"/>
      <c r="Q493" s="349"/>
      <c r="R493" s="349"/>
      <c r="S493" s="349"/>
      <c r="T493" s="349"/>
      <c r="U493" s="349"/>
      <c r="V493" s="349"/>
      <c r="W493" s="349"/>
      <c r="X493" s="349"/>
      <c r="Y493" s="349"/>
      <c r="Z493" s="349"/>
    </row>
    <row r="494">
      <c r="A494" s="349"/>
      <c r="B494" s="349"/>
      <c r="C494" s="395"/>
      <c r="D494" s="349"/>
      <c r="E494" s="349"/>
      <c r="F494" s="349"/>
      <c r="G494" s="396"/>
      <c r="H494" s="349"/>
      <c r="I494" s="349"/>
      <c r="J494" s="349"/>
      <c r="K494" s="349"/>
      <c r="L494" s="349"/>
      <c r="M494" s="349"/>
      <c r="N494" s="349"/>
      <c r="O494" s="349"/>
      <c r="P494" s="349"/>
      <c r="Q494" s="349"/>
      <c r="R494" s="349"/>
      <c r="S494" s="349"/>
      <c r="T494" s="349"/>
      <c r="U494" s="349"/>
      <c r="V494" s="349"/>
      <c r="W494" s="349"/>
      <c r="X494" s="349"/>
      <c r="Y494" s="349"/>
      <c r="Z494" s="349"/>
    </row>
    <row r="495">
      <c r="A495" s="349"/>
      <c r="B495" s="349"/>
      <c r="C495" s="395"/>
      <c r="D495" s="349"/>
      <c r="E495" s="349"/>
      <c r="F495" s="349"/>
      <c r="G495" s="396"/>
      <c r="H495" s="349"/>
      <c r="I495" s="349"/>
      <c r="J495" s="349"/>
      <c r="K495" s="349"/>
      <c r="L495" s="349"/>
      <c r="M495" s="349"/>
      <c r="N495" s="349"/>
      <c r="O495" s="349"/>
      <c r="P495" s="349"/>
      <c r="Q495" s="349"/>
      <c r="R495" s="349"/>
      <c r="S495" s="349"/>
      <c r="T495" s="349"/>
      <c r="U495" s="349"/>
      <c r="V495" s="349"/>
      <c r="W495" s="349"/>
      <c r="X495" s="349"/>
      <c r="Y495" s="349"/>
      <c r="Z495" s="349"/>
    </row>
    <row r="496">
      <c r="A496" s="349"/>
      <c r="B496" s="349"/>
      <c r="C496" s="395"/>
      <c r="D496" s="349"/>
      <c r="E496" s="349"/>
      <c r="F496" s="349"/>
      <c r="G496" s="396"/>
      <c r="H496" s="349"/>
      <c r="I496" s="349"/>
      <c r="J496" s="349"/>
      <c r="K496" s="349"/>
      <c r="L496" s="349"/>
      <c r="M496" s="349"/>
      <c r="N496" s="349"/>
      <c r="O496" s="349"/>
      <c r="P496" s="349"/>
      <c r="Q496" s="349"/>
      <c r="R496" s="349"/>
      <c r="S496" s="349"/>
      <c r="T496" s="349"/>
      <c r="U496" s="349"/>
      <c r="V496" s="349"/>
      <c r="W496" s="349"/>
      <c r="X496" s="349"/>
      <c r="Y496" s="349"/>
      <c r="Z496" s="349"/>
    </row>
    <row r="497">
      <c r="A497" s="349"/>
      <c r="B497" s="349"/>
      <c r="C497" s="395"/>
      <c r="D497" s="349"/>
      <c r="E497" s="349"/>
      <c r="F497" s="349"/>
      <c r="G497" s="396"/>
      <c r="H497" s="349"/>
      <c r="I497" s="349"/>
      <c r="J497" s="349"/>
      <c r="K497" s="349"/>
      <c r="L497" s="349"/>
      <c r="M497" s="349"/>
      <c r="N497" s="349"/>
      <c r="O497" s="349"/>
      <c r="P497" s="349"/>
      <c r="Q497" s="349"/>
      <c r="R497" s="349"/>
      <c r="S497" s="349"/>
      <c r="T497" s="349"/>
      <c r="U497" s="349"/>
      <c r="V497" s="349"/>
      <c r="W497" s="349"/>
      <c r="X497" s="349"/>
      <c r="Y497" s="349"/>
      <c r="Z497" s="349"/>
    </row>
    <row r="498">
      <c r="A498" s="349"/>
      <c r="B498" s="349"/>
      <c r="C498" s="395"/>
      <c r="D498" s="349"/>
      <c r="E498" s="349"/>
      <c r="F498" s="349"/>
      <c r="G498" s="396"/>
      <c r="H498" s="349"/>
      <c r="I498" s="349"/>
      <c r="J498" s="349"/>
      <c r="K498" s="349"/>
      <c r="L498" s="349"/>
      <c r="M498" s="349"/>
      <c r="N498" s="349"/>
      <c r="O498" s="349"/>
      <c r="P498" s="349"/>
      <c r="Q498" s="349"/>
      <c r="R498" s="349"/>
      <c r="S498" s="349"/>
      <c r="T498" s="349"/>
      <c r="U498" s="349"/>
      <c r="V498" s="349"/>
      <c r="W498" s="349"/>
      <c r="X498" s="349"/>
      <c r="Y498" s="349"/>
      <c r="Z498" s="349"/>
    </row>
    <row r="499">
      <c r="A499" s="349"/>
      <c r="B499" s="349"/>
      <c r="C499" s="395"/>
      <c r="D499" s="349"/>
      <c r="E499" s="349"/>
      <c r="F499" s="349"/>
      <c r="G499" s="396"/>
      <c r="H499" s="349"/>
      <c r="I499" s="349"/>
      <c r="J499" s="349"/>
      <c r="K499" s="349"/>
      <c r="L499" s="349"/>
      <c r="M499" s="349"/>
      <c r="N499" s="349"/>
      <c r="O499" s="349"/>
      <c r="P499" s="349"/>
      <c r="Q499" s="349"/>
      <c r="R499" s="349"/>
      <c r="S499" s="349"/>
      <c r="T499" s="349"/>
      <c r="U499" s="349"/>
      <c r="V499" s="349"/>
      <c r="W499" s="349"/>
      <c r="X499" s="349"/>
      <c r="Y499" s="349"/>
      <c r="Z499" s="349"/>
    </row>
    <row r="500">
      <c r="A500" s="349"/>
      <c r="B500" s="349"/>
      <c r="C500" s="395"/>
      <c r="D500" s="349"/>
      <c r="E500" s="349"/>
      <c r="F500" s="349"/>
      <c r="G500" s="396"/>
      <c r="H500" s="349"/>
      <c r="I500" s="349"/>
      <c r="J500" s="349"/>
      <c r="K500" s="349"/>
      <c r="L500" s="349"/>
      <c r="M500" s="349"/>
      <c r="N500" s="349"/>
      <c r="O500" s="349"/>
      <c r="P500" s="349"/>
      <c r="Q500" s="349"/>
      <c r="R500" s="349"/>
      <c r="S500" s="349"/>
      <c r="T500" s="349"/>
      <c r="U500" s="349"/>
      <c r="V500" s="349"/>
      <c r="W500" s="349"/>
      <c r="X500" s="349"/>
      <c r="Y500" s="349"/>
      <c r="Z500" s="349"/>
    </row>
    <row r="501">
      <c r="A501" s="349"/>
      <c r="B501" s="349"/>
      <c r="C501" s="395"/>
      <c r="D501" s="349"/>
      <c r="E501" s="349"/>
      <c r="F501" s="349"/>
      <c r="G501" s="396"/>
      <c r="H501" s="349"/>
      <c r="I501" s="349"/>
      <c r="J501" s="349"/>
      <c r="K501" s="349"/>
      <c r="L501" s="349"/>
      <c r="M501" s="349"/>
      <c r="N501" s="349"/>
      <c r="O501" s="349"/>
      <c r="P501" s="349"/>
      <c r="Q501" s="349"/>
      <c r="R501" s="349"/>
      <c r="S501" s="349"/>
      <c r="T501" s="349"/>
      <c r="U501" s="349"/>
      <c r="V501" s="349"/>
      <c r="W501" s="349"/>
      <c r="X501" s="349"/>
      <c r="Y501" s="349"/>
      <c r="Z501" s="349"/>
    </row>
    <row r="502">
      <c r="A502" s="349"/>
      <c r="B502" s="349"/>
      <c r="C502" s="395"/>
      <c r="D502" s="349"/>
      <c r="E502" s="349"/>
      <c r="F502" s="349"/>
      <c r="G502" s="396"/>
      <c r="H502" s="349"/>
      <c r="I502" s="349"/>
      <c r="J502" s="349"/>
      <c r="K502" s="349"/>
      <c r="L502" s="349"/>
      <c r="M502" s="349"/>
      <c r="N502" s="349"/>
      <c r="O502" s="349"/>
      <c r="P502" s="349"/>
      <c r="Q502" s="349"/>
      <c r="R502" s="349"/>
      <c r="S502" s="349"/>
      <c r="T502" s="349"/>
      <c r="U502" s="349"/>
      <c r="V502" s="349"/>
      <c r="W502" s="349"/>
      <c r="X502" s="349"/>
      <c r="Y502" s="349"/>
      <c r="Z502" s="349"/>
    </row>
    <row r="503">
      <c r="A503" s="349"/>
      <c r="B503" s="349"/>
      <c r="C503" s="395"/>
      <c r="D503" s="349"/>
      <c r="E503" s="349"/>
      <c r="F503" s="349"/>
      <c r="G503" s="396"/>
      <c r="H503" s="349"/>
      <c r="I503" s="349"/>
      <c r="J503" s="349"/>
      <c r="K503" s="349"/>
      <c r="L503" s="349"/>
      <c r="M503" s="349"/>
      <c r="N503" s="349"/>
      <c r="O503" s="349"/>
      <c r="P503" s="349"/>
      <c r="Q503" s="349"/>
      <c r="R503" s="349"/>
      <c r="S503" s="349"/>
      <c r="T503" s="349"/>
      <c r="U503" s="349"/>
      <c r="V503" s="349"/>
      <c r="W503" s="349"/>
      <c r="X503" s="349"/>
      <c r="Y503" s="349"/>
      <c r="Z503" s="349"/>
    </row>
    <row r="504">
      <c r="A504" s="349"/>
      <c r="B504" s="349"/>
      <c r="C504" s="395"/>
      <c r="D504" s="349"/>
      <c r="E504" s="349"/>
      <c r="F504" s="349"/>
      <c r="G504" s="396"/>
      <c r="H504" s="349"/>
      <c r="I504" s="349"/>
      <c r="J504" s="349"/>
      <c r="K504" s="349"/>
      <c r="L504" s="349"/>
      <c r="M504" s="349"/>
      <c r="N504" s="349"/>
      <c r="O504" s="349"/>
      <c r="P504" s="349"/>
      <c r="Q504" s="349"/>
      <c r="R504" s="349"/>
      <c r="S504" s="349"/>
      <c r="T504" s="349"/>
      <c r="U504" s="349"/>
      <c r="V504" s="349"/>
      <c r="W504" s="349"/>
      <c r="X504" s="349"/>
      <c r="Y504" s="349"/>
      <c r="Z504" s="349"/>
    </row>
    <row r="505">
      <c r="A505" s="349"/>
      <c r="B505" s="349"/>
      <c r="C505" s="395"/>
      <c r="D505" s="349"/>
      <c r="E505" s="349"/>
      <c r="F505" s="349"/>
      <c r="G505" s="396"/>
      <c r="H505" s="349"/>
      <c r="I505" s="349"/>
      <c r="J505" s="349"/>
      <c r="K505" s="349"/>
      <c r="L505" s="349"/>
      <c r="M505" s="349"/>
      <c r="N505" s="349"/>
      <c r="O505" s="349"/>
      <c r="P505" s="349"/>
      <c r="Q505" s="349"/>
      <c r="R505" s="349"/>
      <c r="S505" s="349"/>
      <c r="T505" s="349"/>
      <c r="U505" s="349"/>
      <c r="V505" s="349"/>
      <c r="W505" s="349"/>
      <c r="X505" s="349"/>
      <c r="Y505" s="349"/>
      <c r="Z505" s="349"/>
    </row>
    <row r="506">
      <c r="A506" s="349"/>
      <c r="B506" s="349"/>
      <c r="C506" s="395"/>
      <c r="D506" s="349"/>
      <c r="E506" s="349"/>
      <c r="F506" s="349"/>
      <c r="G506" s="396"/>
      <c r="H506" s="349"/>
      <c r="I506" s="349"/>
      <c r="J506" s="349"/>
      <c r="K506" s="349"/>
      <c r="L506" s="349"/>
      <c r="M506" s="349"/>
      <c r="N506" s="349"/>
      <c r="O506" s="349"/>
      <c r="P506" s="349"/>
      <c r="Q506" s="349"/>
      <c r="R506" s="349"/>
      <c r="S506" s="349"/>
      <c r="T506" s="349"/>
      <c r="U506" s="349"/>
      <c r="V506" s="349"/>
      <c r="W506" s="349"/>
      <c r="X506" s="349"/>
      <c r="Y506" s="349"/>
      <c r="Z506" s="349"/>
    </row>
    <row r="507">
      <c r="A507" s="349"/>
      <c r="B507" s="349"/>
      <c r="C507" s="395"/>
      <c r="D507" s="349"/>
      <c r="E507" s="349"/>
      <c r="F507" s="349"/>
      <c r="G507" s="396"/>
      <c r="H507" s="349"/>
      <c r="I507" s="349"/>
      <c r="J507" s="349"/>
      <c r="K507" s="349"/>
      <c r="L507" s="349"/>
      <c r="M507" s="349"/>
      <c r="N507" s="349"/>
      <c r="O507" s="349"/>
      <c r="P507" s="349"/>
      <c r="Q507" s="349"/>
      <c r="R507" s="349"/>
      <c r="S507" s="349"/>
      <c r="T507" s="349"/>
      <c r="U507" s="349"/>
      <c r="V507" s="349"/>
      <c r="W507" s="349"/>
      <c r="X507" s="349"/>
      <c r="Y507" s="349"/>
      <c r="Z507" s="349"/>
    </row>
    <row r="508">
      <c r="A508" s="349"/>
      <c r="B508" s="349"/>
      <c r="C508" s="395"/>
      <c r="D508" s="349"/>
      <c r="E508" s="349"/>
      <c r="F508" s="349"/>
      <c r="G508" s="396"/>
      <c r="H508" s="349"/>
      <c r="I508" s="349"/>
      <c r="J508" s="349"/>
      <c r="K508" s="349"/>
      <c r="L508" s="349"/>
      <c r="M508" s="349"/>
      <c r="N508" s="349"/>
      <c r="O508" s="349"/>
      <c r="P508" s="349"/>
      <c r="Q508" s="349"/>
      <c r="R508" s="349"/>
      <c r="S508" s="349"/>
      <c r="T508" s="349"/>
      <c r="U508" s="349"/>
      <c r="V508" s="349"/>
      <c r="W508" s="349"/>
      <c r="X508" s="349"/>
      <c r="Y508" s="349"/>
      <c r="Z508" s="349"/>
    </row>
    <row r="509">
      <c r="A509" s="349"/>
      <c r="B509" s="349"/>
      <c r="C509" s="395"/>
      <c r="D509" s="349"/>
      <c r="E509" s="349"/>
      <c r="F509" s="349"/>
      <c r="G509" s="396"/>
      <c r="H509" s="349"/>
      <c r="I509" s="349"/>
      <c r="J509" s="349"/>
      <c r="K509" s="349"/>
      <c r="L509" s="349"/>
      <c r="M509" s="349"/>
      <c r="N509" s="349"/>
      <c r="O509" s="349"/>
      <c r="P509" s="349"/>
      <c r="Q509" s="349"/>
      <c r="R509" s="349"/>
      <c r="S509" s="349"/>
      <c r="T509" s="349"/>
      <c r="U509" s="349"/>
      <c r="V509" s="349"/>
      <c r="W509" s="349"/>
      <c r="X509" s="349"/>
      <c r="Y509" s="349"/>
      <c r="Z509" s="349"/>
    </row>
    <row r="510">
      <c r="A510" s="349"/>
      <c r="B510" s="349"/>
      <c r="C510" s="395"/>
      <c r="D510" s="349"/>
      <c r="E510" s="349"/>
      <c r="F510" s="349"/>
      <c r="G510" s="396"/>
      <c r="H510" s="349"/>
      <c r="I510" s="349"/>
      <c r="J510" s="349"/>
      <c r="K510" s="349"/>
      <c r="L510" s="349"/>
      <c r="M510" s="349"/>
      <c r="N510" s="349"/>
      <c r="O510" s="349"/>
      <c r="P510" s="349"/>
      <c r="Q510" s="349"/>
      <c r="R510" s="349"/>
      <c r="S510" s="349"/>
      <c r="T510" s="349"/>
      <c r="U510" s="349"/>
      <c r="V510" s="349"/>
      <c r="W510" s="349"/>
      <c r="X510" s="349"/>
      <c r="Y510" s="349"/>
      <c r="Z510" s="349"/>
    </row>
    <row r="511">
      <c r="A511" s="349"/>
      <c r="B511" s="349"/>
      <c r="C511" s="395"/>
      <c r="D511" s="349"/>
      <c r="E511" s="349"/>
      <c r="F511" s="349"/>
      <c r="G511" s="396"/>
      <c r="H511" s="349"/>
      <c r="I511" s="349"/>
      <c r="J511" s="349"/>
      <c r="K511" s="349"/>
      <c r="L511" s="349"/>
      <c r="M511" s="349"/>
      <c r="N511" s="349"/>
      <c r="O511" s="349"/>
      <c r="P511" s="349"/>
      <c r="Q511" s="349"/>
      <c r="R511" s="349"/>
      <c r="S511" s="349"/>
      <c r="T511" s="349"/>
      <c r="U511" s="349"/>
      <c r="V511" s="349"/>
      <c r="W511" s="349"/>
      <c r="X511" s="349"/>
      <c r="Y511" s="349"/>
      <c r="Z511" s="349"/>
    </row>
    <row r="512">
      <c r="A512" s="349"/>
      <c r="B512" s="349"/>
      <c r="C512" s="395"/>
      <c r="D512" s="349"/>
      <c r="E512" s="349"/>
      <c r="F512" s="349"/>
      <c r="G512" s="396"/>
      <c r="H512" s="349"/>
      <c r="I512" s="349"/>
      <c r="J512" s="349"/>
      <c r="K512" s="349"/>
      <c r="L512" s="349"/>
      <c r="M512" s="349"/>
      <c r="N512" s="349"/>
      <c r="O512" s="349"/>
      <c r="P512" s="349"/>
      <c r="Q512" s="349"/>
      <c r="R512" s="349"/>
      <c r="S512" s="349"/>
      <c r="T512" s="349"/>
      <c r="U512" s="349"/>
      <c r="V512" s="349"/>
      <c r="W512" s="349"/>
      <c r="X512" s="349"/>
      <c r="Y512" s="349"/>
      <c r="Z512" s="349"/>
    </row>
    <row r="513">
      <c r="A513" s="349"/>
      <c r="B513" s="349"/>
      <c r="C513" s="395"/>
      <c r="D513" s="349"/>
      <c r="E513" s="349"/>
      <c r="F513" s="349"/>
      <c r="G513" s="396"/>
      <c r="H513" s="349"/>
      <c r="I513" s="349"/>
      <c r="J513" s="349"/>
      <c r="K513" s="349"/>
      <c r="L513" s="349"/>
      <c r="M513" s="349"/>
      <c r="N513" s="349"/>
      <c r="O513" s="349"/>
      <c r="P513" s="349"/>
      <c r="Q513" s="349"/>
      <c r="R513" s="349"/>
      <c r="S513" s="349"/>
      <c r="T513" s="349"/>
      <c r="U513" s="349"/>
      <c r="V513" s="349"/>
      <c r="W513" s="349"/>
      <c r="X513" s="349"/>
      <c r="Y513" s="349"/>
      <c r="Z513" s="349"/>
    </row>
    <row r="514">
      <c r="A514" s="349"/>
      <c r="B514" s="349"/>
      <c r="C514" s="395"/>
      <c r="D514" s="349"/>
      <c r="E514" s="349"/>
      <c r="F514" s="349"/>
      <c r="G514" s="396"/>
      <c r="H514" s="349"/>
      <c r="I514" s="349"/>
      <c r="J514" s="349"/>
      <c r="K514" s="349"/>
      <c r="L514" s="349"/>
      <c r="M514" s="349"/>
      <c r="N514" s="349"/>
      <c r="O514" s="349"/>
      <c r="P514" s="349"/>
      <c r="Q514" s="349"/>
      <c r="R514" s="349"/>
      <c r="S514" s="349"/>
      <c r="T514" s="349"/>
      <c r="U514" s="349"/>
      <c r="V514" s="349"/>
      <c r="W514" s="349"/>
      <c r="X514" s="349"/>
      <c r="Y514" s="349"/>
      <c r="Z514" s="349"/>
    </row>
    <row r="515">
      <c r="A515" s="349"/>
      <c r="B515" s="349"/>
      <c r="C515" s="395"/>
      <c r="D515" s="349"/>
      <c r="E515" s="349"/>
      <c r="F515" s="349"/>
      <c r="G515" s="396"/>
      <c r="H515" s="349"/>
      <c r="I515" s="349"/>
      <c r="J515" s="349"/>
      <c r="K515" s="349"/>
      <c r="L515" s="349"/>
      <c r="M515" s="349"/>
      <c r="N515" s="349"/>
      <c r="O515" s="349"/>
      <c r="P515" s="349"/>
      <c r="Q515" s="349"/>
      <c r="R515" s="349"/>
      <c r="S515" s="349"/>
      <c r="T515" s="349"/>
      <c r="U515" s="349"/>
      <c r="V515" s="349"/>
      <c r="W515" s="349"/>
      <c r="X515" s="349"/>
      <c r="Y515" s="349"/>
      <c r="Z515" s="349"/>
    </row>
    <row r="516">
      <c r="A516" s="349"/>
      <c r="B516" s="349"/>
      <c r="C516" s="395"/>
      <c r="D516" s="349"/>
      <c r="E516" s="349"/>
      <c r="F516" s="349"/>
      <c r="G516" s="396"/>
      <c r="H516" s="349"/>
      <c r="I516" s="349"/>
      <c r="J516" s="349"/>
      <c r="K516" s="349"/>
      <c r="L516" s="349"/>
      <c r="M516" s="349"/>
      <c r="N516" s="349"/>
      <c r="O516" s="349"/>
      <c r="P516" s="349"/>
      <c r="Q516" s="349"/>
      <c r="R516" s="349"/>
      <c r="S516" s="349"/>
      <c r="T516" s="349"/>
      <c r="U516" s="349"/>
      <c r="V516" s="349"/>
      <c r="W516" s="349"/>
      <c r="X516" s="349"/>
      <c r="Y516" s="349"/>
      <c r="Z516" s="349"/>
    </row>
    <row r="517">
      <c r="A517" s="349"/>
      <c r="B517" s="349"/>
      <c r="C517" s="395"/>
      <c r="D517" s="349"/>
      <c r="E517" s="349"/>
      <c r="F517" s="349"/>
      <c r="G517" s="396"/>
      <c r="H517" s="349"/>
      <c r="I517" s="349"/>
      <c r="J517" s="349"/>
      <c r="K517" s="349"/>
      <c r="L517" s="349"/>
      <c r="M517" s="349"/>
      <c r="N517" s="349"/>
      <c r="O517" s="349"/>
      <c r="P517" s="349"/>
      <c r="Q517" s="349"/>
      <c r="R517" s="349"/>
      <c r="S517" s="349"/>
      <c r="T517" s="349"/>
      <c r="U517" s="349"/>
      <c r="V517" s="349"/>
      <c r="W517" s="349"/>
      <c r="X517" s="349"/>
      <c r="Y517" s="349"/>
      <c r="Z517" s="349"/>
    </row>
    <row r="518">
      <c r="A518" s="349"/>
      <c r="B518" s="349"/>
      <c r="C518" s="395"/>
      <c r="D518" s="349"/>
      <c r="E518" s="349"/>
      <c r="F518" s="349"/>
      <c r="G518" s="396"/>
      <c r="H518" s="349"/>
      <c r="I518" s="349"/>
      <c r="J518" s="349"/>
      <c r="K518" s="349"/>
      <c r="L518" s="349"/>
      <c r="M518" s="349"/>
      <c r="N518" s="349"/>
      <c r="O518" s="349"/>
      <c r="P518" s="349"/>
      <c r="Q518" s="349"/>
      <c r="R518" s="349"/>
      <c r="S518" s="349"/>
      <c r="T518" s="349"/>
      <c r="U518" s="349"/>
      <c r="V518" s="349"/>
      <c r="W518" s="349"/>
      <c r="X518" s="349"/>
      <c r="Y518" s="349"/>
      <c r="Z518" s="349"/>
    </row>
    <row r="519">
      <c r="A519" s="349"/>
      <c r="B519" s="349"/>
      <c r="C519" s="395"/>
      <c r="D519" s="349"/>
      <c r="E519" s="349"/>
      <c r="F519" s="349"/>
      <c r="G519" s="396"/>
      <c r="H519" s="349"/>
      <c r="I519" s="349"/>
      <c r="J519" s="349"/>
      <c r="K519" s="349"/>
      <c r="L519" s="349"/>
      <c r="M519" s="349"/>
      <c r="N519" s="349"/>
      <c r="O519" s="349"/>
      <c r="P519" s="349"/>
      <c r="Q519" s="349"/>
      <c r="R519" s="349"/>
      <c r="S519" s="349"/>
      <c r="T519" s="349"/>
      <c r="U519" s="349"/>
      <c r="V519" s="349"/>
      <c r="W519" s="349"/>
      <c r="X519" s="349"/>
      <c r="Y519" s="349"/>
      <c r="Z519" s="349"/>
    </row>
    <row r="520">
      <c r="A520" s="349"/>
      <c r="B520" s="349"/>
      <c r="C520" s="395"/>
      <c r="D520" s="349"/>
      <c r="E520" s="349"/>
      <c r="F520" s="349"/>
      <c r="G520" s="396"/>
      <c r="H520" s="349"/>
      <c r="I520" s="349"/>
      <c r="J520" s="349"/>
      <c r="K520" s="349"/>
      <c r="L520" s="349"/>
      <c r="M520" s="349"/>
      <c r="N520" s="349"/>
      <c r="O520" s="349"/>
      <c r="P520" s="349"/>
      <c r="Q520" s="349"/>
      <c r="R520" s="349"/>
      <c r="S520" s="349"/>
      <c r="T520" s="349"/>
      <c r="U520" s="349"/>
      <c r="V520" s="349"/>
      <c r="W520" s="349"/>
      <c r="X520" s="349"/>
      <c r="Y520" s="349"/>
      <c r="Z520" s="349"/>
    </row>
    <row r="521">
      <c r="A521" s="349"/>
      <c r="B521" s="349"/>
      <c r="C521" s="395"/>
      <c r="D521" s="349"/>
      <c r="E521" s="349"/>
      <c r="F521" s="349"/>
      <c r="G521" s="396"/>
      <c r="H521" s="349"/>
      <c r="I521" s="349"/>
      <c r="J521" s="349"/>
      <c r="K521" s="349"/>
      <c r="L521" s="349"/>
      <c r="M521" s="349"/>
      <c r="N521" s="349"/>
      <c r="O521" s="349"/>
      <c r="P521" s="349"/>
      <c r="Q521" s="349"/>
      <c r="R521" s="349"/>
      <c r="S521" s="349"/>
      <c r="T521" s="349"/>
      <c r="U521" s="349"/>
      <c r="V521" s="349"/>
      <c r="W521" s="349"/>
      <c r="X521" s="349"/>
      <c r="Y521" s="349"/>
      <c r="Z521" s="349"/>
    </row>
    <row r="522">
      <c r="A522" s="349"/>
      <c r="B522" s="349"/>
      <c r="C522" s="395"/>
      <c r="D522" s="349"/>
      <c r="E522" s="349"/>
      <c r="F522" s="349"/>
      <c r="G522" s="396"/>
      <c r="H522" s="349"/>
      <c r="I522" s="349"/>
      <c r="J522" s="349"/>
      <c r="K522" s="349"/>
      <c r="L522" s="349"/>
      <c r="M522" s="349"/>
      <c r="N522" s="349"/>
      <c r="O522" s="349"/>
      <c r="P522" s="349"/>
      <c r="Q522" s="349"/>
      <c r="R522" s="349"/>
      <c r="S522" s="349"/>
      <c r="T522" s="349"/>
      <c r="U522" s="349"/>
      <c r="V522" s="349"/>
      <c r="W522" s="349"/>
      <c r="X522" s="349"/>
      <c r="Y522" s="349"/>
      <c r="Z522" s="349"/>
    </row>
    <row r="523">
      <c r="A523" s="349"/>
      <c r="B523" s="349"/>
      <c r="C523" s="395"/>
      <c r="D523" s="349"/>
      <c r="E523" s="349"/>
      <c r="F523" s="349"/>
      <c r="G523" s="396"/>
      <c r="H523" s="349"/>
      <c r="I523" s="349"/>
      <c r="J523" s="349"/>
      <c r="K523" s="349"/>
      <c r="L523" s="349"/>
      <c r="M523" s="349"/>
      <c r="N523" s="349"/>
      <c r="O523" s="349"/>
      <c r="P523" s="349"/>
      <c r="Q523" s="349"/>
      <c r="R523" s="349"/>
      <c r="S523" s="349"/>
      <c r="T523" s="349"/>
      <c r="U523" s="349"/>
      <c r="V523" s="349"/>
      <c r="W523" s="349"/>
      <c r="X523" s="349"/>
      <c r="Y523" s="349"/>
      <c r="Z523" s="349"/>
    </row>
    <row r="524">
      <c r="A524" s="349"/>
      <c r="B524" s="349"/>
      <c r="C524" s="395"/>
      <c r="D524" s="349"/>
      <c r="E524" s="349"/>
      <c r="F524" s="349"/>
      <c r="G524" s="396"/>
      <c r="H524" s="349"/>
      <c r="I524" s="349"/>
      <c r="J524" s="349"/>
      <c r="K524" s="349"/>
      <c r="L524" s="349"/>
      <c r="M524" s="349"/>
      <c r="N524" s="349"/>
      <c r="O524" s="349"/>
      <c r="P524" s="349"/>
      <c r="Q524" s="349"/>
      <c r="R524" s="349"/>
      <c r="S524" s="349"/>
      <c r="T524" s="349"/>
      <c r="U524" s="349"/>
      <c r="V524" s="349"/>
      <c r="W524" s="349"/>
      <c r="X524" s="349"/>
      <c r="Y524" s="349"/>
      <c r="Z524" s="349"/>
    </row>
    <row r="525">
      <c r="A525" s="349"/>
      <c r="B525" s="349"/>
      <c r="C525" s="395"/>
      <c r="D525" s="349"/>
      <c r="E525" s="349"/>
      <c r="F525" s="349"/>
      <c r="G525" s="396"/>
      <c r="H525" s="349"/>
      <c r="I525" s="349"/>
      <c r="J525" s="349"/>
      <c r="K525" s="349"/>
      <c r="L525" s="349"/>
      <c r="M525" s="349"/>
      <c r="N525" s="349"/>
      <c r="O525" s="349"/>
      <c r="P525" s="349"/>
      <c r="Q525" s="349"/>
      <c r="R525" s="349"/>
      <c r="S525" s="349"/>
      <c r="T525" s="349"/>
      <c r="U525" s="349"/>
      <c r="V525" s="349"/>
      <c r="W525" s="349"/>
      <c r="X525" s="349"/>
      <c r="Y525" s="349"/>
      <c r="Z525" s="349"/>
    </row>
    <row r="526">
      <c r="A526" s="349"/>
      <c r="B526" s="349"/>
      <c r="C526" s="395"/>
      <c r="D526" s="349"/>
      <c r="E526" s="349"/>
      <c r="F526" s="349"/>
      <c r="G526" s="396"/>
      <c r="H526" s="349"/>
      <c r="I526" s="349"/>
      <c r="J526" s="349"/>
      <c r="K526" s="349"/>
      <c r="L526" s="349"/>
      <c r="M526" s="349"/>
      <c r="N526" s="349"/>
      <c r="O526" s="349"/>
      <c r="P526" s="349"/>
      <c r="Q526" s="349"/>
      <c r="R526" s="349"/>
      <c r="S526" s="349"/>
      <c r="T526" s="349"/>
      <c r="U526" s="349"/>
      <c r="V526" s="349"/>
      <c r="W526" s="349"/>
      <c r="X526" s="349"/>
      <c r="Y526" s="349"/>
      <c r="Z526" s="349"/>
    </row>
    <row r="527">
      <c r="A527" s="349"/>
      <c r="B527" s="349"/>
      <c r="C527" s="395"/>
      <c r="D527" s="349"/>
      <c r="E527" s="349"/>
      <c r="F527" s="349"/>
      <c r="G527" s="396"/>
      <c r="H527" s="349"/>
      <c r="I527" s="349"/>
      <c r="J527" s="349"/>
      <c r="K527" s="349"/>
      <c r="L527" s="349"/>
      <c r="M527" s="349"/>
      <c r="N527" s="349"/>
      <c r="O527" s="349"/>
      <c r="P527" s="349"/>
      <c r="Q527" s="349"/>
      <c r="R527" s="349"/>
      <c r="S527" s="349"/>
      <c r="T527" s="349"/>
      <c r="U527" s="349"/>
      <c r="V527" s="349"/>
      <c r="W527" s="349"/>
      <c r="X527" s="349"/>
      <c r="Y527" s="349"/>
      <c r="Z527" s="349"/>
    </row>
    <row r="528">
      <c r="A528" s="349"/>
      <c r="B528" s="349"/>
      <c r="C528" s="395"/>
      <c r="D528" s="349"/>
      <c r="E528" s="349"/>
      <c r="F528" s="349"/>
      <c r="G528" s="396"/>
      <c r="H528" s="349"/>
      <c r="I528" s="349"/>
      <c r="J528" s="349"/>
      <c r="K528" s="349"/>
      <c r="L528" s="349"/>
      <c r="M528" s="349"/>
      <c r="N528" s="349"/>
      <c r="O528" s="349"/>
      <c r="P528" s="349"/>
      <c r="Q528" s="349"/>
      <c r="R528" s="349"/>
      <c r="S528" s="349"/>
      <c r="T528" s="349"/>
      <c r="U528" s="349"/>
      <c r="V528" s="349"/>
      <c r="W528" s="349"/>
      <c r="X528" s="349"/>
      <c r="Y528" s="349"/>
      <c r="Z528" s="349"/>
    </row>
    <row r="529">
      <c r="A529" s="349"/>
      <c r="B529" s="349"/>
      <c r="C529" s="395"/>
      <c r="D529" s="349"/>
      <c r="E529" s="349"/>
      <c r="F529" s="349"/>
      <c r="G529" s="396"/>
      <c r="H529" s="349"/>
      <c r="I529" s="349"/>
      <c r="J529" s="349"/>
      <c r="K529" s="349"/>
      <c r="L529" s="349"/>
      <c r="M529" s="349"/>
      <c r="N529" s="349"/>
      <c r="O529" s="349"/>
      <c r="P529" s="349"/>
      <c r="Q529" s="349"/>
      <c r="R529" s="349"/>
      <c r="S529" s="349"/>
      <c r="T529" s="349"/>
      <c r="U529" s="349"/>
      <c r="V529" s="349"/>
      <c r="W529" s="349"/>
      <c r="X529" s="349"/>
      <c r="Y529" s="349"/>
      <c r="Z529" s="349"/>
    </row>
    <row r="530">
      <c r="A530" s="349"/>
      <c r="B530" s="349"/>
      <c r="C530" s="395"/>
      <c r="D530" s="349"/>
      <c r="E530" s="349"/>
      <c r="F530" s="349"/>
      <c r="G530" s="396"/>
      <c r="H530" s="349"/>
      <c r="I530" s="349"/>
      <c r="J530" s="349"/>
      <c r="K530" s="349"/>
      <c r="L530" s="349"/>
      <c r="M530" s="349"/>
      <c r="N530" s="349"/>
      <c r="O530" s="349"/>
      <c r="P530" s="349"/>
      <c r="Q530" s="349"/>
      <c r="R530" s="349"/>
      <c r="S530" s="349"/>
      <c r="T530" s="349"/>
      <c r="U530" s="349"/>
      <c r="V530" s="349"/>
      <c r="W530" s="349"/>
      <c r="X530" s="349"/>
      <c r="Y530" s="349"/>
      <c r="Z530" s="349"/>
    </row>
    <row r="531">
      <c r="A531" s="349"/>
      <c r="B531" s="349"/>
      <c r="C531" s="395"/>
      <c r="D531" s="349"/>
      <c r="E531" s="349"/>
      <c r="F531" s="349"/>
      <c r="G531" s="396"/>
      <c r="H531" s="349"/>
      <c r="I531" s="349"/>
      <c r="J531" s="349"/>
      <c r="K531" s="349"/>
      <c r="L531" s="349"/>
      <c r="M531" s="349"/>
      <c r="N531" s="349"/>
      <c r="O531" s="349"/>
      <c r="P531" s="349"/>
      <c r="Q531" s="349"/>
      <c r="R531" s="349"/>
      <c r="S531" s="349"/>
      <c r="T531" s="349"/>
      <c r="U531" s="349"/>
      <c r="V531" s="349"/>
      <c r="W531" s="349"/>
      <c r="X531" s="349"/>
      <c r="Y531" s="349"/>
      <c r="Z531" s="349"/>
    </row>
    <row r="532">
      <c r="A532" s="349"/>
      <c r="B532" s="349"/>
      <c r="C532" s="395"/>
      <c r="D532" s="349"/>
      <c r="E532" s="349"/>
      <c r="F532" s="349"/>
      <c r="G532" s="396"/>
      <c r="H532" s="349"/>
      <c r="I532" s="349"/>
      <c r="J532" s="349"/>
      <c r="K532" s="349"/>
      <c r="L532" s="349"/>
      <c r="M532" s="349"/>
      <c r="N532" s="349"/>
      <c r="O532" s="349"/>
      <c r="P532" s="349"/>
      <c r="Q532" s="349"/>
      <c r="R532" s="349"/>
      <c r="S532" s="349"/>
      <c r="T532" s="349"/>
      <c r="U532" s="349"/>
      <c r="V532" s="349"/>
      <c r="W532" s="349"/>
      <c r="X532" s="349"/>
      <c r="Y532" s="349"/>
      <c r="Z532" s="349"/>
    </row>
    <row r="533">
      <c r="A533" s="349"/>
      <c r="B533" s="349"/>
      <c r="C533" s="395"/>
      <c r="D533" s="349"/>
      <c r="E533" s="349"/>
      <c r="F533" s="349"/>
      <c r="G533" s="396"/>
      <c r="H533" s="349"/>
      <c r="I533" s="349"/>
      <c r="J533" s="349"/>
      <c r="K533" s="349"/>
      <c r="L533" s="349"/>
      <c r="M533" s="349"/>
      <c r="N533" s="349"/>
      <c r="O533" s="349"/>
      <c r="P533" s="349"/>
      <c r="Q533" s="349"/>
      <c r="R533" s="349"/>
      <c r="S533" s="349"/>
      <c r="T533" s="349"/>
      <c r="U533" s="349"/>
      <c r="V533" s="349"/>
      <c r="W533" s="349"/>
      <c r="X533" s="349"/>
      <c r="Y533" s="349"/>
      <c r="Z533" s="349"/>
    </row>
    <row r="534">
      <c r="A534" s="349"/>
      <c r="B534" s="349"/>
      <c r="C534" s="395"/>
      <c r="D534" s="349"/>
      <c r="E534" s="349"/>
      <c r="F534" s="349"/>
      <c r="G534" s="396"/>
      <c r="H534" s="349"/>
      <c r="I534" s="349"/>
      <c r="J534" s="349"/>
      <c r="K534" s="349"/>
      <c r="L534" s="349"/>
      <c r="M534" s="349"/>
      <c r="N534" s="349"/>
      <c r="O534" s="349"/>
      <c r="P534" s="349"/>
      <c r="Q534" s="349"/>
      <c r="R534" s="349"/>
      <c r="S534" s="349"/>
      <c r="T534" s="349"/>
      <c r="U534" s="349"/>
      <c r="V534" s="349"/>
      <c r="W534" s="349"/>
      <c r="X534" s="349"/>
      <c r="Y534" s="349"/>
      <c r="Z534" s="349"/>
    </row>
    <row r="535">
      <c r="A535" s="349"/>
      <c r="B535" s="349"/>
      <c r="C535" s="395"/>
      <c r="D535" s="349"/>
      <c r="E535" s="349"/>
      <c r="F535" s="349"/>
      <c r="G535" s="396"/>
      <c r="H535" s="349"/>
      <c r="I535" s="349"/>
      <c r="J535" s="349"/>
      <c r="K535" s="349"/>
      <c r="L535" s="349"/>
      <c r="M535" s="349"/>
      <c r="N535" s="349"/>
      <c r="O535" s="349"/>
      <c r="P535" s="349"/>
      <c r="Q535" s="349"/>
      <c r="R535" s="349"/>
      <c r="S535" s="349"/>
      <c r="T535" s="349"/>
      <c r="U535" s="349"/>
      <c r="V535" s="349"/>
      <c r="W535" s="349"/>
      <c r="X535" s="349"/>
      <c r="Y535" s="349"/>
      <c r="Z535" s="349"/>
    </row>
    <row r="536">
      <c r="A536" s="349"/>
      <c r="B536" s="349"/>
      <c r="C536" s="395"/>
      <c r="D536" s="349"/>
      <c r="E536" s="349"/>
      <c r="F536" s="349"/>
      <c r="G536" s="396"/>
      <c r="H536" s="349"/>
      <c r="I536" s="349"/>
      <c r="J536" s="349"/>
      <c r="K536" s="349"/>
      <c r="L536" s="349"/>
      <c r="M536" s="349"/>
      <c r="N536" s="349"/>
      <c r="O536" s="349"/>
      <c r="P536" s="349"/>
      <c r="Q536" s="349"/>
      <c r="R536" s="349"/>
      <c r="S536" s="349"/>
      <c r="T536" s="349"/>
      <c r="U536" s="349"/>
      <c r="V536" s="349"/>
      <c r="W536" s="349"/>
      <c r="X536" s="349"/>
      <c r="Y536" s="349"/>
      <c r="Z536" s="349"/>
    </row>
    <row r="537">
      <c r="A537" s="349"/>
      <c r="B537" s="349"/>
      <c r="C537" s="395"/>
      <c r="D537" s="349"/>
      <c r="E537" s="349"/>
      <c r="F537" s="349"/>
      <c r="G537" s="396"/>
      <c r="H537" s="349"/>
      <c r="I537" s="349"/>
      <c r="J537" s="349"/>
      <c r="K537" s="349"/>
      <c r="L537" s="349"/>
      <c r="M537" s="349"/>
      <c r="N537" s="349"/>
      <c r="O537" s="349"/>
      <c r="P537" s="349"/>
      <c r="Q537" s="349"/>
      <c r="R537" s="349"/>
      <c r="S537" s="349"/>
      <c r="T537" s="349"/>
      <c r="U537" s="349"/>
      <c r="V537" s="349"/>
      <c r="W537" s="349"/>
      <c r="X537" s="349"/>
      <c r="Y537" s="349"/>
      <c r="Z537" s="349"/>
    </row>
    <row r="538">
      <c r="A538" s="349"/>
      <c r="B538" s="349"/>
      <c r="C538" s="395"/>
      <c r="D538" s="349"/>
      <c r="E538" s="349"/>
      <c r="F538" s="349"/>
      <c r="G538" s="396"/>
      <c r="H538" s="349"/>
      <c r="I538" s="349"/>
      <c r="J538" s="349"/>
      <c r="K538" s="349"/>
      <c r="L538" s="349"/>
      <c r="M538" s="349"/>
      <c r="N538" s="349"/>
      <c r="O538" s="349"/>
      <c r="P538" s="349"/>
      <c r="Q538" s="349"/>
      <c r="R538" s="349"/>
      <c r="S538" s="349"/>
      <c r="T538" s="349"/>
      <c r="U538" s="349"/>
      <c r="V538" s="349"/>
      <c r="W538" s="349"/>
      <c r="X538" s="349"/>
      <c r="Y538" s="349"/>
      <c r="Z538" s="349"/>
    </row>
    <row r="539">
      <c r="A539" s="349"/>
      <c r="B539" s="349"/>
      <c r="C539" s="395"/>
      <c r="D539" s="349"/>
      <c r="E539" s="349"/>
      <c r="F539" s="349"/>
      <c r="G539" s="396"/>
      <c r="H539" s="349"/>
      <c r="I539" s="349"/>
      <c r="J539" s="349"/>
      <c r="K539" s="349"/>
      <c r="L539" s="349"/>
      <c r="M539" s="349"/>
      <c r="N539" s="349"/>
      <c r="O539" s="349"/>
      <c r="P539" s="349"/>
      <c r="Q539" s="349"/>
      <c r="R539" s="349"/>
      <c r="S539" s="349"/>
      <c r="T539" s="349"/>
      <c r="U539" s="349"/>
      <c r="V539" s="349"/>
      <c r="W539" s="349"/>
      <c r="X539" s="349"/>
      <c r="Y539" s="349"/>
      <c r="Z539" s="349"/>
    </row>
    <row r="540">
      <c r="A540" s="349"/>
      <c r="B540" s="349"/>
      <c r="C540" s="395"/>
      <c r="D540" s="349"/>
      <c r="E540" s="349"/>
      <c r="F540" s="349"/>
      <c r="G540" s="396"/>
      <c r="H540" s="349"/>
      <c r="I540" s="349"/>
      <c r="J540" s="349"/>
      <c r="K540" s="349"/>
      <c r="L540" s="349"/>
      <c r="M540" s="349"/>
      <c r="N540" s="349"/>
      <c r="O540" s="349"/>
      <c r="P540" s="349"/>
      <c r="Q540" s="349"/>
      <c r="R540" s="349"/>
      <c r="S540" s="349"/>
      <c r="T540" s="349"/>
      <c r="U540" s="349"/>
      <c r="V540" s="349"/>
      <c r="W540" s="349"/>
      <c r="X540" s="349"/>
      <c r="Y540" s="349"/>
      <c r="Z540" s="349"/>
    </row>
    <row r="541">
      <c r="A541" s="349"/>
      <c r="B541" s="349"/>
      <c r="C541" s="395"/>
      <c r="D541" s="349"/>
      <c r="E541" s="349"/>
      <c r="F541" s="349"/>
      <c r="G541" s="396"/>
      <c r="H541" s="349"/>
      <c r="I541" s="349"/>
      <c r="J541" s="349"/>
      <c r="K541" s="349"/>
      <c r="L541" s="349"/>
      <c r="M541" s="349"/>
      <c r="N541" s="349"/>
      <c r="O541" s="349"/>
      <c r="P541" s="349"/>
      <c r="Q541" s="349"/>
      <c r="R541" s="349"/>
      <c r="S541" s="349"/>
      <c r="T541" s="349"/>
      <c r="U541" s="349"/>
      <c r="V541" s="349"/>
      <c r="W541" s="349"/>
      <c r="X541" s="349"/>
      <c r="Y541" s="349"/>
      <c r="Z541" s="349"/>
    </row>
    <row r="542">
      <c r="A542" s="349"/>
      <c r="B542" s="349"/>
      <c r="C542" s="395"/>
      <c r="D542" s="349"/>
      <c r="E542" s="349"/>
      <c r="F542" s="349"/>
      <c r="G542" s="396"/>
      <c r="H542" s="349"/>
      <c r="I542" s="349"/>
      <c r="J542" s="349"/>
      <c r="K542" s="349"/>
      <c r="L542" s="349"/>
      <c r="M542" s="349"/>
      <c r="N542" s="349"/>
      <c r="O542" s="349"/>
      <c r="P542" s="349"/>
      <c r="Q542" s="349"/>
      <c r="R542" s="349"/>
      <c r="S542" s="349"/>
      <c r="T542" s="349"/>
      <c r="U542" s="349"/>
      <c r="V542" s="349"/>
      <c r="W542" s="349"/>
      <c r="X542" s="349"/>
      <c r="Y542" s="349"/>
      <c r="Z542" s="349"/>
    </row>
    <row r="543">
      <c r="A543" s="349"/>
      <c r="B543" s="349"/>
      <c r="C543" s="395"/>
      <c r="D543" s="349"/>
      <c r="E543" s="349"/>
      <c r="F543" s="349"/>
      <c r="G543" s="396"/>
      <c r="H543" s="349"/>
      <c r="I543" s="349"/>
      <c r="J543" s="349"/>
      <c r="K543" s="349"/>
      <c r="L543" s="349"/>
      <c r="M543" s="349"/>
      <c r="N543" s="349"/>
      <c r="O543" s="349"/>
      <c r="P543" s="349"/>
      <c r="Q543" s="349"/>
      <c r="R543" s="349"/>
      <c r="S543" s="349"/>
      <c r="T543" s="349"/>
      <c r="U543" s="349"/>
      <c r="V543" s="349"/>
      <c r="W543" s="349"/>
      <c r="X543" s="349"/>
      <c r="Y543" s="349"/>
      <c r="Z543" s="349"/>
    </row>
    <row r="544">
      <c r="A544" s="349"/>
      <c r="B544" s="349"/>
      <c r="C544" s="395"/>
      <c r="D544" s="349"/>
      <c r="E544" s="349"/>
      <c r="F544" s="349"/>
      <c r="G544" s="396"/>
      <c r="H544" s="349"/>
      <c r="I544" s="349"/>
      <c r="J544" s="349"/>
      <c r="K544" s="349"/>
      <c r="L544" s="349"/>
      <c r="M544" s="349"/>
      <c r="N544" s="349"/>
      <c r="O544" s="349"/>
      <c r="P544" s="349"/>
      <c r="Q544" s="349"/>
      <c r="R544" s="349"/>
      <c r="S544" s="349"/>
      <c r="T544" s="349"/>
      <c r="U544" s="349"/>
      <c r="V544" s="349"/>
      <c r="W544" s="349"/>
      <c r="X544" s="349"/>
      <c r="Y544" s="349"/>
      <c r="Z544" s="349"/>
    </row>
    <row r="545">
      <c r="A545" s="349"/>
      <c r="B545" s="349"/>
      <c r="C545" s="395"/>
      <c r="D545" s="349"/>
      <c r="E545" s="349"/>
      <c r="F545" s="349"/>
      <c r="G545" s="396"/>
      <c r="H545" s="349"/>
      <c r="I545" s="349"/>
      <c r="J545" s="349"/>
      <c r="K545" s="349"/>
      <c r="L545" s="349"/>
      <c r="M545" s="349"/>
      <c r="N545" s="349"/>
      <c r="O545" s="349"/>
      <c r="P545" s="349"/>
      <c r="Q545" s="349"/>
      <c r="R545" s="349"/>
      <c r="S545" s="349"/>
      <c r="T545" s="349"/>
      <c r="U545" s="349"/>
      <c r="V545" s="349"/>
      <c r="W545" s="349"/>
      <c r="X545" s="349"/>
      <c r="Y545" s="349"/>
      <c r="Z545" s="349"/>
    </row>
    <row r="546">
      <c r="A546" s="349"/>
      <c r="B546" s="349"/>
      <c r="C546" s="395"/>
      <c r="D546" s="349"/>
      <c r="E546" s="349"/>
      <c r="F546" s="349"/>
      <c r="G546" s="396"/>
      <c r="H546" s="349"/>
      <c r="I546" s="349"/>
      <c r="J546" s="349"/>
      <c r="K546" s="349"/>
      <c r="L546" s="349"/>
      <c r="M546" s="349"/>
      <c r="N546" s="349"/>
      <c r="O546" s="349"/>
      <c r="P546" s="349"/>
      <c r="Q546" s="349"/>
      <c r="R546" s="349"/>
      <c r="S546" s="349"/>
      <c r="T546" s="349"/>
      <c r="U546" s="349"/>
      <c r="V546" s="349"/>
      <c r="W546" s="349"/>
      <c r="X546" s="349"/>
      <c r="Y546" s="349"/>
      <c r="Z546" s="349"/>
    </row>
    <row r="547">
      <c r="A547" s="349"/>
      <c r="B547" s="349"/>
      <c r="C547" s="395"/>
      <c r="D547" s="349"/>
      <c r="E547" s="349"/>
      <c r="F547" s="349"/>
      <c r="G547" s="396"/>
      <c r="H547" s="349"/>
      <c r="I547" s="349"/>
      <c r="J547" s="349"/>
      <c r="K547" s="349"/>
      <c r="L547" s="349"/>
      <c r="M547" s="349"/>
      <c r="N547" s="349"/>
      <c r="O547" s="349"/>
      <c r="P547" s="349"/>
      <c r="Q547" s="349"/>
      <c r="R547" s="349"/>
      <c r="S547" s="349"/>
      <c r="T547" s="349"/>
      <c r="U547" s="349"/>
      <c r="V547" s="349"/>
      <c r="W547" s="349"/>
      <c r="X547" s="349"/>
      <c r="Y547" s="349"/>
      <c r="Z547" s="349"/>
    </row>
    <row r="548">
      <c r="A548" s="349"/>
      <c r="B548" s="349"/>
      <c r="C548" s="395"/>
      <c r="D548" s="349"/>
      <c r="E548" s="349"/>
      <c r="F548" s="349"/>
      <c r="G548" s="396"/>
      <c r="H548" s="349"/>
      <c r="I548" s="349"/>
      <c r="J548" s="349"/>
      <c r="K548" s="349"/>
      <c r="L548" s="349"/>
      <c r="M548" s="349"/>
      <c r="N548" s="349"/>
      <c r="O548" s="349"/>
      <c r="P548" s="349"/>
      <c r="Q548" s="349"/>
      <c r="R548" s="349"/>
      <c r="S548" s="349"/>
      <c r="T548" s="349"/>
      <c r="U548" s="349"/>
      <c r="V548" s="349"/>
      <c r="W548" s="349"/>
      <c r="X548" s="349"/>
      <c r="Y548" s="349"/>
      <c r="Z548" s="349"/>
    </row>
    <row r="549">
      <c r="A549" s="349"/>
      <c r="B549" s="349"/>
      <c r="C549" s="395"/>
      <c r="D549" s="349"/>
      <c r="E549" s="349"/>
      <c r="F549" s="349"/>
      <c r="G549" s="396"/>
      <c r="H549" s="349"/>
      <c r="I549" s="349"/>
      <c r="J549" s="349"/>
      <c r="K549" s="349"/>
      <c r="L549" s="349"/>
      <c r="M549" s="349"/>
      <c r="N549" s="349"/>
      <c r="O549" s="349"/>
      <c r="P549" s="349"/>
      <c r="Q549" s="349"/>
      <c r="R549" s="349"/>
      <c r="S549" s="349"/>
      <c r="T549" s="349"/>
      <c r="U549" s="349"/>
      <c r="V549" s="349"/>
      <c r="W549" s="349"/>
      <c r="X549" s="349"/>
      <c r="Y549" s="349"/>
      <c r="Z549" s="349"/>
    </row>
    <row r="550">
      <c r="A550" s="349"/>
      <c r="B550" s="349"/>
      <c r="C550" s="395"/>
      <c r="D550" s="349"/>
      <c r="E550" s="349"/>
      <c r="F550" s="349"/>
      <c r="G550" s="396"/>
      <c r="H550" s="349"/>
      <c r="I550" s="349"/>
      <c r="J550" s="349"/>
      <c r="K550" s="349"/>
      <c r="L550" s="349"/>
      <c r="M550" s="349"/>
      <c r="N550" s="349"/>
      <c r="O550" s="349"/>
      <c r="P550" s="349"/>
      <c r="Q550" s="349"/>
      <c r="R550" s="349"/>
      <c r="S550" s="349"/>
      <c r="T550" s="349"/>
      <c r="U550" s="349"/>
      <c r="V550" s="349"/>
      <c r="W550" s="349"/>
      <c r="X550" s="349"/>
      <c r="Y550" s="349"/>
      <c r="Z550" s="349"/>
    </row>
    <row r="551">
      <c r="A551" s="349"/>
      <c r="B551" s="349"/>
      <c r="C551" s="395"/>
      <c r="D551" s="349"/>
      <c r="E551" s="349"/>
      <c r="F551" s="349"/>
      <c r="G551" s="396"/>
      <c r="H551" s="349"/>
      <c r="I551" s="349"/>
      <c r="J551" s="349"/>
      <c r="K551" s="349"/>
      <c r="L551" s="349"/>
      <c r="M551" s="349"/>
      <c r="N551" s="349"/>
      <c r="O551" s="349"/>
      <c r="P551" s="349"/>
      <c r="Q551" s="349"/>
      <c r="R551" s="349"/>
      <c r="S551" s="349"/>
      <c r="T551" s="349"/>
      <c r="U551" s="349"/>
      <c r="V551" s="349"/>
      <c r="W551" s="349"/>
      <c r="X551" s="349"/>
      <c r="Y551" s="349"/>
      <c r="Z551" s="349"/>
    </row>
    <row r="552">
      <c r="A552" s="349"/>
      <c r="B552" s="349"/>
      <c r="C552" s="395"/>
      <c r="D552" s="349"/>
      <c r="E552" s="349"/>
      <c r="F552" s="349"/>
      <c r="G552" s="396"/>
      <c r="H552" s="349"/>
      <c r="I552" s="349"/>
      <c r="J552" s="349"/>
      <c r="K552" s="349"/>
      <c r="L552" s="349"/>
      <c r="M552" s="349"/>
      <c r="N552" s="349"/>
      <c r="O552" s="349"/>
      <c r="P552" s="349"/>
      <c r="Q552" s="349"/>
      <c r="R552" s="349"/>
      <c r="S552" s="349"/>
      <c r="T552" s="349"/>
      <c r="U552" s="349"/>
      <c r="V552" s="349"/>
      <c r="W552" s="349"/>
      <c r="X552" s="349"/>
      <c r="Y552" s="349"/>
      <c r="Z552" s="349"/>
    </row>
    <row r="553">
      <c r="A553" s="349"/>
      <c r="B553" s="349"/>
      <c r="C553" s="395"/>
      <c r="D553" s="349"/>
      <c r="E553" s="349"/>
      <c r="F553" s="349"/>
      <c r="G553" s="396"/>
      <c r="H553" s="349"/>
      <c r="I553" s="349"/>
      <c r="J553" s="349"/>
      <c r="K553" s="349"/>
      <c r="L553" s="349"/>
      <c r="M553" s="349"/>
      <c r="N553" s="349"/>
      <c r="O553" s="349"/>
      <c r="P553" s="349"/>
      <c r="Q553" s="349"/>
      <c r="R553" s="349"/>
      <c r="S553" s="349"/>
      <c r="T553" s="349"/>
      <c r="U553" s="349"/>
      <c r="V553" s="349"/>
      <c r="W553" s="349"/>
      <c r="X553" s="349"/>
      <c r="Y553" s="349"/>
      <c r="Z553" s="349"/>
    </row>
    <row r="554">
      <c r="A554" s="349"/>
      <c r="B554" s="349"/>
      <c r="C554" s="395"/>
      <c r="D554" s="349"/>
      <c r="E554" s="349"/>
      <c r="F554" s="349"/>
      <c r="G554" s="396"/>
      <c r="H554" s="349"/>
      <c r="I554" s="349"/>
      <c r="J554" s="349"/>
      <c r="K554" s="349"/>
      <c r="L554" s="349"/>
      <c r="M554" s="349"/>
      <c r="N554" s="349"/>
      <c r="O554" s="349"/>
      <c r="P554" s="349"/>
      <c r="Q554" s="349"/>
      <c r="R554" s="349"/>
      <c r="S554" s="349"/>
      <c r="T554" s="349"/>
      <c r="U554" s="349"/>
      <c r="V554" s="349"/>
      <c r="W554" s="349"/>
      <c r="X554" s="349"/>
      <c r="Y554" s="349"/>
      <c r="Z554" s="349"/>
    </row>
    <row r="555">
      <c r="A555" s="349"/>
      <c r="B555" s="349"/>
      <c r="C555" s="395"/>
      <c r="D555" s="349"/>
      <c r="E555" s="349"/>
      <c r="F555" s="349"/>
      <c r="G555" s="396"/>
      <c r="H555" s="349"/>
      <c r="I555" s="349"/>
      <c r="J555" s="349"/>
      <c r="K555" s="349"/>
      <c r="L555" s="349"/>
      <c r="M555" s="349"/>
      <c r="N555" s="349"/>
      <c r="O555" s="349"/>
      <c r="P555" s="349"/>
      <c r="Q555" s="349"/>
      <c r="R555" s="349"/>
      <c r="S555" s="349"/>
      <c r="T555" s="349"/>
      <c r="U555" s="349"/>
      <c r="V555" s="349"/>
      <c r="W555" s="349"/>
      <c r="X555" s="349"/>
      <c r="Y555" s="349"/>
      <c r="Z555" s="349"/>
    </row>
    <row r="556">
      <c r="A556" s="349"/>
      <c r="B556" s="349"/>
      <c r="C556" s="395"/>
      <c r="D556" s="349"/>
      <c r="E556" s="349"/>
      <c r="F556" s="349"/>
      <c r="G556" s="396"/>
      <c r="H556" s="349"/>
      <c r="I556" s="349"/>
      <c r="J556" s="349"/>
      <c r="K556" s="349"/>
      <c r="L556" s="349"/>
      <c r="M556" s="349"/>
      <c r="N556" s="349"/>
      <c r="O556" s="349"/>
      <c r="P556" s="349"/>
      <c r="Q556" s="349"/>
      <c r="R556" s="349"/>
      <c r="S556" s="349"/>
      <c r="T556" s="349"/>
      <c r="U556" s="349"/>
      <c r="V556" s="349"/>
      <c r="W556" s="349"/>
      <c r="X556" s="349"/>
      <c r="Y556" s="349"/>
      <c r="Z556" s="349"/>
    </row>
    <row r="557">
      <c r="A557" s="349"/>
      <c r="B557" s="349"/>
      <c r="C557" s="395"/>
      <c r="D557" s="349"/>
      <c r="E557" s="349"/>
      <c r="F557" s="349"/>
      <c r="G557" s="396"/>
      <c r="H557" s="349"/>
      <c r="I557" s="349"/>
      <c r="J557" s="349"/>
      <c r="K557" s="349"/>
      <c r="L557" s="349"/>
      <c r="M557" s="349"/>
      <c r="N557" s="349"/>
      <c r="O557" s="349"/>
      <c r="P557" s="349"/>
      <c r="Q557" s="349"/>
      <c r="R557" s="349"/>
      <c r="S557" s="349"/>
      <c r="T557" s="349"/>
      <c r="U557" s="349"/>
      <c r="V557" s="349"/>
      <c r="W557" s="349"/>
      <c r="X557" s="349"/>
      <c r="Y557" s="349"/>
      <c r="Z557" s="349"/>
    </row>
    <row r="558">
      <c r="A558" s="349"/>
      <c r="B558" s="349"/>
      <c r="C558" s="395"/>
      <c r="D558" s="349"/>
      <c r="E558" s="349"/>
      <c r="F558" s="349"/>
      <c r="G558" s="396"/>
      <c r="H558" s="349"/>
      <c r="I558" s="349"/>
      <c r="J558" s="349"/>
      <c r="K558" s="349"/>
      <c r="L558" s="349"/>
      <c r="M558" s="349"/>
      <c r="N558" s="349"/>
      <c r="O558" s="349"/>
      <c r="P558" s="349"/>
      <c r="Q558" s="349"/>
      <c r="R558" s="349"/>
      <c r="S558" s="349"/>
      <c r="T558" s="349"/>
      <c r="U558" s="349"/>
      <c r="V558" s="349"/>
      <c r="W558" s="349"/>
      <c r="X558" s="349"/>
      <c r="Y558" s="349"/>
      <c r="Z558" s="349"/>
    </row>
    <row r="559">
      <c r="A559" s="349"/>
      <c r="B559" s="349"/>
      <c r="C559" s="395"/>
      <c r="D559" s="349"/>
      <c r="E559" s="349"/>
      <c r="F559" s="349"/>
      <c r="G559" s="396"/>
      <c r="H559" s="349"/>
      <c r="I559" s="349"/>
      <c r="J559" s="349"/>
      <c r="K559" s="349"/>
      <c r="L559" s="349"/>
      <c r="M559" s="349"/>
      <c r="N559" s="349"/>
      <c r="O559" s="349"/>
      <c r="P559" s="349"/>
      <c r="Q559" s="349"/>
      <c r="R559" s="349"/>
      <c r="S559" s="349"/>
      <c r="T559" s="349"/>
      <c r="U559" s="349"/>
      <c r="V559" s="349"/>
      <c r="W559" s="349"/>
      <c r="X559" s="349"/>
      <c r="Y559" s="349"/>
      <c r="Z559" s="349"/>
    </row>
    <row r="560">
      <c r="A560" s="349"/>
      <c r="B560" s="349"/>
      <c r="C560" s="395"/>
      <c r="D560" s="349"/>
      <c r="E560" s="349"/>
      <c r="F560" s="349"/>
      <c r="G560" s="396"/>
      <c r="H560" s="349"/>
      <c r="I560" s="349"/>
      <c r="J560" s="349"/>
      <c r="K560" s="349"/>
      <c r="L560" s="349"/>
      <c r="M560" s="349"/>
      <c r="N560" s="349"/>
      <c r="O560" s="349"/>
      <c r="P560" s="349"/>
      <c r="Q560" s="349"/>
      <c r="R560" s="349"/>
      <c r="S560" s="349"/>
      <c r="T560" s="349"/>
      <c r="U560" s="349"/>
      <c r="V560" s="349"/>
      <c r="W560" s="349"/>
      <c r="X560" s="349"/>
      <c r="Y560" s="349"/>
      <c r="Z560" s="349"/>
    </row>
    <row r="561">
      <c r="A561" s="349"/>
      <c r="B561" s="349"/>
      <c r="C561" s="395"/>
      <c r="D561" s="349"/>
      <c r="E561" s="349"/>
      <c r="F561" s="349"/>
      <c r="G561" s="396"/>
      <c r="H561" s="349"/>
      <c r="I561" s="349"/>
      <c r="J561" s="349"/>
      <c r="K561" s="349"/>
      <c r="L561" s="349"/>
      <c r="M561" s="349"/>
      <c r="N561" s="349"/>
      <c r="O561" s="349"/>
      <c r="P561" s="349"/>
      <c r="Q561" s="349"/>
      <c r="R561" s="349"/>
      <c r="S561" s="349"/>
      <c r="T561" s="349"/>
      <c r="U561" s="349"/>
      <c r="V561" s="349"/>
      <c r="W561" s="349"/>
      <c r="X561" s="349"/>
      <c r="Y561" s="349"/>
      <c r="Z561" s="349"/>
    </row>
    <row r="562">
      <c r="A562" s="349"/>
      <c r="B562" s="349"/>
      <c r="C562" s="395"/>
      <c r="D562" s="349"/>
      <c r="E562" s="349"/>
      <c r="F562" s="349"/>
      <c r="G562" s="396"/>
      <c r="H562" s="349"/>
      <c r="I562" s="349"/>
      <c r="J562" s="349"/>
      <c r="K562" s="349"/>
      <c r="L562" s="349"/>
      <c r="M562" s="349"/>
      <c r="N562" s="349"/>
      <c r="O562" s="349"/>
      <c r="P562" s="349"/>
      <c r="Q562" s="349"/>
      <c r="R562" s="349"/>
      <c r="S562" s="349"/>
      <c r="T562" s="349"/>
      <c r="U562" s="349"/>
      <c r="V562" s="349"/>
      <c r="W562" s="349"/>
      <c r="X562" s="349"/>
      <c r="Y562" s="349"/>
      <c r="Z562" s="349"/>
    </row>
    <row r="563">
      <c r="A563" s="349"/>
      <c r="B563" s="349"/>
      <c r="C563" s="395"/>
      <c r="D563" s="349"/>
      <c r="E563" s="349"/>
      <c r="F563" s="349"/>
      <c r="G563" s="396"/>
      <c r="H563" s="349"/>
      <c r="I563" s="349"/>
      <c r="J563" s="349"/>
      <c r="K563" s="349"/>
      <c r="L563" s="349"/>
      <c r="M563" s="349"/>
      <c r="N563" s="349"/>
      <c r="O563" s="349"/>
      <c r="P563" s="349"/>
      <c r="Q563" s="349"/>
      <c r="R563" s="349"/>
      <c r="S563" s="349"/>
      <c r="T563" s="349"/>
      <c r="U563" s="349"/>
      <c r="V563" s="349"/>
      <c r="W563" s="349"/>
      <c r="X563" s="349"/>
      <c r="Y563" s="349"/>
      <c r="Z563" s="349"/>
    </row>
    <row r="564">
      <c r="A564" s="349"/>
      <c r="B564" s="349"/>
      <c r="C564" s="395"/>
      <c r="D564" s="349"/>
      <c r="E564" s="349"/>
      <c r="F564" s="349"/>
      <c r="G564" s="396"/>
      <c r="H564" s="349"/>
      <c r="I564" s="349"/>
      <c r="J564" s="349"/>
      <c r="K564" s="349"/>
      <c r="L564" s="349"/>
      <c r="M564" s="349"/>
      <c r="N564" s="349"/>
      <c r="O564" s="349"/>
      <c r="P564" s="349"/>
      <c r="Q564" s="349"/>
      <c r="R564" s="349"/>
      <c r="S564" s="349"/>
      <c r="T564" s="349"/>
      <c r="U564" s="349"/>
      <c r="V564" s="349"/>
      <c r="W564" s="349"/>
      <c r="X564" s="349"/>
      <c r="Y564" s="349"/>
      <c r="Z564" s="349"/>
    </row>
    <row r="565">
      <c r="A565" s="349"/>
      <c r="B565" s="349"/>
      <c r="C565" s="395"/>
      <c r="D565" s="349"/>
      <c r="E565" s="349"/>
      <c r="F565" s="349"/>
      <c r="G565" s="396"/>
      <c r="H565" s="349"/>
      <c r="I565" s="349"/>
      <c r="J565" s="349"/>
      <c r="K565" s="349"/>
      <c r="L565" s="349"/>
      <c r="M565" s="349"/>
      <c r="N565" s="349"/>
      <c r="O565" s="349"/>
      <c r="P565" s="349"/>
      <c r="Q565" s="349"/>
      <c r="R565" s="349"/>
      <c r="S565" s="349"/>
      <c r="T565" s="349"/>
      <c r="U565" s="349"/>
      <c r="V565" s="349"/>
      <c r="W565" s="349"/>
      <c r="X565" s="349"/>
      <c r="Y565" s="349"/>
      <c r="Z565" s="349"/>
    </row>
    <row r="566">
      <c r="A566" s="349"/>
      <c r="B566" s="349"/>
      <c r="C566" s="395"/>
      <c r="D566" s="349"/>
      <c r="E566" s="349"/>
      <c r="F566" s="349"/>
      <c r="G566" s="396"/>
      <c r="H566" s="349"/>
      <c r="I566" s="349"/>
      <c r="J566" s="349"/>
      <c r="K566" s="349"/>
      <c r="L566" s="349"/>
      <c r="M566" s="349"/>
      <c r="N566" s="349"/>
      <c r="O566" s="349"/>
      <c r="P566" s="349"/>
      <c r="Q566" s="349"/>
      <c r="R566" s="349"/>
      <c r="S566" s="349"/>
      <c r="T566" s="349"/>
      <c r="U566" s="349"/>
      <c r="V566" s="349"/>
      <c r="W566" s="349"/>
      <c r="X566" s="349"/>
      <c r="Y566" s="349"/>
      <c r="Z566" s="349"/>
    </row>
    <row r="567">
      <c r="A567" s="349"/>
      <c r="B567" s="349"/>
      <c r="C567" s="395"/>
      <c r="D567" s="349"/>
      <c r="E567" s="349"/>
      <c r="F567" s="349"/>
      <c r="G567" s="396"/>
      <c r="H567" s="349"/>
      <c r="I567" s="349"/>
      <c r="J567" s="349"/>
      <c r="K567" s="349"/>
      <c r="L567" s="349"/>
      <c r="M567" s="349"/>
      <c r="N567" s="349"/>
      <c r="O567" s="349"/>
      <c r="P567" s="349"/>
      <c r="Q567" s="349"/>
      <c r="R567" s="349"/>
      <c r="S567" s="349"/>
      <c r="T567" s="349"/>
      <c r="U567" s="349"/>
      <c r="V567" s="349"/>
      <c r="W567" s="349"/>
      <c r="X567" s="349"/>
      <c r="Y567" s="349"/>
      <c r="Z567" s="349"/>
    </row>
    <row r="568">
      <c r="A568" s="349"/>
      <c r="B568" s="349"/>
      <c r="C568" s="395"/>
      <c r="D568" s="349"/>
      <c r="E568" s="349"/>
      <c r="F568" s="349"/>
      <c r="G568" s="396"/>
      <c r="H568" s="349"/>
      <c r="I568" s="349"/>
      <c r="J568" s="349"/>
      <c r="K568" s="349"/>
      <c r="L568" s="349"/>
      <c r="M568" s="349"/>
      <c r="N568" s="349"/>
      <c r="O568" s="349"/>
      <c r="P568" s="349"/>
      <c r="Q568" s="349"/>
      <c r="R568" s="349"/>
      <c r="S568" s="349"/>
      <c r="T568" s="349"/>
      <c r="U568" s="349"/>
      <c r="V568" s="349"/>
      <c r="W568" s="349"/>
      <c r="X568" s="349"/>
      <c r="Y568" s="349"/>
      <c r="Z568" s="349"/>
    </row>
    <row r="569">
      <c r="A569" s="349"/>
      <c r="B569" s="349"/>
      <c r="C569" s="395"/>
      <c r="D569" s="349"/>
      <c r="E569" s="349"/>
      <c r="F569" s="349"/>
      <c r="G569" s="396"/>
      <c r="H569" s="349"/>
      <c r="I569" s="349"/>
      <c r="J569" s="349"/>
      <c r="K569" s="349"/>
      <c r="L569" s="349"/>
      <c r="M569" s="349"/>
      <c r="N569" s="349"/>
      <c r="O569" s="349"/>
      <c r="P569" s="349"/>
      <c r="Q569" s="349"/>
      <c r="R569" s="349"/>
      <c r="S569" s="349"/>
      <c r="T569" s="349"/>
      <c r="U569" s="349"/>
      <c r="V569" s="349"/>
      <c r="W569" s="349"/>
      <c r="X569" s="349"/>
      <c r="Y569" s="349"/>
      <c r="Z569" s="349"/>
    </row>
    <row r="570">
      <c r="A570" s="349"/>
      <c r="B570" s="349"/>
      <c r="C570" s="395"/>
      <c r="D570" s="349"/>
      <c r="E570" s="349"/>
      <c r="F570" s="349"/>
      <c r="G570" s="396"/>
      <c r="H570" s="349"/>
      <c r="I570" s="349"/>
      <c r="J570" s="349"/>
      <c r="K570" s="349"/>
      <c r="L570" s="349"/>
      <c r="M570" s="349"/>
      <c r="N570" s="349"/>
      <c r="O570" s="349"/>
      <c r="P570" s="349"/>
      <c r="Q570" s="349"/>
      <c r="R570" s="349"/>
      <c r="S570" s="349"/>
      <c r="T570" s="349"/>
      <c r="U570" s="349"/>
      <c r="V570" s="349"/>
      <c r="W570" s="349"/>
      <c r="X570" s="349"/>
      <c r="Y570" s="349"/>
      <c r="Z570" s="349"/>
    </row>
    <row r="571">
      <c r="A571" s="349"/>
      <c r="B571" s="349"/>
      <c r="C571" s="395"/>
      <c r="D571" s="349"/>
      <c r="E571" s="349"/>
      <c r="F571" s="349"/>
      <c r="G571" s="396"/>
      <c r="H571" s="349"/>
      <c r="I571" s="349"/>
      <c r="J571" s="349"/>
      <c r="K571" s="349"/>
      <c r="L571" s="349"/>
      <c r="M571" s="349"/>
      <c r="N571" s="349"/>
      <c r="O571" s="349"/>
      <c r="P571" s="349"/>
      <c r="Q571" s="349"/>
      <c r="R571" s="349"/>
      <c r="S571" s="349"/>
      <c r="T571" s="349"/>
      <c r="U571" s="349"/>
      <c r="V571" s="349"/>
      <c r="W571" s="349"/>
      <c r="X571" s="349"/>
      <c r="Y571" s="349"/>
      <c r="Z571" s="349"/>
    </row>
    <row r="572">
      <c r="A572" s="349"/>
      <c r="B572" s="349"/>
      <c r="C572" s="395"/>
      <c r="D572" s="349"/>
      <c r="E572" s="349"/>
      <c r="F572" s="349"/>
      <c r="G572" s="396"/>
      <c r="H572" s="349"/>
      <c r="I572" s="349"/>
      <c r="J572" s="349"/>
      <c r="K572" s="349"/>
      <c r="L572" s="349"/>
      <c r="M572" s="349"/>
      <c r="N572" s="349"/>
      <c r="O572" s="349"/>
      <c r="P572" s="349"/>
      <c r="Q572" s="349"/>
      <c r="R572" s="349"/>
      <c r="S572" s="349"/>
      <c r="T572" s="349"/>
      <c r="U572" s="349"/>
      <c r="V572" s="349"/>
      <c r="W572" s="349"/>
      <c r="X572" s="349"/>
      <c r="Y572" s="349"/>
      <c r="Z572" s="349"/>
    </row>
    <row r="573">
      <c r="A573" s="349"/>
      <c r="B573" s="349"/>
      <c r="C573" s="395"/>
      <c r="D573" s="349"/>
      <c r="E573" s="349"/>
      <c r="F573" s="349"/>
      <c r="G573" s="396"/>
      <c r="H573" s="349"/>
      <c r="I573" s="349"/>
      <c r="J573" s="349"/>
      <c r="K573" s="349"/>
      <c r="L573" s="349"/>
      <c r="M573" s="349"/>
      <c r="N573" s="349"/>
      <c r="O573" s="349"/>
      <c r="P573" s="349"/>
      <c r="Q573" s="349"/>
      <c r="R573" s="349"/>
      <c r="S573" s="349"/>
      <c r="T573" s="349"/>
      <c r="U573" s="349"/>
      <c r="V573" s="349"/>
      <c r="W573" s="349"/>
      <c r="X573" s="349"/>
      <c r="Y573" s="349"/>
      <c r="Z573" s="349"/>
    </row>
    <row r="574">
      <c r="A574" s="349"/>
      <c r="B574" s="349"/>
      <c r="C574" s="395"/>
      <c r="D574" s="349"/>
      <c r="E574" s="349"/>
      <c r="F574" s="349"/>
      <c r="G574" s="396"/>
      <c r="H574" s="349"/>
      <c r="I574" s="349"/>
      <c r="J574" s="349"/>
      <c r="K574" s="349"/>
      <c r="L574" s="349"/>
      <c r="M574" s="349"/>
      <c r="N574" s="349"/>
      <c r="O574" s="349"/>
      <c r="P574" s="349"/>
      <c r="Q574" s="349"/>
      <c r="R574" s="349"/>
      <c r="S574" s="349"/>
      <c r="T574" s="349"/>
      <c r="U574" s="349"/>
      <c r="V574" s="349"/>
      <c r="W574" s="349"/>
      <c r="X574" s="349"/>
      <c r="Y574" s="349"/>
      <c r="Z574" s="349"/>
    </row>
    <row r="575">
      <c r="A575" s="349"/>
      <c r="B575" s="349"/>
      <c r="C575" s="395"/>
      <c r="D575" s="349"/>
      <c r="E575" s="349"/>
      <c r="F575" s="349"/>
      <c r="G575" s="396"/>
      <c r="H575" s="349"/>
      <c r="I575" s="349"/>
      <c r="J575" s="349"/>
      <c r="K575" s="349"/>
      <c r="L575" s="349"/>
      <c r="M575" s="349"/>
      <c r="N575" s="349"/>
      <c r="O575" s="349"/>
      <c r="P575" s="349"/>
      <c r="Q575" s="349"/>
      <c r="R575" s="349"/>
      <c r="S575" s="349"/>
      <c r="T575" s="349"/>
      <c r="U575" s="349"/>
      <c r="V575" s="349"/>
      <c r="W575" s="349"/>
      <c r="X575" s="349"/>
      <c r="Y575" s="349"/>
      <c r="Z575" s="349"/>
    </row>
    <row r="576">
      <c r="A576" s="349"/>
      <c r="B576" s="349"/>
      <c r="C576" s="395"/>
      <c r="D576" s="349"/>
      <c r="E576" s="349"/>
      <c r="F576" s="349"/>
      <c r="G576" s="396"/>
      <c r="H576" s="349"/>
      <c r="I576" s="349"/>
      <c r="J576" s="349"/>
      <c r="K576" s="349"/>
      <c r="L576" s="349"/>
      <c r="M576" s="349"/>
      <c r="N576" s="349"/>
      <c r="O576" s="349"/>
      <c r="P576" s="349"/>
      <c r="Q576" s="349"/>
      <c r="R576" s="349"/>
      <c r="S576" s="349"/>
      <c r="T576" s="349"/>
      <c r="U576" s="349"/>
      <c r="V576" s="349"/>
      <c r="W576" s="349"/>
      <c r="X576" s="349"/>
      <c r="Y576" s="349"/>
      <c r="Z576" s="349"/>
    </row>
    <row r="577">
      <c r="A577" s="349"/>
      <c r="B577" s="349"/>
      <c r="C577" s="395"/>
      <c r="D577" s="349"/>
      <c r="E577" s="349"/>
      <c r="F577" s="349"/>
      <c r="G577" s="396"/>
      <c r="H577" s="349"/>
      <c r="I577" s="349"/>
      <c r="J577" s="349"/>
      <c r="K577" s="349"/>
      <c r="L577" s="349"/>
      <c r="M577" s="349"/>
      <c r="N577" s="349"/>
      <c r="O577" s="349"/>
      <c r="P577" s="349"/>
      <c r="Q577" s="349"/>
      <c r="R577" s="349"/>
      <c r="S577" s="349"/>
      <c r="T577" s="349"/>
      <c r="U577" s="349"/>
      <c r="V577" s="349"/>
      <c r="W577" s="349"/>
      <c r="X577" s="349"/>
      <c r="Y577" s="349"/>
      <c r="Z577" s="349"/>
    </row>
    <row r="578">
      <c r="A578" s="349"/>
      <c r="B578" s="349"/>
      <c r="C578" s="395"/>
      <c r="D578" s="349"/>
      <c r="E578" s="349"/>
      <c r="F578" s="349"/>
      <c r="G578" s="396"/>
      <c r="H578" s="349"/>
      <c r="I578" s="349"/>
      <c r="J578" s="349"/>
      <c r="K578" s="349"/>
      <c r="L578" s="349"/>
      <c r="M578" s="349"/>
      <c r="N578" s="349"/>
      <c r="O578" s="349"/>
      <c r="P578" s="349"/>
      <c r="Q578" s="349"/>
      <c r="R578" s="349"/>
      <c r="S578" s="349"/>
      <c r="T578" s="349"/>
      <c r="U578" s="349"/>
      <c r="V578" s="349"/>
      <c r="W578" s="349"/>
      <c r="X578" s="349"/>
      <c r="Y578" s="349"/>
      <c r="Z578" s="349"/>
    </row>
    <row r="579">
      <c r="A579" s="349"/>
      <c r="B579" s="349"/>
      <c r="C579" s="395"/>
      <c r="D579" s="349"/>
      <c r="E579" s="349"/>
      <c r="F579" s="349"/>
      <c r="G579" s="396"/>
      <c r="H579" s="349"/>
      <c r="I579" s="349"/>
      <c r="J579" s="349"/>
      <c r="K579" s="349"/>
      <c r="L579" s="349"/>
      <c r="M579" s="349"/>
      <c r="N579" s="349"/>
      <c r="O579" s="349"/>
      <c r="P579" s="349"/>
      <c r="Q579" s="349"/>
      <c r="R579" s="349"/>
      <c r="S579" s="349"/>
      <c r="T579" s="349"/>
      <c r="U579" s="349"/>
      <c r="V579" s="349"/>
      <c r="W579" s="349"/>
      <c r="X579" s="349"/>
      <c r="Y579" s="349"/>
      <c r="Z579" s="349"/>
    </row>
    <row r="580">
      <c r="A580" s="349"/>
      <c r="B580" s="349"/>
      <c r="C580" s="395"/>
      <c r="D580" s="349"/>
      <c r="E580" s="349"/>
      <c r="F580" s="349"/>
      <c r="G580" s="396"/>
      <c r="H580" s="349"/>
      <c r="I580" s="349"/>
      <c r="J580" s="349"/>
      <c r="K580" s="349"/>
      <c r="L580" s="349"/>
      <c r="M580" s="349"/>
      <c r="N580" s="349"/>
      <c r="O580" s="349"/>
      <c r="P580" s="349"/>
      <c r="Q580" s="349"/>
      <c r="R580" s="349"/>
      <c r="S580" s="349"/>
      <c r="T580" s="349"/>
      <c r="U580" s="349"/>
      <c r="V580" s="349"/>
      <c r="W580" s="349"/>
      <c r="X580" s="349"/>
      <c r="Y580" s="349"/>
      <c r="Z580" s="349"/>
    </row>
    <row r="581">
      <c r="A581" s="349"/>
      <c r="B581" s="349"/>
      <c r="C581" s="395"/>
      <c r="D581" s="349"/>
      <c r="E581" s="349"/>
      <c r="F581" s="349"/>
      <c r="G581" s="396"/>
      <c r="H581" s="349"/>
      <c r="I581" s="349"/>
      <c r="J581" s="349"/>
      <c r="K581" s="349"/>
      <c r="L581" s="349"/>
      <c r="M581" s="349"/>
      <c r="N581" s="349"/>
      <c r="O581" s="349"/>
      <c r="P581" s="349"/>
      <c r="Q581" s="349"/>
      <c r="R581" s="349"/>
      <c r="S581" s="349"/>
      <c r="T581" s="349"/>
      <c r="U581" s="349"/>
      <c r="V581" s="349"/>
      <c r="W581" s="349"/>
      <c r="X581" s="349"/>
      <c r="Y581" s="349"/>
      <c r="Z581" s="349"/>
    </row>
    <row r="582">
      <c r="A582" s="349"/>
      <c r="B582" s="349"/>
      <c r="C582" s="395"/>
      <c r="D582" s="349"/>
      <c r="E582" s="349"/>
      <c r="F582" s="349"/>
      <c r="G582" s="396"/>
      <c r="H582" s="349"/>
      <c r="I582" s="349"/>
      <c r="J582" s="349"/>
      <c r="K582" s="349"/>
      <c r="L582" s="349"/>
      <c r="M582" s="349"/>
      <c r="N582" s="349"/>
      <c r="O582" s="349"/>
      <c r="P582" s="349"/>
      <c r="Q582" s="349"/>
      <c r="R582" s="349"/>
      <c r="S582" s="349"/>
      <c r="T582" s="349"/>
      <c r="U582" s="349"/>
      <c r="V582" s="349"/>
      <c r="W582" s="349"/>
      <c r="X582" s="349"/>
      <c r="Y582" s="349"/>
      <c r="Z582" s="349"/>
    </row>
    <row r="583">
      <c r="A583" s="349"/>
      <c r="B583" s="349"/>
      <c r="C583" s="395"/>
      <c r="D583" s="349"/>
      <c r="E583" s="349"/>
      <c r="F583" s="349"/>
      <c r="G583" s="396"/>
      <c r="H583" s="349"/>
      <c r="I583" s="349"/>
      <c r="J583" s="349"/>
      <c r="K583" s="349"/>
      <c r="L583" s="349"/>
      <c r="M583" s="349"/>
      <c r="N583" s="349"/>
      <c r="O583" s="349"/>
      <c r="P583" s="349"/>
      <c r="Q583" s="349"/>
      <c r="R583" s="349"/>
      <c r="S583" s="349"/>
      <c r="T583" s="349"/>
      <c r="U583" s="349"/>
      <c r="V583" s="349"/>
      <c r="W583" s="349"/>
      <c r="X583" s="349"/>
      <c r="Y583" s="349"/>
      <c r="Z583" s="349"/>
    </row>
    <row r="584">
      <c r="A584" s="349"/>
      <c r="B584" s="349"/>
      <c r="C584" s="395"/>
      <c r="D584" s="349"/>
      <c r="E584" s="349"/>
      <c r="F584" s="349"/>
      <c r="G584" s="396"/>
      <c r="H584" s="349"/>
      <c r="I584" s="349"/>
      <c r="J584" s="349"/>
      <c r="K584" s="349"/>
      <c r="L584" s="349"/>
      <c r="M584" s="349"/>
      <c r="N584" s="349"/>
      <c r="O584" s="349"/>
      <c r="P584" s="349"/>
      <c r="Q584" s="349"/>
      <c r="R584" s="349"/>
      <c r="S584" s="349"/>
      <c r="T584" s="349"/>
      <c r="U584" s="349"/>
      <c r="V584" s="349"/>
      <c r="W584" s="349"/>
      <c r="X584" s="349"/>
      <c r="Y584" s="349"/>
      <c r="Z584" s="349"/>
    </row>
    <row r="585">
      <c r="A585" s="349"/>
      <c r="B585" s="349"/>
      <c r="C585" s="395"/>
      <c r="D585" s="349"/>
      <c r="E585" s="349"/>
      <c r="F585" s="349"/>
      <c r="G585" s="396"/>
      <c r="H585" s="349"/>
      <c r="I585" s="349"/>
      <c r="J585" s="349"/>
      <c r="K585" s="349"/>
      <c r="L585" s="349"/>
      <c r="M585" s="349"/>
      <c r="N585" s="349"/>
      <c r="O585" s="349"/>
      <c r="P585" s="349"/>
      <c r="Q585" s="349"/>
      <c r="R585" s="349"/>
      <c r="S585" s="349"/>
      <c r="T585" s="349"/>
      <c r="U585" s="349"/>
      <c r="V585" s="349"/>
      <c r="W585" s="349"/>
      <c r="X585" s="349"/>
      <c r="Y585" s="349"/>
      <c r="Z585" s="349"/>
    </row>
    <row r="586">
      <c r="A586" s="349"/>
      <c r="B586" s="349"/>
      <c r="C586" s="395"/>
      <c r="D586" s="349"/>
      <c r="E586" s="349"/>
      <c r="F586" s="349"/>
      <c r="G586" s="396"/>
      <c r="H586" s="349"/>
      <c r="I586" s="349"/>
      <c r="J586" s="349"/>
      <c r="K586" s="349"/>
      <c r="L586" s="349"/>
      <c r="M586" s="349"/>
      <c r="N586" s="349"/>
      <c r="O586" s="349"/>
      <c r="P586" s="349"/>
      <c r="Q586" s="349"/>
      <c r="R586" s="349"/>
      <c r="S586" s="349"/>
      <c r="T586" s="349"/>
      <c r="U586" s="349"/>
      <c r="V586" s="349"/>
      <c r="W586" s="349"/>
      <c r="X586" s="349"/>
      <c r="Y586" s="349"/>
      <c r="Z586" s="349"/>
    </row>
    <row r="587">
      <c r="A587" s="349"/>
      <c r="B587" s="349"/>
      <c r="C587" s="395"/>
      <c r="D587" s="349"/>
      <c r="E587" s="349"/>
      <c r="F587" s="349"/>
      <c r="G587" s="396"/>
      <c r="H587" s="349"/>
      <c r="I587" s="349"/>
      <c r="J587" s="349"/>
      <c r="K587" s="349"/>
      <c r="L587" s="349"/>
      <c r="M587" s="349"/>
      <c r="N587" s="349"/>
      <c r="O587" s="349"/>
      <c r="P587" s="349"/>
      <c r="Q587" s="349"/>
      <c r="R587" s="349"/>
      <c r="S587" s="349"/>
      <c r="T587" s="349"/>
      <c r="U587" s="349"/>
      <c r="V587" s="349"/>
      <c r="W587" s="349"/>
      <c r="X587" s="349"/>
      <c r="Y587" s="349"/>
      <c r="Z587" s="349"/>
    </row>
    <row r="588">
      <c r="A588" s="349"/>
      <c r="B588" s="349"/>
      <c r="C588" s="395"/>
      <c r="D588" s="349"/>
      <c r="E588" s="349"/>
      <c r="F588" s="349"/>
      <c r="G588" s="396"/>
      <c r="H588" s="349"/>
      <c r="I588" s="349"/>
      <c r="J588" s="349"/>
      <c r="K588" s="349"/>
      <c r="L588" s="349"/>
      <c r="M588" s="349"/>
      <c r="N588" s="349"/>
      <c r="O588" s="349"/>
      <c r="P588" s="349"/>
      <c r="Q588" s="349"/>
      <c r="R588" s="349"/>
      <c r="S588" s="349"/>
      <c r="T588" s="349"/>
      <c r="U588" s="349"/>
      <c r="V588" s="349"/>
      <c r="W588" s="349"/>
      <c r="X588" s="349"/>
      <c r="Y588" s="349"/>
      <c r="Z588" s="349"/>
    </row>
    <row r="589">
      <c r="A589" s="349"/>
      <c r="B589" s="349"/>
      <c r="C589" s="395"/>
      <c r="D589" s="349"/>
      <c r="E589" s="349"/>
      <c r="F589" s="349"/>
      <c r="G589" s="396"/>
      <c r="H589" s="349"/>
      <c r="I589" s="349"/>
      <c r="J589" s="349"/>
      <c r="K589" s="349"/>
      <c r="L589" s="349"/>
      <c r="M589" s="349"/>
      <c r="N589" s="349"/>
      <c r="O589" s="349"/>
      <c r="P589" s="349"/>
      <c r="Q589" s="349"/>
      <c r="R589" s="349"/>
      <c r="S589" s="349"/>
      <c r="T589" s="349"/>
      <c r="U589" s="349"/>
      <c r="V589" s="349"/>
      <c r="W589" s="349"/>
      <c r="X589" s="349"/>
      <c r="Y589" s="349"/>
      <c r="Z589" s="349"/>
    </row>
    <row r="590">
      <c r="A590" s="349"/>
      <c r="B590" s="349"/>
      <c r="C590" s="395"/>
      <c r="D590" s="349"/>
      <c r="E590" s="349"/>
      <c r="F590" s="349"/>
      <c r="G590" s="396"/>
      <c r="H590" s="349"/>
      <c r="I590" s="349"/>
      <c r="J590" s="349"/>
      <c r="K590" s="349"/>
      <c r="L590" s="349"/>
      <c r="M590" s="349"/>
      <c r="N590" s="349"/>
      <c r="O590" s="349"/>
      <c r="P590" s="349"/>
      <c r="Q590" s="349"/>
      <c r="R590" s="349"/>
      <c r="S590" s="349"/>
      <c r="T590" s="349"/>
      <c r="U590" s="349"/>
      <c r="V590" s="349"/>
      <c r="W590" s="349"/>
      <c r="X590" s="349"/>
      <c r="Y590" s="349"/>
      <c r="Z590" s="349"/>
    </row>
    <row r="591">
      <c r="A591" s="349"/>
      <c r="B591" s="349"/>
      <c r="C591" s="395"/>
      <c r="D591" s="349"/>
      <c r="E591" s="349"/>
      <c r="F591" s="349"/>
      <c r="G591" s="396"/>
      <c r="H591" s="349"/>
      <c r="I591" s="349"/>
      <c r="J591" s="349"/>
      <c r="K591" s="349"/>
      <c r="L591" s="349"/>
      <c r="M591" s="349"/>
      <c r="N591" s="349"/>
      <c r="O591" s="349"/>
      <c r="P591" s="349"/>
      <c r="Q591" s="349"/>
      <c r="R591" s="349"/>
      <c r="S591" s="349"/>
      <c r="T591" s="349"/>
      <c r="U591" s="349"/>
      <c r="V591" s="349"/>
      <c r="W591" s="349"/>
      <c r="X591" s="349"/>
      <c r="Y591" s="349"/>
      <c r="Z591" s="349"/>
    </row>
    <row r="592">
      <c r="A592" s="349"/>
      <c r="B592" s="349"/>
      <c r="C592" s="395"/>
      <c r="D592" s="349"/>
      <c r="E592" s="349"/>
      <c r="F592" s="349"/>
      <c r="G592" s="396"/>
      <c r="H592" s="349"/>
      <c r="I592" s="349"/>
      <c r="J592" s="349"/>
      <c r="K592" s="349"/>
      <c r="L592" s="349"/>
      <c r="M592" s="349"/>
      <c r="N592" s="349"/>
      <c r="O592" s="349"/>
      <c r="P592" s="349"/>
      <c r="Q592" s="349"/>
      <c r="R592" s="349"/>
      <c r="S592" s="349"/>
      <c r="T592" s="349"/>
      <c r="U592" s="349"/>
      <c r="V592" s="349"/>
      <c r="W592" s="349"/>
      <c r="X592" s="349"/>
      <c r="Y592" s="349"/>
      <c r="Z592" s="349"/>
    </row>
    <row r="593">
      <c r="A593" s="349"/>
      <c r="B593" s="349"/>
      <c r="C593" s="395"/>
      <c r="D593" s="349"/>
      <c r="E593" s="349"/>
      <c r="F593" s="349"/>
      <c r="G593" s="396"/>
      <c r="H593" s="349"/>
      <c r="I593" s="349"/>
      <c r="J593" s="349"/>
      <c r="K593" s="349"/>
      <c r="L593" s="349"/>
      <c r="M593" s="349"/>
      <c r="N593" s="349"/>
      <c r="O593" s="349"/>
      <c r="P593" s="349"/>
      <c r="Q593" s="349"/>
      <c r="R593" s="349"/>
      <c r="S593" s="349"/>
      <c r="T593" s="349"/>
      <c r="U593" s="349"/>
      <c r="V593" s="349"/>
      <c r="W593" s="349"/>
      <c r="X593" s="349"/>
      <c r="Y593" s="349"/>
      <c r="Z593" s="349"/>
    </row>
    <row r="594">
      <c r="A594" s="349"/>
      <c r="B594" s="349"/>
      <c r="C594" s="395"/>
      <c r="D594" s="349"/>
      <c r="E594" s="349"/>
      <c r="F594" s="349"/>
      <c r="G594" s="396"/>
      <c r="H594" s="349"/>
      <c r="I594" s="349"/>
      <c r="J594" s="349"/>
      <c r="K594" s="349"/>
      <c r="L594" s="349"/>
      <c r="M594" s="349"/>
      <c r="N594" s="349"/>
      <c r="O594" s="349"/>
      <c r="P594" s="349"/>
      <c r="Q594" s="349"/>
      <c r="R594" s="349"/>
      <c r="S594" s="349"/>
      <c r="T594" s="349"/>
      <c r="U594" s="349"/>
      <c r="V594" s="349"/>
      <c r="W594" s="349"/>
      <c r="X594" s="349"/>
      <c r="Y594" s="349"/>
      <c r="Z594" s="349"/>
    </row>
    <row r="595">
      <c r="A595" s="349"/>
      <c r="B595" s="349"/>
      <c r="C595" s="395"/>
      <c r="D595" s="349"/>
      <c r="E595" s="349"/>
      <c r="F595" s="349"/>
      <c r="G595" s="396"/>
      <c r="H595" s="349"/>
      <c r="I595" s="349"/>
      <c r="J595" s="349"/>
      <c r="K595" s="349"/>
      <c r="L595" s="349"/>
      <c r="M595" s="349"/>
      <c r="N595" s="349"/>
      <c r="O595" s="349"/>
      <c r="P595" s="349"/>
      <c r="Q595" s="349"/>
      <c r="R595" s="349"/>
      <c r="S595" s="349"/>
      <c r="T595" s="349"/>
      <c r="U595" s="349"/>
      <c r="V595" s="349"/>
      <c r="W595" s="349"/>
      <c r="X595" s="349"/>
      <c r="Y595" s="349"/>
      <c r="Z595" s="349"/>
    </row>
    <row r="596">
      <c r="A596" s="349"/>
      <c r="B596" s="349"/>
      <c r="C596" s="395"/>
      <c r="D596" s="349"/>
      <c r="E596" s="349"/>
      <c r="F596" s="349"/>
      <c r="G596" s="396"/>
      <c r="H596" s="349"/>
      <c r="I596" s="349"/>
      <c r="J596" s="349"/>
      <c r="K596" s="349"/>
      <c r="L596" s="349"/>
      <c r="M596" s="349"/>
      <c r="N596" s="349"/>
      <c r="O596" s="349"/>
      <c r="P596" s="349"/>
      <c r="Q596" s="349"/>
      <c r="R596" s="349"/>
      <c r="S596" s="349"/>
      <c r="T596" s="349"/>
      <c r="U596" s="349"/>
      <c r="V596" s="349"/>
      <c r="W596" s="349"/>
      <c r="X596" s="349"/>
      <c r="Y596" s="349"/>
      <c r="Z596" s="349"/>
    </row>
    <row r="597">
      <c r="A597" s="349"/>
      <c r="B597" s="349"/>
      <c r="C597" s="395"/>
      <c r="D597" s="349"/>
      <c r="E597" s="349"/>
      <c r="F597" s="349"/>
      <c r="G597" s="396"/>
      <c r="H597" s="349"/>
      <c r="I597" s="349"/>
      <c r="J597" s="349"/>
      <c r="K597" s="349"/>
      <c r="L597" s="349"/>
      <c r="M597" s="349"/>
      <c r="N597" s="349"/>
      <c r="O597" s="349"/>
      <c r="P597" s="349"/>
      <c r="Q597" s="349"/>
      <c r="R597" s="349"/>
      <c r="S597" s="349"/>
      <c r="T597" s="349"/>
      <c r="U597" s="349"/>
      <c r="V597" s="349"/>
      <c r="W597" s="349"/>
      <c r="X597" s="349"/>
      <c r="Y597" s="349"/>
      <c r="Z597" s="349"/>
    </row>
    <row r="598">
      <c r="A598" s="349"/>
      <c r="B598" s="349"/>
      <c r="C598" s="395"/>
      <c r="D598" s="349"/>
      <c r="E598" s="349"/>
      <c r="F598" s="349"/>
      <c r="G598" s="396"/>
      <c r="H598" s="349"/>
      <c r="I598" s="349"/>
      <c r="J598" s="349"/>
      <c r="K598" s="349"/>
      <c r="L598" s="349"/>
      <c r="M598" s="349"/>
      <c r="N598" s="349"/>
      <c r="O598" s="349"/>
      <c r="P598" s="349"/>
      <c r="Q598" s="349"/>
      <c r="R598" s="349"/>
      <c r="S598" s="349"/>
      <c r="T598" s="349"/>
      <c r="U598" s="349"/>
      <c r="V598" s="349"/>
      <c r="W598" s="349"/>
      <c r="X598" s="349"/>
      <c r="Y598" s="349"/>
      <c r="Z598" s="349"/>
    </row>
    <row r="599">
      <c r="A599" s="349"/>
      <c r="B599" s="349"/>
      <c r="C599" s="395"/>
      <c r="D599" s="349"/>
      <c r="E599" s="349"/>
      <c r="F599" s="349"/>
      <c r="G599" s="396"/>
      <c r="H599" s="349"/>
      <c r="I599" s="349"/>
      <c r="J599" s="349"/>
      <c r="K599" s="349"/>
      <c r="L599" s="349"/>
      <c r="M599" s="349"/>
      <c r="N599" s="349"/>
      <c r="O599" s="349"/>
      <c r="P599" s="349"/>
      <c r="Q599" s="349"/>
      <c r="R599" s="349"/>
      <c r="S599" s="349"/>
      <c r="T599" s="349"/>
      <c r="U599" s="349"/>
      <c r="V599" s="349"/>
      <c r="W599" s="349"/>
      <c r="X599" s="349"/>
      <c r="Y599" s="349"/>
      <c r="Z599" s="349"/>
    </row>
    <row r="600">
      <c r="A600" s="349"/>
      <c r="B600" s="349"/>
      <c r="C600" s="395"/>
      <c r="D600" s="349"/>
      <c r="E600" s="349"/>
      <c r="F600" s="349"/>
      <c r="G600" s="396"/>
      <c r="H600" s="349"/>
      <c r="I600" s="349"/>
      <c r="J600" s="349"/>
      <c r="K600" s="349"/>
      <c r="L600" s="349"/>
      <c r="M600" s="349"/>
      <c r="N600" s="349"/>
      <c r="O600" s="349"/>
      <c r="P600" s="349"/>
      <c r="Q600" s="349"/>
      <c r="R600" s="349"/>
      <c r="S600" s="349"/>
      <c r="T600" s="349"/>
      <c r="U600" s="349"/>
      <c r="V600" s="349"/>
      <c r="W600" s="349"/>
      <c r="X600" s="349"/>
      <c r="Y600" s="349"/>
      <c r="Z600" s="349"/>
    </row>
    <row r="601">
      <c r="A601" s="349"/>
      <c r="B601" s="349"/>
      <c r="C601" s="395"/>
      <c r="D601" s="349"/>
      <c r="E601" s="349"/>
      <c r="F601" s="349"/>
      <c r="G601" s="396"/>
      <c r="H601" s="349"/>
      <c r="I601" s="349"/>
      <c r="J601" s="349"/>
      <c r="K601" s="349"/>
      <c r="L601" s="349"/>
      <c r="M601" s="349"/>
      <c r="N601" s="349"/>
      <c r="O601" s="349"/>
      <c r="P601" s="349"/>
      <c r="Q601" s="349"/>
      <c r="R601" s="349"/>
      <c r="S601" s="349"/>
      <c r="T601" s="349"/>
      <c r="U601" s="349"/>
      <c r="V601" s="349"/>
      <c r="W601" s="349"/>
      <c r="X601" s="349"/>
      <c r="Y601" s="349"/>
      <c r="Z601" s="349"/>
    </row>
    <row r="602">
      <c r="A602" s="349"/>
      <c r="B602" s="349"/>
      <c r="C602" s="395"/>
      <c r="D602" s="349"/>
      <c r="E602" s="349"/>
      <c r="F602" s="349"/>
      <c r="G602" s="396"/>
      <c r="H602" s="349"/>
      <c r="I602" s="349"/>
      <c r="J602" s="349"/>
      <c r="K602" s="349"/>
      <c r="L602" s="349"/>
      <c r="M602" s="349"/>
      <c r="N602" s="349"/>
      <c r="O602" s="349"/>
      <c r="P602" s="349"/>
      <c r="Q602" s="349"/>
      <c r="R602" s="349"/>
      <c r="S602" s="349"/>
      <c r="T602" s="349"/>
      <c r="U602" s="349"/>
      <c r="V602" s="349"/>
      <c r="W602" s="349"/>
      <c r="X602" s="349"/>
      <c r="Y602" s="349"/>
      <c r="Z602" s="349"/>
    </row>
    <row r="603">
      <c r="A603" s="349"/>
      <c r="B603" s="349"/>
      <c r="C603" s="395"/>
      <c r="D603" s="349"/>
      <c r="E603" s="349"/>
      <c r="F603" s="349"/>
      <c r="G603" s="396"/>
      <c r="H603" s="349"/>
      <c r="I603" s="349"/>
      <c r="J603" s="349"/>
      <c r="K603" s="349"/>
      <c r="L603" s="349"/>
      <c r="M603" s="349"/>
      <c r="N603" s="349"/>
      <c r="O603" s="349"/>
      <c r="P603" s="349"/>
      <c r="Q603" s="349"/>
      <c r="R603" s="349"/>
      <c r="S603" s="349"/>
      <c r="T603" s="349"/>
      <c r="U603" s="349"/>
      <c r="V603" s="349"/>
      <c r="W603" s="349"/>
      <c r="X603" s="349"/>
      <c r="Y603" s="349"/>
      <c r="Z603" s="349"/>
    </row>
    <row r="604">
      <c r="A604" s="349"/>
      <c r="B604" s="349"/>
      <c r="C604" s="395"/>
      <c r="D604" s="349"/>
      <c r="E604" s="349"/>
      <c r="F604" s="349"/>
      <c r="G604" s="396"/>
      <c r="H604" s="349"/>
      <c r="I604" s="349"/>
      <c r="J604" s="349"/>
      <c r="K604" s="349"/>
      <c r="L604" s="349"/>
      <c r="M604" s="349"/>
      <c r="N604" s="349"/>
      <c r="O604" s="349"/>
      <c r="P604" s="349"/>
      <c r="Q604" s="349"/>
      <c r="R604" s="349"/>
      <c r="S604" s="349"/>
      <c r="T604" s="349"/>
      <c r="U604" s="349"/>
      <c r="V604" s="349"/>
      <c r="W604" s="349"/>
      <c r="X604" s="349"/>
      <c r="Y604" s="349"/>
      <c r="Z604" s="349"/>
    </row>
    <row r="605">
      <c r="A605" s="349"/>
      <c r="B605" s="349"/>
      <c r="C605" s="395"/>
      <c r="D605" s="349"/>
      <c r="E605" s="349"/>
      <c r="F605" s="349"/>
      <c r="G605" s="396"/>
      <c r="H605" s="349"/>
      <c r="I605" s="349"/>
      <c r="J605" s="349"/>
      <c r="K605" s="349"/>
      <c r="L605" s="349"/>
      <c r="M605" s="349"/>
      <c r="N605" s="349"/>
      <c r="O605" s="349"/>
      <c r="P605" s="349"/>
      <c r="Q605" s="349"/>
      <c r="R605" s="349"/>
      <c r="S605" s="349"/>
      <c r="T605" s="349"/>
      <c r="U605" s="349"/>
      <c r="V605" s="349"/>
      <c r="W605" s="349"/>
      <c r="X605" s="349"/>
      <c r="Y605" s="349"/>
      <c r="Z605" s="349"/>
    </row>
    <row r="606">
      <c r="A606" s="349"/>
      <c r="B606" s="349"/>
      <c r="C606" s="395"/>
      <c r="D606" s="349"/>
      <c r="E606" s="349"/>
      <c r="F606" s="349"/>
      <c r="G606" s="396"/>
      <c r="H606" s="349"/>
      <c r="I606" s="349"/>
      <c r="J606" s="349"/>
      <c r="K606" s="349"/>
      <c r="L606" s="349"/>
      <c r="M606" s="349"/>
      <c r="N606" s="349"/>
      <c r="O606" s="349"/>
      <c r="P606" s="349"/>
      <c r="Q606" s="349"/>
      <c r="R606" s="349"/>
      <c r="S606" s="349"/>
      <c r="T606" s="349"/>
      <c r="U606" s="349"/>
      <c r="V606" s="349"/>
      <c r="W606" s="349"/>
      <c r="X606" s="349"/>
      <c r="Y606" s="349"/>
      <c r="Z606" s="349"/>
    </row>
    <row r="607">
      <c r="A607" s="349"/>
      <c r="B607" s="349"/>
      <c r="C607" s="395"/>
      <c r="D607" s="349"/>
      <c r="E607" s="349"/>
      <c r="F607" s="349"/>
      <c r="G607" s="396"/>
      <c r="H607" s="349"/>
      <c r="I607" s="349"/>
      <c r="J607" s="349"/>
      <c r="K607" s="349"/>
      <c r="L607" s="349"/>
      <c r="M607" s="349"/>
      <c r="N607" s="349"/>
      <c r="O607" s="349"/>
      <c r="P607" s="349"/>
      <c r="Q607" s="349"/>
      <c r="R607" s="349"/>
      <c r="S607" s="349"/>
      <c r="T607" s="349"/>
      <c r="U607" s="349"/>
      <c r="V607" s="349"/>
      <c r="W607" s="349"/>
      <c r="X607" s="349"/>
      <c r="Y607" s="349"/>
      <c r="Z607" s="349"/>
    </row>
    <row r="608">
      <c r="A608" s="349"/>
      <c r="B608" s="349"/>
      <c r="C608" s="395"/>
      <c r="D608" s="349"/>
      <c r="E608" s="349"/>
      <c r="F608" s="349"/>
      <c r="G608" s="396"/>
      <c r="H608" s="349"/>
      <c r="I608" s="349"/>
      <c r="J608" s="349"/>
      <c r="K608" s="349"/>
      <c r="L608" s="349"/>
      <c r="M608" s="349"/>
      <c r="N608" s="349"/>
      <c r="O608" s="349"/>
      <c r="P608" s="349"/>
      <c r="Q608" s="349"/>
      <c r="R608" s="349"/>
      <c r="S608" s="349"/>
      <c r="T608" s="349"/>
      <c r="U608" s="349"/>
      <c r="V608" s="349"/>
      <c r="W608" s="349"/>
      <c r="X608" s="349"/>
      <c r="Y608" s="349"/>
      <c r="Z608" s="349"/>
    </row>
    <row r="609">
      <c r="A609" s="349"/>
      <c r="B609" s="349"/>
      <c r="C609" s="395"/>
      <c r="D609" s="349"/>
      <c r="E609" s="349"/>
      <c r="F609" s="349"/>
      <c r="G609" s="396"/>
      <c r="H609" s="349"/>
      <c r="I609" s="349"/>
      <c r="J609" s="349"/>
      <c r="K609" s="349"/>
      <c r="L609" s="349"/>
      <c r="M609" s="349"/>
      <c r="N609" s="349"/>
      <c r="O609" s="349"/>
      <c r="P609" s="349"/>
      <c r="Q609" s="349"/>
      <c r="R609" s="349"/>
      <c r="S609" s="349"/>
      <c r="T609" s="349"/>
      <c r="U609" s="349"/>
      <c r="V609" s="349"/>
      <c r="W609" s="349"/>
      <c r="X609" s="349"/>
      <c r="Y609" s="349"/>
      <c r="Z609" s="349"/>
    </row>
    <row r="610">
      <c r="A610" s="349"/>
      <c r="B610" s="349"/>
      <c r="C610" s="395"/>
      <c r="D610" s="349"/>
      <c r="E610" s="349"/>
      <c r="F610" s="349"/>
      <c r="G610" s="396"/>
      <c r="H610" s="349"/>
      <c r="I610" s="349"/>
      <c r="J610" s="349"/>
      <c r="K610" s="349"/>
      <c r="L610" s="349"/>
      <c r="M610" s="349"/>
      <c r="N610" s="349"/>
      <c r="O610" s="349"/>
      <c r="P610" s="349"/>
      <c r="Q610" s="349"/>
      <c r="R610" s="349"/>
      <c r="S610" s="349"/>
      <c r="T610" s="349"/>
      <c r="U610" s="349"/>
      <c r="V610" s="349"/>
      <c r="W610" s="349"/>
      <c r="X610" s="349"/>
      <c r="Y610" s="349"/>
      <c r="Z610" s="349"/>
    </row>
    <row r="611">
      <c r="A611" s="349"/>
      <c r="B611" s="349"/>
      <c r="C611" s="395"/>
      <c r="D611" s="349"/>
      <c r="E611" s="349"/>
      <c r="F611" s="349"/>
      <c r="G611" s="396"/>
      <c r="H611" s="349"/>
      <c r="I611" s="349"/>
      <c r="J611" s="349"/>
      <c r="K611" s="349"/>
      <c r="L611" s="349"/>
      <c r="M611" s="349"/>
      <c r="N611" s="349"/>
      <c r="O611" s="349"/>
      <c r="P611" s="349"/>
      <c r="Q611" s="349"/>
      <c r="R611" s="349"/>
      <c r="S611" s="349"/>
      <c r="T611" s="349"/>
      <c r="U611" s="349"/>
      <c r="V611" s="349"/>
      <c r="W611" s="349"/>
      <c r="X611" s="349"/>
      <c r="Y611" s="349"/>
      <c r="Z611" s="349"/>
    </row>
    <row r="612">
      <c r="A612" s="349"/>
      <c r="B612" s="349"/>
      <c r="C612" s="395"/>
      <c r="D612" s="349"/>
      <c r="E612" s="349"/>
      <c r="F612" s="349"/>
      <c r="G612" s="396"/>
      <c r="H612" s="349"/>
      <c r="I612" s="349"/>
      <c r="J612" s="349"/>
      <c r="K612" s="349"/>
      <c r="L612" s="349"/>
      <c r="M612" s="349"/>
      <c r="N612" s="349"/>
      <c r="O612" s="349"/>
      <c r="P612" s="349"/>
      <c r="Q612" s="349"/>
      <c r="R612" s="349"/>
      <c r="S612" s="349"/>
      <c r="T612" s="349"/>
      <c r="U612" s="349"/>
      <c r="V612" s="349"/>
      <c r="W612" s="349"/>
      <c r="X612" s="349"/>
      <c r="Y612" s="349"/>
      <c r="Z612" s="349"/>
    </row>
    <row r="613">
      <c r="A613" s="349"/>
      <c r="B613" s="349"/>
      <c r="C613" s="395"/>
      <c r="D613" s="349"/>
      <c r="E613" s="349"/>
      <c r="F613" s="349"/>
      <c r="G613" s="396"/>
      <c r="H613" s="349"/>
      <c r="I613" s="349"/>
      <c r="J613" s="349"/>
      <c r="K613" s="349"/>
      <c r="L613" s="349"/>
      <c r="M613" s="349"/>
      <c r="N613" s="349"/>
      <c r="O613" s="349"/>
      <c r="P613" s="349"/>
      <c r="Q613" s="349"/>
      <c r="R613" s="349"/>
      <c r="S613" s="349"/>
      <c r="T613" s="349"/>
      <c r="U613" s="349"/>
      <c r="V613" s="349"/>
      <c r="W613" s="349"/>
      <c r="X613" s="349"/>
      <c r="Y613" s="349"/>
      <c r="Z613" s="349"/>
    </row>
    <row r="614">
      <c r="A614" s="349"/>
      <c r="B614" s="349"/>
      <c r="C614" s="395"/>
      <c r="D614" s="349"/>
      <c r="E614" s="349"/>
      <c r="F614" s="349"/>
      <c r="G614" s="396"/>
      <c r="H614" s="349"/>
      <c r="I614" s="349"/>
      <c r="J614" s="349"/>
      <c r="K614" s="349"/>
      <c r="L614" s="349"/>
      <c r="M614" s="349"/>
      <c r="N614" s="349"/>
      <c r="O614" s="349"/>
      <c r="P614" s="349"/>
      <c r="Q614" s="349"/>
      <c r="R614" s="349"/>
      <c r="S614" s="349"/>
      <c r="T614" s="349"/>
      <c r="U614" s="349"/>
      <c r="V614" s="349"/>
      <c r="W614" s="349"/>
      <c r="X614" s="349"/>
      <c r="Y614" s="349"/>
      <c r="Z614" s="349"/>
    </row>
    <row r="615">
      <c r="A615" s="349"/>
      <c r="B615" s="349"/>
      <c r="C615" s="395"/>
      <c r="D615" s="349"/>
      <c r="E615" s="349"/>
      <c r="F615" s="349"/>
      <c r="G615" s="396"/>
      <c r="H615" s="349"/>
      <c r="I615" s="349"/>
      <c r="J615" s="349"/>
      <c r="K615" s="349"/>
      <c r="L615" s="349"/>
      <c r="M615" s="349"/>
      <c r="N615" s="349"/>
      <c r="O615" s="349"/>
      <c r="P615" s="349"/>
      <c r="Q615" s="349"/>
      <c r="R615" s="349"/>
      <c r="S615" s="349"/>
      <c r="T615" s="349"/>
      <c r="U615" s="349"/>
      <c r="V615" s="349"/>
      <c r="W615" s="349"/>
      <c r="X615" s="349"/>
      <c r="Y615" s="349"/>
      <c r="Z615" s="349"/>
    </row>
    <row r="616">
      <c r="A616" s="349"/>
      <c r="B616" s="349"/>
      <c r="C616" s="395"/>
      <c r="D616" s="349"/>
      <c r="E616" s="349"/>
      <c r="F616" s="349"/>
      <c r="G616" s="396"/>
      <c r="H616" s="349"/>
      <c r="I616" s="349"/>
      <c r="J616" s="349"/>
      <c r="K616" s="349"/>
      <c r="L616" s="349"/>
      <c r="M616" s="349"/>
      <c r="N616" s="349"/>
      <c r="O616" s="349"/>
      <c r="P616" s="349"/>
      <c r="Q616" s="349"/>
      <c r="R616" s="349"/>
      <c r="S616" s="349"/>
      <c r="T616" s="349"/>
      <c r="U616" s="349"/>
      <c r="V616" s="349"/>
      <c r="W616" s="349"/>
      <c r="X616" s="349"/>
      <c r="Y616" s="349"/>
      <c r="Z616" s="349"/>
    </row>
    <row r="617">
      <c r="A617" s="349"/>
      <c r="B617" s="349"/>
      <c r="C617" s="395"/>
      <c r="D617" s="349"/>
      <c r="E617" s="349"/>
      <c r="F617" s="349"/>
      <c r="G617" s="396"/>
      <c r="H617" s="349"/>
      <c r="I617" s="349"/>
      <c r="J617" s="349"/>
      <c r="K617" s="349"/>
      <c r="L617" s="349"/>
      <c r="M617" s="349"/>
      <c r="N617" s="349"/>
      <c r="O617" s="349"/>
      <c r="P617" s="349"/>
      <c r="Q617" s="349"/>
      <c r="R617" s="349"/>
      <c r="S617" s="349"/>
      <c r="T617" s="349"/>
      <c r="U617" s="349"/>
      <c r="V617" s="349"/>
      <c r="W617" s="349"/>
      <c r="X617" s="349"/>
      <c r="Y617" s="349"/>
      <c r="Z617" s="349"/>
    </row>
    <row r="618">
      <c r="A618" s="349"/>
      <c r="B618" s="349"/>
      <c r="C618" s="395"/>
      <c r="D618" s="349"/>
      <c r="E618" s="349"/>
      <c r="F618" s="349"/>
      <c r="G618" s="396"/>
      <c r="H618" s="349"/>
      <c r="I618" s="349"/>
      <c r="J618" s="349"/>
      <c r="K618" s="349"/>
      <c r="L618" s="349"/>
      <c r="M618" s="349"/>
      <c r="N618" s="349"/>
      <c r="O618" s="349"/>
      <c r="P618" s="349"/>
      <c r="Q618" s="349"/>
      <c r="R618" s="349"/>
      <c r="S618" s="349"/>
      <c r="T618" s="349"/>
      <c r="U618" s="349"/>
      <c r="V618" s="349"/>
      <c r="W618" s="349"/>
      <c r="X618" s="349"/>
      <c r="Y618" s="349"/>
      <c r="Z618" s="349"/>
    </row>
    <row r="619">
      <c r="A619" s="349"/>
      <c r="B619" s="349"/>
      <c r="C619" s="395"/>
      <c r="D619" s="349"/>
      <c r="E619" s="349"/>
      <c r="F619" s="349"/>
      <c r="G619" s="396"/>
      <c r="H619" s="349"/>
      <c r="I619" s="349"/>
      <c r="J619" s="349"/>
      <c r="K619" s="349"/>
      <c r="L619" s="349"/>
      <c r="M619" s="349"/>
      <c r="N619" s="349"/>
      <c r="O619" s="349"/>
      <c r="P619" s="349"/>
      <c r="Q619" s="349"/>
      <c r="R619" s="349"/>
      <c r="S619" s="349"/>
      <c r="T619" s="349"/>
      <c r="U619" s="349"/>
      <c r="V619" s="349"/>
      <c r="W619" s="349"/>
      <c r="X619" s="349"/>
      <c r="Y619" s="349"/>
      <c r="Z619" s="349"/>
    </row>
    <row r="620">
      <c r="A620" s="349"/>
      <c r="B620" s="349"/>
      <c r="C620" s="395"/>
      <c r="D620" s="349"/>
      <c r="E620" s="349"/>
      <c r="F620" s="349"/>
      <c r="G620" s="396"/>
      <c r="H620" s="349"/>
      <c r="I620" s="349"/>
      <c r="J620" s="349"/>
      <c r="K620" s="349"/>
      <c r="L620" s="349"/>
      <c r="M620" s="349"/>
      <c r="N620" s="349"/>
      <c r="O620" s="349"/>
      <c r="P620" s="349"/>
      <c r="Q620" s="349"/>
      <c r="R620" s="349"/>
      <c r="S620" s="349"/>
      <c r="T620" s="349"/>
      <c r="U620" s="349"/>
      <c r="V620" s="349"/>
      <c r="W620" s="349"/>
      <c r="X620" s="349"/>
      <c r="Y620" s="349"/>
      <c r="Z620" s="349"/>
    </row>
    <row r="621">
      <c r="A621" s="349"/>
      <c r="B621" s="349"/>
      <c r="C621" s="395"/>
      <c r="D621" s="349"/>
      <c r="E621" s="349"/>
      <c r="F621" s="349"/>
      <c r="G621" s="396"/>
      <c r="H621" s="349"/>
      <c r="I621" s="349"/>
      <c r="J621" s="349"/>
      <c r="K621" s="349"/>
      <c r="L621" s="349"/>
      <c r="M621" s="349"/>
      <c r="N621" s="349"/>
      <c r="O621" s="349"/>
      <c r="P621" s="349"/>
      <c r="Q621" s="349"/>
      <c r="R621" s="349"/>
      <c r="S621" s="349"/>
      <c r="T621" s="349"/>
      <c r="U621" s="349"/>
      <c r="V621" s="349"/>
      <c r="W621" s="349"/>
      <c r="X621" s="349"/>
      <c r="Y621" s="349"/>
      <c r="Z621" s="349"/>
    </row>
    <row r="622">
      <c r="A622" s="349"/>
      <c r="B622" s="349"/>
      <c r="C622" s="395"/>
      <c r="D622" s="349"/>
      <c r="E622" s="349"/>
      <c r="F622" s="349"/>
      <c r="G622" s="396"/>
      <c r="H622" s="349"/>
      <c r="I622" s="349"/>
      <c r="J622" s="349"/>
      <c r="K622" s="349"/>
      <c r="L622" s="349"/>
      <c r="M622" s="349"/>
      <c r="N622" s="349"/>
      <c r="O622" s="349"/>
      <c r="P622" s="349"/>
      <c r="Q622" s="349"/>
      <c r="R622" s="349"/>
      <c r="S622" s="349"/>
      <c r="T622" s="349"/>
      <c r="U622" s="349"/>
      <c r="V622" s="349"/>
      <c r="W622" s="349"/>
      <c r="X622" s="349"/>
      <c r="Y622" s="349"/>
      <c r="Z622" s="349"/>
    </row>
    <row r="623">
      <c r="A623" s="349"/>
      <c r="B623" s="349"/>
      <c r="C623" s="395"/>
      <c r="D623" s="349"/>
      <c r="E623" s="349"/>
      <c r="F623" s="349"/>
      <c r="G623" s="396"/>
      <c r="H623" s="349"/>
      <c r="I623" s="349"/>
      <c r="J623" s="349"/>
      <c r="K623" s="349"/>
      <c r="L623" s="349"/>
      <c r="M623" s="349"/>
      <c r="N623" s="349"/>
      <c r="O623" s="349"/>
      <c r="P623" s="349"/>
      <c r="Q623" s="349"/>
      <c r="R623" s="349"/>
      <c r="S623" s="349"/>
      <c r="T623" s="349"/>
      <c r="U623" s="349"/>
      <c r="V623" s="349"/>
      <c r="W623" s="349"/>
      <c r="X623" s="349"/>
      <c r="Y623" s="349"/>
      <c r="Z623" s="349"/>
    </row>
    <row r="624">
      <c r="A624" s="349"/>
      <c r="B624" s="349"/>
      <c r="C624" s="395"/>
      <c r="D624" s="349"/>
      <c r="E624" s="349"/>
      <c r="F624" s="349"/>
      <c r="G624" s="396"/>
      <c r="H624" s="349"/>
      <c r="I624" s="349"/>
      <c r="J624" s="349"/>
      <c r="K624" s="349"/>
      <c r="L624" s="349"/>
      <c r="M624" s="349"/>
      <c r="N624" s="349"/>
      <c r="O624" s="349"/>
      <c r="P624" s="349"/>
      <c r="Q624" s="349"/>
      <c r="R624" s="349"/>
      <c r="S624" s="349"/>
      <c r="T624" s="349"/>
      <c r="U624" s="349"/>
      <c r="V624" s="349"/>
      <c r="W624" s="349"/>
      <c r="X624" s="349"/>
      <c r="Y624" s="349"/>
      <c r="Z624" s="349"/>
    </row>
    <row r="625">
      <c r="A625" s="349"/>
      <c r="B625" s="349"/>
      <c r="C625" s="395"/>
      <c r="D625" s="349"/>
      <c r="E625" s="349"/>
      <c r="F625" s="349"/>
      <c r="G625" s="396"/>
      <c r="H625" s="349"/>
      <c r="I625" s="349"/>
      <c r="J625" s="349"/>
      <c r="K625" s="349"/>
      <c r="L625" s="349"/>
      <c r="M625" s="349"/>
      <c r="N625" s="349"/>
      <c r="O625" s="349"/>
      <c r="P625" s="349"/>
      <c r="Q625" s="349"/>
      <c r="R625" s="349"/>
      <c r="S625" s="349"/>
      <c r="T625" s="349"/>
      <c r="U625" s="349"/>
      <c r="V625" s="349"/>
      <c r="W625" s="349"/>
      <c r="X625" s="349"/>
      <c r="Y625" s="349"/>
      <c r="Z625" s="349"/>
    </row>
    <row r="626">
      <c r="A626" s="349"/>
      <c r="B626" s="349"/>
      <c r="C626" s="395"/>
      <c r="D626" s="349"/>
      <c r="E626" s="349"/>
      <c r="F626" s="349"/>
      <c r="G626" s="396"/>
      <c r="H626" s="349"/>
      <c r="I626" s="349"/>
      <c r="J626" s="349"/>
      <c r="K626" s="349"/>
      <c r="L626" s="349"/>
      <c r="M626" s="349"/>
      <c r="N626" s="349"/>
      <c r="O626" s="349"/>
      <c r="P626" s="349"/>
      <c r="Q626" s="349"/>
      <c r="R626" s="349"/>
      <c r="S626" s="349"/>
      <c r="T626" s="349"/>
      <c r="U626" s="349"/>
      <c r="V626" s="349"/>
      <c r="W626" s="349"/>
      <c r="X626" s="349"/>
      <c r="Y626" s="349"/>
      <c r="Z626" s="349"/>
    </row>
    <row r="627">
      <c r="A627" s="349"/>
      <c r="B627" s="349"/>
      <c r="C627" s="395"/>
      <c r="D627" s="349"/>
      <c r="E627" s="349"/>
      <c r="F627" s="349"/>
      <c r="G627" s="396"/>
      <c r="H627" s="349"/>
      <c r="I627" s="349"/>
      <c r="J627" s="349"/>
      <c r="K627" s="349"/>
      <c r="L627" s="349"/>
      <c r="M627" s="349"/>
      <c r="N627" s="349"/>
      <c r="O627" s="349"/>
      <c r="P627" s="349"/>
      <c r="Q627" s="349"/>
      <c r="R627" s="349"/>
      <c r="S627" s="349"/>
      <c r="T627" s="349"/>
      <c r="U627" s="349"/>
      <c r="V627" s="349"/>
      <c r="W627" s="349"/>
      <c r="X627" s="349"/>
      <c r="Y627" s="349"/>
      <c r="Z627" s="349"/>
    </row>
    <row r="628">
      <c r="A628" s="349"/>
      <c r="B628" s="349"/>
      <c r="C628" s="395"/>
      <c r="D628" s="349"/>
      <c r="E628" s="349"/>
      <c r="F628" s="349"/>
      <c r="G628" s="396"/>
      <c r="H628" s="349"/>
      <c r="I628" s="349"/>
      <c r="J628" s="349"/>
      <c r="K628" s="349"/>
      <c r="L628" s="349"/>
      <c r="M628" s="349"/>
      <c r="N628" s="349"/>
      <c r="O628" s="349"/>
      <c r="P628" s="349"/>
      <c r="Q628" s="349"/>
      <c r="R628" s="349"/>
      <c r="S628" s="349"/>
      <c r="T628" s="349"/>
      <c r="U628" s="349"/>
      <c r="V628" s="349"/>
      <c r="W628" s="349"/>
      <c r="X628" s="349"/>
      <c r="Y628" s="349"/>
      <c r="Z628" s="349"/>
    </row>
    <row r="629">
      <c r="A629" s="349"/>
      <c r="B629" s="349"/>
      <c r="C629" s="395"/>
      <c r="D629" s="349"/>
      <c r="E629" s="349"/>
      <c r="F629" s="349"/>
      <c r="G629" s="396"/>
      <c r="H629" s="349"/>
      <c r="I629" s="349"/>
      <c r="J629" s="349"/>
      <c r="K629" s="349"/>
      <c r="L629" s="349"/>
      <c r="M629" s="349"/>
      <c r="N629" s="349"/>
      <c r="O629" s="349"/>
      <c r="P629" s="349"/>
      <c r="Q629" s="349"/>
      <c r="R629" s="349"/>
      <c r="S629" s="349"/>
      <c r="T629" s="349"/>
      <c r="U629" s="349"/>
      <c r="V629" s="349"/>
      <c r="W629" s="349"/>
      <c r="X629" s="349"/>
      <c r="Y629" s="349"/>
      <c r="Z629" s="349"/>
    </row>
    <row r="630">
      <c r="A630" s="349"/>
      <c r="B630" s="349"/>
      <c r="C630" s="395"/>
      <c r="D630" s="349"/>
      <c r="E630" s="349"/>
      <c r="F630" s="349"/>
      <c r="G630" s="396"/>
      <c r="H630" s="349"/>
      <c r="I630" s="349"/>
      <c r="J630" s="349"/>
      <c r="K630" s="349"/>
      <c r="L630" s="349"/>
      <c r="M630" s="349"/>
      <c r="N630" s="349"/>
      <c r="O630" s="349"/>
      <c r="P630" s="349"/>
      <c r="Q630" s="349"/>
      <c r="R630" s="349"/>
      <c r="S630" s="349"/>
      <c r="T630" s="349"/>
      <c r="U630" s="349"/>
      <c r="V630" s="349"/>
      <c r="W630" s="349"/>
      <c r="X630" s="349"/>
      <c r="Y630" s="349"/>
      <c r="Z630" s="349"/>
    </row>
    <row r="631">
      <c r="A631" s="349"/>
      <c r="B631" s="349"/>
      <c r="C631" s="395"/>
      <c r="D631" s="349"/>
      <c r="E631" s="349"/>
      <c r="F631" s="349"/>
      <c r="G631" s="396"/>
      <c r="H631" s="349"/>
      <c r="I631" s="349"/>
      <c r="J631" s="349"/>
      <c r="K631" s="349"/>
      <c r="L631" s="349"/>
      <c r="M631" s="349"/>
      <c r="N631" s="349"/>
      <c r="O631" s="349"/>
      <c r="P631" s="349"/>
      <c r="Q631" s="349"/>
      <c r="R631" s="349"/>
      <c r="S631" s="349"/>
      <c r="T631" s="349"/>
      <c r="U631" s="349"/>
      <c r="V631" s="349"/>
      <c r="W631" s="349"/>
      <c r="X631" s="349"/>
      <c r="Y631" s="349"/>
      <c r="Z631" s="349"/>
    </row>
    <row r="632">
      <c r="A632" s="349"/>
      <c r="B632" s="349"/>
      <c r="C632" s="395"/>
      <c r="D632" s="349"/>
      <c r="E632" s="349"/>
      <c r="F632" s="349"/>
      <c r="G632" s="396"/>
      <c r="H632" s="349"/>
      <c r="I632" s="349"/>
      <c r="J632" s="349"/>
      <c r="K632" s="349"/>
      <c r="L632" s="349"/>
      <c r="M632" s="349"/>
      <c r="N632" s="349"/>
      <c r="O632" s="349"/>
      <c r="P632" s="349"/>
      <c r="Q632" s="349"/>
      <c r="R632" s="349"/>
      <c r="S632" s="349"/>
      <c r="T632" s="349"/>
      <c r="U632" s="349"/>
      <c r="V632" s="349"/>
      <c r="W632" s="349"/>
      <c r="X632" s="349"/>
      <c r="Y632" s="349"/>
      <c r="Z632" s="349"/>
    </row>
    <row r="633">
      <c r="A633" s="349"/>
      <c r="B633" s="349"/>
      <c r="C633" s="395"/>
      <c r="D633" s="349"/>
      <c r="E633" s="349"/>
      <c r="F633" s="349"/>
      <c r="G633" s="396"/>
      <c r="H633" s="349"/>
      <c r="I633" s="349"/>
      <c r="J633" s="349"/>
      <c r="K633" s="349"/>
      <c r="L633" s="349"/>
      <c r="M633" s="349"/>
      <c r="N633" s="349"/>
      <c r="O633" s="349"/>
      <c r="P633" s="349"/>
      <c r="Q633" s="349"/>
      <c r="R633" s="349"/>
      <c r="S633" s="349"/>
      <c r="T633" s="349"/>
      <c r="U633" s="349"/>
      <c r="V633" s="349"/>
      <c r="W633" s="349"/>
      <c r="X633" s="349"/>
      <c r="Y633" s="349"/>
      <c r="Z633" s="349"/>
    </row>
    <row r="634">
      <c r="A634" s="349"/>
      <c r="B634" s="349"/>
      <c r="C634" s="395"/>
      <c r="D634" s="349"/>
      <c r="E634" s="349"/>
      <c r="F634" s="349"/>
      <c r="G634" s="396"/>
      <c r="H634" s="349"/>
      <c r="I634" s="349"/>
      <c r="J634" s="349"/>
      <c r="K634" s="349"/>
      <c r="L634" s="349"/>
      <c r="M634" s="349"/>
      <c r="N634" s="349"/>
      <c r="O634" s="349"/>
      <c r="P634" s="349"/>
      <c r="Q634" s="349"/>
      <c r="R634" s="349"/>
      <c r="S634" s="349"/>
      <c r="T634" s="349"/>
      <c r="U634" s="349"/>
      <c r="V634" s="349"/>
      <c r="W634" s="349"/>
      <c r="X634" s="349"/>
      <c r="Y634" s="349"/>
      <c r="Z634" s="349"/>
    </row>
    <row r="635">
      <c r="A635" s="349"/>
      <c r="B635" s="349"/>
      <c r="C635" s="395"/>
      <c r="D635" s="349"/>
      <c r="E635" s="349"/>
      <c r="F635" s="349"/>
      <c r="G635" s="396"/>
      <c r="H635" s="349"/>
      <c r="I635" s="349"/>
      <c r="J635" s="349"/>
      <c r="K635" s="349"/>
      <c r="L635" s="349"/>
      <c r="M635" s="349"/>
      <c r="N635" s="349"/>
      <c r="O635" s="349"/>
      <c r="P635" s="349"/>
      <c r="Q635" s="349"/>
      <c r="R635" s="349"/>
      <c r="S635" s="349"/>
      <c r="T635" s="349"/>
      <c r="U635" s="349"/>
      <c r="V635" s="349"/>
      <c r="W635" s="349"/>
      <c r="X635" s="349"/>
      <c r="Y635" s="349"/>
      <c r="Z635" s="349"/>
    </row>
    <row r="636">
      <c r="A636" s="349"/>
      <c r="B636" s="349"/>
      <c r="C636" s="395"/>
      <c r="D636" s="349"/>
      <c r="E636" s="349"/>
      <c r="F636" s="349"/>
      <c r="G636" s="396"/>
      <c r="H636" s="349"/>
      <c r="I636" s="349"/>
      <c r="J636" s="349"/>
      <c r="K636" s="349"/>
      <c r="L636" s="349"/>
      <c r="M636" s="349"/>
      <c r="N636" s="349"/>
      <c r="O636" s="349"/>
      <c r="P636" s="349"/>
      <c r="Q636" s="349"/>
      <c r="R636" s="349"/>
      <c r="S636" s="349"/>
      <c r="T636" s="349"/>
      <c r="U636" s="349"/>
      <c r="V636" s="349"/>
      <c r="W636" s="349"/>
      <c r="X636" s="349"/>
      <c r="Y636" s="349"/>
      <c r="Z636" s="349"/>
    </row>
    <row r="637">
      <c r="A637" s="349"/>
      <c r="B637" s="349"/>
      <c r="C637" s="395"/>
      <c r="D637" s="349"/>
      <c r="E637" s="349"/>
      <c r="F637" s="349"/>
      <c r="G637" s="396"/>
      <c r="H637" s="349"/>
      <c r="I637" s="349"/>
      <c r="J637" s="349"/>
      <c r="K637" s="349"/>
      <c r="L637" s="349"/>
      <c r="M637" s="349"/>
      <c r="N637" s="349"/>
      <c r="O637" s="349"/>
      <c r="P637" s="349"/>
      <c r="Q637" s="349"/>
      <c r="R637" s="349"/>
      <c r="S637" s="349"/>
      <c r="T637" s="349"/>
      <c r="U637" s="349"/>
      <c r="V637" s="349"/>
      <c r="W637" s="349"/>
      <c r="X637" s="349"/>
      <c r="Y637" s="349"/>
      <c r="Z637" s="349"/>
    </row>
    <row r="638">
      <c r="A638" s="349"/>
      <c r="B638" s="349"/>
      <c r="C638" s="395"/>
      <c r="D638" s="349"/>
      <c r="E638" s="349"/>
      <c r="F638" s="349"/>
      <c r="G638" s="396"/>
      <c r="H638" s="349"/>
      <c r="I638" s="349"/>
      <c r="J638" s="349"/>
      <c r="K638" s="349"/>
      <c r="L638" s="349"/>
      <c r="M638" s="349"/>
      <c r="N638" s="349"/>
      <c r="O638" s="349"/>
      <c r="P638" s="349"/>
      <c r="Q638" s="349"/>
      <c r="R638" s="349"/>
      <c r="S638" s="349"/>
      <c r="T638" s="349"/>
      <c r="U638" s="349"/>
      <c r="V638" s="349"/>
      <c r="W638" s="349"/>
      <c r="X638" s="349"/>
      <c r="Y638" s="349"/>
      <c r="Z638" s="349"/>
    </row>
    <row r="639">
      <c r="A639" s="349"/>
      <c r="B639" s="349"/>
      <c r="C639" s="395"/>
      <c r="D639" s="349"/>
      <c r="E639" s="349"/>
      <c r="F639" s="349"/>
      <c r="G639" s="396"/>
      <c r="H639" s="349"/>
      <c r="I639" s="349"/>
      <c r="J639" s="349"/>
      <c r="K639" s="349"/>
      <c r="L639" s="349"/>
      <c r="M639" s="349"/>
      <c r="N639" s="349"/>
      <c r="O639" s="349"/>
      <c r="P639" s="349"/>
      <c r="Q639" s="349"/>
      <c r="R639" s="349"/>
      <c r="S639" s="349"/>
      <c r="T639" s="349"/>
      <c r="U639" s="349"/>
      <c r="V639" s="349"/>
      <c r="W639" s="349"/>
      <c r="X639" s="349"/>
      <c r="Y639" s="349"/>
      <c r="Z639" s="349"/>
    </row>
    <row r="640">
      <c r="A640" s="349"/>
      <c r="B640" s="349"/>
      <c r="C640" s="395"/>
      <c r="D640" s="349"/>
      <c r="E640" s="349"/>
      <c r="F640" s="349"/>
      <c r="G640" s="396"/>
      <c r="H640" s="349"/>
      <c r="I640" s="349"/>
      <c r="J640" s="349"/>
      <c r="K640" s="349"/>
      <c r="L640" s="349"/>
      <c r="M640" s="349"/>
      <c r="N640" s="349"/>
      <c r="O640" s="349"/>
      <c r="P640" s="349"/>
      <c r="Q640" s="349"/>
      <c r="R640" s="349"/>
      <c r="S640" s="349"/>
      <c r="T640" s="349"/>
      <c r="U640" s="349"/>
      <c r="V640" s="349"/>
      <c r="W640" s="349"/>
      <c r="X640" s="349"/>
      <c r="Y640" s="349"/>
      <c r="Z640" s="349"/>
    </row>
    <row r="641">
      <c r="A641" s="349"/>
      <c r="B641" s="349"/>
      <c r="C641" s="395"/>
      <c r="D641" s="349"/>
      <c r="E641" s="349"/>
      <c r="F641" s="349"/>
      <c r="G641" s="396"/>
      <c r="H641" s="349"/>
      <c r="I641" s="349"/>
      <c r="J641" s="349"/>
      <c r="K641" s="349"/>
      <c r="L641" s="349"/>
      <c r="M641" s="349"/>
      <c r="N641" s="349"/>
      <c r="O641" s="349"/>
      <c r="P641" s="349"/>
      <c r="Q641" s="349"/>
      <c r="R641" s="349"/>
      <c r="S641" s="349"/>
      <c r="T641" s="349"/>
      <c r="U641" s="349"/>
      <c r="V641" s="349"/>
      <c r="W641" s="349"/>
      <c r="X641" s="349"/>
      <c r="Y641" s="349"/>
      <c r="Z641" s="349"/>
    </row>
    <row r="642">
      <c r="A642" s="349"/>
      <c r="B642" s="349"/>
      <c r="C642" s="395"/>
      <c r="D642" s="349"/>
      <c r="E642" s="349"/>
      <c r="F642" s="349"/>
      <c r="G642" s="396"/>
      <c r="H642" s="349"/>
      <c r="I642" s="349"/>
      <c r="J642" s="349"/>
      <c r="K642" s="349"/>
      <c r="L642" s="349"/>
      <c r="M642" s="349"/>
      <c r="N642" s="349"/>
      <c r="O642" s="349"/>
      <c r="P642" s="349"/>
      <c r="Q642" s="349"/>
      <c r="R642" s="349"/>
      <c r="S642" s="349"/>
      <c r="T642" s="349"/>
      <c r="U642" s="349"/>
      <c r="V642" s="349"/>
      <c r="W642" s="349"/>
      <c r="X642" s="349"/>
      <c r="Y642" s="349"/>
      <c r="Z642" s="349"/>
    </row>
    <row r="643">
      <c r="A643" s="349"/>
      <c r="B643" s="349"/>
      <c r="C643" s="395"/>
      <c r="D643" s="349"/>
      <c r="E643" s="349"/>
      <c r="F643" s="349"/>
      <c r="G643" s="396"/>
      <c r="H643" s="349"/>
      <c r="I643" s="349"/>
      <c r="J643" s="349"/>
      <c r="K643" s="349"/>
      <c r="L643" s="349"/>
      <c r="M643" s="349"/>
      <c r="N643" s="349"/>
      <c r="O643" s="349"/>
      <c r="P643" s="349"/>
      <c r="Q643" s="349"/>
      <c r="R643" s="349"/>
      <c r="S643" s="349"/>
      <c r="T643" s="349"/>
      <c r="U643" s="349"/>
      <c r="V643" s="349"/>
      <c r="W643" s="349"/>
      <c r="X643" s="349"/>
      <c r="Y643" s="349"/>
      <c r="Z643" s="349"/>
    </row>
    <row r="644">
      <c r="A644" s="349"/>
      <c r="B644" s="349"/>
      <c r="C644" s="395"/>
      <c r="D644" s="349"/>
      <c r="E644" s="349"/>
      <c r="F644" s="349"/>
      <c r="G644" s="396"/>
      <c r="H644" s="349"/>
      <c r="I644" s="349"/>
      <c r="J644" s="349"/>
      <c r="K644" s="349"/>
      <c r="L644" s="349"/>
      <c r="M644" s="349"/>
      <c r="N644" s="349"/>
      <c r="O644" s="349"/>
      <c r="P644" s="349"/>
      <c r="Q644" s="349"/>
      <c r="R644" s="349"/>
      <c r="S644" s="349"/>
      <c r="T644" s="349"/>
      <c r="U644" s="349"/>
      <c r="V644" s="349"/>
      <c r="W644" s="349"/>
      <c r="X644" s="349"/>
      <c r="Y644" s="349"/>
      <c r="Z644" s="349"/>
    </row>
    <row r="645">
      <c r="A645" s="349"/>
      <c r="B645" s="349"/>
      <c r="C645" s="395"/>
      <c r="D645" s="349"/>
      <c r="E645" s="349"/>
      <c r="F645" s="349"/>
      <c r="G645" s="396"/>
      <c r="H645" s="349"/>
      <c r="I645" s="349"/>
      <c r="J645" s="349"/>
      <c r="K645" s="349"/>
      <c r="L645" s="349"/>
      <c r="M645" s="349"/>
      <c r="N645" s="349"/>
      <c r="O645" s="349"/>
      <c r="P645" s="349"/>
      <c r="Q645" s="349"/>
      <c r="R645" s="349"/>
      <c r="S645" s="349"/>
      <c r="T645" s="349"/>
      <c r="U645" s="349"/>
      <c r="V645" s="349"/>
      <c r="W645" s="349"/>
      <c r="X645" s="349"/>
      <c r="Y645" s="349"/>
      <c r="Z645" s="349"/>
    </row>
    <row r="646">
      <c r="A646" s="349"/>
      <c r="B646" s="349"/>
      <c r="C646" s="395"/>
      <c r="D646" s="349"/>
      <c r="E646" s="349"/>
      <c r="F646" s="349"/>
      <c r="G646" s="396"/>
      <c r="H646" s="349"/>
      <c r="I646" s="349"/>
      <c r="J646" s="349"/>
      <c r="K646" s="349"/>
      <c r="L646" s="349"/>
      <c r="M646" s="349"/>
      <c r="N646" s="349"/>
      <c r="O646" s="349"/>
      <c r="P646" s="349"/>
      <c r="Q646" s="349"/>
      <c r="R646" s="349"/>
      <c r="S646" s="349"/>
      <c r="T646" s="349"/>
      <c r="U646" s="349"/>
      <c r="V646" s="349"/>
      <c r="W646" s="349"/>
      <c r="X646" s="349"/>
      <c r="Y646" s="349"/>
      <c r="Z646" s="349"/>
    </row>
    <row r="647">
      <c r="A647" s="349"/>
      <c r="B647" s="349"/>
      <c r="C647" s="395"/>
      <c r="D647" s="349"/>
      <c r="E647" s="349"/>
      <c r="F647" s="349"/>
      <c r="G647" s="396"/>
      <c r="H647" s="349"/>
      <c r="I647" s="349"/>
      <c r="J647" s="349"/>
      <c r="K647" s="349"/>
      <c r="L647" s="349"/>
      <c r="M647" s="349"/>
      <c r="N647" s="349"/>
      <c r="O647" s="349"/>
      <c r="P647" s="349"/>
      <c r="Q647" s="349"/>
      <c r="R647" s="349"/>
      <c r="S647" s="349"/>
      <c r="T647" s="349"/>
      <c r="U647" s="349"/>
      <c r="V647" s="349"/>
      <c r="W647" s="349"/>
      <c r="X647" s="349"/>
      <c r="Y647" s="349"/>
      <c r="Z647" s="349"/>
    </row>
    <row r="648">
      <c r="A648" s="349"/>
      <c r="B648" s="349"/>
      <c r="C648" s="395"/>
      <c r="D648" s="349"/>
      <c r="E648" s="349"/>
      <c r="F648" s="349"/>
      <c r="G648" s="396"/>
      <c r="H648" s="349"/>
      <c r="I648" s="349"/>
      <c r="J648" s="349"/>
      <c r="K648" s="349"/>
      <c r="L648" s="349"/>
      <c r="M648" s="349"/>
      <c r="N648" s="349"/>
      <c r="O648" s="349"/>
      <c r="P648" s="349"/>
      <c r="Q648" s="349"/>
      <c r="R648" s="349"/>
      <c r="S648" s="349"/>
      <c r="T648" s="349"/>
      <c r="U648" s="349"/>
      <c r="V648" s="349"/>
      <c r="W648" s="349"/>
      <c r="X648" s="349"/>
      <c r="Y648" s="349"/>
      <c r="Z648" s="349"/>
    </row>
    <row r="649">
      <c r="A649" s="349"/>
      <c r="B649" s="349"/>
      <c r="C649" s="395"/>
      <c r="D649" s="349"/>
      <c r="E649" s="349"/>
      <c r="F649" s="349"/>
      <c r="G649" s="396"/>
      <c r="H649" s="349"/>
      <c r="I649" s="349"/>
      <c r="J649" s="349"/>
      <c r="K649" s="349"/>
      <c r="L649" s="349"/>
      <c r="M649" s="349"/>
      <c r="N649" s="349"/>
      <c r="O649" s="349"/>
      <c r="P649" s="349"/>
      <c r="Q649" s="349"/>
      <c r="R649" s="349"/>
      <c r="S649" s="349"/>
      <c r="T649" s="349"/>
      <c r="U649" s="349"/>
      <c r="V649" s="349"/>
      <c r="W649" s="349"/>
      <c r="X649" s="349"/>
      <c r="Y649" s="349"/>
      <c r="Z649" s="349"/>
    </row>
    <row r="650">
      <c r="A650" s="349"/>
      <c r="B650" s="349"/>
      <c r="C650" s="395"/>
      <c r="D650" s="349"/>
      <c r="E650" s="349"/>
      <c r="F650" s="349"/>
      <c r="G650" s="396"/>
      <c r="H650" s="349"/>
      <c r="I650" s="349"/>
      <c r="J650" s="349"/>
      <c r="K650" s="349"/>
      <c r="L650" s="349"/>
      <c r="M650" s="349"/>
      <c r="N650" s="349"/>
      <c r="O650" s="349"/>
      <c r="P650" s="349"/>
      <c r="Q650" s="349"/>
      <c r="R650" s="349"/>
      <c r="S650" s="349"/>
      <c r="T650" s="349"/>
      <c r="U650" s="349"/>
      <c r="V650" s="349"/>
      <c r="W650" s="349"/>
      <c r="X650" s="349"/>
      <c r="Y650" s="349"/>
      <c r="Z650" s="349"/>
    </row>
    <row r="651">
      <c r="A651" s="349"/>
      <c r="B651" s="349"/>
      <c r="C651" s="395"/>
      <c r="D651" s="349"/>
      <c r="E651" s="349"/>
      <c r="F651" s="349"/>
      <c r="G651" s="396"/>
      <c r="H651" s="349"/>
      <c r="I651" s="349"/>
      <c r="J651" s="349"/>
      <c r="K651" s="349"/>
      <c r="L651" s="349"/>
      <c r="M651" s="349"/>
      <c r="N651" s="349"/>
      <c r="O651" s="349"/>
      <c r="P651" s="349"/>
      <c r="Q651" s="349"/>
      <c r="R651" s="349"/>
      <c r="S651" s="349"/>
      <c r="T651" s="349"/>
      <c r="U651" s="349"/>
      <c r="V651" s="349"/>
      <c r="W651" s="349"/>
      <c r="X651" s="349"/>
      <c r="Y651" s="349"/>
      <c r="Z651" s="349"/>
    </row>
    <row r="652">
      <c r="A652" s="349"/>
      <c r="B652" s="349"/>
      <c r="C652" s="395"/>
      <c r="D652" s="349"/>
      <c r="E652" s="349"/>
      <c r="F652" s="349"/>
      <c r="G652" s="396"/>
      <c r="H652" s="349"/>
      <c r="I652" s="349"/>
      <c r="J652" s="349"/>
      <c r="K652" s="349"/>
      <c r="L652" s="349"/>
      <c r="M652" s="349"/>
      <c r="N652" s="349"/>
      <c r="O652" s="349"/>
      <c r="P652" s="349"/>
      <c r="Q652" s="349"/>
      <c r="R652" s="349"/>
      <c r="S652" s="349"/>
      <c r="T652" s="349"/>
      <c r="U652" s="349"/>
      <c r="V652" s="349"/>
      <c r="W652" s="349"/>
      <c r="X652" s="349"/>
      <c r="Y652" s="349"/>
      <c r="Z652" s="349"/>
    </row>
    <row r="653">
      <c r="A653" s="349"/>
      <c r="B653" s="349"/>
      <c r="C653" s="395"/>
      <c r="D653" s="349"/>
      <c r="E653" s="349"/>
      <c r="F653" s="349"/>
      <c r="G653" s="396"/>
      <c r="H653" s="349"/>
      <c r="I653" s="349"/>
      <c r="J653" s="349"/>
      <c r="K653" s="349"/>
      <c r="L653" s="349"/>
      <c r="M653" s="349"/>
      <c r="N653" s="349"/>
      <c r="O653" s="349"/>
      <c r="P653" s="349"/>
      <c r="Q653" s="349"/>
      <c r="R653" s="349"/>
      <c r="S653" s="349"/>
      <c r="T653" s="349"/>
      <c r="U653" s="349"/>
      <c r="V653" s="349"/>
      <c r="W653" s="349"/>
      <c r="X653" s="349"/>
      <c r="Y653" s="349"/>
      <c r="Z653" s="349"/>
    </row>
    <row r="654">
      <c r="A654" s="349"/>
      <c r="B654" s="349"/>
      <c r="C654" s="395"/>
      <c r="D654" s="349"/>
      <c r="E654" s="349"/>
      <c r="F654" s="349"/>
      <c r="G654" s="396"/>
      <c r="H654" s="349"/>
      <c r="I654" s="349"/>
      <c r="J654" s="349"/>
      <c r="K654" s="349"/>
      <c r="L654" s="349"/>
      <c r="M654" s="349"/>
      <c r="N654" s="349"/>
      <c r="O654" s="349"/>
      <c r="P654" s="349"/>
      <c r="Q654" s="349"/>
      <c r="R654" s="349"/>
      <c r="S654" s="349"/>
      <c r="T654" s="349"/>
      <c r="U654" s="349"/>
      <c r="V654" s="349"/>
      <c r="W654" s="349"/>
      <c r="X654" s="349"/>
      <c r="Y654" s="349"/>
      <c r="Z654" s="349"/>
    </row>
    <row r="655">
      <c r="A655" s="349"/>
      <c r="B655" s="349"/>
      <c r="C655" s="395"/>
      <c r="D655" s="349"/>
      <c r="E655" s="349"/>
      <c r="F655" s="349"/>
      <c r="G655" s="396"/>
      <c r="H655" s="349"/>
      <c r="I655" s="349"/>
      <c r="J655" s="349"/>
      <c r="K655" s="349"/>
      <c r="L655" s="349"/>
      <c r="M655" s="349"/>
      <c r="N655" s="349"/>
      <c r="O655" s="349"/>
      <c r="P655" s="349"/>
      <c r="Q655" s="349"/>
      <c r="R655" s="349"/>
      <c r="S655" s="349"/>
      <c r="T655" s="349"/>
      <c r="U655" s="349"/>
      <c r="V655" s="349"/>
      <c r="W655" s="349"/>
      <c r="X655" s="349"/>
      <c r="Y655" s="349"/>
      <c r="Z655" s="349"/>
    </row>
    <row r="656">
      <c r="A656" s="349"/>
      <c r="B656" s="349"/>
      <c r="C656" s="395"/>
      <c r="D656" s="349"/>
      <c r="E656" s="349"/>
      <c r="F656" s="349"/>
      <c r="G656" s="396"/>
      <c r="H656" s="349"/>
      <c r="I656" s="349"/>
      <c r="J656" s="349"/>
      <c r="K656" s="349"/>
      <c r="L656" s="349"/>
      <c r="M656" s="349"/>
      <c r="N656" s="349"/>
      <c r="O656" s="349"/>
      <c r="P656" s="349"/>
      <c r="Q656" s="349"/>
      <c r="R656" s="349"/>
      <c r="S656" s="349"/>
      <c r="T656" s="349"/>
      <c r="U656" s="349"/>
      <c r="V656" s="349"/>
      <c r="W656" s="349"/>
      <c r="X656" s="349"/>
      <c r="Y656" s="349"/>
      <c r="Z656" s="349"/>
    </row>
    <row r="657">
      <c r="A657" s="349"/>
      <c r="B657" s="349"/>
      <c r="C657" s="395"/>
      <c r="D657" s="349"/>
      <c r="E657" s="349"/>
      <c r="F657" s="349"/>
      <c r="G657" s="396"/>
      <c r="H657" s="349"/>
      <c r="I657" s="349"/>
      <c r="J657" s="349"/>
      <c r="K657" s="349"/>
      <c r="L657" s="349"/>
      <c r="M657" s="349"/>
      <c r="N657" s="349"/>
      <c r="O657" s="349"/>
      <c r="P657" s="349"/>
      <c r="Q657" s="349"/>
      <c r="R657" s="349"/>
      <c r="S657" s="349"/>
      <c r="T657" s="349"/>
      <c r="U657" s="349"/>
      <c r="V657" s="349"/>
      <c r="W657" s="349"/>
      <c r="X657" s="349"/>
      <c r="Y657" s="349"/>
      <c r="Z657" s="349"/>
    </row>
    <row r="658">
      <c r="A658" s="349"/>
      <c r="B658" s="349"/>
      <c r="C658" s="395"/>
      <c r="D658" s="349"/>
      <c r="E658" s="349"/>
      <c r="F658" s="349"/>
      <c r="G658" s="396"/>
      <c r="H658" s="349"/>
      <c r="I658" s="349"/>
      <c r="J658" s="349"/>
      <c r="K658" s="349"/>
      <c r="L658" s="349"/>
      <c r="M658" s="349"/>
      <c r="N658" s="349"/>
      <c r="O658" s="349"/>
      <c r="P658" s="349"/>
      <c r="Q658" s="349"/>
      <c r="R658" s="349"/>
      <c r="S658" s="349"/>
      <c r="T658" s="349"/>
      <c r="U658" s="349"/>
      <c r="V658" s="349"/>
      <c r="W658" s="349"/>
      <c r="X658" s="349"/>
      <c r="Y658" s="349"/>
      <c r="Z658" s="349"/>
    </row>
    <row r="659">
      <c r="A659" s="349"/>
      <c r="B659" s="349"/>
      <c r="C659" s="395"/>
      <c r="D659" s="349"/>
      <c r="E659" s="349"/>
      <c r="F659" s="349"/>
      <c r="G659" s="396"/>
      <c r="H659" s="349"/>
      <c r="I659" s="349"/>
      <c r="J659" s="349"/>
      <c r="K659" s="349"/>
      <c r="L659" s="349"/>
      <c r="M659" s="349"/>
      <c r="N659" s="349"/>
      <c r="O659" s="349"/>
      <c r="P659" s="349"/>
      <c r="Q659" s="349"/>
      <c r="R659" s="349"/>
      <c r="S659" s="349"/>
      <c r="T659" s="349"/>
      <c r="U659" s="349"/>
      <c r="V659" s="349"/>
      <c r="W659" s="349"/>
      <c r="X659" s="349"/>
      <c r="Y659" s="349"/>
      <c r="Z659" s="349"/>
    </row>
    <row r="660">
      <c r="A660" s="349"/>
      <c r="B660" s="349"/>
      <c r="C660" s="395"/>
      <c r="D660" s="349"/>
      <c r="E660" s="349"/>
      <c r="F660" s="349"/>
      <c r="G660" s="396"/>
      <c r="H660" s="349"/>
      <c r="I660" s="349"/>
      <c r="J660" s="349"/>
      <c r="K660" s="349"/>
      <c r="L660" s="349"/>
      <c r="M660" s="349"/>
      <c r="N660" s="349"/>
      <c r="O660" s="349"/>
      <c r="P660" s="349"/>
      <c r="Q660" s="349"/>
      <c r="R660" s="349"/>
      <c r="S660" s="349"/>
      <c r="T660" s="349"/>
      <c r="U660" s="349"/>
      <c r="V660" s="349"/>
      <c r="W660" s="349"/>
      <c r="X660" s="349"/>
      <c r="Y660" s="349"/>
      <c r="Z660" s="349"/>
    </row>
    <row r="661">
      <c r="A661" s="349"/>
      <c r="B661" s="349"/>
      <c r="C661" s="395"/>
      <c r="D661" s="349"/>
      <c r="E661" s="349"/>
      <c r="F661" s="349"/>
      <c r="G661" s="396"/>
      <c r="H661" s="349"/>
      <c r="I661" s="349"/>
      <c r="J661" s="349"/>
      <c r="K661" s="349"/>
      <c r="L661" s="349"/>
      <c r="M661" s="349"/>
      <c r="N661" s="349"/>
      <c r="O661" s="349"/>
      <c r="P661" s="349"/>
      <c r="Q661" s="349"/>
      <c r="R661" s="349"/>
      <c r="S661" s="349"/>
      <c r="T661" s="349"/>
      <c r="U661" s="349"/>
      <c r="V661" s="349"/>
      <c r="W661" s="349"/>
      <c r="X661" s="349"/>
      <c r="Y661" s="349"/>
      <c r="Z661" s="349"/>
    </row>
    <row r="662">
      <c r="A662" s="349"/>
      <c r="B662" s="349"/>
      <c r="C662" s="395"/>
      <c r="D662" s="349"/>
      <c r="E662" s="349"/>
      <c r="F662" s="349"/>
      <c r="G662" s="396"/>
      <c r="H662" s="349"/>
      <c r="I662" s="349"/>
      <c r="J662" s="349"/>
      <c r="K662" s="349"/>
      <c r="L662" s="349"/>
      <c r="M662" s="349"/>
      <c r="N662" s="349"/>
      <c r="O662" s="349"/>
      <c r="P662" s="349"/>
      <c r="Q662" s="349"/>
      <c r="R662" s="349"/>
      <c r="S662" s="349"/>
      <c r="T662" s="349"/>
      <c r="U662" s="349"/>
      <c r="V662" s="349"/>
      <c r="W662" s="349"/>
      <c r="X662" s="349"/>
      <c r="Y662" s="349"/>
      <c r="Z662" s="349"/>
    </row>
    <row r="663">
      <c r="A663" s="349"/>
      <c r="B663" s="349"/>
      <c r="C663" s="395"/>
      <c r="D663" s="349"/>
      <c r="E663" s="349"/>
      <c r="F663" s="349"/>
      <c r="G663" s="396"/>
      <c r="H663" s="349"/>
      <c r="I663" s="349"/>
      <c r="J663" s="349"/>
      <c r="K663" s="349"/>
      <c r="L663" s="349"/>
      <c r="M663" s="349"/>
      <c r="N663" s="349"/>
      <c r="O663" s="349"/>
      <c r="P663" s="349"/>
      <c r="Q663" s="349"/>
      <c r="R663" s="349"/>
      <c r="S663" s="349"/>
      <c r="T663" s="349"/>
      <c r="U663" s="349"/>
      <c r="V663" s="349"/>
      <c r="W663" s="349"/>
      <c r="X663" s="349"/>
      <c r="Y663" s="349"/>
      <c r="Z663" s="349"/>
    </row>
    <row r="664">
      <c r="A664" s="349"/>
      <c r="B664" s="349"/>
      <c r="C664" s="395"/>
      <c r="D664" s="349"/>
      <c r="E664" s="349"/>
      <c r="F664" s="349"/>
      <c r="G664" s="396"/>
      <c r="H664" s="349"/>
      <c r="I664" s="349"/>
      <c r="J664" s="349"/>
      <c r="K664" s="349"/>
      <c r="L664" s="349"/>
      <c r="M664" s="349"/>
      <c r="N664" s="349"/>
      <c r="O664" s="349"/>
      <c r="P664" s="349"/>
      <c r="Q664" s="349"/>
      <c r="R664" s="349"/>
      <c r="S664" s="349"/>
      <c r="T664" s="349"/>
      <c r="U664" s="349"/>
      <c r="V664" s="349"/>
      <c r="W664" s="349"/>
      <c r="X664" s="349"/>
      <c r="Y664" s="349"/>
      <c r="Z664" s="349"/>
    </row>
    <row r="665">
      <c r="A665" s="349"/>
      <c r="B665" s="349"/>
      <c r="C665" s="395"/>
      <c r="D665" s="349"/>
      <c r="E665" s="349"/>
      <c r="F665" s="349"/>
      <c r="G665" s="396"/>
      <c r="H665" s="349"/>
      <c r="I665" s="349"/>
      <c r="J665" s="349"/>
      <c r="K665" s="349"/>
      <c r="L665" s="349"/>
      <c r="M665" s="349"/>
      <c r="N665" s="349"/>
      <c r="O665" s="349"/>
      <c r="P665" s="349"/>
      <c r="Q665" s="349"/>
      <c r="R665" s="349"/>
      <c r="S665" s="349"/>
      <c r="T665" s="349"/>
      <c r="U665" s="349"/>
      <c r="V665" s="349"/>
      <c r="W665" s="349"/>
      <c r="X665" s="349"/>
      <c r="Y665" s="349"/>
      <c r="Z665" s="349"/>
    </row>
    <row r="666">
      <c r="A666" s="349"/>
      <c r="B666" s="349"/>
      <c r="C666" s="395"/>
      <c r="D666" s="349"/>
      <c r="E666" s="349"/>
      <c r="F666" s="349"/>
      <c r="G666" s="396"/>
      <c r="H666" s="349"/>
      <c r="I666" s="349"/>
      <c r="J666" s="349"/>
      <c r="K666" s="349"/>
      <c r="L666" s="349"/>
      <c r="M666" s="349"/>
      <c r="N666" s="349"/>
      <c r="O666" s="349"/>
      <c r="P666" s="349"/>
      <c r="Q666" s="349"/>
      <c r="R666" s="349"/>
      <c r="S666" s="349"/>
      <c r="T666" s="349"/>
      <c r="U666" s="349"/>
      <c r="V666" s="349"/>
      <c r="W666" s="349"/>
      <c r="X666" s="349"/>
      <c r="Y666" s="349"/>
      <c r="Z666" s="349"/>
    </row>
    <row r="667">
      <c r="A667" s="349"/>
      <c r="B667" s="349"/>
      <c r="C667" s="395"/>
      <c r="D667" s="349"/>
      <c r="E667" s="349"/>
      <c r="F667" s="349"/>
      <c r="G667" s="396"/>
      <c r="H667" s="349"/>
      <c r="I667" s="349"/>
      <c r="J667" s="349"/>
      <c r="K667" s="349"/>
      <c r="L667" s="349"/>
      <c r="M667" s="349"/>
      <c r="N667" s="349"/>
      <c r="O667" s="349"/>
      <c r="P667" s="349"/>
      <c r="Q667" s="349"/>
      <c r="R667" s="349"/>
      <c r="S667" s="349"/>
      <c r="T667" s="349"/>
      <c r="U667" s="349"/>
      <c r="V667" s="349"/>
      <c r="W667" s="349"/>
      <c r="X667" s="349"/>
      <c r="Y667" s="349"/>
      <c r="Z667" s="349"/>
    </row>
    <row r="668">
      <c r="A668" s="349"/>
      <c r="B668" s="349"/>
      <c r="C668" s="395"/>
      <c r="D668" s="349"/>
      <c r="E668" s="349"/>
      <c r="F668" s="349"/>
      <c r="G668" s="396"/>
      <c r="H668" s="349"/>
      <c r="I668" s="349"/>
      <c r="J668" s="349"/>
      <c r="K668" s="349"/>
      <c r="L668" s="349"/>
      <c r="M668" s="349"/>
      <c r="N668" s="349"/>
      <c r="O668" s="349"/>
      <c r="P668" s="349"/>
      <c r="Q668" s="349"/>
      <c r="R668" s="349"/>
      <c r="S668" s="349"/>
      <c r="T668" s="349"/>
      <c r="U668" s="349"/>
      <c r="V668" s="349"/>
      <c r="W668" s="349"/>
      <c r="X668" s="349"/>
      <c r="Y668" s="349"/>
      <c r="Z668" s="349"/>
    </row>
    <row r="669">
      <c r="A669" s="349"/>
      <c r="B669" s="349"/>
      <c r="C669" s="395"/>
      <c r="D669" s="349"/>
      <c r="E669" s="349"/>
      <c r="F669" s="349"/>
      <c r="G669" s="396"/>
      <c r="H669" s="349"/>
      <c r="I669" s="349"/>
      <c r="J669" s="349"/>
      <c r="K669" s="349"/>
      <c r="L669" s="349"/>
      <c r="M669" s="349"/>
      <c r="N669" s="349"/>
      <c r="O669" s="349"/>
      <c r="P669" s="349"/>
      <c r="Q669" s="349"/>
      <c r="R669" s="349"/>
      <c r="S669" s="349"/>
      <c r="T669" s="349"/>
      <c r="U669" s="349"/>
      <c r="V669" s="349"/>
      <c r="W669" s="349"/>
      <c r="X669" s="349"/>
      <c r="Y669" s="349"/>
      <c r="Z669" s="349"/>
    </row>
    <row r="670">
      <c r="A670" s="349"/>
      <c r="B670" s="349"/>
      <c r="C670" s="395"/>
      <c r="D670" s="349"/>
      <c r="E670" s="349"/>
      <c r="F670" s="349"/>
      <c r="G670" s="396"/>
      <c r="H670" s="349"/>
      <c r="I670" s="349"/>
      <c r="J670" s="349"/>
      <c r="K670" s="349"/>
      <c r="L670" s="349"/>
      <c r="M670" s="349"/>
      <c r="N670" s="349"/>
      <c r="O670" s="349"/>
      <c r="P670" s="349"/>
      <c r="Q670" s="349"/>
      <c r="R670" s="349"/>
      <c r="S670" s="349"/>
      <c r="T670" s="349"/>
      <c r="U670" s="349"/>
      <c r="V670" s="349"/>
      <c r="W670" s="349"/>
      <c r="X670" s="349"/>
      <c r="Y670" s="349"/>
      <c r="Z670" s="349"/>
    </row>
    <row r="671">
      <c r="A671" s="349"/>
      <c r="B671" s="349"/>
      <c r="C671" s="395"/>
      <c r="D671" s="349"/>
      <c r="E671" s="349"/>
      <c r="F671" s="349"/>
      <c r="G671" s="396"/>
      <c r="H671" s="349"/>
      <c r="I671" s="349"/>
      <c r="J671" s="349"/>
      <c r="K671" s="349"/>
      <c r="L671" s="349"/>
      <c r="M671" s="349"/>
      <c r="N671" s="349"/>
      <c r="O671" s="349"/>
      <c r="P671" s="349"/>
      <c r="Q671" s="349"/>
      <c r="R671" s="349"/>
      <c r="S671" s="349"/>
      <c r="T671" s="349"/>
      <c r="U671" s="349"/>
      <c r="V671" s="349"/>
      <c r="W671" s="349"/>
      <c r="X671" s="349"/>
      <c r="Y671" s="349"/>
      <c r="Z671" s="349"/>
    </row>
    <row r="672">
      <c r="A672" s="349"/>
      <c r="B672" s="349"/>
      <c r="C672" s="395"/>
      <c r="D672" s="349"/>
      <c r="E672" s="349"/>
      <c r="F672" s="349"/>
      <c r="G672" s="396"/>
      <c r="H672" s="349"/>
      <c r="I672" s="349"/>
      <c r="J672" s="349"/>
      <c r="K672" s="349"/>
      <c r="L672" s="349"/>
      <c r="M672" s="349"/>
      <c r="N672" s="349"/>
      <c r="O672" s="349"/>
      <c r="P672" s="349"/>
      <c r="Q672" s="349"/>
      <c r="R672" s="349"/>
      <c r="S672" s="349"/>
      <c r="T672" s="349"/>
      <c r="U672" s="349"/>
      <c r="V672" s="349"/>
      <c r="W672" s="349"/>
      <c r="X672" s="349"/>
      <c r="Y672" s="349"/>
      <c r="Z672" s="349"/>
    </row>
    <row r="673">
      <c r="A673" s="349"/>
      <c r="B673" s="349"/>
      <c r="C673" s="395"/>
      <c r="D673" s="349"/>
      <c r="E673" s="349"/>
      <c r="F673" s="349"/>
      <c r="G673" s="396"/>
      <c r="H673" s="349"/>
      <c r="I673" s="349"/>
      <c r="J673" s="349"/>
      <c r="K673" s="349"/>
      <c r="L673" s="349"/>
      <c r="M673" s="349"/>
      <c r="N673" s="349"/>
      <c r="O673" s="349"/>
      <c r="P673" s="349"/>
      <c r="Q673" s="349"/>
      <c r="R673" s="349"/>
      <c r="S673" s="349"/>
      <c r="T673" s="349"/>
      <c r="U673" s="349"/>
      <c r="V673" s="349"/>
      <c r="W673" s="349"/>
      <c r="X673" s="349"/>
      <c r="Y673" s="349"/>
      <c r="Z673" s="349"/>
    </row>
    <row r="674">
      <c r="A674" s="349"/>
      <c r="B674" s="349"/>
      <c r="C674" s="395"/>
      <c r="D674" s="349"/>
      <c r="E674" s="349"/>
      <c r="F674" s="349"/>
      <c r="G674" s="396"/>
      <c r="H674" s="349"/>
      <c r="I674" s="349"/>
      <c r="J674" s="349"/>
      <c r="K674" s="349"/>
      <c r="L674" s="349"/>
      <c r="M674" s="349"/>
      <c r="N674" s="349"/>
      <c r="O674" s="349"/>
      <c r="P674" s="349"/>
      <c r="Q674" s="349"/>
      <c r="R674" s="349"/>
      <c r="S674" s="349"/>
      <c r="T674" s="349"/>
      <c r="U674" s="349"/>
      <c r="V674" s="349"/>
      <c r="W674" s="349"/>
      <c r="X674" s="349"/>
      <c r="Y674" s="349"/>
      <c r="Z674" s="349"/>
    </row>
    <row r="675">
      <c r="A675" s="349"/>
      <c r="B675" s="349"/>
      <c r="C675" s="395"/>
      <c r="D675" s="349"/>
      <c r="E675" s="349"/>
      <c r="F675" s="349"/>
      <c r="G675" s="396"/>
      <c r="H675" s="349"/>
      <c r="I675" s="349"/>
      <c r="J675" s="349"/>
      <c r="K675" s="349"/>
      <c r="L675" s="349"/>
      <c r="M675" s="349"/>
      <c r="N675" s="349"/>
      <c r="O675" s="349"/>
      <c r="P675" s="349"/>
      <c r="Q675" s="349"/>
      <c r="R675" s="349"/>
      <c r="S675" s="349"/>
      <c r="T675" s="349"/>
      <c r="U675" s="349"/>
      <c r="V675" s="349"/>
      <c r="W675" s="349"/>
      <c r="X675" s="349"/>
      <c r="Y675" s="349"/>
      <c r="Z675" s="349"/>
    </row>
    <row r="676">
      <c r="A676" s="349"/>
      <c r="B676" s="349"/>
      <c r="C676" s="395"/>
      <c r="D676" s="349"/>
      <c r="E676" s="349"/>
      <c r="F676" s="349"/>
      <c r="G676" s="396"/>
      <c r="H676" s="349"/>
      <c r="I676" s="349"/>
      <c r="J676" s="349"/>
      <c r="K676" s="349"/>
      <c r="L676" s="349"/>
      <c r="M676" s="349"/>
      <c r="N676" s="349"/>
      <c r="O676" s="349"/>
      <c r="P676" s="349"/>
      <c r="Q676" s="349"/>
      <c r="R676" s="349"/>
      <c r="S676" s="349"/>
      <c r="T676" s="349"/>
      <c r="U676" s="349"/>
      <c r="V676" s="349"/>
      <c r="W676" s="349"/>
      <c r="X676" s="349"/>
      <c r="Y676" s="349"/>
      <c r="Z676" s="349"/>
    </row>
    <row r="677">
      <c r="A677" s="349"/>
      <c r="B677" s="349"/>
      <c r="C677" s="395"/>
      <c r="D677" s="349"/>
      <c r="E677" s="349"/>
      <c r="F677" s="349"/>
      <c r="G677" s="396"/>
      <c r="H677" s="349"/>
      <c r="I677" s="349"/>
      <c r="J677" s="349"/>
      <c r="K677" s="349"/>
      <c r="L677" s="349"/>
      <c r="M677" s="349"/>
      <c r="N677" s="349"/>
      <c r="O677" s="349"/>
      <c r="P677" s="349"/>
      <c r="Q677" s="349"/>
      <c r="R677" s="349"/>
      <c r="S677" s="349"/>
      <c r="T677" s="349"/>
      <c r="U677" s="349"/>
      <c r="V677" s="349"/>
      <c r="W677" s="349"/>
      <c r="X677" s="349"/>
      <c r="Y677" s="349"/>
      <c r="Z677" s="349"/>
    </row>
    <row r="678">
      <c r="A678" s="349"/>
      <c r="B678" s="349"/>
      <c r="C678" s="395"/>
      <c r="D678" s="349"/>
      <c r="E678" s="349"/>
      <c r="F678" s="349"/>
      <c r="G678" s="396"/>
      <c r="H678" s="349"/>
      <c r="I678" s="349"/>
      <c r="J678" s="349"/>
      <c r="K678" s="349"/>
      <c r="L678" s="349"/>
      <c r="M678" s="349"/>
      <c r="N678" s="349"/>
      <c r="O678" s="349"/>
      <c r="P678" s="349"/>
      <c r="Q678" s="349"/>
      <c r="R678" s="349"/>
      <c r="S678" s="349"/>
      <c r="T678" s="349"/>
      <c r="U678" s="349"/>
      <c r="V678" s="349"/>
      <c r="W678" s="349"/>
      <c r="X678" s="349"/>
      <c r="Y678" s="349"/>
      <c r="Z678" s="349"/>
    </row>
    <row r="679">
      <c r="A679" s="349"/>
      <c r="B679" s="349"/>
      <c r="C679" s="395"/>
      <c r="D679" s="349"/>
      <c r="E679" s="349"/>
      <c r="F679" s="349"/>
      <c r="G679" s="396"/>
      <c r="H679" s="349"/>
      <c r="I679" s="349"/>
      <c r="J679" s="349"/>
      <c r="K679" s="349"/>
      <c r="L679" s="349"/>
      <c r="M679" s="349"/>
      <c r="N679" s="349"/>
      <c r="O679" s="349"/>
      <c r="P679" s="349"/>
      <c r="Q679" s="349"/>
      <c r="R679" s="349"/>
      <c r="S679" s="349"/>
      <c r="T679" s="349"/>
      <c r="U679" s="349"/>
      <c r="V679" s="349"/>
      <c r="W679" s="349"/>
      <c r="X679" s="349"/>
      <c r="Y679" s="349"/>
      <c r="Z679" s="349"/>
    </row>
    <row r="680">
      <c r="A680" s="349"/>
      <c r="B680" s="349"/>
      <c r="C680" s="395"/>
      <c r="D680" s="349"/>
      <c r="E680" s="349"/>
      <c r="F680" s="349"/>
      <c r="G680" s="396"/>
      <c r="H680" s="349"/>
      <c r="I680" s="349"/>
      <c r="J680" s="349"/>
      <c r="K680" s="349"/>
      <c r="L680" s="349"/>
      <c r="M680" s="349"/>
      <c r="N680" s="349"/>
      <c r="O680" s="349"/>
      <c r="P680" s="349"/>
      <c r="Q680" s="349"/>
      <c r="R680" s="349"/>
      <c r="S680" s="349"/>
      <c r="T680" s="349"/>
      <c r="U680" s="349"/>
      <c r="V680" s="349"/>
      <c r="W680" s="349"/>
      <c r="X680" s="349"/>
      <c r="Y680" s="349"/>
      <c r="Z680" s="349"/>
    </row>
    <row r="681">
      <c r="A681" s="349"/>
      <c r="B681" s="349"/>
      <c r="C681" s="395"/>
      <c r="D681" s="349"/>
      <c r="E681" s="349"/>
      <c r="F681" s="349"/>
      <c r="G681" s="396"/>
      <c r="H681" s="349"/>
      <c r="I681" s="349"/>
      <c r="J681" s="349"/>
      <c r="K681" s="349"/>
      <c r="L681" s="349"/>
      <c r="M681" s="349"/>
      <c r="N681" s="349"/>
      <c r="O681" s="349"/>
      <c r="P681" s="349"/>
      <c r="Q681" s="349"/>
      <c r="R681" s="349"/>
      <c r="S681" s="349"/>
      <c r="T681" s="349"/>
      <c r="U681" s="349"/>
      <c r="V681" s="349"/>
      <c r="W681" s="349"/>
      <c r="X681" s="349"/>
      <c r="Y681" s="349"/>
      <c r="Z681" s="349"/>
    </row>
    <row r="682">
      <c r="A682" s="349"/>
      <c r="B682" s="349"/>
      <c r="C682" s="395"/>
      <c r="D682" s="349"/>
      <c r="E682" s="349"/>
      <c r="F682" s="349"/>
      <c r="G682" s="396"/>
      <c r="H682" s="349"/>
      <c r="I682" s="349"/>
      <c r="J682" s="349"/>
      <c r="K682" s="349"/>
      <c r="L682" s="349"/>
      <c r="M682" s="349"/>
      <c r="N682" s="349"/>
      <c r="O682" s="349"/>
      <c r="P682" s="349"/>
      <c r="Q682" s="349"/>
      <c r="R682" s="349"/>
      <c r="S682" s="349"/>
      <c r="T682" s="349"/>
      <c r="U682" s="349"/>
      <c r="V682" s="349"/>
      <c r="W682" s="349"/>
      <c r="X682" s="349"/>
      <c r="Y682" s="349"/>
      <c r="Z682" s="349"/>
    </row>
    <row r="683">
      <c r="A683" s="349"/>
      <c r="B683" s="349"/>
      <c r="C683" s="395"/>
      <c r="D683" s="349"/>
      <c r="E683" s="349"/>
      <c r="F683" s="349"/>
      <c r="G683" s="396"/>
      <c r="H683" s="349"/>
      <c r="I683" s="349"/>
      <c r="J683" s="349"/>
      <c r="K683" s="349"/>
      <c r="L683" s="349"/>
      <c r="M683" s="349"/>
      <c r="N683" s="349"/>
      <c r="O683" s="349"/>
      <c r="P683" s="349"/>
      <c r="Q683" s="349"/>
      <c r="R683" s="349"/>
      <c r="S683" s="349"/>
      <c r="T683" s="349"/>
      <c r="U683" s="349"/>
      <c r="V683" s="349"/>
      <c r="W683" s="349"/>
      <c r="X683" s="349"/>
      <c r="Y683" s="349"/>
      <c r="Z683" s="349"/>
    </row>
    <row r="684">
      <c r="A684" s="349"/>
      <c r="B684" s="349"/>
      <c r="C684" s="395"/>
      <c r="D684" s="349"/>
      <c r="E684" s="349"/>
      <c r="F684" s="349"/>
      <c r="G684" s="396"/>
      <c r="H684" s="349"/>
      <c r="I684" s="349"/>
      <c r="J684" s="349"/>
      <c r="K684" s="349"/>
      <c r="L684" s="349"/>
      <c r="M684" s="349"/>
      <c r="N684" s="349"/>
      <c r="O684" s="349"/>
      <c r="P684" s="349"/>
      <c r="Q684" s="349"/>
      <c r="R684" s="349"/>
      <c r="S684" s="349"/>
      <c r="T684" s="349"/>
      <c r="U684" s="349"/>
      <c r="V684" s="349"/>
      <c r="W684" s="349"/>
      <c r="X684" s="349"/>
      <c r="Y684" s="349"/>
      <c r="Z684" s="349"/>
    </row>
    <row r="685">
      <c r="A685" s="349"/>
      <c r="B685" s="349"/>
      <c r="C685" s="395"/>
      <c r="D685" s="349"/>
      <c r="E685" s="349"/>
      <c r="F685" s="349"/>
      <c r="G685" s="396"/>
      <c r="H685" s="349"/>
      <c r="I685" s="349"/>
      <c r="J685" s="349"/>
      <c r="K685" s="349"/>
      <c r="L685" s="349"/>
      <c r="M685" s="349"/>
      <c r="N685" s="349"/>
      <c r="O685" s="349"/>
      <c r="P685" s="349"/>
      <c r="Q685" s="349"/>
      <c r="R685" s="349"/>
      <c r="S685" s="349"/>
      <c r="T685" s="349"/>
      <c r="U685" s="349"/>
      <c r="V685" s="349"/>
      <c r="W685" s="349"/>
      <c r="X685" s="349"/>
      <c r="Y685" s="349"/>
      <c r="Z685" s="349"/>
    </row>
    <row r="686">
      <c r="A686" s="349"/>
      <c r="B686" s="349"/>
      <c r="C686" s="395"/>
      <c r="D686" s="349"/>
      <c r="E686" s="349"/>
      <c r="F686" s="349"/>
      <c r="G686" s="396"/>
      <c r="H686" s="349"/>
      <c r="I686" s="349"/>
      <c r="J686" s="349"/>
      <c r="K686" s="349"/>
      <c r="L686" s="349"/>
      <c r="M686" s="349"/>
      <c r="N686" s="349"/>
      <c r="O686" s="349"/>
      <c r="P686" s="349"/>
      <c r="Q686" s="349"/>
      <c r="R686" s="349"/>
      <c r="S686" s="349"/>
      <c r="T686" s="349"/>
      <c r="U686" s="349"/>
      <c r="V686" s="349"/>
      <c r="W686" s="349"/>
      <c r="X686" s="349"/>
      <c r="Y686" s="349"/>
      <c r="Z686" s="349"/>
    </row>
    <row r="687">
      <c r="A687" s="349"/>
      <c r="B687" s="349"/>
      <c r="C687" s="395"/>
      <c r="D687" s="349"/>
      <c r="E687" s="349"/>
      <c r="F687" s="349"/>
      <c r="G687" s="396"/>
      <c r="H687" s="349"/>
      <c r="I687" s="349"/>
      <c r="J687" s="349"/>
      <c r="K687" s="349"/>
      <c r="L687" s="349"/>
      <c r="M687" s="349"/>
      <c r="N687" s="349"/>
      <c r="O687" s="349"/>
      <c r="P687" s="349"/>
      <c r="Q687" s="349"/>
      <c r="R687" s="349"/>
      <c r="S687" s="349"/>
      <c r="T687" s="349"/>
      <c r="U687" s="349"/>
      <c r="V687" s="349"/>
      <c r="W687" s="349"/>
      <c r="X687" s="349"/>
      <c r="Y687" s="349"/>
      <c r="Z687" s="349"/>
    </row>
    <row r="688">
      <c r="A688" s="349"/>
      <c r="B688" s="349"/>
      <c r="C688" s="395"/>
      <c r="D688" s="349"/>
      <c r="E688" s="349"/>
      <c r="F688" s="349"/>
      <c r="G688" s="396"/>
      <c r="H688" s="349"/>
      <c r="I688" s="349"/>
      <c r="J688" s="349"/>
      <c r="K688" s="349"/>
      <c r="L688" s="349"/>
      <c r="M688" s="349"/>
      <c r="N688" s="349"/>
      <c r="O688" s="349"/>
      <c r="P688" s="349"/>
      <c r="Q688" s="349"/>
      <c r="R688" s="349"/>
      <c r="S688" s="349"/>
      <c r="T688" s="349"/>
      <c r="U688" s="349"/>
      <c r="V688" s="349"/>
      <c r="W688" s="349"/>
      <c r="X688" s="349"/>
      <c r="Y688" s="349"/>
      <c r="Z688" s="349"/>
    </row>
    <row r="689">
      <c r="A689" s="349"/>
      <c r="B689" s="349"/>
      <c r="C689" s="395"/>
      <c r="D689" s="349"/>
      <c r="E689" s="349"/>
      <c r="F689" s="349"/>
      <c r="G689" s="396"/>
      <c r="H689" s="349"/>
      <c r="I689" s="349"/>
      <c r="J689" s="349"/>
      <c r="K689" s="349"/>
      <c r="L689" s="349"/>
      <c r="M689" s="349"/>
      <c r="N689" s="349"/>
      <c r="O689" s="349"/>
      <c r="P689" s="349"/>
      <c r="Q689" s="349"/>
      <c r="R689" s="349"/>
      <c r="S689" s="349"/>
      <c r="T689" s="349"/>
      <c r="U689" s="349"/>
      <c r="V689" s="349"/>
      <c r="W689" s="349"/>
      <c r="X689" s="349"/>
      <c r="Y689" s="349"/>
      <c r="Z689" s="349"/>
    </row>
    <row r="690">
      <c r="A690" s="349"/>
      <c r="B690" s="349"/>
      <c r="C690" s="395"/>
      <c r="D690" s="349"/>
      <c r="E690" s="349"/>
      <c r="F690" s="349"/>
      <c r="G690" s="396"/>
      <c r="H690" s="349"/>
      <c r="I690" s="349"/>
      <c r="J690" s="349"/>
      <c r="K690" s="349"/>
      <c r="L690" s="349"/>
      <c r="M690" s="349"/>
      <c r="N690" s="349"/>
      <c r="O690" s="349"/>
      <c r="P690" s="349"/>
      <c r="Q690" s="349"/>
      <c r="R690" s="349"/>
      <c r="S690" s="349"/>
      <c r="T690" s="349"/>
      <c r="U690" s="349"/>
      <c r="V690" s="349"/>
      <c r="W690" s="349"/>
      <c r="X690" s="349"/>
      <c r="Y690" s="349"/>
      <c r="Z690" s="349"/>
    </row>
    <row r="691">
      <c r="A691" s="349"/>
      <c r="B691" s="349"/>
      <c r="C691" s="395"/>
      <c r="D691" s="349"/>
      <c r="E691" s="349"/>
      <c r="F691" s="349"/>
      <c r="G691" s="396"/>
      <c r="H691" s="349"/>
      <c r="I691" s="349"/>
      <c r="J691" s="349"/>
      <c r="K691" s="349"/>
      <c r="L691" s="349"/>
      <c r="M691" s="349"/>
      <c r="N691" s="349"/>
      <c r="O691" s="349"/>
      <c r="P691" s="349"/>
      <c r="Q691" s="349"/>
      <c r="R691" s="349"/>
      <c r="S691" s="349"/>
      <c r="T691" s="349"/>
      <c r="U691" s="349"/>
      <c r="V691" s="349"/>
      <c r="W691" s="349"/>
      <c r="X691" s="349"/>
      <c r="Y691" s="349"/>
      <c r="Z691" s="349"/>
    </row>
    <row r="692">
      <c r="A692" s="349"/>
      <c r="B692" s="349"/>
      <c r="C692" s="395"/>
      <c r="D692" s="349"/>
      <c r="E692" s="349"/>
      <c r="F692" s="349"/>
      <c r="G692" s="396"/>
      <c r="H692" s="349"/>
      <c r="I692" s="349"/>
      <c r="J692" s="349"/>
      <c r="K692" s="349"/>
      <c r="L692" s="349"/>
      <c r="M692" s="349"/>
      <c r="N692" s="349"/>
      <c r="O692" s="349"/>
      <c r="P692" s="349"/>
      <c r="Q692" s="349"/>
      <c r="R692" s="349"/>
      <c r="S692" s="349"/>
      <c r="T692" s="349"/>
      <c r="U692" s="349"/>
      <c r="V692" s="349"/>
      <c r="W692" s="349"/>
      <c r="X692" s="349"/>
      <c r="Y692" s="349"/>
      <c r="Z692" s="349"/>
    </row>
    <row r="693">
      <c r="A693" s="349"/>
      <c r="B693" s="349"/>
      <c r="C693" s="395"/>
      <c r="D693" s="349"/>
      <c r="E693" s="349"/>
      <c r="F693" s="349"/>
      <c r="G693" s="396"/>
      <c r="H693" s="349"/>
      <c r="I693" s="349"/>
      <c r="J693" s="349"/>
      <c r="K693" s="349"/>
      <c r="L693" s="349"/>
      <c r="M693" s="349"/>
      <c r="N693" s="349"/>
      <c r="O693" s="349"/>
      <c r="P693" s="349"/>
      <c r="Q693" s="349"/>
      <c r="R693" s="349"/>
      <c r="S693" s="349"/>
      <c r="T693" s="349"/>
      <c r="U693" s="349"/>
      <c r="V693" s="349"/>
      <c r="W693" s="349"/>
      <c r="X693" s="349"/>
      <c r="Y693" s="349"/>
      <c r="Z693" s="349"/>
    </row>
    <row r="694">
      <c r="A694" s="349"/>
      <c r="B694" s="349"/>
      <c r="C694" s="395"/>
      <c r="D694" s="349"/>
      <c r="E694" s="349"/>
      <c r="F694" s="349"/>
      <c r="G694" s="396"/>
      <c r="H694" s="349"/>
      <c r="I694" s="349"/>
      <c r="J694" s="349"/>
      <c r="K694" s="349"/>
      <c r="L694" s="349"/>
      <c r="M694" s="349"/>
      <c r="N694" s="349"/>
      <c r="O694" s="349"/>
      <c r="P694" s="349"/>
      <c r="Q694" s="349"/>
      <c r="R694" s="349"/>
      <c r="S694" s="349"/>
      <c r="T694" s="349"/>
      <c r="U694" s="349"/>
      <c r="V694" s="349"/>
      <c r="W694" s="349"/>
      <c r="X694" s="349"/>
      <c r="Y694" s="349"/>
      <c r="Z694" s="349"/>
    </row>
    <row r="695">
      <c r="A695" s="349"/>
      <c r="B695" s="349"/>
      <c r="C695" s="395"/>
      <c r="D695" s="349"/>
      <c r="E695" s="349"/>
      <c r="F695" s="349"/>
      <c r="G695" s="396"/>
      <c r="H695" s="349"/>
      <c r="I695" s="349"/>
      <c r="J695" s="349"/>
      <c r="K695" s="349"/>
      <c r="L695" s="349"/>
      <c r="M695" s="349"/>
      <c r="N695" s="349"/>
      <c r="O695" s="349"/>
      <c r="P695" s="349"/>
      <c r="Q695" s="349"/>
      <c r="R695" s="349"/>
      <c r="S695" s="349"/>
      <c r="T695" s="349"/>
      <c r="U695" s="349"/>
      <c r="V695" s="349"/>
      <c r="W695" s="349"/>
      <c r="X695" s="349"/>
      <c r="Y695" s="349"/>
      <c r="Z695" s="349"/>
    </row>
    <row r="696">
      <c r="A696" s="349"/>
      <c r="B696" s="349"/>
      <c r="C696" s="395"/>
      <c r="D696" s="349"/>
      <c r="E696" s="349"/>
      <c r="F696" s="349"/>
      <c r="G696" s="396"/>
      <c r="H696" s="349"/>
      <c r="I696" s="349"/>
      <c r="J696" s="349"/>
      <c r="K696" s="349"/>
      <c r="L696" s="349"/>
      <c r="M696" s="349"/>
      <c r="N696" s="349"/>
      <c r="O696" s="349"/>
      <c r="P696" s="349"/>
      <c r="Q696" s="349"/>
      <c r="R696" s="349"/>
      <c r="S696" s="349"/>
      <c r="T696" s="349"/>
      <c r="U696" s="349"/>
      <c r="V696" s="349"/>
      <c r="W696" s="349"/>
      <c r="X696" s="349"/>
      <c r="Y696" s="349"/>
      <c r="Z696" s="349"/>
    </row>
    <row r="697">
      <c r="A697" s="349"/>
      <c r="B697" s="349"/>
      <c r="C697" s="395"/>
      <c r="D697" s="349"/>
      <c r="E697" s="349"/>
      <c r="F697" s="349"/>
      <c r="G697" s="396"/>
      <c r="H697" s="349"/>
      <c r="I697" s="349"/>
      <c r="J697" s="349"/>
      <c r="K697" s="349"/>
      <c r="L697" s="349"/>
      <c r="M697" s="349"/>
      <c r="N697" s="349"/>
      <c r="O697" s="349"/>
      <c r="P697" s="349"/>
      <c r="Q697" s="349"/>
      <c r="R697" s="349"/>
      <c r="S697" s="349"/>
      <c r="T697" s="349"/>
      <c r="U697" s="349"/>
      <c r="V697" s="349"/>
      <c r="W697" s="349"/>
      <c r="X697" s="349"/>
      <c r="Y697" s="349"/>
      <c r="Z697" s="349"/>
    </row>
    <row r="698">
      <c r="A698" s="349"/>
      <c r="B698" s="349"/>
      <c r="C698" s="395"/>
      <c r="D698" s="349"/>
      <c r="E698" s="349"/>
      <c r="F698" s="349"/>
      <c r="G698" s="396"/>
      <c r="H698" s="349"/>
      <c r="I698" s="349"/>
      <c r="J698" s="349"/>
      <c r="K698" s="349"/>
      <c r="L698" s="349"/>
      <c r="M698" s="349"/>
      <c r="N698" s="349"/>
      <c r="O698" s="349"/>
      <c r="P698" s="349"/>
      <c r="Q698" s="349"/>
      <c r="R698" s="349"/>
      <c r="S698" s="349"/>
      <c r="T698" s="349"/>
      <c r="U698" s="349"/>
      <c r="V698" s="349"/>
      <c r="W698" s="349"/>
      <c r="X698" s="349"/>
      <c r="Y698" s="349"/>
      <c r="Z698" s="349"/>
    </row>
    <row r="699">
      <c r="A699" s="349"/>
      <c r="B699" s="349"/>
      <c r="C699" s="395"/>
      <c r="D699" s="349"/>
      <c r="E699" s="349"/>
      <c r="F699" s="349"/>
      <c r="G699" s="396"/>
      <c r="H699" s="349"/>
      <c r="I699" s="349"/>
      <c r="J699" s="349"/>
      <c r="K699" s="349"/>
      <c r="L699" s="349"/>
      <c r="M699" s="349"/>
      <c r="N699" s="349"/>
      <c r="O699" s="349"/>
      <c r="P699" s="349"/>
      <c r="Q699" s="349"/>
      <c r="R699" s="349"/>
      <c r="S699" s="349"/>
      <c r="T699" s="349"/>
      <c r="U699" s="349"/>
      <c r="V699" s="349"/>
      <c r="W699" s="349"/>
      <c r="X699" s="349"/>
      <c r="Y699" s="349"/>
      <c r="Z699" s="349"/>
    </row>
    <row r="700">
      <c r="A700" s="349"/>
      <c r="B700" s="349"/>
      <c r="C700" s="395"/>
      <c r="D700" s="349"/>
      <c r="E700" s="349"/>
      <c r="F700" s="349"/>
      <c r="G700" s="396"/>
      <c r="H700" s="349"/>
      <c r="I700" s="349"/>
      <c r="J700" s="349"/>
      <c r="K700" s="349"/>
      <c r="L700" s="349"/>
      <c r="M700" s="349"/>
      <c r="N700" s="349"/>
      <c r="O700" s="349"/>
      <c r="P700" s="349"/>
      <c r="Q700" s="349"/>
      <c r="R700" s="349"/>
      <c r="S700" s="349"/>
      <c r="T700" s="349"/>
      <c r="U700" s="349"/>
      <c r="V700" s="349"/>
      <c r="W700" s="349"/>
      <c r="X700" s="349"/>
      <c r="Y700" s="349"/>
      <c r="Z700" s="349"/>
    </row>
    <row r="701">
      <c r="A701" s="349"/>
      <c r="B701" s="349"/>
      <c r="C701" s="395"/>
      <c r="D701" s="349"/>
      <c r="E701" s="349"/>
      <c r="F701" s="349"/>
      <c r="G701" s="396"/>
      <c r="H701" s="349"/>
      <c r="I701" s="349"/>
      <c r="J701" s="349"/>
      <c r="K701" s="349"/>
      <c r="L701" s="349"/>
      <c r="M701" s="349"/>
      <c r="N701" s="349"/>
      <c r="O701" s="349"/>
      <c r="P701" s="349"/>
      <c r="Q701" s="349"/>
      <c r="R701" s="349"/>
      <c r="S701" s="349"/>
      <c r="T701" s="349"/>
      <c r="U701" s="349"/>
      <c r="V701" s="349"/>
      <c r="W701" s="349"/>
      <c r="X701" s="349"/>
      <c r="Y701" s="349"/>
      <c r="Z701" s="349"/>
    </row>
    <row r="702">
      <c r="A702" s="349"/>
      <c r="B702" s="349"/>
      <c r="C702" s="395"/>
      <c r="D702" s="349"/>
      <c r="E702" s="349"/>
      <c r="F702" s="349"/>
      <c r="G702" s="396"/>
      <c r="H702" s="349"/>
      <c r="I702" s="349"/>
      <c r="J702" s="349"/>
      <c r="K702" s="349"/>
      <c r="L702" s="349"/>
      <c r="M702" s="349"/>
      <c r="N702" s="349"/>
      <c r="O702" s="349"/>
      <c r="P702" s="349"/>
      <c r="Q702" s="349"/>
      <c r="R702" s="349"/>
      <c r="S702" s="349"/>
      <c r="T702" s="349"/>
      <c r="U702" s="349"/>
      <c r="V702" s="349"/>
      <c r="W702" s="349"/>
      <c r="X702" s="349"/>
      <c r="Y702" s="349"/>
      <c r="Z702" s="349"/>
    </row>
    <row r="703">
      <c r="A703" s="349"/>
      <c r="B703" s="349"/>
      <c r="C703" s="395"/>
      <c r="D703" s="349"/>
      <c r="E703" s="349"/>
      <c r="F703" s="349"/>
      <c r="G703" s="396"/>
      <c r="H703" s="349"/>
      <c r="I703" s="349"/>
      <c r="J703" s="349"/>
      <c r="K703" s="349"/>
      <c r="L703" s="349"/>
      <c r="M703" s="349"/>
      <c r="N703" s="349"/>
      <c r="O703" s="349"/>
      <c r="P703" s="349"/>
      <c r="Q703" s="349"/>
      <c r="R703" s="349"/>
      <c r="S703" s="349"/>
      <c r="T703" s="349"/>
      <c r="U703" s="349"/>
      <c r="V703" s="349"/>
      <c r="W703" s="349"/>
      <c r="X703" s="349"/>
      <c r="Y703" s="349"/>
      <c r="Z703" s="349"/>
    </row>
    <row r="704">
      <c r="A704" s="349"/>
      <c r="B704" s="349"/>
      <c r="C704" s="395"/>
      <c r="D704" s="349"/>
      <c r="E704" s="349"/>
      <c r="F704" s="349"/>
      <c r="G704" s="396"/>
      <c r="H704" s="349"/>
      <c r="I704" s="349"/>
      <c r="J704" s="349"/>
      <c r="K704" s="349"/>
      <c r="L704" s="349"/>
      <c r="M704" s="349"/>
      <c r="N704" s="349"/>
      <c r="O704" s="349"/>
      <c r="P704" s="349"/>
      <c r="Q704" s="349"/>
      <c r="R704" s="349"/>
      <c r="S704" s="349"/>
      <c r="T704" s="349"/>
      <c r="U704" s="349"/>
      <c r="V704" s="349"/>
      <c r="W704" s="349"/>
      <c r="X704" s="349"/>
      <c r="Y704" s="349"/>
      <c r="Z704" s="349"/>
    </row>
    <row r="705">
      <c r="A705" s="349"/>
      <c r="B705" s="349"/>
      <c r="C705" s="395"/>
      <c r="D705" s="349"/>
      <c r="E705" s="349"/>
      <c r="F705" s="349"/>
      <c r="G705" s="396"/>
      <c r="H705" s="349"/>
      <c r="I705" s="349"/>
      <c r="J705" s="349"/>
      <c r="K705" s="349"/>
      <c r="L705" s="349"/>
      <c r="M705" s="349"/>
      <c r="N705" s="349"/>
      <c r="O705" s="349"/>
      <c r="P705" s="349"/>
      <c r="Q705" s="349"/>
      <c r="R705" s="349"/>
      <c r="S705" s="349"/>
      <c r="T705" s="349"/>
      <c r="U705" s="349"/>
      <c r="V705" s="349"/>
      <c r="W705" s="349"/>
      <c r="X705" s="349"/>
      <c r="Y705" s="349"/>
      <c r="Z705" s="349"/>
    </row>
    <row r="706">
      <c r="A706" s="349"/>
      <c r="B706" s="349"/>
      <c r="C706" s="395"/>
      <c r="D706" s="349"/>
      <c r="E706" s="349"/>
      <c r="F706" s="349"/>
      <c r="G706" s="396"/>
      <c r="H706" s="349"/>
      <c r="I706" s="349"/>
      <c r="J706" s="349"/>
      <c r="K706" s="349"/>
      <c r="L706" s="349"/>
      <c r="M706" s="349"/>
      <c r="N706" s="349"/>
      <c r="O706" s="349"/>
      <c r="P706" s="349"/>
      <c r="Q706" s="349"/>
      <c r="R706" s="349"/>
      <c r="S706" s="349"/>
      <c r="T706" s="349"/>
      <c r="U706" s="349"/>
      <c r="V706" s="349"/>
      <c r="W706" s="349"/>
      <c r="X706" s="349"/>
      <c r="Y706" s="349"/>
      <c r="Z706" s="349"/>
    </row>
    <row r="707">
      <c r="A707" s="349"/>
      <c r="B707" s="349"/>
      <c r="C707" s="395"/>
      <c r="D707" s="349"/>
      <c r="E707" s="349"/>
      <c r="F707" s="349"/>
      <c r="G707" s="396"/>
      <c r="H707" s="349"/>
      <c r="I707" s="349"/>
      <c r="J707" s="349"/>
      <c r="K707" s="349"/>
      <c r="L707" s="349"/>
      <c r="M707" s="349"/>
      <c r="N707" s="349"/>
      <c r="O707" s="349"/>
      <c r="P707" s="349"/>
      <c r="Q707" s="349"/>
      <c r="R707" s="349"/>
      <c r="S707" s="349"/>
      <c r="T707" s="349"/>
      <c r="U707" s="349"/>
      <c r="V707" s="349"/>
      <c r="W707" s="349"/>
      <c r="X707" s="349"/>
      <c r="Y707" s="349"/>
      <c r="Z707" s="349"/>
    </row>
    <row r="708">
      <c r="A708" s="349"/>
      <c r="B708" s="349"/>
      <c r="C708" s="395"/>
      <c r="D708" s="349"/>
      <c r="E708" s="349"/>
      <c r="F708" s="349"/>
      <c r="G708" s="396"/>
      <c r="H708" s="349"/>
      <c r="I708" s="349"/>
      <c r="J708" s="349"/>
      <c r="K708" s="349"/>
      <c r="L708" s="349"/>
      <c r="M708" s="349"/>
      <c r="N708" s="349"/>
      <c r="O708" s="349"/>
      <c r="P708" s="349"/>
      <c r="Q708" s="349"/>
      <c r="R708" s="349"/>
      <c r="S708" s="349"/>
      <c r="T708" s="349"/>
      <c r="U708" s="349"/>
      <c r="V708" s="349"/>
      <c r="W708" s="349"/>
      <c r="X708" s="349"/>
      <c r="Y708" s="349"/>
      <c r="Z708" s="349"/>
    </row>
    <row r="709">
      <c r="A709" s="349"/>
      <c r="B709" s="349"/>
      <c r="C709" s="395"/>
      <c r="D709" s="349"/>
      <c r="E709" s="349"/>
      <c r="F709" s="349"/>
      <c r="G709" s="396"/>
      <c r="H709" s="349"/>
      <c r="I709" s="349"/>
      <c r="J709" s="349"/>
      <c r="K709" s="349"/>
      <c r="L709" s="349"/>
      <c r="M709" s="349"/>
      <c r="N709" s="349"/>
      <c r="O709" s="349"/>
      <c r="P709" s="349"/>
      <c r="Q709" s="349"/>
      <c r="R709" s="349"/>
      <c r="S709" s="349"/>
      <c r="T709" s="349"/>
      <c r="U709" s="349"/>
      <c r="V709" s="349"/>
      <c r="W709" s="349"/>
      <c r="X709" s="349"/>
      <c r="Y709" s="349"/>
      <c r="Z709" s="349"/>
    </row>
    <row r="710">
      <c r="A710" s="349"/>
      <c r="B710" s="349"/>
      <c r="C710" s="395"/>
      <c r="D710" s="349"/>
      <c r="E710" s="349"/>
      <c r="F710" s="349"/>
      <c r="G710" s="396"/>
      <c r="H710" s="349"/>
      <c r="I710" s="349"/>
      <c r="J710" s="349"/>
      <c r="K710" s="349"/>
      <c r="L710" s="349"/>
      <c r="M710" s="349"/>
      <c r="N710" s="349"/>
      <c r="O710" s="349"/>
      <c r="P710" s="349"/>
      <c r="Q710" s="349"/>
      <c r="R710" s="349"/>
      <c r="S710" s="349"/>
      <c r="T710" s="349"/>
      <c r="U710" s="349"/>
      <c r="V710" s="349"/>
      <c r="W710" s="349"/>
      <c r="X710" s="349"/>
      <c r="Y710" s="349"/>
      <c r="Z710" s="349"/>
    </row>
    <row r="711">
      <c r="A711" s="349"/>
      <c r="B711" s="349"/>
      <c r="C711" s="395"/>
      <c r="D711" s="349"/>
      <c r="E711" s="349"/>
      <c r="F711" s="349"/>
      <c r="G711" s="396"/>
      <c r="H711" s="349"/>
      <c r="I711" s="349"/>
      <c r="J711" s="349"/>
      <c r="K711" s="349"/>
      <c r="L711" s="349"/>
      <c r="M711" s="349"/>
      <c r="N711" s="349"/>
      <c r="O711" s="349"/>
      <c r="P711" s="349"/>
      <c r="Q711" s="349"/>
      <c r="R711" s="349"/>
      <c r="S711" s="349"/>
      <c r="T711" s="349"/>
      <c r="U711" s="349"/>
      <c r="V711" s="349"/>
      <c r="W711" s="349"/>
      <c r="X711" s="349"/>
      <c r="Y711" s="349"/>
      <c r="Z711" s="349"/>
    </row>
    <row r="712">
      <c r="A712" s="349"/>
      <c r="B712" s="349"/>
      <c r="C712" s="395"/>
      <c r="D712" s="349"/>
      <c r="E712" s="349"/>
      <c r="F712" s="349"/>
      <c r="G712" s="396"/>
      <c r="H712" s="349"/>
      <c r="I712" s="349"/>
      <c r="J712" s="349"/>
      <c r="K712" s="349"/>
      <c r="L712" s="349"/>
      <c r="M712" s="349"/>
      <c r="N712" s="349"/>
      <c r="O712" s="349"/>
      <c r="P712" s="349"/>
      <c r="Q712" s="349"/>
      <c r="R712" s="349"/>
      <c r="S712" s="349"/>
      <c r="T712" s="349"/>
      <c r="U712" s="349"/>
      <c r="V712" s="349"/>
      <c r="W712" s="349"/>
      <c r="X712" s="349"/>
      <c r="Y712" s="349"/>
      <c r="Z712" s="349"/>
    </row>
    <row r="713">
      <c r="A713" s="349"/>
      <c r="B713" s="349"/>
      <c r="C713" s="395"/>
      <c r="D713" s="349"/>
      <c r="E713" s="349"/>
      <c r="F713" s="349"/>
      <c r="G713" s="396"/>
      <c r="H713" s="349"/>
      <c r="I713" s="349"/>
      <c r="J713" s="349"/>
      <c r="K713" s="349"/>
      <c r="L713" s="349"/>
      <c r="M713" s="349"/>
      <c r="N713" s="349"/>
      <c r="O713" s="349"/>
      <c r="P713" s="349"/>
      <c r="Q713" s="349"/>
      <c r="R713" s="349"/>
      <c r="S713" s="349"/>
      <c r="T713" s="349"/>
      <c r="U713" s="349"/>
      <c r="V713" s="349"/>
      <c r="W713" s="349"/>
      <c r="X713" s="349"/>
      <c r="Y713" s="349"/>
      <c r="Z713" s="349"/>
    </row>
    <row r="714">
      <c r="A714" s="349"/>
      <c r="B714" s="349"/>
      <c r="C714" s="395"/>
      <c r="D714" s="349"/>
      <c r="E714" s="349"/>
      <c r="F714" s="349"/>
      <c r="G714" s="396"/>
      <c r="H714" s="349"/>
      <c r="I714" s="349"/>
      <c r="J714" s="349"/>
      <c r="K714" s="349"/>
      <c r="L714" s="349"/>
      <c r="M714" s="349"/>
      <c r="N714" s="349"/>
      <c r="O714" s="349"/>
      <c r="P714" s="349"/>
      <c r="Q714" s="349"/>
      <c r="R714" s="349"/>
      <c r="S714" s="349"/>
      <c r="T714" s="349"/>
      <c r="U714" s="349"/>
      <c r="V714" s="349"/>
      <c r="W714" s="349"/>
      <c r="X714" s="349"/>
      <c r="Y714" s="349"/>
      <c r="Z714" s="349"/>
    </row>
    <row r="715">
      <c r="A715" s="349"/>
      <c r="B715" s="349"/>
      <c r="C715" s="395"/>
      <c r="D715" s="349"/>
      <c r="E715" s="349"/>
      <c r="F715" s="349"/>
      <c r="G715" s="396"/>
      <c r="H715" s="349"/>
      <c r="I715" s="349"/>
      <c r="J715" s="349"/>
      <c r="K715" s="349"/>
      <c r="L715" s="349"/>
      <c r="M715" s="349"/>
      <c r="N715" s="349"/>
      <c r="O715" s="349"/>
      <c r="P715" s="349"/>
      <c r="Q715" s="349"/>
      <c r="R715" s="349"/>
      <c r="S715" s="349"/>
      <c r="T715" s="349"/>
      <c r="U715" s="349"/>
      <c r="V715" s="349"/>
      <c r="W715" s="349"/>
      <c r="X715" s="349"/>
      <c r="Y715" s="349"/>
      <c r="Z715" s="349"/>
    </row>
    <row r="716">
      <c r="A716" s="349"/>
      <c r="B716" s="349"/>
      <c r="C716" s="395"/>
      <c r="D716" s="349"/>
      <c r="E716" s="349"/>
      <c r="F716" s="349"/>
      <c r="G716" s="396"/>
      <c r="H716" s="349"/>
      <c r="I716" s="349"/>
      <c r="J716" s="349"/>
      <c r="K716" s="349"/>
      <c r="L716" s="349"/>
      <c r="M716" s="349"/>
      <c r="N716" s="349"/>
      <c r="O716" s="349"/>
      <c r="P716" s="349"/>
      <c r="Q716" s="349"/>
      <c r="R716" s="349"/>
      <c r="S716" s="349"/>
      <c r="T716" s="349"/>
      <c r="U716" s="349"/>
      <c r="V716" s="349"/>
      <c r="W716" s="349"/>
      <c r="X716" s="349"/>
      <c r="Y716" s="349"/>
      <c r="Z716" s="349"/>
    </row>
    <row r="717">
      <c r="A717" s="349"/>
      <c r="B717" s="349"/>
      <c r="C717" s="395"/>
      <c r="D717" s="349"/>
      <c r="E717" s="349"/>
      <c r="F717" s="349"/>
      <c r="G717" s="396"/>
      <c r="H717" s="349"/>
      <c r="I717" s="349"/>
      <c r="J717" s="349"/>
      <c r="K717" s="349"/>
      <c r="L717" s="349"/>
      <c r="M717" s="349"/>
      <c r="N717" s="349"/>
      <c r="O717" s="349"/>
      <c r="P717" s="349"/>
      <c r="Q717" s="349"/>
      <c r="R717" s="349"/>
      <c r="S717" s="349"/>
      <c r="T717" s="349"/>
      <c r="U717" s="349"/>
      <c r="V717" s="349"/>
      <c r="W717" s="349"/>
      <c r="X717" s="349"/>
      <c r="Y717" s="349"/>
      <c r="Z717" s="349"/>
    </row>
    <row r="718">
      <c r="A718" s="349"/>
      <c r="B718" s="349"/>
      <c r="C718" s="395"/>
      <c r="D718" s="349"/>
      <c r="E718" s="349"/>
      <c r="F718" s="349"/>
      <c r="G718" s="396"/>
      <c r="H718" s="349"/>
      <c r="I718" s="349"/>
      <c r="J718" s="349"/>
      <c r="K718" s="349"/>
      <c r="L718" s="349"/>
      <c r="M718" s="349"/>
      <c r="N718" s="349"/>
      <c r="O718" s="349"/>
      <c r="P718" s="349"/>
      <c r="Q718" s="349"/>
      <c r="R718" s="349"/>
      <c r="S718" s="349"/>
      <c r="T718" s="349"/>
      <c r="U718" s="349"/>
      <c r="V718" s="349"/>
      <c r="W718" s="349"/>
      <c r="X718" s="349"/>
      <c r="Y718" s="349"/>
      <c r="Z718" s="349"/>
    </row>
    <row r="719">
      <c r="A719" s="349"/>
      <c r="B719" s="349"/>
      <c r="C719" s="395"/>
      <c r="D719" s="349"/>
      <c r="E719" s="349"/>
      <c r="F719" s="349"/>
      <c r="G719" s="396"/>
      <c r="H719" s="349"/>
      <c r="I719" s="349"/>
      <c r="J719" s="349"/>
      <c r="K719" s="349"/>
      <c r="L719" s="349"/>
      <c r="M719" s="349"/>
      <c r="N719" s="349"/>
      <c r="O719" s="349"/>
      <c r="P719" s="349"/>
      <c r="Q719" s="349"/>
      <c r="R719" s="349"/>
      <c r="S719" s="349"/>
      <c r="T719" s="349"/>
      <c r="U719" s="349"/>
      <c r="V719" s="349"/>
      <c r="W719" s="349"/>
      <c r="X719" s="349"/>
      <c r="Y719" s="349"/>
      <c r="Z719" s="349"/>
    </row>
    <row r="720">
      <c r="A720" s="349"/>
      <c r="B720" s="349"/>
      <c r="C720" s="395"/>
      <c r="D720" s="349"/>
      <c r="E720" s="349"/>
      <c r="F720" s="349"/>
      <c r="G720" s="396"/>
      <c r="H720" s="349"/>
      <c r="I720" s="349"/>
      <c r="J720" s="349"/>
      <c r="K720" s="349"/>
      <c r="L720" s="349"/>
      <c r="M720" s="349"/>
      <c r="N720" s="349"/>
      <c r="O720" s="349"/>
      <c r="P720" s="349"/>
      <c r="Q720" s="349"/>
      <c r="R720" s="349"/>
      <c r="S720" s="349"/>
      <c r="T720" s="349"/>
      <c r="U720" s="349"/>
      <c r="V720" s="349"/>
      <c r="W720" s="349"/>
      <c r="X720" s="349"/>
      <c r="Y720" s="349"/>
      <c r="Z720" s="349"/>
    </row>
    <row r="721">
      <c r="A721" s="349"/>
      <c r="B721" s="349"/>
      <c r="C721" s="395"/>
      <c r="D721" s="349"/>
      <c r="E721" s="349"/>
      <c r="F721" s="349"/>
      <c r="G721" s="396"/>
      <c r="H721" s="349"/>
      <c r="I721" s="349"/>
      <c r="J721" s="349"/>
      <c r="K721" s="349"/>
      <c r="L721" s="349"/>
      <c r="M721" s="349"/>
      <c r="N721" s="349"/>
      <c r="O721" s="349"/>
      <c r="P721" s="349"/>
      <c r="Q721" s="349"/>
      <c r="R721" s="349"/>
      <c r="S721" s="349"/>
      <c r="T721" s="349"/>
      <c r="U721" s="349"/>
      <c r="V721" s="349"/>
      <c r="W721" s="349"/>
      <c r="X721" s="349"/>
      <c r="Y721" s="349"/>
      <c r="Z721" s="349"/>
    </row>
    <row r="722">
      <c r="A722" s="349"/>
      <c r="B722" s="349"/>
      <c r="C722" s="395"/>
      <c r="D722" s="349"/>
      <c r="E722" s="349"/>
      <c r="F722" s="349"/>
      <c r="G722" s="396"/>
      <c r="H722" s="349"/>
      <c r="I722" s="349"/>
      <c r="J722" s="349"/>
      <c r="K722" s="349"/>
      <c r="L722" s="349"/>
      <c r="M722" s="349"/>
      <c r="N722" s="349"/>
      <c r="O722" s="349"/>
      <c r="P722" s="349"/>
      <c r="Q722" s="349"/>
      <c r="R722" s="349"/>
      <c r="S722" s="349"/>
      <c r="T722" s="349"/>
      <c r="U722" s="349"/>
      <c r="V722" s="349"/>
      <c r="W722" s="349"/>
      <c r="X722" s="349"/>
      <c r="Y722" s="349"/>
      <c r="Z722" s="349"/>
    </row>
    <row r="723">
      <c r="A723" s="349"/>
      <c r="B723" s="349"/>
      <c r="C723" s="395"/>
      <c r="D723" s="349"/>
      <c r="E723" s="349"/>
      <c r="F723" s="349"/>
      <c r="G723" s="396"/>
      <c r="H723" s="349"/>
      <c r="I723" s="349"/>
      <c r="J723" s="349"/>
      <c r="K723" s="349"/>
      <c r="L723" s="349"/>
      <c r="M723" s="349"/>
      <c r="N723" s="349"/>
      <c r="O723" s="349"/>
      <c r="P723" s="349"/>
      <c r="Q723" s="349"/>
      <c r="R723" s="349"/>
      <c r="S723" s="349"/>
      <c r="T723" s="349"/>
      <c r="U723" s="349"/>
      <c r="V723" s="349"/>
      <c r="W723" s="349"/>
      <c r="X723" s="349"/>
      <c r="Y723" s="349"/>
      <c r="Z723" s="349"/>
    </row>
    <row r="724">
      <c r="A724" s="349"/>
      <c r="B724" s="349"/>
      <c r="C724" s="395"/>
      <c r="D724" s="349"/>
      <c r="E724" s="349"/>
      <c r="F724" s="349"/>
      <c r="G724" s="396"/>
      <c r="H724" s="349"/>
      <c r="I724" s="349"/>
      <c r="J724" s="349"/>
      <c r="K724" s="349"/>
      <c r="L724" s="349"/>
      <c r="M724" s="349"/>
      <c r="N724" s="349"/>
      <c r="O724" s="349"/>
      <c r="P724" s="349"/>
      <c r="Q724" s="349"/>
      <c r="R724" s="349"/>
      <c r="S724" s="349"/>
      <c r="T724" s="349"/>
      <c r="U724" s="349"/>
      <c r="V724" s="349"/>
      <c r="W724" s="349"/>
      <c r="X724" s="349"/>
      <c r="Y724" s="349"/>
      <c r="Z724" s="349"/>
    </row>
    <row r="725">
      <c r="A725" s="349"/>
      <c r="B725" s="349"/>
      <c r="C725" s="395"/>
      <c r="D725" s="349"/>
      <c r="E725" s="349"/>
      <c r="F725" s="349"/>
      <c r="G725" s="396"/>
      <c r="H725" s="349"/>
      <c r="I725" s="349"/>
      <c r="J725" s="349"/>
      <c r="K725" s="349"/>
      <c r="L725" s="349"/>
      <c r="M725" s="349"/>
      <c r="N725" s="349"/>
      <c r="O725" s="349"/>
      <c r="P725" s="349"/>
      <c r="Q725" s="349"/>
      <c r="R725" s="349"/>
      <c r="S725" s="349"/>
      <c r="T725" s="349"/>
      <c r="U725" s="349"/>
      <c r="V725" s="349"/>
      <c r="W725" s="349"/>
      <c r="X725" s="349"/>
      <c r="Y725" s="349"/>
      <c r="Z725" s="349"/>
    </row>
    <row r="726">
      <c r="A726" s="349"/>
      <c r="B726" s="349"/>
      <c r="C726" s="395"/>
      <c r="D726" s="349"/>
      <c r="E726" s="349"/>
      <c r="F726" s="349"/>
      <c r="G726" s="396"/>
      <c r="H726" s="349"/>
      <c r="I726" s="349"/>
      <c r="J726" s="349"/>
      <c r="K726" s="349"/>
      <c r="L726" s="349"/>
      <c r="M726" s="349"/>
      <c r="N726" s="349"/>
      <c r="O726" s="349"/>
      <c r="P726" s="349"/>
      <c r="Q726" s="349"/>
      <c r="R726" s="349"/>
      <c r="S726" s="349"/>
      <c r="T726" s="349"/>
      <c r="U726" s="349"/>
      <c r="V726" s="349"/>
      <c r="W726" s="349"/>
      <c r="X726" s="349"/>
      <c r="Y726" s="349"/>
      <c r="Z726" s="349"/>
    </row>
    <row r="727">
      <c r="A727" s="349"/>
      <c r="B727" s="349"/>
      <c r="C727" s="395"/>
      <c r="D727" s="349"/>
      <c r="E727" s="349"/>
      <c r="F727" s="349"/>
      <c r="G727" s="396"/>
      <c r="H727" s="349"/>
      <c r="I727" s="349"/>
      <c r="J727" s="349"/>
      <c r="K727" s="349"/>
      <c r="L727" s="349"/>
      <c r="M727" s="349"/>
      <c r="N727" s="349"/>
      <c r="O727" s="349"/>
      <c r="P727" s="349"/>
      <c r="Q727" s="349"/>
      <c r="R727" s="349"/>
      <c r="S727" s="349"/>
      <c r="T727" s="349"/>
      <c r="U727" s="349"/>
      <c r="V727" s="349"/>
      <c r="W727" s="349"/>
      <c r="X727" s="349"/>
      <c r="Y727" s="349"/>
      <c r="Z727" s="349"/>
    </row>
    <row r="728">
      <c r="A728" s="349"/>
      <c r="B728" s="349"/>
      <c r="C728" s="395"/>
      <c r="D728" s="349"/>
      <c r="E728" s="349"/>
      <c r="F728" s="349"/>
      <c r="G728" s="396"/>
      <c r="H728" s="349"/>
      <c r="I728" s="349"/>
      <c r="J728" s="349"/>
      <c r="K728" s="349"/>
      <c r="L728" s="349"/>
      <c r="M728" s="349"/>
      <c r="N728" s="349"/>
      <c r="O728" s="349"/>
      <c r="P728" s="349"/>
      <c r="Q728" s="349"/>
      <c r="R728" s="349"/>
      <c r="S728" s="349"/>
      <c r="T728" s="349"/>
      <c r="U728" s="349"/>
      <c r="V728" s="349"/>
      <c r="W728" s="349"/>
      <c r="X728" s="349"/>
      <c r="Y728" s="349"/>
      <c r="Z728" s="349"/>
    </row>
    <row r="729">
      <c r="A729" s="349"/>
      <c r="B729" s="349"/>
      <c r="C729" s="395"/>
      <c r="D729" s="349"/>
      <c r="E729" s="349"/>
      <c r="F729" s="349"/>
      <c r="G729" s="396"/>
      <c r="H729" s="349"/>
      <c r="I729" s="349"/>
      <c r="J729" s="349"/>
      <c r="K729" s="349"/>
      <c r="L729" s="349"/>
      <c r="M729" s="349"/>
      <c r="N729" s="349"/>
      <c r="O729" s="349"/>
      <c r="P729" s="349"/>
      <c r="Q729" s="349"/>
      <c r="R729" s="349"/>
      <c r="S729" s="349"/>
      <c r="T729" s="349"/>
      <c r="U729" s="349"/>
      <c r="V729" s="349"/>
      <c r="W729" s="349"/>
      <c r="X729" s="349"/>
      <c r="Y729" s="349"/>
      <c r="Z729" s="349"/>
    </row>
    <row r="730">
      <c r="A730" s="349"/>
      <c r="B730" s="349"/>
      <c r="C730" s="395"/>
      <c r="D730" s="349"/>
      <c r="E730" s="349"/>
      <c r="F730" s="349"/>
      <c r="G730" s="396"/>
      <c r="H730" s="349"/>
      <c r="I730" s="349"/>
      <c r="J730" s="349"/>
      <c r="K730" s="349"/>
      <c r="L730" s="349"/>
      <c r="M730" s="349"/>
      <c r="N730" s="349"/>
      <c r="O730" s="349"/>
      <c r="P730" s="349"/>
      <c r="Q730" s="349"/>
      <c r="R730" s="349"/>
      <c r="S730" s="349"/>
      <c r="T730" s="349"/>
      <c r="U730" s="349"/>
      <c r="V730" s="349"/>
      <c r="W730" s="349"/>
      <c r="X730" s="349"/>
      <c r="Y730" s="349"/>
      <c r="Z730" s="349"/>
    </row>
    <row r="731">
      <c r="A731" s="349"/>
      <c r="B731" s="349"/>
      <c r="C731" s="395"/>
      <c r="D731" s="349"/>
      <c r="E731" s="349"/>
      <c r="F731" s="349"/>
      <c r="G731" s="396"/>
      <c r="H731" s="349"/>
      <c r="I731" s="349"/>
      <c r="J731" s="349"/>
      <c r="K731" s="349"/>
      <c r="L731" s="349"/>
      <c r="M731" s="349"/>
      <c r="N731" s="349"/>
      <c r="O731" s="349"/>
      <c r="P731" s="349"/>
      <c r="Q731" s="349"/>
      <c r="R731" s="349"/>
      <c r="S731" s="349"/>
      <c r="T731" s="349"/>
      <c r="U731" s="349"/>
      <c r="V731" s="349"/>
      <c r="W731" s="349"/>
      <c r="X731" s="349"/>
      <c r="Y731" s="349"/>
      <c r="Z731" s="349"/>
    </row>
    <row r="732">
      <c r="A732" s="349"/>
      <c r="B732" s="349"/>
      <c r="C732" s="395"/>
      <c r="D732" s="349"/>
      <c r="E732" s="349"/>
      <c r="F732" s="349"/>
      <c r="G732" s="396"/>
      <c r="H732" s="349"/>
      <c r="I732" s="349"/>
      <c r="J732" s="349"/>
      <c r="K732" s="349"/>
      <c r="L732" s="349"/>
      <c r="M732" s="349"/>
      <c r="N732" s="349"/>
      <c r="O732" s="349"/>
      <c r="P732" s="349"/>
      <c r="Q732" s="349"/>
      <c r="R732" s="349"/>
      <c r="S732" s="349"/>
      <c r="T732" s="349"/>
      <c r="U732" s="349"/>
      <c r="V732" s="349"/>
      <c r="W732" s="349"/>
      <c r="X732" s="349"/>
      <c r="Y732" s="349"/>
      <c r="Z732" s="349"/>
    </row>
    <row r="733">
      <c r="A733" s="349"/>
      <c r="B733" s="349"/>
      <c r="C733" s="395"/>
      <c r="D733" s="349"/>
      <c r="E733" s="349"/>
      <c r="F733" s="349"/>
      <c r="G733" s="396"/>
      <c r="H733" s="349"/>
      <c r="I733" s="349"/>
      <c r="J733" s="349"/>
      <c r="K733" s="349"/>
      <c r="L733" s="349"/>
      <c r="M733" s="349"/>
      <c r="N733" s="349"/>
      <c r="O733" s="349"/>
      <c r="P733" s="349"/>
      <c r="Q733" s="349"/>
      <c r="R733" s="349"/>
      <c r="S733" s="349"/>
      <c r="T733" s="349"/>
      <c r="U733" s="349"/>
      <c r="V733" s="349"/>
      <c r="W733" s="349"/>
      <c r="X733" s="349"/>
      <c r="Y733" s="349"/>
      <c r="Z733" s="349"/>
    </row>
    <row r="734">
      <c r="A734" s="349"/>
      <c r="B734" s="349"/>
      <c r="C734" s="395"/>
      <c r="D734" s="349"/>
      <c r="E734" s="349"/>
      <c r="F734" s="349"/>
      <c r="G734" s="396"/>
      <c r="H734" s="349"/>
      <c r="I734" s="349"/>
      <c r="J734" s="349"/>
      <c r="K734" s="349"/>
      <c r="L734" s="349"/>
      <c r="M734" s="349"/>
      <c r="N734" s="349"/>
      <c r="O734" s="349"/>
      <c r="P734" s="349"/>
      <c r="Q734" s="349"/>
      <c r="R734" s="349"/>
      <c r="S734" s="349"/>
      <c r="T734" s="349"/>
      <c r="U734" s="349"/>
      <c r="V734" s="349"/>
      <c r="W734" s="349"/>
      <c r="X734" s="349"/>
      <c r="Y734" s="349"/>
      <c r="Z734" s="349"/>
    </row>
    <row r="735">
      <c r="A735" s="349"/>
      <c r="B735" s="349"/>
      <c r="C735" s="395"/>
      <c r="D735" s="349"/>
      <c r="E735" s="349"/>
      <c r="F735" s="349"/>
      <c r="G735" s="396"/>
      <c r="H735" s="349"/>
      <c r="I735" s="349"/>
      <c r="J735" s="349"/>
      <c r="K735" s="349"/>
      <c r="L735" s="349"/>
      <c r="M735" s="349"/>
      <c r="N735" s="349"/>
      <c r="O735" s="349"/>
      <c r="P735" s="349"/>
      <c r="Q735" s="349"/>
      <c r="R735" s="349"/>
      <c r="S735" s="349"/>
      <c r="T735" s="349"/>
      <c r="U735" s="349"/>
      <c r="V735" s="349"/>
      <c r="W735" s="349"/>
      <c r="X735" s="349"/>
      <c r="Y735" s="349"/>
      <c r="Z735" s="349"/>
    </row>
    <row r="736">
      <c r="A736" s="349"/>
      <c r="B736" s="349"/>
      <c r="C736" s="395"/>
      <c r="D736" s="349"/>
      <c r="E736" s="349"/>
      <c r="F736" s="349"/>
      <c r="G736" s="396"/>
      <c r="H736" s="349"/>
      <c r="I736" s="349"/>
      <c r="J736" s="349"/>
      <c r="K736" s="349"/>
      <c r="L736" s="349"/>
      <c r="M736" s="349"/>
      <c r="N736" s="349"/>
      <c r="O736" s="349"/>
      <c r="P736" s="349"/>
      <c r="Q736" s="349"/>
      <c r="R736" s="349"/>
      <c r="S736" s="349"/>
      <c r="T736" s="349"/>
      <c r="U736" s="349"/>
      <c r="V736" s="349"/>
      <c r="W736" s="349"/>
      <c r="X736" s="349"/>
      <c r="Y736" s="349"/>
      <c r="Z736" s="349"/>
    </row>
    <row r="737">
      <c r="A737" s="349"/>
      <c r="B737" s="349"/>
      <c r="C737" s="395"/>
      <c r="D737" s="349"/>
      <c r="E737" s="349"/>
      <c r="F737" s="349"/>
      <c r="G737" s="396"/>
      <c r="H737" s="349"/>
      <c r="I737" s="349"/>
      <c r="J737" s="349"/>
      <c r="K737" s="349"/>
      <c r="L737" s="349"/>
      <c r="M737" s="349"/>
      <c r="N737" s="349"/>
      <c r="O737" s="349"/>
      <c r="P737" s="349"/>
      <c r="Q737" s="349"/>
      <c r="R737" s="349"/>
      <c r="S737" s="349"/>
      <c r="T737" s="349"/>
      <c r="U737" s="349"/>
      <c r="V737" s="349"/>
      <c r="W737" s="349"/>
      <c r="X737" s="349"/>
      <c r="Y737" s="349"/>
      <c r="Z737" s="349"/>
    </row>
    <row r="738">
      <c r="A738" s="349"/>
      <c r="B738" s="349"/>
      <c r="C738" s="395"/>
      <c r="D738" s="349"/>
      <c r="E738" s="349"/>
      <c r="F738" s="349"/>
      <c r="G738" s="396"/>
      <c r="H738" s="349"/>
      <c r="I738" s="349"/>
      <c r="J738" s="349"/>
      <c r="K738" s="349"/>
      <c r="L738" s="349"/>
      <c r="M738" s="349"/>
      <c r="N738" s="349"/>
      <c r="O738" s="349"/>
      <c r="P738" s="349"/>
      <c r="Q738" s="349"/>
      <c r="R738" s="349"/>
      <c r="S738" s="349"/>
      <c r="T738" s="349"/>
      <c r="U738" s="349"/>
      <c r="V738" s="349"/>
      <c r="W738" s="349"/>
      <c r="X738" s="349"/>
      <c r="Y738" s="349"/>
      <c r="Z738" s="349"/>
    </row>
    <row r="739">
      <c r="A739" s="349"/>
      <c r="B739" s="349"/>
      <c r="C739" s="395"/>
      <c r="D739" s="349"/>
      <c r="E739" s="349"/>
      <c r="F739" s="349"/>
      <c r="G739" s="396"/>
      <c r="H739" s="349"/>
      <c r="I739" s="349"/>
      <c r="J739" s="349"/>
      <c r="K739" s="349"/>
      <c r="L739" s="349"/>
      <c r="M739" s="349"/>
      <c r="N739" s="349"/>
      <c r="O739" s="349"/>
      <c r="P739" s="349"/>
      <c r="Q739" s="349"/>
      <c r="R739" s="349"/>
      <c r="S739" s="349"/>
      <c r="T739" s="349"/>
      <c r="U739" s="349"/>
      <c r="V739" s="349"/>
      <c r="W739" s="349"/>
      <c r="X739" s="349"/>
      <c r="Y739" s="349"/>
      <c r="Z739" s="349"/>
    </row>
    <row r="740">
      <c r="A740" s="349"/>
      <c r="B740" s="349"/>
      <c r="C740" s="395"/>
      <c r="D740" s="349"/>
      <c r="E740" s="349"/>
      <c r="F740" s="349"/>
      <c r="G740" s="396"/>
      <c r="H740" s="349"/>
      <c r="I740" s="349"/>
      <c r="J740" s="349"/>
      <c r="K740" s="349"/>
      <c r="L740" s="349"/>
      <c r="M740" s="349"/>
      <c r="N740" s="349"/>
      <c r="O740" s="349"/>
      <c r="P740" s="349"/>
      <c r="Q740" s="349"/>
      <c r="R740" s="349"/>
      <c r="S740" s="349"/>
      <c r="T740" s="349"/>
      <c r="U740" s="349"/>
      <c r="V740" s="349"/>
      <c r="W740" s="349"/>
      <c r="X740" s="349"/>
      <c r="Y740" s="349"/>
      <c r="Z740" s="349"/>
    </row>
    <row r="741">
      <c r="A741" s="349"/>
      <c r="B741" s="349"/>
      <c r="C741" s="395"/>
      <c r="D741" s="349"/>
      <c r="E741" s="349"/>
      <c r="F741" s="349"/>
      <c r="G741" s="396"/>
      <c r="H741" s="349"/>
      <c r="I741" s="349"/>
      <c r="J741" s="349"/>
      <c r="K741" s="349"/>
      <c r="L741" s="349"/>
      <c r="M741" s="349"/>
      <c r="N741" s="349"/>
      <c r="O741" s="349"/>
      <c r="P741" s="349"/>
      <c r="Q741" s="349"/>
      <c r="R741" s="349"/>
      <c r="S741" s="349"/>
      <c r="T741" s="349"/>
      <c r="U741" s="349"/>
      <c r="V741" s="349"/>
      <c r="W741" s="349"/>
      <c r="X741" s="349"/>
      <c r="Y741" s="349"/>
      <c r="Z741" s="349"/>
    </row>
    <row r="742">
      <c r="A742" s="349"/>
      <c r="B742" s="349"/>
      <c r="C742" s="395"/>
      <c r="D742" s="349"/>
      <c r="E742" s="349"/>
      <c r="F742" s="349"/>
      <c r="G742" s="396"/>
      <c r="H742" s="349"/>
      <c r="I742" s="349"/>
      <c r="J742" s="349"/>
      <c r="K742" s="349"/>
      <c r="L742" s="349"/>
      <c r="M742" s="349"/>
      <c r="N742" s="349"/>
      <c r="O742" s="349"/>
      <c r="P742" s="349"/>
      <c r="Q742" s="349"/>
      <c r="R742" s="349"/>
      <c r="S742" s="349"/>
      <c r="T742" s="349"/>
      <c r="U742" s="349"/>
      <c r="V742" s="349"/>
      <c r="W742" s="349"/>
      <c r="X742" s="349"/>
      <c r="Y742" s="349"/>
      <c r="Z742" s="349"/>
    </row>
    <row r="743">
      <c r="A743" s="349"/>
      <c r="B743" s="349"/>
      <c r="C743" s="395"/>
      <c r="D743" s="349"/>
      <c r="E743" s="349"/>
      <c r="F743" s="349"/>
      <c r="G743" s="396"/>
      <c r="H743" s="349"/>
      <c r="I743" s="349"/>
      <c r="J743" s="349"/>
      <c r="K743" s="349"/>
      <c r="L743" s="349"/>
      <c r="M743" s="349"/>
      <c r="N743" s="349"/>
      <c r="O743" s="349"/>
      <c r="P743" s="349"/>
      <c r="Q743" s="349"/>
      <c r="R743" s="349"/>
      <c r="S743" s="349"/>
      <c r="T743" s="349"/>
      <c r="U743" s="349"/>
      <c r="V743" s="349"/>
      <c r="W743" s="349"/>
      <c r="X743" s="349"/>
      <c r="Y743" s="349"/>
      <c r="Z743" s="349"/>
    </row>
    <row r="744">
      <c r="A744" s="349"/>
      <c r="B744" s="349"/>
      <c r="C744" s="395"/>
      <c r="D744" s="349"/>
      <c r="E744" s="349"/>
      <c r="F744" s="349"/>
      <c r="G744" s="396"/>
      <c r="H744" s="349"/>
      <c r="I744" s="349"/>
      <c r="J744" s="349"/>
      <c r="K744" s="349"/>
      <c r="L744" s="349"/>
      <c r="M744" s="349"/>
      <c r="N744" s="349"/>
      <c r="O744" s="349"/>
      <c r="P744" s="349"/>
      <c r="Q744" s="349"/>
      <c r="R744" s="349"/>
      <c r="S744" s="349"/>
      <c r="T744" s="349"/>
      <c r="U744" s="349"/>
      <c r="V744" s="349"/>
      <c r="W744" s="349"/>
      <c r="X744" s="349"/>
      <c r="Y744" s="349"/>
      <c r="Z744" s="349"/>
    </row>
    <row r="745">
      <c r="A745" s="349"/>
      <c r="B745" s="349"/>
      <c r="C745" s="395"/>
      <c r="D745" s="349"/>
      <c r="E745" s="349"/>
      <c r="F745" s="349"/>
      <c r="G745" s="396"/>
      <c r="H745" s="349"/>
      <c r="I745" s="349"/>
      <c r="J745" s="349"/>
      <c r="K745" s="349"/>
      <c r="L745" s="349"/>
      <c r="M745" s="349"/>
      <c r="N745" s="349"/>
      <c r="O745" s="349"/>
      <c r="P745" s="349"/>
      <c r="Q745" s="349"/>
      <c r="R745" s="349"/>
      <c r="S745" s="349"/>
      <c r="T745" s="349"/>
      <c r="U745" s="349"/>
      <c r="V745" s="349"/>
      <c r="W745" s="349"/>
      <c r="X745" s="349"/>
      <c r="Y745" s="349"/>
      <c r="Z745" s="349"/>
    </row>
    <row r="746">
      <c r="A746" s="349"/>
      <c r="B746" s="349"/>
      <c r="C746" s="395"/>
      <c r="D746" s="349"/>
      <c r="E746" s="349"/>
      <c r="F746" s="349"/>
      <c r="G746" s="396"/>
      <c r="H746" s="349"/>
      <c r="I746" s="349"/>
      <c r="J746" s="349"/>
      <c r="K746" s="349"/>
      <c r="L746" s="349"/>
      <c r="M746" s="349"/>
      <c r="N746" s="349"/>
      <c r="O746" s="349"/>
      <c r="P746" s="349"/>
      <c r="Q746" s="349"/>
      <c r="R746" s="349"/>
      <c r="S746" s="349"/>
      <c r="T746" s="349"/>
      <c r="U746" s="349"/>
      <c r="V746" s="349"/>
      <c r="W746" s="349"/>
      <c r="X746" s="349"/>
      <c r="Y746" s="349"/>
      <c r="Z746" s="349"/>
    </row>
    <row r="747">
      <c r="A747" s="349"/>
      <c r="B747" s="349"/>
      <c r="C747" s="395"/>
      <c r="D747" s="349"/>
      <c r="E747" s="349"/>
      <c r="F747" s="349"/>
      <c r="G747" s="396"/>
      <c r="H747" s="349"/>
      <c r="I747" s="349"/>
      <c r="J747" s="349"/>
      <c r="K747" s="349"/>
      <c r="L747" s="349"/>
      <c r="M747" s="349"/>
      <c r="N747" s="349"/>
      <c r="O747" s="349"/>
      <c r="P747" s="349"/>
      <c r="Q747" s="349"/>
      <c r="R747" s="349"/>
      <c r="S747" s="349"/>
      <c r="T747" s="349"/>
      <c r="U747" s="349"/>
      <c r="V747" s="349"/>
      <c r="W747" s="349"/>
      <c r="X747" s="349"/>
      <c r="Y747" s="349"/>
      <c r="Z747" s="349"/>
    </row>
    <row r="748">
      <c r="A748" s="349"/>
      <c r="B748" s="349"/>
      <c r="C748" s="395"/>
      <c r="D748" s="349"/>
      <c r="E748" s="349"/>
      <c r="F748" s="349"/>
      <c r="G748" s="396"/>
      <c r="H748" s="349"/>
      <c r="I748" s="349"/>
      <c r="J748" s="349"/>
      <c r="K748" s="349"/>
      <c r="L748" s="349"/>
      <c r="M748" s="349"/>
      <c r="N748" s="349"/>
      <c r="O748" s="349"/>
      <c r="P748" s="349"/>
      <c r="Q748" s="349"/>
      <c r="R748" s="349"/>
      <c r="S748" s="349"/>
      <c r="T748" s="349"/>
      <c r="U748" s="349"/>
      <c r="V748" s="349"/>
      <c r="W748" s="349"/>
      <c r="X748" s="349"/>
      <c r="Y748" s="349"/>
      <c r="Z748" s="349"/>
    </row>
    <row r="749">
      <c r="A749" s="349"/>
      <c r="B749" s="349"/>
      <c r="C749" s="395"/>
      <c r="D749" s="349"/>
      <c r="E749" s="349"/>
      <c r="F749" s="349"/>
      <c r="G749" s="396"/>
      <c r="H749" s="349"/>
      <c r="I749" s="349"/>
      <c r="J749" s="349"/>
      <c r="K749" s="349"/>
      <c r="L749" s="349"/>
      <c r="M749" s="349"/>
      <c r="N749" s="349"/>
      <c r="O749" s="349"/>
      <c r="P749" s="349"/>
      <c r="Q749" s="349"/>
      <c r="R749" s="349"/>
      <c r="S749" s="349"/>
      <c r="T749" s="349"/>
      <c r="U749" s="349"/>
      <c r="V749" s="349"/>
      <c r="W749" s="349"/>
      <c r="X749" s="349"/>
      <c r="Y749" s="349"/>
      <c r="Z749" s="349"/>
    </row>
    <row r="750">
      <c r="A750" s="349"/>
      <c r="B750" s="349"/>
      <c r="C750" s="395"/>
      <c r="D750" s="349"/>
      <c r="E750" s="349"/>
      <c r="F750" s="349"/>
      <c r="G750" s="396"/>
      <c r="H750" s="349"/>
      <c r="I750" s="349"/>
      <c r="J750" s="349"/>
      <c r="K750" s="349"/>
      <c r="L750" s="349"/>
      <c r="M750" s="349"/>
      <c r="N750" s="349"/>
      <c r="O750" s="349"/>
      <c r="P750" s="349"/>
      <c r="Q750" s="349"/>
      <c r="R750" s="349"/>
      <c r="S750" s="349"/>
      <c r="T750" s="349"/>
      <c r="U750" s="349"/>
      <c r="V750" s="349"/>
      <c r="W750" s="349"/>
      <c r="X750" s="349"/>
      <c r="Y750" s="349"/>
      <c r="Z750" s="349"/>
    </row>
    <row r="751">
      <c r="A751" s="349"/>
      <c r="B751" s="349"/>
      <c r="C751" s="395"/>
      <c r="D751" s="349"/>
      <c r="E751" s="349"/>
      <c r="F751" s="349"/>
      <c r="G751" s="396"/>
      <c r="H751" s="349"/>
      <c r="I751" s="349"/>
      <c r="J751" s="349"/>
      <c r="K751" s="349"/>
      <c r="L751" s="349"/>
      <c r="M751" s="349"/>
      <c r="N751" s="349"/>
      <c r="O751" s="349"/>
      <c r="P751" s="349"/>
      <c r="Q751" s="349"/>
      <c r="R751" s="349"/>
      <c r="S751" s="349"/>
      <c r="T751" s="349"/>
      <c r="U751" s="349"/>
      <c r="V751" s="349"/>
      <c r="W751" s="349"/>
      <c r="X751" s="349"/>
      <c r="Y751" s="349"/>
      <c r="Z751" s="349"/>
    </row>
    <row r="752">
      <c r="A752" s="349"/>
      <c r="B752" s="349"/>
      <c r="C752" s="395"/>
      <c r="D752" s="349"/>
      <c r="E752" s="349"/>
      <c r="F752" s="349"/>
      <c r="G752" s="396"/>
      <c r="H752" s="349"/>
      <c r="I752" s="349"/>
      <c r="J752" s="349"/>
      <c r="K752" s="349"/>
      <c r="L752" s="349"/>
      <c r="M752" s="349"/>
      <c r="N752" s="349"/>
      <c r="O752" s="349"/>
      <c r="P752" s="349"/>
      <c r="Q752" s="349"/>
      <c r="R752" s="349"/>
      <c r="S752" s="349"/>
      <c r="T752" s="349"/>
      <c r="U752" s="349"/>
      <c r="V752" s="349"/>
      <c r="W752" s="349"/>
      <c r="X752" s="349"/>
      <c r="Y752" s="349"/>
      <c r="Z752" s="349"/>
    </row>
    <row r="753">
      <c r="A753" s="349"/>
      <c r="B753" s="349"/>
      <c r="C753" s="395"/>
      <c r="D753" s="349"/>
      <c r="E753" s="349"/>
      <c r="F753" s="349"/>
      <c r="G753" s="396"/>
      <c r="H753" s="349"/>
      <c r="I753" s="349"/>
      <c r="J753" s="349"/>
      <c r="K753" s="349"/>
      <c r="L753" s="349"/>
      <c r="M753" s="349"/>
      <c r="N753" s="349"/>
      <c r="O753" s="349"/>
      <c r="P753" s="349"/>
      <c r="Q753" s="349"/>
      <c r="R753" s="349"/>
      <c r="S753" s="349"/>
      <c r="T753" s="349"/>
      <c r="U753" s="349"/>
      <c r="V753" s="349"/>
      <c r="W753" s="349"/>
      <c r="X753" s="349"/>
      <c r="Y753" s="349"/>
      <c r="Z753" s="349"/>
    </row>
    <row r="754">
      <c r="A754" s="349"/>
      <c r="B754" s="349"/>
      <c r="C754" s="395"/>
      <c r="D754" s="349"/>
      <c r="E754" s="349"/>
      <c r="F754" s="349"/>
      <c r="G754" s="396"/>
      <c r="H754" s="349"/>
      <c r="I754" s="349"/>
      <c r="J754" s="349"/>
      <c r="K754" s="349"/>
      <c r="L754" s="349"/>
      <c r="M754" s="349"/>
      <c r="N754" s="349"/>
      <c r="O754" s="349"/>
      <c r="P754" s="349"/>
      <c r="Q754" s="349"/>
      <c r="R754" s="349"/>
      <c r="S754" s="349"/>
      <c r="T754" s="349"/>
      <c r="U754" s="349"/>
      <c r="V754" s="349"/>
      <c r="W754" s="349"/>
      <c r="X754" s="349"/>
      <c r="Y754" s="349"/>
      <c r="Z754" s="349"/>
    </row>
    <row r="755">
      <c r="A755" s="349"/>
      <c r="B755" s="349"/>
      <c r="C755" s="395"/>
      <c r="D755" s="349"/>
      <c r="E755" s="349"/>
      <c r="F755" s="349"/>
      <c r="G755" s="396"/>
      <c r="H755" s="349"/>
      <c r="I755" s="349"/>
      <c r="J755" s="349"/>
      <c r="K755" s="349"/>
      <c r="L755" s="349"/>
      <c r="M755" s="349"/>
      <c r="N755" s="349"/>
      <c r="O755" s="349"/>
      <c r="P755" s="349"/>
      <c r="Q755" s="349"/>
      <c r="R755" s="349"/>
      <c r="S755" s="349"/>
      <c r="T755" s="349"/>
      <c r="U755" s="349"/>
      <c r="V755" s="349"/>
      <c r="W755" s="349"/>
      <c r="X755" s="349"/>
      <c r="Y755" s="349"/>
      <c r="Z755" s="349"/>
    </row>
    <row r="756">
      <c r="A756" s="349"/>
      <c r="B756" s="349"/>
      <c r="C756" s="395"/>
      <c r="D756" s="349"/>
      <c r="E756" s="349"/>
      <c r="F756" s="349"/>
      <c r="G756" s="396"/>
      <c r="H756" s="349"/>
      <c r="I756" s="349"/>
      <c r="J756" s="349"/>
      <c r="K756" s="349"/>
      <c r="L756" s="349"/>
      <c r="M756" s="349"/>
      <c r="N756" s="349"/>
      <c r="O756" s="349"/>
      <c r="P756" s="349"/>
      <c r="Q756" s="349"/>
      <c r="R756" s="349"/>
      <c r="S756" s="349"/>
      <c r="T756" s="349"/>
      <c r="U756" s="349"/>
      <c r="V756" s="349"/>
      <c r="W756" s="349"/>
      <c r="X756" s="349"/>
      <c r="Y756" s="349"/>
      <c r="Z756" s="349"/>
    </row>
    <row r="757">
      <c r="A757" s="349"/>
      <c r="B757" s="349"/>
      <c r="C757" s="395"/>
      <c r="D757" s="349"/>
      <c r="E757" s="349"/>
      <c r="F757" s="349"/>
      <c r="G757" s="396"/>
      <c r="H757" s="349"/>
      <c r="I757" s="349"/>
      <c r="J757" s="349"/>
      <c r="K757" s="349"/>
      <c r="L757" s="349"/>
      <c r="M757" s="349"/>
      <c r="N757" s="349"/>
      <c r="O757" s="349"/>
      <c r="P757" s="349"/>
      <c r="Q757" s="349"/>
      <c r="R757" s="349"/>
      <c r="S757" s="349"/>
      <c r="T757" s="349"/>
      <c r="U757" s="349"/>
      <c r="V757" s="349"/>
      <c r="W757" s="349"/>
      <c r="X757" s="349"/>
      <c r="Y757" s="349"/>
      <c r="Z757" s="349"/>
    </row>
    <row r="758">
      <c r="A758" s="349"/>
      <c r="B758" s="349"/>
      <c r="C758" s="395"/>
      <c r="D758" s="349"/>
      <c r="E758" s="349"/>
      <c r="F758" s="349"/>
      <c r="G758" s="396"/>
      <c r="H758" s="349"/>
      <c r="I758" s="349"/>
      <c r="J758" s="349"/>
      <c r="K758" s="349"/>
      <c r="L758" s="349"/>
      <c r="M758" s="349"/>
      <c r="N758" s="349"/>
      <c r="O758" s="349"/>
      <c r="P758" s="349"/>
      <c r="Q758" s="349"/>
      <c r="R758" s="349"/>
      <c r="S758" s="349"/>
      <c r="T758" s="349"/>
      <c r="U758" s="349"/>
      <c r="V758" s="349"/>
      <c r="W758" s="349"/>
      <c r="X758" s="349"/>
      <c r="Y758" s="349"/>
      <c r="Z758" s="349"/>
    </row>
    <row r="759">
      <c r="A759" s="349"/>
      <c r="B759" s="349"/>
      <c r="C759" s="395"/>
      <c r="D759" s="349"/>
      <c r="E759" s="349"/>
      <c r="F759" s="349"/>
      <c r="G759" s="396"/>
      <c r="H759" s="349"/>
      <c r="I759" s="349"/>
      <c r="J759" s="349"/>
      <c r="K759" s="349"/>
      <c r="L759" s="349"/>
      <c r="M759" s="349"/>
      <c r="N759" s="349"/>
      <c r="O759" s="349"/>
      <c r="P759" s="349"/>
      <c r="Q759" s="349"/>
      <c r="R759" s="349"/>
      <c r="S759" s="349"/>
      <c r="T759" s="349"/>
      <c r="U759" s="349"/>
      <c r="V759" s="349"/>
      <c r="W759" s="349"/>
      <c r="X759" s="349"/>
      <c r="Y759" s="349"/>
      <c r="Z759" s="349"/>
    </row>
    <row r="760">
      <c r="A760" s="349"/>
      <c r="B760" s="349"/>
      <c r="C760" s="395"/>
      <c r="D760" s="349"/>
      <c r="E760" s="349"/>
      <c r="F760" s="349"/>
      <c r="G760" s="396"/>
      <c r="H760" s="349"/>
      <c r="I760" s="349"/>
      <c r="J760" s="349"/>
      <c r="K760" s="349"/>
      <c r="L760" s="349"/>
      <c r="M760" s="349"/>
      <c r="N760" s="349"/>
      <c r="O760" s="349"/>
      <c r="P760" s="349"/>
      <c r="Q760" s="349"/>
      <c r="R760" s="349"/>
      <c r="S760" s="349"/>
      <c r="T760" s="349"/>
      <c r="U760" s="349"/>
      <c r="V760" s="349"/>
      <c r="W760" s="349"/>
      <c r="X760" s="349"/>
      <c r="Y760" s="349"/>
      <c r="Z760" s="349"/>
    </row>
    <row r="761">
      <c r="A761" s="349"/>
      <c r="B761" s="349"/>
      <c r="C761" s="395"/>
      <c r="D761" s="349"/>
      <c r="E761" s="349"/>
      <c r="F761" s="349"/>
      <c r="G761" s="396"/>
      <c r="H761" s="349"/>
      <c r="I761" s="349"/>
      <c r="J761" s="349"/>
      <c r="K761" s="349"/>
      <c r="L761" s="349"/>
      <c r="M761" s="349"/>
      <c r="N761" s="349"/>
      <c r="O761" s="349"/>
      <c r="P761" s="349"/>
      <c r="Q761" s="349"/>
      <c r="R761" s="349"/>
      <c r="S761" s="349"/>
      <c r="T761" s="349"/>
      <c r="U761" s="349"/>
      <c r="V761" s="349"/>
      <c r="W761" s="349"/>
      <c r="X761" s="349"/>
      <c r="Y761" s="349"/>
      <c r="Z761" s="349"/>
    </row>
    <row r="762">
      <c r="A762" s="349"/>
      <c r="B762" s="349"/>
      <c r="C762" s="395"/>
      <c r="D762" s="349"/>
      <c r="E762" s="349"/>
      <c r="F762" s="349"/>
      <c r="G762" s="396"/>
      <c r="H762" s="349"/>
      <c r="I762" s="349"/>
      <c r="J762" s="349"/>
      <c r="K762" s="349"/>
      <c r="L762" s="349"/>
      <c r="M762" s="349"/>
      <c r="N762" s="349"/>
      <c r="O762" s="349"/>
      <c r="P762" s="349"/>
      <c r="Q762" s="349"/>
      <c r="R762" s="349"/>
      <c r="S762" s="349"/>
      <c r="T762" s="349"/>
      <c r="U762" s="349"/>
      <c r="V762" s="349"/>
      <c r="W762" s="349"/>
      <c r="X762" s="349"/>
      <c r="Y762" s="349"/>
      <c r="Z762" s="349"/>
    </row>
    <row r="763">
      <c r="A763" s="349"/>
      <c r="B763" s="349"/>
      <c r="C763" s="395"/>
      <c r="D763" s="349"/>
      <c r="E763" s="349"/>
      <c r="F763" s="349"/>
      <c r="G763" s="396"/>
      <c r="H763" s="349"/>
      <c r="I763" s="349"/>
      <c r="J763" s="349"/>
      <c r="K763" s="349"/>
      <c r="L763" s="349"/>
      <c r="M763" s="349"/>
      <c r="N763" s="349"/>
      <c r="O763" s="349"/>
      <c r="P763" s="349"/>
      <c r="Q763" s="349"/>
      <c r="R763" s="349"/>
      <c r="S763" s="349"/>
      <c r="T763" s="349"/>
      <c r="U763" s="349"/>
      <c r="V763" s="349"/>
      <c r="W763" s="349"/>
      <c r="X763" s="349"/>
      <c r="Y763" s="349"/>
      <c r="Z763" s="349"/>
    </row>
    <row r="764">
      <c r="A764" s="349"/>
      <c r="B764" s="349"/>
      <c r="C764" s="395"/>
      <c r="D764" s="349"/>
      <c r="E764" s="349"/>
      <c r="F764" s="349"/>
      <c r="G764" s="396"/>
      <c r="H764" s="349"/>
      <c r="I764" s="349"/>
      <c r="J764" s="349"/>
      <c r="K764" s="349"/>
      <c r="L764" s="349"/>
      <c r="M764" s="349"/>
      <c r="N764" s="349"/>
      <c r="O764" s="349"/>
      <c r="P764" s="349"/>
      <c r="Q764" s="349"/>
      <c r="R764" s="349"/>
      <c r="S764" s="349"/>
      <c r="T764" s="349"/>
      <c r="U764" s="349"/>
      <c r="V764" s="349"/>
      <c r="W764" s="349"/>
      <c r="X764" s="349"/>
      <c r="Y764" s="349"/>
      <c r="Z764" s="349"/>
    </row>
    <row r="765">
      <c r="A765" s="349"/>
      <c r="B765" s="349"/>
      <c r="C765" s="395"/>
      <c r="D765" s="349"/>
      <c r="E765" s="349"/>
      <c r="F765" s="349"/>
      <c r="G765" s="396"/>
      <c r="H765" s="349"/>
      <c r="I765" s="349"/>
      <c r="J765" s="349"/>
      <c r="K765" s="349"/>
      <c r="L765" s="349"/>
      <c r="M765" s="349"/>
      <c r="N765" s="349"/>
      <c r="O765" s="349"/>
      <c r="P765" s="349"/>
      <c r="Q765" s="349"/>
      <c r="R765" s="349"/>
      <c r="S765" s="349"/>
      <c r="T765" s="349"/>
      <c r="U765" s="349"/>
      <c r="V765" s="349"/>
      <c r="W765" s="349"/>
      <c r="X765" s="349"/>
      <c r="Y765" s="349"/>
      <c r="Z765" s="349"/>
    </row>
    <row r="766">
      <c r="A766" s="349"/>
      <c r="B766" s="349"/>
      <c r="C766" s="395"/>
      <c r="D766" s="349"/>
      <c r="E766" s="349"/>
      <c r="F766" s="349"/>
      <c r="G766" s="396"/>
      <c r="H766" s="349"/>
      <c r="I766" s="349"/>
      <c r="J766" s="349"/>
      <c r="K766" s="349"/>
      <c r="L766" s="349"/>
      <c r="M766" s="349"/>
      <c r="N766" s="349"/>
      <c r="O766" s="349"/>
      <c r="P766" s="349"/>
      <c r="Q766" s="349"/>
      <c r="R766" s="349"/>
      <c r="S766" s="349"/>
      <c r="T766" s="349"/>
      <c r="U766" s="349"/>
      <c r="V766" s="349"/>
      <c r="W766" s="349"/>
      <c r="X766" s="349"/>
      <c r="Y766" s="349"/>
      <c r="Z766" s="349"/>
    </row>
    <row r="767">
      <c r="A767" s="349"/>
      <c r="B767" s="349"/>
      <c r="C767" s="395"/>
      <c r="D767" s="349"/>
      <c r="E767" s="349"/>
      <c r="F767" s="349"/>
      <c r="G767" s="396"/>
      <c r="H767" s="349"/>
      <c r="I767" s="349"/>
      <c r="J767" s="349"/>
      <c r="K767" s="349"/>
      <c r="L767" s="349"/>
      <c r="M767" s="349"/>
      <c r="N767" s="349"/>
      <c r="O767" s="349"/>
      <c r="P767" s="349"/>
      <c r="Q767" s="349"/>
      <c r="R767" s="349"/>
      <c r="S767" s="349"/>
      <c r="T767" s="349"/>
      <c r="U767" s="349"/>
      <c r="V767" s="349"/>
      <c r="W767" s="349"/>
      <c r="X767" s="349"/>
      <c r="Y767" s="349"/>
      <c r="Z767" s="349"/>
    </row>
    <row r="768">
      <c r="A768" s="349"/>
      <c r="B768" s="349"/>
      <c r="C768" s="395"/>
      <c r="D768" s="349"/>
      <c r="E768" s="349"/>
      <c r="F768" s="349"/>
      <c r="G768" s="396"/>
      <c r="H768" s="349"/>
      <c r="I768" s="349"/>
      <c r="J768" s="349"/>
      <c r="K768" s="349"/>
      <c r="L768" s="349"/>
      <c r="M768" s="349"/>
      <c r="N768" s="349"/>
      <c r="O768" s="349"/>
      <c r="P768" s="349"/>
      <c r="Q768" s="349"/>
      <c r="R768" s="349"/>
      <c r="S768" s="349"/>
      <c r="T768" s="349"/>
      <c r="U768" s="349"/>
      <c r="V768" s="349"/>
      <c r="W768" s="349"/>
      <c r="X768" s="349"/>
      <c r="Y768" s="349"/>
      <c r="Z768" s="349"/>
    </row>
    <row r="769">
      <c r="A769" s="349"/>
      <c r="B769" s="349"/>
      <c r="C769" s="395"/>
      <c r="D769" s="349"/>
      <c r="E769" s="349"/>
      <c r="F769" s="349"/>
      <c r="G769" s="396"/>
      <c r="H769" s="349"/>
      <c r="I769" s="349"/>
      <c r="J769" s="349"/>
      <c r="K769" s="349"/>
      <c r="L769" s="349"/>
      <c r="M769" s="349"/>
      <c r="N769" s="349"/>
      <c r="O769" s="349"/>
      <c r="P769" s="349"/>
      <c r="Q769" s="349"/>
      <c r="R769" s="349"/>
      <c r="S769" s="349"/>
      <c r="T769" s="349"/>
      <c r="U769" s="349"/>
      <c r="V769" s="349"/>
      <c r="W769" s="349"/>
      <c r="X769" s="349"/>
      <c r="Y769" s="349"/>
      <c r="Z769" s="349"/>
    </row>
    <row r="770">
      <c r="A770" s="349"/>
      <c r="B770" s="349"/>
      <c r="C770" s="395"/>
      <c r="D770" s="349"/>
      <c r="E770" s="349"/>
      <c r="F770" s="349"/>
      <c r="G770" s="396"/>
      <c r="H770" s="349"/>
      <c r="I770" s="349"/>
      <c r="J770" s="349"/>
      <c r="K770" s="349"/>
      <c r="L770" s="349"/>
      <c r="M770" s="349"/>
      <c r="N770" s="349"/>
      <c r="O770" s="349"/>
      <c r="P770" s="349"/>
      <c r="Q770" s="349"/>
      <c r="R770" s="349"/>
      <c r="S770" s="349"/>
      <c r="T770" s="349"/>
      <c r="U770" s="349"/>
      <c r="V770" s="349"/>
      <c r="W770" s="349"/>
      <c r="X770" s="349"/>
      <c r="Y770" s="349"/>
      <c r="Z770" s="349"/>
    </row>
    <row r="771">
      <c r="A771" s="349"/>
      <c r="B771" s="349"/>
      <c r="C771" s="395"/>
      <c r="D771" s="349"/>
      <c r="E771" s="349"/>
      <c r="F771" s="349"/>
      <c r="G771" s="396"/>
      <c r="H771" s="349"/>
      <c r="I771" s="349"/>
      <c r="J771" s="349"/>
      <c r="K771" s="349"/>
      <c r="L771" s="349"/>
      <c r="M771" s="349"/>
      <c r="N771" s="349"/>
      <c r="O771" s="349"/>
      <c r="P771" s="349"/>
      <c r="Q771" s="349"/>
      <c r="R771" s="349"/>
      <c r="S771" s="349"/>
      <c r="T771" s="349"/>
      <c r="U771" s="349"/>
      <c r="V771" s="349"/>
      <c r="W771" s="349"/>
      <c r="X771" s="349"/>
      <c r="Y771" s="349"/>
      <c r="Z771" s="349"/>
    </row>
    <row r="772">
      <c r="A772" s="349"/>
      <c r="B772" s="349"/>
      <c r="C772" s="395"/>
      <c r="D772" s="349"/>
      <c r="E772" s="349"/>
      <c r="F772" s="349"/>
      <c r="G772" s="396"/>
      <c r="H772" s="349"/>
      <c r="I772" s="349"/>
      <c r="J772" s="349"/>
      <c r="K772" s="349"/>
      <c r="L772" s="349"/>
      <c r="M772" s="349"/>
      <c r="N772" s="349"/>
      <c r="O772" s="349"/>
      <c r="P772" s="349"/>
      <c r="Q772" s="349"/>
      <c r="R772" s="349"/>
      <c r="S772" s="349"/>
      <c r="T772" s="349"/>
      <c r="U772" s="349"/>
      <c r="V772" s="349"/>
      <c r="W772" s="349"/>
      <c r="X772" s="349"/>
      <c r="Y772" s="349"/>
      <c r="Z772" s="349"/>
    </row>
    <row r="773">
      <c r="A773" s="349"/>
      <c r="B773" s="349"/>
      <c r="C773" s="395"/>
      <c r="D773" s="349"/>
      <c r="E773" s="349"/>
      <c r="F773" s="349"/>
      <c r="G773" s="396"/>
      <c r="H773" s="349"/>
      <c r="I773" s="349"/>
      <c r="J773" s="349"/>
      <c r="K773" s="349"/>
      <c r="L773" s="349"/>
      <c r="M773" s="349"/>
      <c r="N773" s="349"/>
      <c r="O773" s="349"/>
      <c r="P773" s="349"/>
      <c r="Q773" s="349"/>
      <c r="R773" s="349"/>
      <c r="S773" s="349"/>
      <c r="T773" s="349"/>
      <c r="U773" s="349"/>
      <c r="V773" s="349"/>
      <c r="W773" s="349"/>
      <c r="X773" s="349"/>
      <c r="Y773" s="349"/>
      <c r="Z773" s="349"/>
    </row>
    <row r="774">
      <c r="A774" s="349"/>
      <c r="B774" s="349"/>
      <c r="C774" s="395"/>
      <c r="D774" s="349"/>
      <c r="E774" s="349"/>
      <c r="F774" s="349"/>
      <c r="G774" s="396"/>
      <c r="H774" s="349"/>
      <c r="I774" s="349"/>
      <c r="J774" s="349"/>
      <c r="K774" s="349"/>
      <c r="L774" s="349"/>
      <c r="M774" s="349"/>
      <c r="N774" s="349"/>
      <c r="O774" s="349"/>
      <c r="P774" s="349"/>
      <c r="Q774" s="349"/>
      <c r="R774" s="349"/>
      <c r="S774" s="349"/>
      <c r="T774" s="349"/>
      <c r="U774" s="349"/>
      <c r="V774" s="349"/>
      <c r="W774" s="349"/>
      <c r="X774" s="349"/>
      <c r="Y774" s="349"/>
      <c r="Z774" s="349"/>
    </row>
    <row r="775">
      <c r="A775" s="349"/>
      <c r="B775" s="349"/>
      <c r="C775" s="395"/>
      <c r="D775" s="349"/>
      <c r="E775" s="349"/>
      <c r="F775" s="349"/>
      <c r="G775" s="396"/>
      <c r="H775" s="349"/>
      <c r="I775" s="349"/>
      <c r="J775" s="349"/>
      <c r="K775" s="349"/>
      <c r="L775" s="349"/>
      <c r="M775" s="349"/>
      <c r="N775" s="349"/>
      <c r="O775" s="349"/>
      <c r="P775" s="349"/>
      <c r="Q775" s="349"/>
      <c r="R775" s="349"/>
      <c r="S775" s="349"/>
      <c r="T775" s="349"/>
      <c r="U775" s="349"/>
      <c r="V775" s="349"/>
      <c r="W775" s="349"/>
      <c r="X775" s="349"/>
      <c r="Y775" s="349"/>
      <c r="Z775" s="349"/>
    </row>
    <row r="776">
      <c r="A776" s="349"/>
      <c r="B776" s="349"/>
      <c r="C776" s="395"/>
      <c r="D776" s="349"/>
      <c r="E776" s="349"/>
      <c r="F776" s="349"/>
      <c r="G776" s="396"/>
      <c r="H776" s="349"/>
      <c r="I776" s="349"/>
      <c r="J776" s="349"/>
      <c r="K776" s="349"/>
      <c r="L776" s="349"/>
      <c r="M776" s="349"/>
      <c r="N776" s="349"/>
      <c r="O776" s="349"/>
      <c r="P776" s="349"/>
      <c r="Q776" s="349"/>
      <c r="R776" s="349"/>
      <c r="S776" s="349"/>
      <c r="T776" s="349"/>
      <c r="U776" s="349"/>
      <c r="V776" s="349"/>
      <c r="W776" s="349"/>
      <c r="X776" s="349"/>
      <c r="Y776" s="349"/>
      <c r="Z776" s="349"/>
    </row>
    <row r="777">
      <c r="A777" s="349"/>
      <c r="B777" s="349"/>
      <c r="C777" s="395"/>
      <c r="D777" s="349"/>
      <c r="E777" s="349"/>
      <c r="F777" s="349"/>
      <c r="G777" s="396"/>
      <c r="H777" s="349"/>
      <c r="I777" s="349"/>
      <c r="J777" s="349"/>
      <c r="K777" s="349"/>
      <c r="L777" s="349"/>
      <c r="M777" s="349"/>
      <c r="N777" s="349"/>
      <c r="O777" s="349"/>
      <c r="P777" s="349"/>
      <c r="Q777" s="349"/>
      <c r="R777" s="349"/>
      <c r="S777" s="349"/>
      <c r="T777" s="349"/>
      <c r="U777" s="349"/>
      <c r="V777" s="349"/>
      <c r="W777" s="349"/>
      <c r="X777" s="349"/>
      <c r="Y777" s="349"/>
      <c r="Z777" s="349"/>
    </row>
    <row r="778">
      <c r="A778" s="349"/>
      <c r="B778" s="349"/>
      <c r="C778" s="395"/>
      <c r="D778" s="349"/>
      <c r="E778" s="349"/>
      <c r="F778" s="349"/>
      <c r="G778" s="396"/>
      <c r="H778" s="349"/>
      <c r="I778" s="349"/>
      <c r="J778" s="349"/>
      <c r="K778" s="349"/>
      <c r="L778" s="349"/>
      <c r="M778" s="349"/>
      <c r="N778" s="349"/>
      <c r="O778" s="349"/>
      <c r="P778" s="349"/>
      <c r="Q778" s="349"/>
      <c r="R778" s="349"/>
      <c r="S778" s="349"/>
      <c r="T778" s="349"/>
      <c r="U778" s="349"/>
      <c r="V778" s="349"/>
      <c r="W778" s="349"/>
      <c r="X778" s="349"/>
      <c r="Y778" s="349"/>
      <c r="Z778" s="349"/>
    </row>
    <row r="779">
      <c r="A779" s="349"/>
      <c r="B779" s="349"/>
      <c r="C779" s="395"/>
      <c r="D779" s="349"/>
      <c r="E779" s="349"/>
      <c r="F779" s="349"/>
      <c r="G779" s="396"/>
      <c r="H779" s="349"/>
      <c r="I779" s="349"/>
      <c r="J779" s="349"/>
      <c r="K779" s="349"/>
      <c r="L779" s="349"/>
      <c r="M779" s="349"/>
      <c r="N779" s="349"/>
      <c r="O779" s="349"/>
      <c r="P779" s="349"/>
      <c r="Q779" s="349"/>
      <c r="R779" s="349"/>
      <c r="S779" s="349"/>
      <c r="T779" s="349"/>
      <c r="U779" s="349"/>
      <c r="V779" s="349"/>
      <c r="W779" s="349"/>
      <c r="X779" s="349"/>
      <c r="Y779" s="349"/>
      <c r="Z779" s="349"/>
    </row>
    <row r="780">
      <c r="A780" s="349"/>
      <c r="B780" s="349"/>
      <c r="C780" s="395"/>
      <c r="D780" s="349"/>
      <c r="E780" s="349"/>
      <c r="F780" s="349"/>
      <c r="G780" s="396"/>
      <c r="H780" s="349"/>
      <c r="I780" s="349"/>
      <c r="J780" s="349"/>
      <c r="K780" s="349"/>
      <c r="L780" s="349"/>
      <c r="M780" s="349"/>
      <c r="N780" s="349"/>
      <c r="O780" s="349"/>
      <c r="P780" s="349"/>
      <c r="Q780" s="349"/>
      <c r="R780" s="349"/>
      <c r="S780" s="349"/>
      <c r="T780" s="349"/>
      <c r="U780" s="349"/>
      <c r="V780" s="349"/>
      <c r="W780" s="349"/>
      <c r="X780" s="349"/>
      <c r="Y780" s="349"/>
      <c r="Z780" s="349"/>
    </row>
    <row r="781">
      <c r="A781" s="349"/>
      <c r="B781" s="349"/>
      <c r="C781" s="395"/>
      <c r="D781" s="349"/>
      <c r="E781" s="349"/>
      <c r="F781" s="349"/>
      <c r="G781" s="396"/>
      <c r="H781" s="349"/>
      <c r="I781" s="349"/>
      <c r="J781" s="349"/>
      <c r="K781" s="349"/>
      <c r="L781" s="349"/>
      <c r="M781" s="349"/>
      <c r="N781" s="349"/>
      <c r="O781" s="349"/>
      <c r="P781" s="349"/>
      <c r="Q781" s="349"/>
      <c r="R781" s="349"/>
      <c r="S781" s="349"/>
      <c r="T781" s="349"/>
      <c r="U781" s="349"/>
      <c r="V781" s="349"/>
      <c r="W781" s="349"/>
      <c r="X781" s="349"/>
      <c r="Y781" s="349"/>
      <c r="Z781" s="349"/>
    </row>
    <row r="782">
      <c r="A782" s="349"/>
      <c r="B782" s="349"/>
      <c r="C782" s="395"/>
      <c r="D782" s="349"/>
      <c r="E782" s="349"/>
      <c r="F782" s="349"/>
      <c r="G782" s="396"/>
      <c r="H782" s="349"/>
      <c r="I782" s="349"/>
      <c r="J782" s="349"/>
      <c r="K782" s="349"/>
      <c r="L782" s="349"/>
      <c r="M782" s="349"/>
      <c r="N782" s="349"/>
      <c r="O782" s="349"/>
      <c r="P782" s="349"/>
      <c r="Q782" s="349"/>
      <c r="R782" s="349"/>
      <c r="S782" s="349"/>
      <c r="T782" s="349"/>
      <c r="U782" s="349"/>
      <c r="V782" s="349"/>
      <c r="W782" s="349"/>
      <c r="X782" s="349"/>
      <c r="Y782" s="349"/>
      <c r="Z782" s="349"/>
    </row>
    <row r="783">
      <c r="A783" s="349"/>
      <c r="B783" s="349"/>
      <c r="C783" s="395"/>
      <c r="D783" s="349"/>
      <c r="E783" s="349"/>
      <c r="F783" s="349"/>
      <c r="G783" s="396"/>
      <c r="H783" s="349"/>
      <c r="I783" s="349"/>
      <c r="J783" s="349"/>
      <c r="K783" s="349"/>
      <c r="L783" s="349"/>
      <c r="M783" s="349"/>
      <c r="N783" s="349"/>
      <c r="O783" s="349"/>
      <c r="P783" s="349"/>
      <c r="Q783" s="349"/>
      <c r="R783" s="349"/>
      <c r="S783" s="349"/>
      <c r="T783" s="349"/>
      <c r="U783" s="349"/>
      <c r="V783" s="349"/>
      <c r="W783" s="349"/>
      <c r="X783" s="349"/>
      <c r="Y783" s="349"/>
      <c r="Z783" s="349"/>
    </row>
    <row r="784">
      <c r="A784" s="349"/>
      <c r="B784" s="349"/>
      <c r="C784" s="395"/>
      <c r="D784" s="349"/>
      <c r="E784" s="349"/>
      <c r="F784" s="349"/>
      <c r="G784" s="396"/>
      <c r="H784" s="349"/>
      <c r="I784" s="349"/>
      <c r="J784" s="349"/>
      <c r="K784" s="349"/>
      <c r="L784" s="349"/>
      <c r="M784" s="349"/>
      <c r="N784" s="349"/>
      <c r="O784" s="349"/>
      <c r="P784" s="349"/>
      <c r="Q784" s="349"/>
      <c r="R784" s="349"/>
      <c r="S784" s="349"/>
      <c r="T784" s="349"/>
      <c r="U784" s="349"/>
      <c r="V784" s="349"/>
      <c r="W784" s="349"/>
      <c r="X784" s="349"/>
      <c r="Y784" s="349"/>
      <c r="Z784" s="349"/>
    </row>
    <row r="785">
      <c r="A785" s="349"/>
      <c r="B785" s="349"/>
      <c r="C785" s="395"/>
      <c r="D785" s="349"/>
      <c r="E785" s="349"/>
      <c r="F785" s="349"/>
      <c r="G785" s="396"/>
      <c r="H785" s="349"/>
      <c r="I785" s="349"/>
      <c r="J785" s="349"/>
      <c r="K785" s="349"/>
      <c r="L785" s="349"/>
      <c r="M785" s="349"/>
      <c r="N785" s="349"/>
      <c r="O785" s="349"/>
      <c r="P785" s="349"/>
      <c r="Q785" s="349"/>
      <c r="R785" s="349"/>
      <c r="S785" s="349"/>
      <c r="T785" s="349"/>
      <c r="U785" s="349"/>
      <c r="V785" s="349"/>
      <c r="W785" s="349"/>
      <c r="X785" s="349"/>
      <c r="Y785" s="349"/>
      <c r="Z785" s="349"/>
    </row>
    <row r="786">
      <c r="A786" s="349"/>
      <c r="B786" s="349"/>
      <c r="C786" s="395"/>
      <c r="D786" s="349"/>
      <c r="E786" s="349"/>
      <c r="F786" s="349"/>
      <c r="G786" s="396"/>
      <c r="H786" s="349"/>
      <c r="I786" s="349"/>
      <c r="J786" s="349"/>
      <c r="K786" s="349"/>
      <c r="L786" s="349"/>
      <c r="M786" s="349"/>
      <c r="N786" s="349"/>
      <c r="O786" s="349"/>
      <c r="P786" s="349"/>
      <c r="Q786" s="349"/>
      <c r="R786" s="349"/>
      <c r="S786" s="349"/>
      <c r="T786" s="349"/>
      <c r="U786" s="349"/>
      <c r="V786" s="349"/>
      <c r="W786" s="349"/>
      <c r="X786" s="349"/>
      <c r="Y786" s="349"/>
      <c r="Z786" s="349"/>
    </row>
    <row r="787">
      <c r="A787" s="349"/>
      <c r="B787" s="349"/>
      <c r="C787" s="395"/>
      <c r="D787" s="349"/>
      <c r="E787" s="349"/>
      <c r="F787" s="349"/>
      <c r="G787" s="396"/>
      <c r="H787" s="349"/>
      <c r="I787" s="349"/>
      <c r="J787" s="349"/>
      <c r="K787" s="349"/>
      <c r="L787" s="349"/>
      <c r="M787" s="349"/>
      <c r="N787" s="349"/>
      <c r="O787" s="349"/>
      <c r="P787" s="349"/>
      <c r="Q787" s="349"/>
      <c r="R787" s="349"/>
      <c r="S787" s="349"/>
      <c r="T787" s="349"/>
      <c r="U787" s="349"/>
      <c r="V787" s="349"/>
      <c r="W787" s="349"/>
      <c r="X787" s="349"/>
      <c r="Y787" s="349"/>
      <c r="Z787" s="349"/>
    </row>
    <row r="788">
      <c r="A788" s="349"/>
      <c r="B788" s="349"/>
      <c r="C788" s="395"/>
      <c r="D788" s="349"/>
      <c r="E788" s="349"/>
      <c r="F788" s="349"/>
      <c r="G788" s="396"/>
      <c r="H788" s="349"/>
      <c r="I788" s="349"/>
      <c r="J788" s="349"/>
      <c r="K788" s="349"/>
      <c r="L788" s="349"/>
      <c r="M788" s="349"/>
      <c r="N788" s="349"/>
      <c r="O788" s="349"/>
      <c r="P788" s="349"/>
      <c r="Q788" s="349"/>
      <c r="R788" s="349"/>
      <c r="S788" s="349"/>
      <c r="T788" s="349"/>
      <c r="U788" s="349"/>
      <c r="V788" s="349"/>
      <c r="W788" s="349"/>
      <c r="X788" s="349"/>
      <c r="Y788" s="349"/>
      <c r="Z788" s="349"/>
    </row>
    <row r="789">
      <c r="A789" s="349"/>
      <c r="B789" s="349"/>
      <c r="C789" s="395"/>
      <c r="D789" s="349"/>
      <c r="E789" s="349"/>
      <c r="F789" s="349"/>
      <c r="G789" s="396"/>
      <c r="H789" s="349"/>
      <c r="I789" s="349"/>
      <c r="J789" s="349"/>
      <c r="K789" s="349"/>
      <c r="L789" s="349"/>
      <c r="M789" s="349"/>
      <c r="N789" s="349"/>
      <c r="O789" s="349"/>
      <c r="P789" s="349"/>
      <c r="Q789" s="349"/>
      <c r="R789" s="349"/>
      <c r="S789" s="349"/>
      <c r="T789" s="349"/>
      <c r="U789" s="349"/>
      <c r="V789" s="349"/>
      <c r="W789" s="349"/>
      <c r="X789" s="349"/>
      <c r="Y789" s="349"/>
      <c r="Z789" s="349"/>
    </row>
    <row r="790">
      <c r="A790" s="349"/>
      <c r="B790" s="349"/>
      <c r="C790" s="395"/>
      <c r="D790" s="349"/>
      <c r="E790" s="349"/>
      <c r="F790" s="349"/>
      <c r="G790" s="396"/>
      <c r="H790" s="349"/>
      <c r="I790" s="349"/>
      <c r="J790" s="349"/>
      <c r="K790" s="349"/>
      <c r="L790" s="349"/>
      <c r="M790" s="349"/>
      <c r="N790" s="349"/>
      <c r="O790" s="349"/>
      <c r="P790" s="349"/>
      <c r="Q790" s="349"/>
      <c r="R790" s="349"/>
      <c r="S790" s="349"/>
      <c r="T790" s="349"/>
      <c r="U790" s="349"/>
      <c r="V790" s="349"/>
      <c r="W790" s="349"/>
      <c r="X790" s="349"/>
      <c r="Y790" s="349"/>
      <c r="Z790" s="349"/>
    </row>
    <row r="791">
      <c r="A791" s="349"/>
      <c r="B791" s="349"/>
      <c r="C791" s="395"/>
      <c r="D791" s="349"/>
      <c r="E791" s="349"/>
      <c r="F791" s="349"/>
      <c r="G791" s="396"/>
      <c r="H791" s="349"/>
      <c r="I791" s="349"/>
      <c r="J791" s="349"/>
      <c r="K791" s="349"/>
      <c r="L791" s="349"/>
      <c r="M791" s="349"/>
      <c r="N791" s="349"/>
      <c r="O791" s="349"/>
      <c r="P791" s="349"/>
      <c r="Q791" s="349"/>
      <c r="R791" s="349"/>
      <c r="S791" s="349"/>
      <c r="T791" s="349"/>
      <c r="U791" s="349"/>
      <c r="V791" s="349"/>
      <c r="W791" s="349"/>
      <c r="X791" s="349"/>
      <c r="Y791" s="349"/>
      <c r="Z791" s="349"/>
    </row>
    <row r="792">
      <c r="A792" s="349"/>
      <c r="B792" s="349"/>
      <c r="C792" s="395"/>
      <c r="D792" s="349"/>
      <c r="E792" s="349"/>
      <c r="F792" s="349"/>
      <c r="G792" s="396"/>
      <c r="H792" s="349"/>
      <c r="I792" s="349"/>
      <c r="J792" s="349"/>
      <c r="K792" s="349"/>
      <c r="L792" s="349"/>
      <c r="M792" s="349"/>
      <c r="N792" s="349"/>
      <c r="O792" s="349"/>
      <c r="P792" s="349"/>
      <c r="Q792" s="349"/>
      <c r="R792" s="349"/>
      <c r="S792" s="349"/>
      <c r="T792" s="349"/>
      <c r="U792" s="349"/>
      <c r="V792" s="349"/>
      <c r="W792" s="349"/>
      <c r="X792" s="349"/>
      <c r="Y792" s="349"/>
      <c r="Z792" s="349"/>
    </row>
    <row r="793">
      <c r="A793" s="349"/>
      <c r="B793" s="349"/>
      <c r="C793" s="395"/>
      <c r="D793" s="349"/>
      <c r="E793" s="349"/>
      <c r="F793" s="349"/>
      <c r="G793" s="396"/>
      <c r="H793" s="349"/>
      <c r="I793" s="349"/>
      <c r="J793" s="349"/>
      <c r="K793" s="349"/>
      <c r="L793" s="349"/>
      <c r="M793" s="349"/>
      <c r="N793" s="349"/>
      <c r="O793" s="349"/>
      <c r="P793" s="349"/>
      <c r="Q793" s="349"/>
      <c r="R793" s="349"/>
      <c r="S793" s="349"/>
      <c r="T793" s="349"/>
      <c r="U793" s="349"/>
      <c r="V793" s="349"/>
      <c r="W793" s="349"/>
      <c r="X793" s="349"/>
      <c r="Y793" s="349"/>
      <c r="Z793" s="349"/>
    </row>
    <row r="794">
      <c r="A794" s="349"/>
      <c r="B794" s="349"/>
      <c r="C794" s="395"/>
      <c r="D794" s="349"/>
      <c r="E794" s="349"/>
      <c r="F794" s="349"/>
      <c r="G794" s="396"/>
      <c r="H794" s="349"/>
      <c r="I794" s="349"/>
      <c r="J794" s="349"/>
      <c r="K794" s="349"/>
      <c r="L794" s="349"/>
      <c r="M794" s="349"/>
      <c r="N794" s="349"/>
      <c r="O794" s="349"/>
      <c r="P794" s="349"/>
      <c r="Q794" s="349"/>
      <c r="R794" s="349"/>
      <c r="S794" s="349"/>
      <c r="T794" s="349"/>
      <c r="U794" s="349"/>
      <c r="V794" s="349"/>
      <c r="W794" s="349"/>
      <c r="X794" s="349"/>
      <c r="Y794" s="349"/>
      <c r="Z794" s="349"/>
    </row>
    <row r="795">
      <c r="A795" s="349"/>
      <c r="B795" s="349"/>
      <c r="C795" s="395"/>
      <c r="D795" s="349"/>
      <c r="E795" s="349"/>
      <c r="F795" s="349"/>
      <c r="G795" s="396"/>
      <c r="H795" s="349"/>
      <c r="I795" s="349"/>
      <c r="J795" s="349"/>
      <c r="K795" s="349"/>
      <c r="L795" s="349"/>
      <c r="M795" s="349"/>
      <c r="N795" s="349"/>
      <c r="O795" s="349"/>
      <c r="P795" s="349"/>
      <c r="Q795" s="349"/>
      <c r="R795" s="349"/>
      <c r="S795" s="349"/>
      <c r="T795" s="349"/>
      <c r="U795" s="349"/>
      <c r="V795" s="349"/>
      <c r="W795" s="349"/>
      <c r="X795" s="349"/>
      <c r="Y795" s="349"/>
      <c r="Z795" s="349"/>
    </row>
    <row r="796">
      <c r="A796" s="349"/>
      <c r="B796" s="349"/>
      <c r="C796" s="395"/>
      <c r="D796" s="349"/>
      <c r="E796" s="349"/>
      <c r="F796" s="349"/>
      <c r="G796" s="396"/>
      <c r="H796" s="349"/>
      <c r="I796" s="349"/>
      <c r="J796" s="349"/>
      <c r="K796" s="349"/>
      <c r="L796" s="349"/>
      <c r="M796" s="349"/>
      <c r="N796" s="349"/>
      <c r="O796" s="349"/>
      <c r="P796" s="349"/>
      <c r="Q796" s="349"/>
      <c r="R796" s="349"/>
      <c r="S796" s="349"/>
      <c r="T796" s="349"/>
      <c r="U796" s="349"/>
      <c r="V796" s="349"/>
      <c r="W796" s="349"/>
      <c r="X796" s="349"/>
      <c r="Y796" s="349"/>
      <c r="Z796" s="349"/>
    </row>
    <row r="797">
      <c r="A797" s="349"/>
      <c r="B797" s="349"/>
      <c r="C797" s="395"/>
      <c r="D797" s="349"/>
      <c r="E797" s="349"/>
      <c r="F797" s="349"/>
      <c r="G797" s="396"/>
      <c r="H797" s="349"/>
      <c r="I797" s="349"/>
      <c r="J797" s="349"/>
      <c r="K797" s="349"/>
      <c r="L797" s="349"/>
      <c r="M797" s="349"/>
      <c r="N797" s="349"/>
      <c r="O797" s="349"/>
      <c r="P797" s="349"/>
      <c r="Q797" s="349"/>
      <c r="R797" s="349"/>
      <c r="S797" s="349"/>
      <c r="T797" s="349"/>
      <c r="U797" s="349"/>
      <c r="V797" s="349"/>
      <c r="W797" s="349"/>
      <c r="X797" s="349"/>
      <c r="Y797" s="349"/>
      <c r="Z797" s="349"/>
    </row>
    <row r="798">
      <c r="A798" s="349"/>
      <c r="B798" s="349"/>
      <c r="C798" s="395"/>
      <c r="D798" s="349"/>
      <c r="E798" s="349"/>
      <c r="F798" s="349"/>
      <c r="G798" s="396"/>
      <c r="H798" s="349"/>
      <c r="I798" s="349"/>
      <c r="J798" s="349"/>
      <c r="K798" s="349"/>
      <c r="L798" s="349"/>
      <c r="M798" s="349"/>
      <c r="N798" s="349"/>
      <c r="O798" s="349"/>
      <c r="P798" s="349"/>
      <c r="Q798" s="349"/>
      <c r="R798" s="349"/>
      <c r="S798" s="349"/>
      <c r="T798" s="349"/>
      <c r="U798" s="349"/>
      <c r="V798" s="349"/>
      <c r="W798" s="349"/>
      <c r="X798" s="349"/>
      <c r="Y798" s="349"/>
      <c r="Z798" s="349"/>
    </row>
    <row r="799">
      <c r="A799" s="349"/>
      <c r="B799" s="349"/>
      <c r="C799" s="395"/>
      <c r="D799" s="349"/>
      <c r="E799" s="349"/>
      <c r="F799" s="349"/>
      <c r="G799" s="396"/>
      <c r="H799" s="349"/>
      <c r="I799" s="349"/>
      <c r="J799" s="349"/>
      <c r="K799" s="349"/>
      <c r="L799" s="349"/>
      <c r="M799" s="349"/>
      <c r="N799" s="349"/>
      <c r="O799" s="349"/>
      <c r="P799" s="349"/>
      <c r="Q799" s="349"/>
      <c r="R799" s="349"/>
      <c r="S799" s="349"/>
      <c r="T799" s="349"/>
      <c r="U799" s="349"/>
      <c r="V799" s="349"/>
      <c r="W799" s="349"/>
      <c r="X799" s="349"/>
      <c r="Y799" s="349"/>
      <c r="Z799" s="349"/>
    </row>
    <row r="800">
      <c r="A800" s="349"/>
      <c r="B800" s="349"/>
      <c r="C800" s="395"/>
      <c r="D800" s="349"/>
      <c r="E800" s="349"/>
      <c r="F800" s="349"/>
      <c r="G800" s="396"/>
      <c r="H800" s="349"/>
      <c r="I800" s="349"/>
      <c r="J800" s="349"/>
      <c r="K800" s="349"/>
      <c r="L800" s="349"/>
      <c r="M800" s="349"/>
      <c r="N800" s="349"/>
      <c r="O800" s="349"/>
      <c r="P800" s="349"/>
      <c r="Q800" s="349"/>
      <c r="R800" s="349"/>
      <c r="S800" s="349"/>
      <c r="T800" s="349"/>
      <c r="U800" s="349"/>
      <c r="V800" s="349"/>
      <c r="W800" s="349"/>
      <c r="X800" s="349"/>
      <c r="Y800" s="349"/>
      <c r="Z800" s="349"/>
    </row>
    <row r="801">
      <c r="A801" s="349"/>
      <c r="B801" s="349"/>
      <c r="C801" s="395"/>
      <c r="D801" s="349"/>
      <c r="E801" s="349"/>
      <c r="F801" s="349"/>
      <c r="G801" s="396"/>
      <c r="H801" s="349"/>
      <c r="I801" s="349"/>
      <c r="J801" s="349"/>
      <c r="K801" s="349"/>
      <c r="L801" s="349"/>
      <c r="M801" s="349"/>
      <c r="N801" s="349"/>
      <c r="O801" s="349"/>
      <c r="P801" s="349"/>
      <c r="Q801" s="349"/>
      <c r="R801" s="349"/>
      <c r="S801" s="349"/>
      <c r="T801" s="349"/>
      <c r="U801" s="349"/>
      <c r="V801" s="349"/>
      <c r="W801" s="349"/>
      <c r="X801" s="349"/>
      <c r="Y801" s="349"/>
      <c r="Z801" s="349"/>
    </row>
    <row r="802">
      <c r="A802" s="349"/>
      <c r="B802" s="349"/>
      <c r="C802" s="395"/>
      <c r="D802" s="349"/>
      <c r="E802" s="349"/>
      <c r="F802" s="349"/>
      <c r="G802" s="396"/>
      <c r="H802" s="349"/>
      <c r="I802" s="349"/>
      <c r="J802" s="349"/>
      <c r="K802" s="349"/>
      <c r="L802" s="349"/>
      <c r="M802" s="349"/>
      <c r="N802" s="349"/>
      <c r="O802" s="349"/>
      <c r="P802" s="349"/>
      <c r="Q802" s="349"/>
      <c r="R802" s="349"/>
      <c r="S802" s="349"/>
      <c r="T802" s="349"/>
      <c r="U802" s="349"/>
      <c r="V802" s="349"/>
      <c r="W802" s="349"/>
      <c r="X802" s="349"/>
      <c r="Y802" s="349"/>
      <c r="Z802" s="349"/>
    </row>
    <row r="803">
      <c r="A803" s="349"/>
      <c r="B803" s="349"/>
      <c r="C803" s="395"/>
      <c r="D803" s="349"/>
      <c r="E803" s="349"/>
      <c r="F803" s="349"/>
      <c r="G803" s="396"/>
      <c r="H803" s="349"/>
      <c r="I803" s="349"/>
      <c r="J803" s="349"/>
      <c r="K803" s="349"/>
      <c r="L803" s="349"/>
      <c r="M803" s="349"/>
      <c r="N803" s="349"/>
      <c r="O803" s="349"/>
      <c r="P803" s="349"/>
      <c r="Q803" s="349"/>
      <c r="R803" s="349"/>
      <c r="S803" s="349"/>
      <c r="T803" s="349"/>
      <c r="U803" s="349"/>
      <c r="V803" s="349"/>
      <c r="W803" s="349"/>
      <c r="X803" s="349"/>
      <c r="Y803" s="349"/>
      <c r="Z803" s="349"/>
    </row>
    <row r="804">
      <c r="A804" s="349"/>
      <c r="B804" s="349"/>
      <c r="C804" s="395"/>
      <c r="D804" s="349"/>
      <c r="E804" s="349"/>
      <c r="F804" s="349"/>
      <c r="G804" s="396"/>
      <c r="H804" s="349"/>
      <c r="I804" s="349"/>
      <c r="J804" s="349"/>
      <c r="K804" s="349"/>
      <c r="L804" s="349"/>
      <c r="M804" s="349"/>
      <c r="N804" s="349"/>
      <c r="O804" s="349"/>
      <c r="P804" s="349"/>
      <c r="Q804" s="349"/>
      <c r="R804" s="349"/>
      <c r="S804" s="349"/>
      <c r="T804" s="349"/>
      <c r="U804" s="349"/>
      <c r="V804" s="349"/>
      <c r="W804" s="349"/>
      <c r="X804" s="349"/>
      <c r="Y804" s="349"/>
      <c r="Z804" s="349"/>
    </row>
    <row r="805">
      <c r="A805" s="349"/>
      <c r="B805" s="349"/>
      <c r="C805" s="395"/>
      <c r="D805" s="349"/>
      <c r="E805" s="349"/>
      <c r="F805" s="349"/>
      <c r="G805" s="396"/>
      <c r="H805" s="349"/>
      <c r="I805" s="349"/>
      <c r="J805" s="349"/>
      <c r="K805" s="349"/>
      <c r="L805" s="349"/>
      <c r="M805" s="349"/>
      <c r="N805" s="349"/>
      <c r="O805" s="349"/>
      <c r="P805" s="349"/>
      <c r="Q805" s="349"/>
      <c r="R805" s="349"/>
      <c r="S805" s="349"/>
      <c r="T805" s="349"/>
      <c r="U805" s="349"/>
      <c r="V805" s="349"/>
      <c r="W805" s="349"/>
      <c r="X805" s="349"/>
      <c r="Y805" s="349"/>
      <c r="Z805" s="349"/>
    </row>
    <row r="806">
      <c r="A806" s="349"/>
      <c r="B806" s="349"/>
      <c r="C806" s="395"/>
      <c r="D806" s="349"/>
      <c r="E806" s="349"/>
      <c r="F806" s="349"/>
      <c r="G806" s="396"/>
      <c r="H806" s="349"/>
      <c r="I806" s="349"/>
      <c r="J806" s="349"/>
      <c r="K806" s="349"/>
      <c r="L806" s="349"/>
      <c r="M806" s="349"/>
      <c r="N806" s="349"/>
      <c r="O806" s="349"/>
      <c r="P806" s="349"/>
      <c r="Q806" s="349"/>
      <c r="R806" s="349"/>
      <c r="S806" s="349"/>
      <c r="T806" s="349"/>
      <c r="U806" s="349"/>
      <c r="V806" s="349"/>
      <c r="W806" s="349"/>
      <c r="X806" s="349"/>
      <c r="Y806" s="349"/>
      <c r="Z806" s="349"/>
    </row>
    <row r="807">
      <c r="A807" s="349"/>
      <c r="B807" s="349"/>
      <c r="C807" s="395"/>
      <c r="D807" s="349"/>
      <c r="E807" s="349"/>
      <c r="F807" s="349"/>
      <c r="G807" s="396"/>
      <c r="H807" s="349"/>
      <c r="I807" s="349"/>
      <c r="J807" s="349"/>
      <c r="K807" s="349"/>
      <c r="L807" s="349"/>
      <c r="M807" s="349"/>
      <c r="N807" s="349"/>
      <c r="O807" s="349"/>
      <c r="P807" s="349"/>
      <c r="Q807" s="349"/>
      <c r="R807" s="349"/>
      <c r="S807" s="349"/>
      <c r="T807" s="349"/>
      <c r="U807" s="349"/>
      <c r="V807" s="349"/>
      <c r="W807" s="349"/>
      <c r="X807" s="349"/>
      <c r="Y807" s="349"/>
      <c r="Z807" s="349"/>
    </row>
    <row r="808">
      <c r="A808" s="349"/>
      <c r="B808" s="349"/>
      <c r="C808" s="395"/>
      <c r="D808" s="349"/>
      <c r="E808" s="349"/>
      <c r="F808" s="349"/>
      <c r="G808" s="396"/>
      <c r="H808" s="349"/>
      <c r="I808" s="349"/>
      <c r="J808" s="349"/>
      <c r="K808" s="349"/>
      <c r="L808" s="349"/>
      <c r="M808" s="349"/>
      <c r="N808" s="349"/>
      <c r="O808" s="349"/>
      <c r="P808" s="349"/>
      <c r="Q808" s="349"/>
      <c r="R808" s="349"/>
      <c r="S808" s="349"/>
      <c r="T808" s="349"/>
      <c r="U808" s="349"/>
      <c r="V808" s="349"/>
      <c r="W808" s="349"/>
      <c r="X808" s="349"/>
      <c r="Y808" s="349"/>
      <c r="Z808" s="349"/>
    </row>
    <row r="809">
      <c r="A809" s="349"/>
      <c r="B809" s="349"/>
      <c r="C809" s="395"/>
      <c r="D809" s="349"/>
      <c r="E809" s="349"/>
      <c r="F809" s="349"/>
      <c r="G809" s="396"/>
      <c r="H809" s="349"/>
      <c r="I809" s="349"/>
      <c r="J809" s="349"/>
      <c r="K809" s="349"/>
      <c r="L809" s="349"/>
      <c r="M809" s="349"/>
      <c r="N809" s="349"/>
      <c r="O809" s="349"/>
      <c r="P809" s="349"/>
      <c r="Q809" s="349"/>
      <c r="R809" s="349"/>
      <c r="S809" s="349"/>
      <c r="T809" s="349"/>
      <c r="U809" s="349"/>
      <c r="V809" s="349"/>
      <c r="W809" s="349"/>
      <c r="X809" s="349"/>
      <c r="Y809" s="349"/>
      <c r="Z809" s="349"/>
    </row>
    <row r="810">
      <c r="A810" s="349"/>
      <c r="B810" s="349"/>
      <c r="C810" s="395"/>
      <c r="D810" s="349"/>
      <c r="E810" s="349"/>
      <c r="F810" s="349"/>
      <c r="G810" s="396"/>
      <c r="H810" s="349"/>
      <c r="I810" s="349"/>
      <c r="J810" s="349"/>
      <c r="K810" s="349"/>
      <c r="L810" s="349"/>
      <c r="M810" s="349"/>
      <c r="N810" s="349"/>
      <c r="O810" s="349"/>
      <c r="P810" s="349"/>
      <c r="Q810" s="349"/>
      <c r="R810" s="349"/>
      <c r="S810" s="349"/>
      <c r="T810" s="349"/>
      <c r="U810" s="349"/>
      <c r="V810" s="349"/>
      <c r="W810" s="349"/>
      <c r="X810" s="349"/>
      <c r="Y810" s="349"/>
      <c r="Z810" s="349"/>
    </row>
    <row r="811">
      <c r="A811" s="349"/>
      <c r="B811" s="349"/>
      <c r="C811" s="395"/>
      <c r="D811" s="349"/>
      <c r="E811" s="349"/>
      <c r="F811" s="349"/>
      <c r="G811" s="396"/>
      <c r="H811" s="349"/>
      <c r="I811" s="349"/>
      <c r="J811" s="349"/>
      <c r="K811" s="349"/>
      <c r="L811" s="349"/>
      <c r="M811" s="349"/>
      <c r="N811" s="349"/>
      <c r="O811" s="349"/>
      <c r="P811" s="349"/>
      <c r="Q811" s="349"/>
      <c r="R811" s="349"/>
      <c r="S811" s="349"/>
      <c r="T811" s="349"/>
      <c r="U811" s="349"/>
      <c r="V811" s="349"/>
      <c r="W811" s="349"/>
      <c r="X811" s="349"/>
      <c r="Y811" s="349"/>
      <c r="Z811" s="349"/>
    </row>
    <row r="812">
      <c r="A812" s="349"/>
      <c r="B812" s="349"/>
      <c r="C812" s="395"/>
      <c r="D812" s="349"/>
      <c r="E812" s="349"/>
      <c r="F812" s="349"/>
      <c r="G812" s="396"/>
      <c r="H812" s="349"/>
      <c r="I812" s="349"/>
      <c r="J812" s="349"/>
      <c r="K812" s="349"/>
      <c r="L812" s="349"/>
      <c r="M812" s="349"/>
      <c r="N812" s="349"/>
      <c r="O812" s="349"/>
      <c r="P812" s="349"/>
      <c r="Q812" s="349"/>
      <c r="R812" s="349"/>
      <c r="S812" s="349"/>
      <c r="T812" s="349"/>
      <c r="U812" s="349"/>
      <c r="V812" s="349"/>
      <c r="W812" s="349"/>
      <c r="X812" s="349"/>
      <c r="Y812" s="349"/>
      <c r="Z812" s="349"/>
    </row>
    <row r="813">
      <c r="A813" s="349"/>
      <c r="B813" s="349"/>
      <c r="C813" s="395"/>
      <c r="D813" s="349"/>
      <c r="E813" s="349"/>
      <c r="F813" s="349"/>
      <c r="G813" s="396"/>
      <c r="H813" s="349"/>
      <c r="I813" s="349"/>
      <c r="J813" s="349"/>
      <c r="K813" s="349"/>
      <c r="L813" s="349"/>
      <c r="M813" s="349"/>
      <c r="N813" s="349"/>
      <c r="O813" s="349"/>
      <c r="P813" s="349"/>
      <c r="Q813" s="349"/>
      <c r="R813" s="349"/>
      <c r="S813" s="349"/>
      <c r="T813" s="349"/>
      <c r="U813" s="349"/>
      <c r="V813" s="349"/>
      <c r="W813" s="349"/>
      <c r="X813" s="349"/>
      <c r="Y813" s="349"/>
      <c r="Z813" s="349"/>
    </row>
    <row r="814">
      <c r="A814" s="349"/>
      <c r="B814" s="349"/>
      <c r="C814" s="395"/>
      <c r="D814" s="349"/>
      <c r="E814" s="349"/>
      <c r="F814" s="349"/>
      <c r="G814" s="396"/>
      <c r="H814" s="349"/>
      <c r="I814" s="349"/>
      <c r="J814" s="349"/>
      <c r="K814" s="349"/>
      <c r="L814" s="349"/>
      <c r="M814" s="349"/>
      <c r="N814" s="349"/>
      <c r="O814" s="349"/>
      <c r="P814" s="349"/>
      <c r="Q814" s="349"/>
      <c r="R814" s="349"/>
      <c r="S814" s="349"/>
      <c r="T814" s="349"/>
      <c r="U814" s="349"/>
      <c r="V814" s="349"/>
      <c r="W814" s="349"/>
      <c r="X814" s="349"/>
      <c r="Y814" s="349"/>
      <c r="Z814" s="349"/>
    </row>
    <row r="815">
      <c r="A815" s="349"/>
      <c r="B815" s="349"/>
      <c r="C815" s="395"/>
      <c r="D815" s="349"/>
      <c r="E815" s="349"/>
      <c r="F815" s="349"/>
      <c r="G815" s="396"/>
      <c r="H815" s="349"/>
      <c r="I815" s="349"/>
      <c r="J815" s="349"/>
      <c r="K815" s="349"/>
      <c r="L815" s="349"/>
      <c r="M815" s="349"/>
      <c r="N815" s="349"/>
      <c r="O815" s="349"/>
      <c r="P815" s="349"/>
      <c r="Q815" s="349"/>
      <c r="R815" s="349"/>
      <c r="S815" s="349"/>
      <c r="T815" s="349"/>
      <c r="U815" s="349"/>
      <c r="V815" s="349"/>
      <c r="W815" s="349"/>
      <c r="X815" s="349"/>
      <c r="Y815" s="349"/>
      <c r="Z815" s="349"/>
    </row>
    <row r="816">
      <c r="A816" s="349"/>
      <c r="B816" s="349"/>
      <c r="C816" s="395"/>
      <c r="D816" s="349"/>
      <c r="E816" s="349"/>
      <c r="F816" s="349"/>
      <c r="G816" s="396"/>
      <c r="H816" s="349"/>
      <c r="I816" s="349"/>
      <c r="J816" s="349"/>
      <c r="K816" s="349"/>
      <c r="L816" s="349"/>
      <c r="M816" s="349"/>
      <c r="N816" s="349"/>
      <c r="O816" s="349"/>
      <c r="P816" s="349"/>
      <c r="Q816" s="349"/>
      <c r="R816" s="349"/>
      <c r="S816" s="349"/>
      <c r="T816" s="349"/>
      <c r="U816" s="349"/>
      <c r="V816" s="349"/>
      <c r="W816" s="349"/>
      <c r="X816" s="349"/>
      <c r="Y816" s="349"/>
      <c r="Z816" s="349"/>
    </row>
    <row r="817">
      <c r="A817" s="349"/>
      <c r="B817" s="349"/>
      <c r="C817" s="395"/>
      <c r="D817" s="349"/>
      <c r="E817" s="349"/>
      <c r="F817" s="349"/>
      <c r="G817" s="396"/>
      <c r="H817" s="349"/>
      <c r="I817" s="349"/>
      <c r="J817" s="349"/>
      <c r="K817" s="349"/>
      <c r="L817" s="349"/>
      <c r="M817" s="349"/>
      <c r="N817" s="349"/>
      <c r="O817" s="349"/>
      <c r="P817" s="349"/>
      <c r="Q817" s="349"/>
      <c r="R817" s="349"/>
      <c r="S817" s="349"/>
      <c r="T817" s="349"/>
      <c r="U817" s="349"/>
      <c r="V817" s="349"/>
      <c r="W817" s="349"/>
      <c r="X817" s="349"/>
      <c r="Y817" s="349"/>
      <c r="Z817" s="349"/>
    </row>
    <row r="818">
      <c r="A818" s="349"/>
      <c r="B818" s="349"/>
      <c r="C818" s="395"/>
      <c r="D818" s="349"/>
      <c r="E818" s="349"/>
      <c r="F818" s="349"/>
      <c r="G818" s="396"/>
      <c r="H818" s="349"/>
      <c r="I818" s="349"/>
      <c r="J818" s="349"/>
      <c r="K818" s="349"/>
      <c r="L818" s="349"/>
      <c r="M818" s="349"/>
      <c r="N818" s="349"/>
      <c r="O818" s="349"/>
      <c r="P818" s="349"/>
      <c r="Q818" s="349"/>
      <c r="R818" s="349"/>
      <c r="S818" s="349"/>
      <c r="T818" s="349"/>
      <c r="U818" s="349"/>
      <c r="V818" s="349"/>
      <c r="W818" s="349"/>
      <c r="X818" s="349"/>
      <c r="Y818" s="349"/>
      <c r="Z818" s="349"/>
    </row>
    <row r="819">
      <c r="A819" s="349"/>
      <c r="B819" s="349"/>
      <c r="C819" s="395"/>
      <c r="D819" s="349"/>
      <c r="E819" s="349"/>
      <c r="F819" s="349"/>
      <c r="G819" s="396"/>
      <c r="H819" s="349"/>
      <c r="I819" s="349"/>
      <c r="J819" s="349"/>
      <c r="K819" s="349"/>
      <c r="L819" s="349"/>
      <c r="M819" s="349"/>
      <c r="N819" s="349"/>
      <c r="O819" s="349"/>
      <c r="P819" s="349"/>
      <c r="Q819" s="349"/>
      <c r="R819" s="349"/>
      <c r="S819" s="349"/>
      <c r="T819" s="349"/>
      <c r="U819" s="349"/>
      <c r="V819" s="349"/>
      <c r="W819" s="349"/>
      <c r="X819" s="349"/>
      <c r="Y819" s="349"/>
      <c r="Z819" s="349"/>
    </row>
    <row r="820">
      <c r="A820" s="349"/>
      <c r="B820" s="349"/>
      <c r="C820" s="395"/>
      <c r="D820" s="349"/>
      <c r="E820" s="349"/>
      <c r="F820" s="349"/>
      <c r="G820" s="396"/>
      <c r="H820" s="349"/>
      <c r="I820" s="349"/>
      <c r="J820" s="349"/>
      <c r="K820" s="349"/>
      <c r="L820" s="349"/>
      <c r="M820" s="349"/>
      <c r="N820" s="349"/>
      <c r="O820" s="349"/>
      <c r="P820" s="349"/>
      <c r="Q820" s="349"/>
      <c r="R820" s="349"/>
      <c r="S820" s="349"/>
      <c r="T820" s="349"/>
      <c r="U820" s="349"/>
      <c r="V820" s="349"/>
      <c r="W820" s="349"/>
      <c r="X820" s="349"/>
      <c r="Y820" s="349"/>
      <c r="Z820" s="349"/>
    </row>
    <row r="821">
      <c r="A821" s="349"/>
      <c r="B821" s="349"/>
      <c r="C821" s="395"/>
      <c r="D821" s="349"/>
      <c r="E821" s="349"/>
      <c r="F821" s="349"/>
      <c r="G821" s="396"/>
      <c r="H821" s="349"/>
      <c r="I821" s="349"/>
      <c r="J821" s="349"/>
      <c r="K821" s="349"/>
      <c r="L821" s="349"/>
      <c r="M821" s="349"/>
      <c r="N821" s="349"/>
      <c r="O821" s="349"/>
      <c r="P821" s="349"/>
      <c r="Q821" s="349"/>
      <c r="R821" s="349"/>
      <c r="S821" s="349"/>
      <c r="T821" s="349"/>
      <c r="U821" s="349"/>
      <c r="V821" s="349"/>
      <c r="W821" s="349"/>
      <c r="X821" s="349"/>
      <c r="Y821" s="349"/>
      <c r="Z821" s="349"/>
    </row>
    <row r="822">
      <c r="A822" s="349"/>
      <c r="B822" s="349"/>
      <c r="C822" s="395"/>
      <c r="D822" s="349"/>
      <c r="E822" s="349"/>
      <c r="F822" s="349"/>
      <c r="G822" s="396"/>
      <c r="H822" s="349"/>
      <c r="I822" s="349"/>
      <c r="J822" s="349"/>
      <c r="K822" s="349"/>
      <c r="L822" s="349"/>
      <c r="M822" s="349"/>
      <c r="N822" s="349"/>
      <c r="O822" s="349"/>
      <c r="P822" s="349"/>
      <c r="Q822" s="349"/>
      <c r="R822" s="349"/>
      <c r="S822" s="349"/>
      <c r="T822" s="349"/>
      <c r="U822" s="349"/>
      <c r="V822" s="349"/>
      <c r="W822" s="349"/>
      <c r="X822" s="349"/>
      <c r="Y822" s="349"/>
      <c r="Z822" s="349"/>
    </row>
    <row r="823">
      <c r="A823" s="349"/>
      <c r="B823" s="349"/>
      <c r="C823" s="395"/>
      <c r="D823" s="349"/>
      <c r="E823" s="349"/>
      <c r="F823" s="349"/>
      <c r="G823" s="396"/>
      <c r="H823" s="349"/>
      <c r="I823" s="349"/>
      <c r="J823" s="349"/>
      <c r="K823" s="349"/>
      <c r="L823" s="349"/>
      <c r="M823" s="349"/>
      <c r="N823" s="349"/>
      <c r="O823" s="349"/>
      <c r="P823" s="349"/>
      <c r="Q823" s="349"/>
      <c r="R823" s="349"/>
      <c r="S823" s="349"/>
      <c r="T823" s="349"/>
      <c r="U823" s="349"/>
      <c r="V823" s="349"/>
      <c r="W823" s="349"/>
      <c r="X823" s="349"/>
      <c r="Y823" s="349"/>
      <c r="Z823" s="349"/>
    </row>
    <row r="824">
      <c r="A824" s="349"/>
      <c r="B824" s="349"/>
      <c r="C824" s="395"/>
      <c r="D824" s="349"/>
      <c r="E824" s="349"/>
      <c r="F824" s="349"/>
      <c r="G824" s="396"/>
      <c r="H824" s="349"/>
      <c r="I824" s="349"/>
      <c r="J824" s="349"/>
      <c r="K824" s="349"/>
      <c r="L824" s="349"/>
      <c r="M824" s="349"/>
      <c r="N824" s="349"/>
      <c r="O824" s="349"/>
      <c r="P824" s="349"/>
      <c r="Q824" s="349"/>
      <c r="R824" s="349"/>
      <c r="S824" s="349"/>
      <c r="T824" s="349"/>
      <c r="U824" s="349"/>
      <c r="V824" s="349"/>
      <c r="W824" s="349"/>
      <c r="X824" s="349"/>
      <c r="Y824" s="349"/>
      <c r="Z824" s="349"/>
    </row>
    <row r="825">
      <c r="A825" s="349"/>
      <c r="B825" s="349"/>
      <c r="C825" s="395"/>
      <c r="D825" s="349"/>
      <c r="E825" s="349"/>
      <c r="F825" s="349"/>
      <c r="G825" s="396"/>
      <c r="H825" s="349"/>
      <c r="I825" s="349"/>
      <c r="J825" s="349"/>
      <c r="K825" s="349"/>
      <c r="L825" s="349"/>
      <c r="M825" s="349"/>
      <c r="N825" s="349"/>
      <c r="O825" s="349"/>
      <c r="P825" s="349"/>
      <c r="Q825" s="349"/>
      <c r="R825" s="349"/>
      <c r="S825" s="349"/>
      <c r="T825" s="349"/>
      <c r="U825" s="349"/>
      <c r="V825" s="349"/>
      <c r="W825" s="349"/>
      <c r="X825" s="349"/>
      <c r="Y825" s="349"/>
      <c r="Z825" s="349"/>
    </row>
    <row r="826">
      <c r="A826" s="349"/>
      <c r="B826" s="349"/>
      <c r="C826" s="395"/>
      <c r="D826" s="349"/>
      <c r="E826" s="349"/>
      <c r="F826" s="349"/>
      <c r="G826" s="396"/>
      <c r="H826" s="349"/>
      <c r="I826" s="349"/>
      <c r="J826" s="349"/>
      <c r="K826" s="349"/>
      <c r="L826" s="349"/>
      <c r="M826" s="349"/>
      <c r="N826" s="349"/>
      <c r="O826" s="349"/>
      <c r="P826" s="349"/>
      <c r="Q826" s="349"/>
      <c r="R826" s="349"/>
      <c r="S826" s="349"/>
      <c r="T826" s="349"/>
      <c r="U826" s="349"/>
      <c r="V826" s="349"/>
      <c r="W826" s="349"/>
      <c r="X826" s="349"/>
      <c r="Y826" s="349"/>
      <c r="Z826" s="349"/>
    </row>
    <row r="827">
      <c r="A827" s="349"/>
      <c r="B827" s="349"/>
      <c r="C827" s="395"/>
      <c r="D827" s="349"/>
      <c r="E827" s="349"/>
      <c r="F827" s="349"/>
      <c r="G827" s="396"/>
      <c r="H827" s="349"/>
      <c r="I827" s="349"/>
      <c r="J827" s="349"/>
      <c r="K827" s="349"/>
      <c r="L827" s="349"/>
      <c r="M827" s="349"/>
      <c r="N827" s="349"/>
      <c r="O827" s="349"/>
      <c r="P827" s="349"/>
      <c r="Q827" s="349"/>
      <c r="R827" s="349"/>
      <c r="S827" s="349"/>
      <c r="T827" s="349"/>
      <c r="U827" s="349"/>
      <c r="V827" s="349"/>
      <c r="W827" s="349"/>
      <c r="X827" s="349"/>
      <c r="Y827" s="349"/>
      <c r="Z827" s="349"/>
    </row>
    <row r="828">
      <c r="A828" s="349"/>
      <c r="B828" s="349"/>
      <c r="C828" s="395"/>
      <c r="D828" s="349"/>
      <c r="E828" s="349"/>
      <c r="F828" s="349"/>
      <c r="G828" s="396"/>
      <c r="H828" s="349"/>
      <c r="I828" s="349"/>
      <c r="J828" s="349"/>
      <c r="K828" s="349"/>
      <c r="L828" s="349"/>
      <c r="M828" s="349"/>
      <c r="N828" s="349"/>
      <c r="O828" s="349"/>
      <c r="P828" s="349"/>
      <c r="Q828" s="349"/>
      <c r="R828" s="349"/>
      <c r="S828" s="349"/>
      <c r="T828" s="349"/>
      <c r="U828" s="349"/>
      <c r="V828" s="349"/>
      <c r="W828" s="349"/>
      <c r="X828" s="349"/>
      <c r="Y828" s="349"/>
      <c r="Z828" s="349"/>
    </row>
    <row r="829">
      <c r="A829" s="349"/>
      <c r="B829" s="349"/>
      <c r="C829" s="395"/>
      <c r="D829" s="349"/>
      <c r="E829" s="349"/>
      <c r="F829" s="349"/>
      <c r="G829" s="396"/>
      <c r="H829" s="349"/>
      <c r="I829" s="349"/>
      <c r="J829" s="349"/>
      <c r="K829" s="349"/>
      <c r="L829" s="349"/>
      <c r="M829" s="349"/>
      <c r="N829" s="349"/>
      <c r="O829" s="349"/>
      <c r="P829" s="349"/>
      <c r="Q829" s="349"/>
      <c r="R829" s="349"/>
      <c r="S829" s="349"/>
      <c r="T829" s="349"/>
      <c r="U829" s="349"/>
      <c r="V829" s="349"/>
      <c r="W829" s="349"/>
      <c r="X829" s="349"/>
      <c r="Y829" s="349"/>
      <c r="Z829" s="349"/>
    </row>
    <row r="830">
      <c r="A830" s="349"/>
      <c r="B830" s="349"/>
      <c r="C830" s="395"/>
      <c r="D830" s="349"/>
      <c r="E830" s="349"/>
      <c r="F830" s="349"/>
      <c r="G830" s="396"/>
      <c r="H830" s="349"/>
      <c r="I830" s="349"/>
      <c r="J830" s="349"/>
      <c r="K830" s="349"/>
      <c r="L830" s="349"/>
      <c r="M830" s="349"/>
      <c r="N830" s="349"/>
      <c r="O830" s="349"/>
      <c r="P830" s="349"/>
      <c r="Q830" s="349"/>
      <c r="R830" s="349"/>
      <c r="S830" s="349"/>
      <c r="T830" s="349"/>
      <c r="U830" s="349"/>
      <c r="V830" s="349"/>
      <c r="W830" s="349"/>
      <c r="X830" s="349"/>
      <c r="Y830" s="349"/>
      <c r="Z830" s="349"/>
    </row>
    <row r="831">
      <c r="A831" s="349"/>
      <c r="B831" s="349"/>
      <c r="C831" s="395"/>
      <c r="D831" s="349"/>
      <c r="E831" s="349"/>
      <c r="F831" s="349"/>
      <c r="G831" s="396"/>
      <c r="H831" s="349"/>
      <c r="I831" s="349"/>
      <c r="J831" s="349"/>
      <c r="K831" s="349"/>
      <c r="L831" s="349"/>
      <c r="M831" s="349"/>
      <c r="N831" s="349"/>
      <c r="O831" s="349"/>
      <c r="P831" s="349"/>
      <c r="Q831" s="349"/>
      <c r="R831" s="349"/>
      <c r="S831" s="349"/>
      <c r="T831" s="349"/>
      <c r="U831" s="349"/>
      <c r="V831" s="349"/>
      <c r="W831" s="349"/>
      <c r="X831" s="349"/>
      <c r="Y831" s="349"/>
      <c r="Z831" s="349"/>
    </row>
    <row r="832">
      <c r="A832" s="349"/>
      <c r="B832" s="349"/>
      <c r="C832" s="395"/>
      <c r="D832" s="349"/>
      <c r="E832" s="349"/>
      <c r="F832" s="349"/>
      <c r="G832" s="396"/>
      <c r="H832" s="349"/>
      <c r="I832" s="349"/>
      <c r="J832" s="349"/>
      <c r="K832" s="349"/>
      <c r="L832" s="349"/>
      <c r="M832" s="349"/>
      <c r="N832" s="349"/>
      <c r="O832" s="349"/>
      <c r="P832" s="349"/>
      <c r="Q832" s="349"/>
      <c r="R832" s="349"/>
      <c r="S832" s="349"/>
      <c r="T832" s="349"/>
      <c r="U832" s="349"/>
      <c r="V832" s="349"/>
      <c r="W832" s="349"/>
      <c r="X832" s="349"/>
      <c r="Y832" s="349"/>
      <c r="Z832" s="349"/>
    </row>
    <row r="833">
      <c r="A833" s="349"/>
      <c r="B833" s="349"/>
      <c r="C833" s="395"/>
      <c r="D833" s="349"/>
      <c r="E833" s="349"/>
      <c r="F833" s="349"/>
      <c r="G833" s="396"/>
      <c r="H833" s="349"/>
      <c r="I833" s="349"/>
      <c r="J833" s="349"/>
      <c r="K833" s="349"/>
      <c r="L833" s="349"/>
      <c r="M833" s="349"/>
      <c r="N833" s="349"/>
      <c r="O833" s="349"/>
      <c r="P833" s="349"/>
      <c r="Q833" s="349"/>
      <c r="R833" s="349"/>
      <c r="S833" s="349"/>
      <c r="T833" s="349"/>
      <c r="U833" s="349"/>
      <c r="V833" s="349"/>
      <c r="W833" s="349"/>
      <c r="X833" s="349"/>
      <c r="Y833" s="349"/>
      <c r="Z833" s="349"/>
    </row>
    <row r="834">
      <c r="A834" s="349"/>
      <c r="B834" s="349"/>
      <c r="C834" s="395"/>
      <c r="D834" s="349"/>
      <c r="E834" s="349"/>
      <c r="F834" s="349"/>
      <c r="G834" s="396"/>
      <c r="H834" s="349"/>
      <c r="I834" s="349"/>
      <c r="J834" s="349"/>
      <c r="K834" s="349"/>
      <c r="L834" s="349"/>
      <c r="M834" s="349"/>
      <c r="N834" s="349"/>
      <c r="O834" s="349"/>
      <c r="P834" s="349"/>
      <c r="Q834" s="349"/>
      <c r="R834" s="349"/>
      <c r="S834" s="349"/>
      <c r="T834" s="349"/>
      <c r="U834" s="349"/>
      <c r="V834" s="349"/>
      <c r="W834" s="349"/>
      <c r="X834" s="349"/>
      <c r="Y834" s="349"/>
      <c r="Z834" s="349"/>
    </row>
    <row r="835">
      <c r="A835" s="349"/>
      <c r="B835" s="349"/>
      <c r="C835" s="395"/>
      <c r="D835" s="349"/>
      <c r="E835" s="349"/>
      <c r="F835" s="349"/>
      <c r="G835" s="396"/>
      <c r="H835" s="349"/>
      <c r="I835" s="349"/>
      <c r="J835" s="349"/>
      <c r="K835" s="349"/>
      <c r="L835" s="349"/>
      <c r="M835" s="349"/>
      <c r="N835" s="349"/>
      <c r="O835" s="349"/>
      <c r="P835" s="349"/>
      <c r="Q835" s="349"/>
      <c r="R835" s="349"/>
      <c r="S835" s="349"/>
      <c r="T835" s="349"/>
      <c r="U835" s="349"/>
      <c r="V835" s="349"/>
      <c r="W835" s="349"/>
      <c r="X835" s="349"/>
      <c r="Y835" s="349"/>
      <c r="Z835" s="349"/>
    </row>
    <row r="836">
      <c r="A836" s="349"/>
      <c r="B836" s="349"/>
      <c r="C836" s="395"/>
      <c r="D836" s="349"/>
      <c r="E836" s="349"/>
      <c r="F836" s="349"/>
      <c r="G836" s="396"/>
      <c r="H836" s="349"/>
      <c r="I836" s="349"/>
      <c r="J836" s="349"/>
      <c r="K836" s="349"/>
      <c r="L836" s="349"/>
      <c r="M836" s="349"/>
      <c r="N836" s="349"/>
      <c r="O836" s="349"/>
      <c r="P836" s="349"/>
      <c r="Q836" s="349"/>
      <c r="R836" s="349"/>
      <c r="S836" s="349"/>
      <c r="T836" s="349"/>
      <c r="U836" s="349"/>
      <c r="V836" s="349"/>
      <c r="W836" s="349"/>
      <c r="X836" s="349"/>
      <c r="Y836" s="349"/>
      <c r="Z836" s="349"/>
    </row>
    <row r="837">
      <c r="A837" s="349"/>
      <c r="B837" s="349"/>
      <c r="C837" s="395"/>
      <c r="D837" s="349"/>
      <c r="E837" s="349"/>
      <c r="F837" s="349"/>
      <c r="G837" s="396"/>
      <c r="H837" s="349"/>
      <c r="I837" s="349"/>
      <c r="J837" s="349"/>
      <c r="K837" s="349"/>
      <c r="L837" s="349"/>
      <c r="M837" s="349"/>
      <c r="N837" s="349"/>
      <c r="O837" s="349"/>
      <c r="P837" s="349"/>
      <c r="Q837" s="349"/>
      <c r="R837" s="349"/>
      <c r="S837" s="349"/>
      <c r="T837" s="349"/>
      <c r="U837" s="349"/>
      <c r="V837" s="349"/>
      <c r="W837" s="349"/>
      <c r="X837" s="349"/>
      <c r="Y837" s="349"/>
      <c r="Z837" s="349"/>
    </row>
    <row r="838">
      <c r="A838" s="349"/>
      <c r="B838" s="349"/>
      <c r="C838" s="395"/>
      <c r="D838" s="349"/>
      <c r="E838" s="349"/>
      <c r="F838" s="349"/>
      <c r="G838" s="396"/>
      <c r="H838" s="349"/>
      <c r="I838" s="349"/>
      <c r="J838" s="349"/>
      <c r="K838" s="349"/>
      <c r="L838" s="349"/>
      <c r="M838" s="349"/>
      <c r="N838" s="349"/>
      <c r="O838" s="349"/>
      <c r="P838" s="349"/>
      <c r="Q838" s="349"/>
      <c r="R838" s="349"/>
      <c r="S838" s="349"/>
      <c r="T838" s="349"/>
      <c r="U838" s="349"/>
      <c r="V838" s="349"/>
      <c r="W838" s="349"/>
      <c r="X838" s="349"/>
      <c r="Y838" s="349"/>
      <c r="Z838" s="349"/>
    </row>
    <row r="839">
      <c r="A839" s="349"/>
      <c r="B839" s="349"/>
      <c r="C839" s="395"/>
      <c r="D839" s="349"/>
      <c r="E839" s="349"/>
      <c r="F839" s="349"/>
      <c r="G839" s="396"/>
      <c r="H839" s="349"/>
      <c r="I839" s="349"/>
      <c r="J839" s="349"/>
      <c r="K839" s="349"/>
      <c r="L839" s="349"/>
      <c r="M839" s="349"/>
      <c r="N839" s="349"/>
      <c r="O839" s="349"/>
      <c r="P839" s="349"/>
      <c r="Q839" s="349"/>
      <c r="R839" s="349"/>
      <c r="S839" s="349"/>
      <c r="T839" s="349"/>
      <c r="U839" s="349"/>
      <c r="V839" s="349"/>
      <c r="W839" s="349"/>
      <c r="X839" s="349"/>
      <c r="Y839" s="349"/>
      <c r="Z839" s="349"/>
    </row>
    <row r="840">
      <c r="A840" s="349"/>
      <c r="B840" s="349"/>
      <c r="C840" s="395"/>
      <c r="D840" s="349"/>
      <c r="E840" s="349"/>
      <c r="F840" s="349"/>
      <c r="G840" s="396"/>
      <c r="H840" s="349"/>
      <c r="I840" s="349"/>
      <c r="J840" s="349"/>
      <c r="K840" s="349"/>
      <c r="L840" s="349"/>
      <c r="M840" s="349"/>
      <c r="N840" s="349"/>
      <c r="O840" s="349"/>
      <c r="P840" s="349"/>
      <c r="Q840" s="349"/>
      <c r="R840" s="349"/>
      <c r="S840" s="349"/>
      <c r="T840" s="349"/>
      <c r="U840" s="349"/>
      <c r="V840" s="349"/>
      <c r="W840" s="349"/>
      <c r="X840" s="349"/>
      <c r="Y840" s="349"/>
      <c r="Z840" s="349"/>
    </row>
    <row r="841">
      <c r="A841" s="349"/>
      <c r="B841" s="349"/>
      <c r="C841" s="395"/>
      <c r="D841" s="349"/>
      <c r="E841" s="349"/>
      <c r="F841" s="349"/>
      <c r="G841" s="396"/>
      <c r="H841" s="349"/>
      <c r="I841" s="349"/>
      <c r="J841" s="349"/>
      <c r="K841" s="349"/>
      <c r="L841" s="349"/>
      <c r="M841" s="349"/>
      <c r="N841" s="349"/>
      <c r="O841" s="349"/>
      <c r="P841" s="349"/>
      <c r="Q841" s="349"/>
      <c r="R841" s="349"/>
      <c r="S841" s="349"/>
      <c r="T841" s="349"/>
      <c r="U841" s="349"/>
      <c r="V841" s="349"/>
      <c r="W841" s="349"/>
      <c r="X841" s="349"/>
      <c r="Y841" s="349"/>
      <c r="Z841" s="349"/>
    </row>
    <row r="842">
      <c r="A842" s="349"/>
      <c r="B842" s="349"/>
      <c r="C842" s="395"/>
      <c r="D842" s="349"/>
      <c r="E842" s="349"/>
      <c r="F842" s="349"/>
      <c r="G842" s="396"/>
      <c r="H842" s="349"/>
      <c r="I842" s="349"/>
      <c r="J842" s="349"/>
      <c r="K842" s="349"/>
      <c r="L842" s="349"/>
      <c r="M842" s="349"/>
      <c r="N842" s="349"/>
      <c r="O842" s="349"/>
      <c r="P842" s="349"/>
      <c r="Q842" s="349"/>
      <c r="R842" s="349"/>
      <c r="S842" s="349"/>
      <c r="T842" s="349"/>
      <c r="U842" s="349"/>
      <c r="V842" s="349"/>
      <c r="W842" s="349"/>
      <c r="X842" s="349"/>
      <c r="Y842" s="349"/>
      <c r="Z842" s="349"/>
    </row>
    <row r="843">
      <c r="A843" s="349"/>
      <c r="B843" s="349"/>
      <c r="C843" s="395"/>
      <c r="D843" s="349"/>
      <c r="E843" s="349"/>
      <c r="F843" s="349"/>
      <c r="G843" s="396"/>
      <c r="H843" s="349"/>
      <c r="I843" s="349"/>
      <c r="J843" s="349"/>
      <c r="K843" s="349"/>
      <c r="L843" s="349"/>
      <c r="M843" s="349"/>
      <c r="N843" s="349"/>
      <c r="O843" s="349"/>
      <c r="P843" s="349"/>
      <c r="Q843" s="349"/>
      <c r="R843" s="349"/>
      <c r="S843" s="349"/>
      <c r="T843" s="349"/>
      <c r="U843" s="349"/>
      <c r="V843" s="349"/>
      <c r="W843" s="349"/>
      <c r="X843" s="349"/>
      <c r="Y843" s="349"/>
      <c r="Z843" s="349"/>
    </row>
    <row r="844">
      <c r="A844" s="349"/>
      <c r="B844" s="349"/>
      <c r="C844" s="395"/>
      <c r="D844" s="349"/>
      <c r="E844" s="349"/>
      <c r="F844" s="349"/>
      <c r="G844" s="396"/>
      <c r="H844" s="349"/>
      <c r="I844" s="349"/>
      <c r="J844" s="349"/>
      <c r="K844" s="349"/>
      <c r="L844" s="349"/>
      <c r="M844" s="349"/>
      <c r="N844" s="349"/>
      <c r="O844" s="349"/>
      <c r="P844" s="349"/>
      <c r="Q844" s="349"/>
      <c r="R844" s="349"/>
      <c r="S844" s="349"/>
      <c r="T844" s="349"/>
      <c r="U844" s="349"/>
      <c r="V844" s="349"/>
      <c r="W844" s="349"/>
      <c r="X844" s="349"/>
      <c r="Y844" s="349"/>
      <c r="Z844" s="349"/>
    </row>
    <row r="845">
      <c r="A845" s="349"/>
      <c r="B845" s="349"/>
      <c r="C845" s="395"/>
      <c r="D845" s="349"/>
      <c r="E845" s="349"/>
      <c r="F845" s="349"/>
      <c r="G845" s="396"/>
      <c r="H845" s="349"/>
      <c r="I845" s="349"/>
      <c r="J845" s="349"/>
      <c r="K845" s="349"/>
      <c r="L845" s="349"/>
      <c r="M845" s="349"/>
      <c r="N845" s="349"/>
      <c r="O845" s="349"/>
      <c r="P845" s="349"/>
      <c r="Q845" s="349"/>
      <c r="R845" s="349"/>
      <c r="S845" s="349"/>
      <c r="T845" s="349"/>
      <c r="U845" s="349"/>
      <c r="V845" s="349"/>
      <c r="W845" s="349"/>
      <c r="X845" s="349"/>
      <c r="Y845" s="349"/>
      <c r="Z845" s="349"/>
    </row>
    <row r="846">
      <c r="A846" s="349"/>
      <c r="B846" s="349"/>
      <c r="C846" s="395"/>
      <c r="D846" s="349"/>
      <c r="E846" s="349"/>
      <c r="F846" s="349"/>
      <c r="G846" s="396"/>
      <c r="H846" s="349"/>
      <c r="I846" s="349"/>
      <c r="J846" s="349"/>
      <c r="K846" s="349"/>
      <c r="L846" s="349"/>
      <c r="M846" s="349"/>
      <c r="N846" s="349"/>
      <c r="O846" s="349"/>
      <c r="P846" s="349"/>
      <c r="Q846" s="349"/>
      <c r="R846" s="349"/>
      <c r="S846" s="349"/>
      <c r="T846" s="349"/>
      <c r="U846" s="349"/>
      <c r="V846" s="349"/>
      <c r="W846" s="349"/>
      <c r="X846" s="349"/>
      <c r="Y846" s="349"/>
      <c r="Z846" s="349"/>
    </row>
    <row r="847">
      <c r="A847" s="349"/>
      <c r="B847" s="349"/>
      <c r="C847" s="395"/>
      <c r="D847" s="349"/>
      <c r="E847" s="349"/>
      <c r="F847" s="349"/>
      <c r="G847" s="396"/>
      <c r="H847" s="349"/>
      <c r="I847" s="349"/>
      <c r="J847" s="349"/>
      <c r="K847" s="349"/>
      <c r="L847" s="349"/>
      <c r="M847" s="349"/>
      <c r="N847" s="349"/>
      <c r="O847" s="349"/>
      <c r="P847" s="349"/>
      <c r="Q847" s="349"/>
      <c r="R847" s="349"/>
      <c r="S847" s="349"/>
      <c r="T847" s="349"/>
      <c r="U847" s="349"/>
      <c r="V847" s="349"/>
      <c r="W847" s="349"/>
      <c r="X847" s="349"/>
      <c r="Y847" s="349"/>
      <c r="Z847" s="349"/>
    </row>
    <row r="848">
      <c r="A848" s="349"/>
      <c r="B848" s="349"/>
      <c r="C848" s="395"/>
      <c r="D848" s="349"/>
      <c r="E848" s="349"/>
      <c r="F848" s="349"/>
      <c r="G848" s="396"/>
      <c r="H848" s="349"/>
      <c r="I848" s="349"/>
      <c r="J848" s="349"/>
      <c r="K848" s="349"/>
      <c r="L848" s="349"/>
      <c r="M848" s="349"/>
      <c r="N848" s="349"/>
      <c r="O848" s="349"/>
      <c r="P848" s="349"/>
      <c r="Q848" s="349"/>
      <c r="R848" s="349"/>
      <c r="S848" s="349"/>
      <c r="T848" s="349"/>
      <c r="U848" s="349"/>
      <c r="V848" s="349"/>
      <c r="W848" s="349"/>
      <c r="X848" s="349"/>
      <c r="Y848" s="349"/>
      <c r="Z848" s="349"/>
    </row>
    <row r="849">
      <c r="A849" s="349"/>
      <c r="B849" s="349"/>
      <c r="C849" s="395"/>
      <c r="D849" s="349"/>
      <c r="E849" s="349"/>
      <c r="F849" s="349"/>
      <c r="G849" s="396"/>
      <c r="H849" s="349"/>
      <c r="I849" s="349"/>
      <c r="J849" s="349"/>
      <c r="K849" s="349"/>
      <c r="L849" s="349"/>
      <c r="M849" s="349"/>
      <c r="N849" s="349"/>
      <c r="O849" s="349"/>
      <c r="P849" s="349"/>
      <c r="Q849" s="349"/>
      <c r="R849" s="349"/>
      <c r="S849" s="349"/>
      <c r="T849" s="349"/>
      <c r="U849" s="349"/>
      <c r="V849" s="349"/>
      <c r="W849" s="349"/>
      <c r="X849" s="349"/>
      <c r="Y849" s="349"/>
      <c r="Z849" s="349"/>
    </row>
    <row r="850">
      <c r="A850" s="349"/>
      <c r="B850" s="349"/>
      <c r="C850" s="395"/>
      <c r="D850" s="349"/>
      <c r="E850" s="349"/>
      <c r="F850" s="349"/>
      <c r="G850" s="396"/>
      <c r="H850" s="349"/>
      <c r="I850" s="349"/>
      <c r="J850" s="349"/>
      <c r="K850" s="349"/>
      <c r="L850" s="349"/>
      <c r="M850" s="349"/>
      <c r="N850" s="349"/>
      <c r="O850" s="349"/>
      <c r="P850" s="349"/>
      <c r="Q850" s="349"/>
      <c r="R850" s="349"/>
      <c r="S850" s="349"/>
      <c r="T850" s="349"/>
      <c r="U850" s="349"/>
      <c r="V850" s="349"/>
      <c r="W850" s="349"/>
      <c r="X850" s="349"/>
      <c r="Y850" s="349"/>
      <c r="Z850" s="349"/>
    </row>
    <row r="851">
      <c r="A851" s="349"/>
      <c r="B851" s="349"/>
      <c r="C851" s="395"/>
      <c r="D851" s="349"/>
      <c r="E851" s="349"/>
      <c r="F851" s="349"/>
      <c r="G851" s="396"/>
      <c r="H851" s="349"/>
      <c r="I851" s="349"/>
      <c r="J851" s="349"/>
      <c r="K851" s="349"/>
      <c r="L851" s="349"/>
      <c r="M851" s="349"/>
      <c r="N851" s="349"/>
      <c r="O851" s="349"/>
      <c r="P851" s="349"/>
      <c r="Q851" s="349"/>
      <c r="R851" s="349"/>
      <c r="S851" s="349"/>
      <c r="T851" s="349"/>
      <c r="U851" s="349"/>
      <c r="V851" s="349"/>
      <c r="W851" s="349"/>
      <c r="X851" s="349"/>
      <c r="Y851" s="349"/>
      <c r="Z851" s="349"/>
    </row>
    <row r="852">
      <c r="A852" s="349"/>
      <c r="B852" s="349"/>
      <c r="C852" s="395"/>
      <c r="D852" s="349"/>
      <c r="E852" s="349"/>
      <c r="F852" s="349"/>
      <c r="G852" s="396"/>
      <c r="H852" s="349"/>
      <c r="I852" s="349"/>
      <c r="J852" s="349"/>
      <c r="K852" s="349"/>
      <c r="L852" s="349"/>
      <c r="M852" s="349"/>
      <c r="N852" s="349"/>
      <c r="O852" s="349"/>
      <c r="P852" s="349"/>
      <c r="Q852" s="349"/>
      <c r="R852" s="349"/>
      <c r="S852" s="349"/>
      <c r="T852" s="349"/>
      <c r="U852" s="349"/>
      <c r="V852" s="349"/>
      <c r="W852" s="349"/>
      <c r="X852" s="349"/>
      <c r="Y852" s="349"/>
      <c r="Z852" s="349"/>
    </row>
    <row r="853">
      <c r="A853" s="349"/>
      <c r="B853" s="349"/>
      <c r="C853" s="395"/>
      <c r="D853" s="349"/>
      <c r="E853" s="349"/>
      <c r="F853" s="349"/>
      <c r="G853" s="396"/>
      <c r="H853" s="349"/>
      <c r="I853" s="349"/>
      <c r="J853" s="349"/>
      <c r="K853" s="349"/>
      <c r="L853" s="349"/>
      <c r="M853" s="349"/>
      <c r="N853" s="349"/>
      <c r="O853" s="349"/>
      <c r="P853" s="349"/>
      <c r="Q853" s="349"/>
      <c r="R853" s="349"/>
      <c r="S853" s="349"/>
      <c r="T853" s="349"/>
      <c r="U853" s="349"/>
      <c r="V853" s="349"/>
      <c r="W853" s="349"/>
      <c r="X853" s="349"/>
      <c r="Y853" s="349"/>
      <c r="Z853" s="349"/>
    </row>
    <row r="854">
      <c r="A854" s="349"/>
      <c r="B854" s="349"/>
      <c r="C854" s="395"/>
      <c r="D854" s="349"/>
      <c r="E854" s="349"/>
      <c r="F854" s="349"/>
      <c r="G854" s="396"/>
      <c r="H854" s="349"/>
      <c r="I854" s="349"/>
      <c r="J854" s="349"/>
      <c r="K854" s="349"/>
      <c r="L854" s="349"/>
      <c r="M854" s="349"/>
      <c r="N854" s="349"/>
      <c r="O854" s="349"/>
      <c r="P854" s="349"/>
      <c r="Q854" s="349"/>
      <c r="R854" s="349"/>
      <c r="S854" s="349"/>
      <c r="T854" s="349"/>
      <c r="U854" s="349"/>
      <c r="V854" s="349"/>
      <c r="W854" s="349"/>
      <c r="X854" s="349"/>
      <c r="Y854" s="349"/>
      <c r="Z854" s="349"/>
    </row>
    <row r="855">
      <c r="A855" s="349"/>
      <c r="B855" s="349"/>
      <c r="C855" s="395"/>
      <c r="D855" s="349"/>
      <c r="E855" s="349"/>
      <c r="F855" s="349"/>
      <c r="G855" s="396"/>
      <c r="H855" s="349"/>
      <c r="I855" s="349"/>
      <c r="J855" s="349"/>
      <c r="K855" s="349"/>
      <c r="L855" s="349"/>
      <c r="M855" s="349"/>
      <c r="N855" s="349"/>
      <c r="O855" s="349"/>
      <c r="P855" s="349"/>
      <c r="Q855" s="349"/>
      <c r="R855" s="349"/>
      <c r="S855" s="349"/>
      <c r="T855" s="349"/>
      <c r="U855" s="349"/>
      <c r="V855" s="349"/>
      <c r="W855" s="349"/>
      <c r="X855" s="349"/>
      <c r="Y855" s="349"/>
      <c r="Z855" s="349"/>
    </row>
    <row r="856">
      <c r="A856" s="349"/>
      <c r="B856" s="349"/>
      <c r="C856" s="395"/>
      <c r="D856" s="349"/>
      <c r="E856" s="349"/>
      <c r="F856" s="349"/>
      <c r="G856" s="396"/>
      <c r="H856" s="349"/>
      <c r="I856" s="349"/>
      <c r="J856" s="349"/>
      <c r="K856" s="349"/>
      <c r="L856" s="349"/>
      <c r="M856" s="349"/>
      <c r="N856" s="349"/>
      <c r="O856" s="349"/>
      <c r="P856" s="349"/>
      <c r="Q856" s="349"/>
      <c r="R856" s="349"/>
      <c r="S856" s="349"/>
      <c r="T856" s="349"/>
      <c r="U856" s="349"/>
      <c r="V856" s="349"/>
      <c r="W856" s="349"/>
      <c r="X856" s="349"/>
      <c r="Y856" s="349"/>
      <c r="Z856" s="349"/>
    </row>
    <row r="857">
      <c r="A857" s="349"/>
      <c r="B857" s="349"/>
      <c r="C857" s="395"/>
      <c r="D857" s="349"/>
      <c r="E857" s="349"/>
      <c r="F857" s="349"/>
      <c r="G857" s="396"/>
      <c r="H857" s="349"/>
      <c r="I857" s="349"/>
      <c r="J857" s="349"/>
      <c r="K857" s="349"/>
      <c r="L857" s="349"/>
      <c r="M857" s="349"/>
      <c r="N857" s="349"/>
      <c r="O857" s="349"/>
      <c r="P857" s="349"/>
      <c r="Q857" s="349"/>
      <c r="R857" s="349"/>
      <c r="S857" s="349"/>
      <c r="T857" s="349"/>
      <c r="U857" s="349"/>
      <c r="V857" s="349"/>
      <c r="W857" s="349"/>
      <c r="X857" s="349"/>
      <c r="Y857" s="349"/>
      <c r="Z857" s="349"/>
    </row>
    <row r="858">
      <c r="A858" s="349"/>
      <c r="B858" s="349"/>
      <c r="C858" s="395"/>
      <c r="D858" s="349"/>
      <c r="E858" s="349"/>
      <c r="F858" s="349"/>
      <c r="G858" s="396"/>
      <c r="H858" s="349"/>
      <c r="I858" s="349"/>
      <c r="J858" s="349"/>
      <c r="K858" s="349"/>
      <c r="L858" s="349"/>
      <c r="M858" s="349"/>
      <c r="N858" s="349"/>
      <c r="O858" s="349"/>
      <c r="P858" s="349"/>
      <c r="Q858" s="349"/>
      <c r="R858" s="349"/>
      <c r="S858" s="349"/>
      <c r="T858" s="349"/>
      <c r="U858" s="349"/>
      <c r="V858" s="349"/>
      <c r="W858" s="349"/>
      <c r="X858" s="349"/>
      <c r="Y858" s="349"/>
      <c r="Z858" s="349"/>
    </row>
    <row r="859">
      <c r="A859" s="349"/>
      <c r="B859" s="349"/>
      <c r="C859" s="395"/>
      <c r="D859" s="349"/>
      <c r="E859" s="349"/>
      <c r="F859" s="349"/>
      <c r="G859" s="396"/>
      <c r="H859" s="349"/>
      <c r="I859" s="349"/>
      <c r="J859" s="349"/>
      <c r="K859" s="349"/>
      <c r="L859" s="349"/>
      <c r="M859" s="349"/>
      <c r="N859" s="349"/>
      <c r="O859" s="349"/>
      <c r="P859" s="349"/>
      <c r="Q859" s="349"/>
      <c r="R859" s="349"/>
      <c r="S859" s="349"/>
      <c r="T859" s="349"/>
      <c r="U859" s="349"/>
      <c r="V859" s="349"/>
      <c r="W859" s="349"/>
      <c r="X859" s="349"/>
      <c r="Y859" s="349"/>
      <c r="Z859" s="349"/>
    </row>
    <row r="860">
      <c r="A860" s="349"/>
      <c r="B860" s="349"/>
      <c r="C860" s="395"/>
      <c r="D860" s="349"/>
      <c r="E860" s="349"/>
      <c r="F860" s="349"/>
      <c r="G860" s="396"/>
      <c r="H860" s="349"/>
      <c r="I860" s="349"/>
      <c r="J860" s="349"/>
      <c r="K860" s="349"/>
      <c r="L860" s="349"/>
      <c r="M860" s="349"/>
      <c r="N860" s="349"/>
      <c r="O860" s="349"/>
      <c r="P860" s="349"/>
      <c r="Q860" s="349"/>
      <c r="R860" s="349"/>
      <c r="S860" s="349"/>
      <c r="T860" s="349"/>
      <c r="U860" s="349"/>
      <c r="V860" s="349"/>
      <c r="W860" s="349"/>
      <c r="X860" s="349"/>
      <c r="Y860" s="349"/>
      <c r="Z860" s="349"/>
    </row>
    <row r="861">
      <c r="A861" s="349"/>
      <c r="B861" s="349"/>
      <c r="C861" s="395"/>
      <c r="D861" s="349"/>
      <c r="E861" s="349"/>
      <c r="F861" s="349"/>
      <c r="G861" s="396"/>
      <c r="H861" s="349"/>
      <c r="I861" s="349"/>
      <c r="J861" s="349"/>
      <c r="K861" s="349"/>
      <c r="L861" s="349"/>
      <c r="M861" s="349"/>
      <c r="N861" s="349"/>
      <c r="O861" s="349"/>
      <c r="P861" s="349"/>
      <c r="Q861" s="349"/>
      <c r="R861" s="349"/>
      <c r="S861" s="349"/>
      <c r="T861" s="349"/>
      <c r="U861" s="349"/>
      <c r="V861" s="349"/>
      <c r="W861" s="349"/>
      <c r="X861" s="349"/>
      <c r="Y861" s="349"/>
      <c r="Z861" s="349"/>
    </row>
    <row r="862">
      <c r="A862" s="349"/>
      <c r="B862" s="349"/>
      <c r="C862" s="395"/>
      <c r="D862" s="349"/>
      <c r="E862" s="349"/>
      <c r="F862" s="349"/>
      <c r="G862" s="396"/>
      <c r="H862" s="349"/>
      <c r="I862" s="349"/>
      <c r="J862" s="349"/>
      <c r="K862" s="349"/>
      <c r="L862" s="349"/>
      <c r="M862" s="349"/>
      <c r="N862" s="349"/>
      <c r="O862" s="349"/>
      <c r="P862" s="349"/>
      <c r="Q862" s="349"/>
      <c r="R862" s="349"/>
      <c r="S862" s="349"/>
      <c r="T862" s="349"/>
      <c r="U862" s="349"/>
      <c r="V862" s="349"/>
      <c r="W862" s="349"/>
      <c r="X862" s="349"/>
      <c r="Y862" s="349"/>
      <c r="Z862" s="349"/>
    </row>
    <row r="863">
      <c r="A863" s="349"/>
      <c r="B863" s="349"/>
      <c r="C863" s="395"/>
      <c r="D863" s="349"/>
      <c r="E863" s="349"/>
      <c r="F863" s="349"/>
      <c r="G863" s="396"/>
      <c r="H863" s="349"/>
      <c r="I863" s="349"/>
      <c r="J863" s="349"/>
      <c r="K863" s="349"/>
      <c r="L863" s="349"/>
      <c r="M863" s="349"/>
      <c r="N863" s="349"/>
      <c r="O863" s="349"/>
      <c r="P863" s="349"/>
      <c r="Q863" s="349"/>
      <c r="R863" s="349"/>
      <c r="S863" s="349"/>
      <c r="T863" s="349"/>
      <c r="U863" s="349"/>
      <c r="V863" s="349"/>
      <c r="W863" s="349"/>
      <c r="X863" s="349"/>
      <c r="Y863" s="349"/>
      <c r="Z863" s="349"/>
    </row>
    <row r="864">
      <c r="A864" s="349"/>
      <c r="B864" s="349"/>
      <c r="C864" s="395"/>
      <c r="D864" s="349"/>
      <c r="E864" s="349"/>
      <c r="F864" s="349"/>
      <c r="G864" s="396"/>
      <c r="H864" s="349"/>
      <c r="I864" s="349"/>
      <c r="J864" s="349"/>
      <c r="K864" s="349"/>
      <c r="L864" s="349"/>
      <c r="M864" s="349"/>
      <c r="N864" s="349"/>
      <c r="O864" s="349"/>
      <c r="P864" s="349"/>
      <c r="Q864" s="349"/>
      <c r="R864" s="349"/>
      <c r="S864" s="349"/>
      <c r="T864" s="349"/>
      <c r="U864" s="349"/>
      <c r="V864" s="349"/>
      <c r="W864" s="349"/>
      <c r="X864" s="349"/>
      <c r="Y864" s="349"/>
      <c r="Z864" s="349"/>
    </row>
    <row r="865">
      <c r="A865" s="349"/>
      <c r="B865" s="349"/>
      <c r="C865" s="395"/>
      <c r="D865" s="349"/>
      <c r="E865" s="349"/>
      <c r="F865" s="349"/>
      <c r="G865" s="396"/>
      <c r="H865" s="349"/>
      <c r="I865" s="349"/>
      <c r="J865" s="349"/>
      <c r="K865" s="349"/>
      <c r="L865" s="349"/>
      <c r="M865" s="349"/>
      <c r="N865" s="349"/>
      <c r="O865" s="349"/>
      <c r="P865" s="349"/>
      <c r="Q865" s="349"/>
      <c r="R865" s="349"/>
      <c r="S865" s="349"/>
      <c r="T865" s="349"/>
      <c r="U865" s="349"/>
      <c r="V865" s="349"/>
      <c r="W865" s="349"/>
      <c r="X865" s="349"/>
      <c r="Y865" s="349"/>
      <c r="Z865" s="349"/>
    </row>
    <row r="866">
      <c r="A866" s="349"/>
      <c r="B866" s="349"/>
      <c r="C866" s="395"/>
      <c r="D866" s="349"/>
      <c r="E866" s="349"/>
      <c r="F866" s="349"/>
      <c r="G866" s="396"/>
      <c r="H866" s="349"/>
      <c r="I866" s="349"/>
      <c r="J866" s="349"/>
      <c r="K866" s="349"/>
      <c r="L866" s="349"/>
      <c r="M866" s="349"/>
      <c r="N866" s="349"/>
      <c r="O866" s="349"/>
      <c r="P866" s="349"/>
      <c r="Q866" s="349"/>
      <c r="R866" s="349"/>
      <c r="S866" s="349"/>
      <c r="T866" s="349"/>
      <c r="U866" s="349"/>
      <c r="V866" s="349"/>
      <c r="W866" s="349"/>
      <c r="X866" s="349"/>
      <c r="Y866" s="349"/>
      <c r="Z866" s="349"/>
    </row>
    <row r="867">
      <c r="A867" s="349"/>
      <c r="B867" s="349"/>
      <c r="C867" s="395"/>
      <c r="D867" s="349"/>
      <c r="E867" s="349"/>
      <c r="F867" s="349"/>
      <c r="G867" s="396"/>
      <c r="H867" s="349"/>
      <c r="I867" s="349"/>
      <c r="J867" s="349"/>
      <c r="K867" s="349"/>
      <c r="L867" s="349"/>
      <c r="M867" s="349"/>
      <c r="N867" s="349"/>
      <c r="O867" s="349"/>
      <c r="P867" s="349"/>
      <c r="Q867" s="349"/>
      <c r="R867" s="349"/>
      <c r="S867" s="349"/>
      <c r="T867" s="349"/>
      <c r="U867" s="349"/>
      <c r="V867" s="349"/>
      <c r="W867" s="349"/>
      <c r="X867" s="349"/>
      <c r="Y867" s="349"/>
      <c r="Z867" s="349"/>
    </row>
    <row r="868">
      <c r="A868" s="349"/>
      <c r="B868" s="349"/>
      <c r="C868" s="395"/>
      <c r="D868" s="349"/>
      <c r="E868" s="349"/>
      <c r="F868" s="349"/>
      <c r="G868" s="396"/>
      <c r="H868" s="349"/>
      <c r="I868" s="349"/>
      <c r="J868" s="349"/>
      <c r="K868" s="349"/>
      <c r="L868" s="349"/>
      <c r="M868" s="349"/>
      <c r="N868" s="349"/>
      <c r="O868" s="349"/>
      <c r="P868" s="349"/>
      <c r="Q868" s="349"/>
      <c r="R868" s="349"/>
      <c r="S868" s="349"/>
      <c r="T868" s="349"/>
      <c r="U868" s="349"/>
      <c r="V868" s="349"/>
      <c r="W868" s="349"/>
      <c r="X868" s="349"/>
      <c r="Y868" s="349"/>
      <c r="Z868" s="349"/>
    </row>
    <row r="869">
      <c r="A869" s="349"/>
      <c r="B869" s="349"/>
      <c r="C869" s="395"/>
      <c r="D869" s="349"/>
      <c r="E869" s="349"/>
      <c r="F869" s="349"/>
      <c r="G869" s="396"/>
      <c r="H869" s="349"/>
      <c r="I869" s="349"/>
      <c r="J869" s="349"/>
      <c r="K869" s="349"/>
      <c r="L869" s="349"/>
      <c r="M869" s="349"/>
      <c r="N869" s="349"/>
      <c r="O869" s="349"/>
      <c r="P869" s="349"/>
      <c r="Q869" s="349"/>
      <c r="R869" s="349"/>
      <c r="S869" s="349"/>
      <c r="T869" s="349"/>
      <c r="U869" s="349"/>
      <c r="V869" s="349"/>
      <c r="W869" s="349"/>
      <c r="X869" s="349"/>
      <c r="Y869" s="349"/>
      <c r="Z869" s="349"/>
    </row>
    <row r="870">
      <c r="A870" s="349"/>
      <c r="B870" s="349"/>
      <c r="C870" s="395"/>
      <c r="D870" s="349"/>
      <c r="E870" s="349"/>
      <c r="F870" s="349"/>
      <c r="G870" s="396"/>
      <c r="H870" s="349"/>
      <c r="I870" s="349"/>
      <c r="J870" s="349"/>
      <c r="K870" s="349"/>
      <c r="L870" s="349"/>
      <c r="M870" s="349"/>
      <c r="N870" s="349"/>
      <c r="O870" s="349"/>
      <c r="P870" s="349"/>
      <c r="Q870" s="349"/>
      <c r="R870" s="349"/>
      <c r="S870" s="349"/>
      <c r="T870" s="349"/>
      <c r="U870" s="349"/>
      <c r="V870" s="349"/>
      <c r="W870" s="349"/>
      <c r="X870" s="349"/>
      <c r="Y870" s="349"/>
      <c r="Z870" s="349"/>
    </row>
    <row r="871">
      <c r="A871" s="349"/>
      <c r="B871" s="349"/>
      <c r="C871" s="395"/>
      <c r="D871" s="349"/>
      <c r="E871" s="349"/>
      <c r="F871" s="349"/>
      <c r="G871" s="396"/>
      <c r="H871" s="349"/>
      <c r="I871" s="349"/>
      <c r="J871" s="349"/>
      <c r="K871" s="349"/>
      <c r="L871" s="349"/>
      <c r="M871" s="349"/>
      <c r="N871" s="349"/>
      <c r="O871" s="349"/>
      <c r="P871" s="349"/>
      <c r="Q871" s="349"/>
      <c r="R871" s="349"/>
      <c r="S871" s="349"/>
      <c r="T871" s="349"/>
      <c r="U871" s="349"/>
      <c r="V871" s="349"/>
      <c r="W871" s="349"/>
      <c r="X871" s="349"/>
      <c r="Y871" s="349"/>
      <c r="Z871" s="349"/>
    </row>
    <row r="872">
      <c r="A872" s="349"/>
      <c r="B872" s="349"/>
      <c r="C872" s="395"/>
      <c r="D872" s="349"/>
      <c r="E872" s="349"/>
      <c r="F872" s="349"/>
      <c r="G872" s="396"/>
      <c r="H872" s="349"/>
      <c r="I872" s="349"/>
      <c r="J872" s="349"/>
      <c r="K872" s="349"/>
      <c r="L872" s="349"/>
      <c r="M872" s="349"/>
      <c r="N872" s="349"/>
      <c r="O872" s="349"/>
      <c r="P872" s="349"/>
      <c r="Q872" s="349"/>
      <c r="R872" s="349"/>
      <c r="S872" s="349"/>
      <c r="T872" s="349"/>
      <c r="U872" s="349"/>
      <c r="V872" s="349"/>
      <c r="W872" s="349"/>
      <c r="X872" s="349"/>
      <c r="Y872" s="349"/>
      <c r="Z872" s="349"/>
    </row>
    <row r="873">
      <c r="A873" s="349"/>
      <c r="B873" s="349"/>
      <c r="C873" s="395"/>
      <c r="D873" s="349"/>
      <c r="E873" s="349"/>
      <c r="F873" s="349"/>
      <c r="G873" s="396"/>
      <c r="H873" s="349"/>
      <c r="I873" s="349"/>
      <c r="J873" s="349"/>
      <c r="K873" s="349"/>
      <c r="L873" s="349"/>
      <c r="M873" s="349"/>
      <c r="N873" s="349"/>
      <c r="O873" s="349"/>
      <c r="P873" s="349"/>
      <c r="Q873" s="349"/>
      <c r="R873" s="349"/>
      <c r="S873" s="349"/>
      <c r="T873" s="349"/>
      <c r="U873" s="349"/>
      <c r="V873" s="349"/>
      <c r="W873" s="349"/>
      <c r="X873" s="349"/>
      <c r="Y873" s="349"/>
      <c r="Z873" s="349"/>
    </row>
    <row r="874">
      <c r="A874" s="349"/>
      <c r="B874" s="349"/>
      <c r="C874" s="395"/>
      <c r="D874" s="349"/>
      <c r="E874" s="349"/>
      <c r="F874" s="349"/>
      <c r="G874" s="396"/>
      <c r="H874" s="349"/>
      <c r="I874" s="349"/>
      <c r="J874" s="349"/>
      <c r="K874" s="349"/>
      <c r="L874" s="349"/>
      <c r="M874" s="349"/>
      <c r="N874" s="349"/>
      <c r="O874" s="349"/>
      <c r="P874" s="349"/>
      <c r="Q874" s="349"/>
      <c r="R874" s="349"/>
      <c r="S874" s="349"/>
      <c r="T874" s="349"/>
      <c r="U874" s="349"/>
      <c r="V874" s="349"/>
      <c r="W874" s="349"/>
      <c r="X874" s="349"/>
      <c r="Y874" s="349"/>
      <c r="Z874" s="349"/>
    </row>
    <row r="875">
      <c r="A875" s="349"/>
      <c r="B875" s="349"/>
      <c r="C875" s="395"/>
      <c r="D875" s="349"/>
      <c r="E875" s="349"/>
      <c r="F875" s="349"/>
      <c r="G875" s="396"/>
      <c r="H875" s="349"/>
      <c r="I875" s="349"/>
      <c r="J875" s="349"/>
      <c r="K875" s="349"/>
      <c r="L875" s="349"/>
      <c r="M875" s="349"/>
      <c r="N875" s="349"/>
      <c r="O875" s="349"/>
      <c r="P875" s="349"/>
      <c r="Q875" s="349"/>
      <c r="R875" s="349"/>
      <c r="S875" s="349"/>
      <c r="T875" s="349"/>
      <c r="U875" s="349"/>
      <c r="V875" s="349"/>
      <c r="W875" s="349"/>
      <c r="X875" s="349"/>
      <c r="Y875" s="349"/>
      <c r="Z875" s="349"/>
    </row>
    <row r="876">
      <c r="A876" s="349"/>
      <c r="B876" s="349"/>
      <c r="C876" s="395"/>
      <c r="D876" s="349"/>
      <c r="E876" s="349"/>
      <c r="F876" s="349"/>
      <c r="G876" s="396"/>
      <c r="H876" s="349"/>
      <c r="I876" s="349"/>
      <c r="J876" s="349"/>
      <c r="K876" s="349"/>
      <c r="L876" s="349"/>
      <c r="M876" s="349"/>
      <c r="N876" s="349"/>
      <c r="O876" s="349"/>
      <c r="P876" s="349"/>
      <c r="Q876" s="349"/>
      <c r="R876" s="349"/>
      <c r="S876" s="349"/>
      <c r="T876" s="349"/>
      <c r="U876" s="349"/>
      <c r="V876" s="349"/>
      <c r="W876" s="349"/>
      <c r="X876" s="349"/>
      <c r="Y876" s="349"/>
      <c r="Z876" s="349"/>
    </row>
    <row r="877">
      <c r="A877" s="349"/>
      <c r="B877" s="349"/>
      <c r="C877" s="395"/>
      <c r="D877" s="349"/>
      <c r="E877" s="349"/>
      <c r="F877" s="349"/>
      <c r="G877" s="396"/>
      <c r="H877" s="349"/>
      <c r="I877" s="349"/>
      <c r="J877" s="349"/>
      <c r="K877" s="349"/>
      <c r="L877" s="349"/>
      <c r="M877" s="349"/>
      <c r="N877" s="349"/>
      <c r="O877" s="349"/>
      <c r="P877" s="349"/>
      <c r="Q877" s="349"/>
      <c r="R877" s="349"/>
      <c r="S877" s="349"/>
      <c r="T877" s="349"/>
      <c r="U877" s="349"/>
      <c r="V877" s="349"/>
      <c r="W877" s="349"/>
      <c r="X877" s="349"/>
      <c r="Y877" s="349"/>
      <c r="Z877" s="349"/>
    </row>
    <row r="878">
      <c r="A878" s="349"/>
      <c r="B878" s="349"/>
      <c r="C878" s="395"/>
      <c r="D878" s="349"/>
      <c r="E878" s="349"/>
      <c r="F878" s="349"/>
      <c r="G878" s="396"/>
      <c r="H878" s="349"/>
      <c r="I878" s="349"/>
      <c r="J878" s="349"/>
      <c r="K878" s="349"/>
      <c r="L878" s="349"/>
      <c r="M878" s="349"/>
      <c r="N878" s="349"/>
      <c r="O878" s="349"/>
      <c r="P878" s="349"/>
      <c r="Q878" s="349"/>
      <c r="R878" s="349"/>
      <c r="S878" s="349"/>
      <c r="T878" s="349"/>
      <c r="U878" s="349"/>
      <c r="V878" s="349"/>
      <c r="W878" s="349"/>
      <c r="X878" s="349"/>
      <c r="Y878" s="349"/>
      <c r="Z878" s="349"/>
    </row>
    <row r="879">
      <c r="A879" s="349"/>
      <c r="B879" s="349"/>
      <c r="C879" s="395"/>
      <c r="D879" s="349"/>
      <c r="E879" s="349"/>
      <c r="F879" s="349"/>
      <c r="G879" s="396"/>
      <c r="H879" s="349"/>
      <c r="I879" s="349"/>
      <c r="J879" s="349"/>
      <c r="K879" s="349"/>
      <c r="L879" s="349"/>
      <c r="M879" s="349"/>
      <c r="N879" s="349"/>
      <c r="O879" s="349"/>
      <c r="P879" s="349"/>
      <c r="Q879" s="349"/>
      <c r="R879" s="349"/>
      <c r="S879" s="349"/>
      <c r="T879" s="349"/>
      <c r="U879" s="349"/>
      <c r="V879" s="349"/>
      <c r="W879" s="349"/>
      <c r="X879" s="349"/>
      <c r="Y879" s="349"/>
      <c r="Z879" s="349"/>
    </row>
    <row r="880">
      <c r="A880" s="349"/>
      <c r="B880" s="349"/>
      <c r="C880" s="395"/>
      <c r="D880" s="349"/>
      <c r="E880" s="349"/>
      <c r="F880" s="349"/>
      <c r="G880" s="396"/>
      <c r="H880" s="349"/>
      <c r="I880" s="349"/>
      <c r="J880" s="349"/>
      <c r="K880" s="349"/>
      <c r="L880" s="349"/>
      <c r="M880" s="349"/>
      <c r="N880" s="349"/>
      <c r="O880" s="349"/>
      <c r="P880" s="349"/>
      <c r="Q880" s="349"/>
      <c r="R880" s="349"/>
      <c r="S880" s="349"/>
      <c r="T880" s="349"/>
      <c r="U880" s="349"/>
      <c r="V880" s="349"/>
      <c r="W880" s="349"/>
      <c r="X880" s="349"/>
      <c r="Y880" s="349"/>
      <c r="Z880" s="349"/>
    </row>
    <row r="881">
      <c r="A881" s="349"/>
      <c r="B881" s="349"/>
      <c r="C881" s="395"/>
      <c r="D881" s="349"/>
      <c r="E881" s="349"/>
      <c r="F881" s="349"/>
      <c r="G881" s="396"/>
      <c r="H881" s="349"/>
      <c r="I881" s="349"/>
      <c r="J881" s="349"/>
      <c r="K881" s="349"/>
      <c r="L881" s="349"/>
      <c r="M881" s="349"/>
      <c r="N881" s="349"/>
      <c r="O881" s="349"/>
      <c r="P881" s="349"/>
      <c r="Q881" s="349"/>
      <c r="R881" s="349"/>
      <c r="S881" s="349"/>
      <c r="T881" s="349"/>
      <c r="U881" s="349"/>
      <c r="V881" s="349"/>
      <c r="W881" s="349"/>
      <c r="X881" s="349"/>
      <c r="Y881" s="349"/>
      <c r="Z881" s="349"/>
    </row>
    <row r="882">
      <c r="A882" s="349"/>
      <c r="B882" s="349"/>
      <c r="C882" s="395"/>
      <c r="D882" s="349"/>
      <c r="E882" s="349"/>
      <c r="F882" s="349"/>
      <c r="G882" s="396"/>
      <c r="H882" s="349"/>
      <c r="I882" s="349"/>
      <c r="J882" s="349"/>
      <c r="K882" s="349"/>
      <c r="L882" s="349"/>
      <c r="M882" s="349"/>
      <c r="N882" s="349"/>
      <c r="O882" s="349"/>
      <c r="P882" s="349"/>
      <c r="Q882" s="349"/>
      <c r="R882" s="349"/>
      <c r="S882" s="349"/>
      <c r="T882" s="349"/>
      <c r="U882" s="349"/>
      <c r="V882" s="349"/>
      <c r="W882" s="349"/>
      <c r="X882" s="349"/>
      <c r="Y882" s="349"/>
      <c r="Z882" s="349"/>
    </row>
    <row r="883">
      <c r="A883" s="349"/>
      <c r="B883" s="349"/>
      <c r="C883" s="395"/>
      <c r="D883" s="349"/>
      <c r="E883" s="349"/>
      <c r="F883" s="349"/>
      <c r="G883" s="396"/>
      <c r="H883" s="349"/>
      <c r="I883" s="349"/>
      <c r="J883" s="349"/>
      <c r="K883" s="349"/>
      <c r="L883" s="349"/>
      <c r="M883" s="349"/>
      <c r="N883" s="349"/>
      <c r="O883" s="349"/>
      <c r="P883" s="349"/>
      <c r="Q883" s="349"/>
      <c r="R883" s="349"/>
      <c r="S883" s="349"/>
      <c r="T883" s="349"/>
      <c r="U883" s="349"/>
      <c r="V883" s="349"/>
      <c r="W883" s="349"/>
      <c r="X883" s="349"/>
      <c r="Y883" s="349"/>
      <c r="Z883" s="349"/>
    </row>
    <row r="884">
      <c r="A884" s="349"/>
      <c r="B884" s="349"/>
      <c r="C884" s="395"/>
      <c r="D884" s="349"/>
      <c r="E884" s="349"/>
      <c r="F884" s="349"/>
      <c r="G884" s="396"/>
      <c r="H884" s="349"/>
      <c r="I884" s="349"/>
      <c r="J884" s="349"/>
      <c r="K884" s="349"/>
      <c r="L884" s="349"/>
      <c r="M884" s="349"/>
      <c r="N884" s="349"/>
      <c r="O884" s="349"/>
      <c r="P884" s="349"/>
      <c r="Q884" s="349"/>
      <c r="R884" s="349"/>
      <c r="S884" s="349"/>
      <c r="T884" s="349"/>
      <c r="U884" s="349"/>
      <c r="V884" s="349"/>
      <c r="W884" s="349"/>
      <c r="X884" s="349"/>
      <c r="Y884" s="349"/>
      <c r="Z884" s="349"/>
    </row>
    <row r="885">
      <c r="A885" s="349"/>
      <c r="B885" s="349"/>
      <c r="C885" s="395"/>
      <c r="D885" s="349"/>
      <c r="E885" s="349"/>
      <c r="F885" s="349"/>
      <c r="G885" s="396"/>
      <c r="H885" s="349"/>
      <c r="I885" s="349"/>
      <c r="J885" s="349"/>
      <c r="K885" s="349"/>
      <c r="L885" s="349"/>
      <c r="M885" s="349"/>
      <c r="N885" s="349"/>
      <c r="O885" s="349"/>
      <c r="P885" s="349"/>
      <c r="Q885" s="349"/>
      <c r="R885" s="349"/>
      <c r="S885" s="349"/>
      <c r="T885" s="349"/>
      <c r="U885" s="349"/>
      <c r="V885" s="349"/>
      <c r="W885" s="349"/>
      <c r="X885" s="349"/>
      <c r="Y885" s="349"/>
      <c r="Z885" s="349"/>
    </row>
    <row r="886">
      <c r="A886" s="349"/>
      <c r="B886" s="349"/>
      <c r="C886" s="395"/>
      <c r="D886" s="349"/>
      <c r="E886" s="349"/>
      <c r="F886" s="349"/>
      <c r="G886" s="396"/>
      <c r="H886" s="349"/>
      <c r="I886" s="349"/>
      <c r="J886" s="349"/>
      <c r="K886" s="349"/>
      <c r="L886" s="349"/>
      <c r="M886" s="349"/>
      <c r="N886" s="349"/>
      <c r="O886" s="349"/>
      <c r="P886" s="349"/>
      <c r="Q886" s="349"/>
      <c r="R886" s="349"/>
      <c r="S886" s="349"/>
      <c r="T886" s="349"/>
      <c r="U886" s="349"/>
      <c r="V886" s="349"/>
      <c r="W886" s="349"/>
      <c r="X886" s="349"/>
      <c r="Y886" s="349"/>
      <c r="Z886" s="349"/>
    </row>
    <row r="887">
      <c r="A887" s="349"/>
      <c r="B887" s="349"/>
      <c r="C887" s="395"/>
      <c r="D887" s="349"/>
      <c r="E887" s="349"/>
      <c r="F887" s="349"/>
      <c r="G887" s="396"/>
      <c r="H887" s="349"/>
      <c r="I887" s="349"/>
      <c r="J887" s="349"/>
      <c r="K887" s="349"/>
      <c r="L887" s="349"/>
      <c r="M887" s="349"/>
      <c r="N887" s="349"/>
      <c r="O887" s="349"/>
      <c r="P887" s="349"/>
      <c r="Q887" s="349"/>
      <c r="R887" s="349"/>
      <c r="S887" s="349"/>
      <c r="T887" s="349"/>
      <c r="U887" s="349"/>
      <c r="V887" s="349"/>
      <c r="W887" s="349"/>
      <c r="X887" s="349"/>
      <c r="Y887" s="349"/>
      <c r="Z887" s="349"/>
    </row>
    <row r="888">
      <c r="A888" s="349"/>
      <c r="B888" s="349"/>
      <c r="C888" s="395"/>
      <c r="D888" s="349"/>
      <c r="E888" s="349"/>
      <c r="F888" s="349"/>
      <c r="G888" s="396"/>
      <c r="H888" s="349"/>
      <c r="I888" s="349"/>
      <c r="J888" s="349"/>
      <c r="K888" s="349"/>
      <c r="L888" s="349"/>
      <c r="M888" s="349"/>
      <c r="N888" s="349"/>
      <c r="O888" s="349"/>
      <c r="P888" s="349"/>
      <c r="Q888" s="349"/>
      <c r="R888" s="349"/>
      <c r="S888" s="349"/>
      <c r="T888" s="349"/>
      <c r="U888" s="349"/>
      <c r="V888" s="349"/>
      <c r="W888" s="349"/>
      <c r="X888" s="349"/>
      <c r="Y888" s="349"/>
      <c r="Z888" s="349"/>
    </row>
    <row r="889">
      <c r="A889" s="349"/>
      <c r="B889" s="349"/>
      <c r="C889" s="395"/>
      <c r="D889" s="349"/>
      <c r="E889" s="349"/>
      <c r="F889" s="349"/>
      <c r="G889" s="396"/>
      <c r="H889" s="349"/>
      <c r="I889" s="349"/>
      <c r="J889" s="349"/>
      <c r="K889" s="349"/>
      <c r="L889" s="349"/>
      <c r="M889" s="349"/>
      <c r="N889" s="349"/>
      <c r="O889" s="349"/>
      <c r="P889" s="349"/>
      <c r="Q889" s="349"/>
      <c r="R889" s="349"/>
      <c r="S889" s="349"/>
      <c r="T889" s="349"/>
      <c r="U889" s="349"/>
      <c r="V889" s="349"/>
      <c r="W889" s="349"/>
      <c r="X889" s="349"/>
      <c r="Y889" s="349"/>
      <c r="Z889" s="349"/>
    </row>
    <row r="890">
      <c r="A890" s="349"/>
      <c r="B890" s="349"/>
      <c r="C890" s="395"/>
      <c r="D890" s="349"/>
      <c r="E890" s="349"/>
      <c r="F890" s="349"/>
      <c r="G890" s="396"/>
      <c r="H890" s="349"/>
      <c r="I890" s="349"/>
      <c r="J890" s="349"/>
      <c r="K890" s="349"/>
      <c r="L890" s="349"/>
      <c r="M890" s="349"/>
      <c r="N890" s="349"/>
      <c r="O890" s="349"/>
      <c r="P890" s="349"/>
      <c r="Q890" s="349"/>
      <c r="R890" s="349"/>
      <c r="S890" s="349"/>
      <c r="T890" s="349"/>
      <c r="U890" s="349"/>
      <c r="V890" s="349"/>
      <c r="W890" s="349"/>
      <c r="X890" s="349"/>
      <c r="Y890" s="349"/>
      <c r="Z890" s="349"/>
    </row>
    <row r="891">
      <c r="A891" s="349"/>
      <c r="B891" s="349"/>
      <c r="C891" s="395"/>
      <c r="D891" s="349"/>
      <c r="E891" s="349"/>
      <c r="F891" s="349"/>
      <c r="G891" s="396"/>
      <c r="H891" s="349"/>
      <c r="I891" s="349"/>
      <c r="J891" s="349"/>
      <c r="K891" s="349"/>
      <c r="L891" s="349"/>
      <c r="M891" s="349"/>
      <c r="N891" s="349"/>
      <c r="O891" s="349"/>
      <c r="P891" s="349"/>
      <c r="Q891" s="349"/>
      <c r="R891" s="349"/>
      <c r="S891" s="349"/>
      <c r="T891" s="349"/>
      <c r="U891" s="349"/>
      <c r="V891" s="349"/>
      <c r="W891" s="349"/>
      <c r="X891" s="349"/>
      <c r="Y891" s="349"/>
      <c r="Z891" s="349"/>
    </row>
    <row r="892">
      <c r="A892" s="349"/>
      <c r="B892" s="349"/>
      <c r="C892" s="395"/>
      <c r="D892" s="349"/>
      <c r="E892" s="349"/>
      <c r="F892" s="349"/>
      <c r="G892" s="396"/>
      <c r="H892" s="349"/>
      <c r="I892" s="349"/>
      <c r="J892" s="349"/>
      <c r="K892" s="349"/>
      <c r="L892" s="349"/>
      <c r="M892" s="349"/>
      <c r="N892" s="349"/>
      <c r="O892" s="349"/>
      <c r="P892" s="349"/>
      <c r="Q892" s="349"/>
      <c r="R892" s="349"/>
      <c r="S892" s="349"/>
      <c r="T892" s="349"/>
      <c r="U892" s="349"/>
      <c r="V892" s="349"/>
      <c r="W892" s="349"/>
      <c r="X892" s="349"/>
      <c r="Y892" s="349"/>
      <c r="Z892" s="349"/>
    </row>
    <row r="893">
      <c r="A893" s="349"/>
      <c r="B893" s="349"/>
      <c r="C893" s="395"/>
      <c r="D893" s="349"/>
      <c r="E893" s="349"/>
      <c r="F893" s="349"/>
      <c r="G893" s="396"/>
      <c r="H893" s="349"/>
      <c r="I893" s="349"/>
      <c r="J893" s="349"/>
      <c r="K893" s="349"/>
      <c r="L893" s="349"/>
      <c r="M893" s="349"/>
      <c r="N893" s="349"/>
      <c r="O893" s="349"/>
      <c r="P893" s="349"/>
      <c r="Q893" s="349"/>
      <c r="R893" s="349"/>
      <c r="S893" s="349"/>
      <c r="T893" s="349"/>
      <c r="U893" s="349"/>
      <c r="V893" s="349"/>
      <c r="W893" s="349"/>
      <c r="X893" s="349"/>
      <c r="Y893" s="349"/>
      <c r="Z893" s="349"/>
    </row>
    <row r="894">
      <c r="A894" s="349"/>
      <c r="B894" s="349"/>
      <c r="C894" s="395"/>
      <c r="D894" s="349"/>
      <c r="E894" s="349"/>
      <c r="F894" s="349"/>
      <c r="G894" s="396"/>
      <c r="H894" s="349"/>
      <c r="I894" s="349"/>
      <c r="J894" s="349"/>
      <c r="K894" s="349"/>
      <c r="L894" s="349"/>
      <c r="M894" s="349"/>
      <c r="N894" s="349"/>
      <c r="O894" s="349"/>
      <c r="P894" s="349"/>
      <c r="Q894" s="349"/>
      <c r="R894" s="349"/>
      <c r="S894" s="349"/>
      <c r="T894" s="349"/>
      <c r="U894" s="349"/>
      <c r="V894" s="349"/>
      <c r="W894" s="349"/>
      <c r="X894" s="349"/>
      <c r="Y894" s="349"/>
      <c r="Z894" s="349"/>
    </row>
    <row r="895">
      <c r="A895" s="349"/>
      <c r="B895" s="349"/>
      <c r="C895" s="395"/>
      <c r="D895" s="349"/>
      <c r="E895" s="349"/>
      <c r="F895" s="349"/>
      <c r="G895" s="396"/>
      <c r="H895" s="349"/>
      <c r="I895" s="349"/>
      <c r="J895" s="349"/>
      <c r="K895" s="349"/>
      <c r="L895" s="349"/>
      <c r="M895" s="349"/>
      <c r="N895" s="349"/>
      <c r="O895" s="349"/>
      <c r="P895" s="349"/>
      <c r="Q895" s="349"/>
      <c r="R895" s="349"/>
      <c r="S895" s="349"/>
      <c r="T895" s="349"/>
      <c r="U895" s="349"/>
      <c r="V895" s="349"/>
      <c r="W895" s="349"/>
      <c r="X895" s="349"/>
      <c r="Y895" s="349"/>
      <c r="Z895" s="349"/>
    </row>
    <row r="896">
      <c r="A896" s="349"/>
      <c r="B896" s="349"/>
      <c r="C896" s="395"/>
      <c r="D896" s="349"/>
      <c r="E896" s="349"/>
      <c r="F896" s="349"/>
      <c r="G896" s="396"/>
      <c r="H896" s="349"/>
      <c r="I896" s="349"/>
      <c r="J896" s="349"/>
      <c r="K896" s="349"/>
      <c r="L896" s="349"/>
      <c r="M896" s="349"/>
      <c r="N896" s="349"/>
      <c r="O896" s="349"/>
      <c r="P896" s="349"/>
      <c r="Q896" s="349"/>
      <c r="R896" s="349"/>
      <c r="S896" s="349"/>
      <c r="T896" s="349"/>
      <c r="U896" s="349"/>
      <c r="V896" s="349"/>
      <c r="W896" s="349"/>
      <c r="X896" s="349"/>
      <c r="Y896" s="349"/>
      <c r="Z896" s="349"/>
    </row>
    <row r="897">
      <c r="A897" s="349"/>
      <c r="B897" s="349"/>
      <c r="C897" s="395"/>
      <c r="D897" s="349"/>
      <c r="E897" s="349"/>
      <c r="F897" s="349"/>
      <c r="G897" s="396"/>
      <c r="H897" s="349"/>
      <c r="I897" s="349"/>
      <c r="J897" s="349"/>
      <c r="K897" s="349"/>
      <c r="L897" s="349"/>
      <c r="M897" s="349"/>
      <c r="N897" s="349"/>
      <c r="O897" s="349"/>
      <c r="P897" s="349"/>
      <c r="Q897" s="349"/>
      <c r="R897" s="349"/>
      <c r="S897" s="349"/>
      <c r="T897" s="349"/>
      <c r="U897" s="349"/>
      <c r="V897" s="349"/>
      <c r="W897" s="349"/>
      <c r="X897" s="349"/>
      <c r="Y897" s="349"/>
      <c r="Z897" s="349"/>
    </row>
    <row r="898">
      <c r="A898" s="349"/>
      <c r="B898" s="349"/>
      <c r="C898" s="395"/>
      <c r="D898" s="349"/>
      <c r="E898" s="349"/>
      <c r="F898" s="349"/>
      <c r="G898" s="396"/>
      <c r="H898" s="349"/>
      <c r="I898" s="349"/>
      <c r="J898" s="349"/>
      <c r="K898" s="349"/>
      <c r="L898" s="349"/>
      <c r="M898" s="349"/>
      <c r="N898" s="349"/>
      <c r="O898" s="349"/>
      <c r="P898" s="349"/>
      <c r="Q898" s="349"/>
      <c r="R898" s="349"/>
      <c r="S898" s="349"/>
      <c r="T898" s="349"/>
      <c r="U898" s="349"/>
      <c r="V898" s="349"/>
      <c r="W898" s="349"/>
      <c r="X898" s="349"/>
      <c r="Y898" s="349"/>
      <c r="Z898" s="349"/>
    </row>
    <row r="899">
      <c r="A899" s="349"/>
      <c r="B899" s="349"/>
      <c r="C899" s="395"/>
      <c r="D899" s="349"/>
      <c r="E899" s="349"/>
      <c r="F899" s="349"/>
      <c r="G899" s="396"/>
      <c r="H899" s="349"/>
      <c r="I899" s="349"/>
      <c r="J899" s="349"/>
      <c r="K899" s="349"/>
      <c r="L899" s="349"/>
      <c r="M899" s="349"/>
      <c r="N899" s="349"/>
      <c r="O899" s="349"/>
      <c r="P899" s="349"/>
      <c r="Q899" s="349"/>
      <c r="R899" s="349"/>
      <c r="S899" s="349"/>
      <c r="T899" s="349"/>
      <c r="U899" s="349"/>
      <c r="V899" s="349"/>
      <c r="W899" s="349"/>
      <c r="X899" s="349"/>
      <c r="Y899" s="349"/>
      <c r="Z899" s="349"/>
    </row>
    <row r="900">
      <c r="A900" s="349"/>
      <c r="B900" s="349"/>
      <c r="C900" s="395"/>
      <c r="D900" s="349"/>
      <c r="E900" s="349"/>
      <c r="F900" s="349"/>
      <c r="G900" s="396"/>
      <c r="H900" s="349"/>
      <c r="I900" s="349"/>
      <c r="J900" s="349"/>
      <c r="K900" s="349"/>
      <c r="L900" s="349"/>
      <c r="M900" s="349"/>
      <c r="N900" s="349"/>
      <c r="O900" s="349"/>
      <c r="P900" s="349"/>
      <c r="Q900" s="349"/>
      <c r="R900" s="349"/>
      <c r="S900" s="349"/>
      <c r="T900" s="349"/>
      <c r="U900" s="349"/>
      <c r="V900" s="349"/>
      <c r="W900" s="349"/>
      <c r="X900" s="349"/>
      <c r="Y900" s="349"/>
      <c r="Z900" s="349"/>
    </row>
    <row r="901">
      <c r="A901" s="349"/>
      <c r="B901" s="349"/>
      <c r="C901" s="395"/>
      <c r="D901" s="349"/>
      <c r="E901" s="349"/>
      <c r="F901" s="349"/>
      <c r="G901" s="396"/>
      <c r="H901" s="349"/>
      <c r="I901" s="349"/>
      <c r="J901" s="349"/>
      <c r="K901" s="349"/>
      <c r="L901" s="349"/>
      <c r="M901" s="349"/>
      <c r="N901" s="349"/>
      <c r="O901" s="349"/>
      <c r="P901" s="349"/>
      <c r="Q901" s="349"/>
      <c r="R901" s="349"/>
      <c r="S901" s="349"/>
      <c r="T901" s="349"/>
      <c r="U901" s="349"/>
      <c r="V901" s="349"/>
      <c r="W901" s="349"/>
      <c r="X901" s="349"/>
      <c r="Y901" s="349"/>
      <c r="Z901" s="349"/>
    </row>
    <row r="902">
      <c r="A902" s="349"/>
      <c r="B902" s="349"/>
      <c r="C902" s="395"/>
      <c r="D902" s="349"/>
      <c r="E902" s="349"/>
      <c r="F902" s="349"/>
      <c r="G902" s="396"/>
      <c r="H902" s="349"/>
      <c r="I902" s="349"/>
      <c r="J902" s="349"/>
      <c r="K902" s="349"/>
      <c r="L902" s="349"/>
      <c r="M902" s="349"/>
      <c r="N902" s="349"/>
      <c r="O902" s="349"/>
      <c r="P902" s="349"/>
      <c r="Q902" s="349"/>
      <c r="R902" s="349"/>
      <c r="S902" s="349"/>
      <c r="T902" s="349"/>
      <c r="U902" s="349"/>
      <c r="V902" s="349"/>
      <c r="W902" s="349"/>
      <c r="X902" s="349"/>
      <c r="Y902" s="349"/>
      <c r="Z902" s="349"/>
    </row>
    <row r="903">
      <c r="A903" s="349"/>
      <c r="B903" s="349"/>
      <c r="C903" s="395"/>
      <c r="D903" s="349"/>
      <c r="E903" s="349"/>
      <c r="F903" s="349"/>
      <c r="G903" s="396"/>
      <c r="H903" s="349"/>
      <c r="I903" s="349"/>
      <c r="J903" s="349"/>
      <c r="K903" s="349"/>
      <c r="L903" s="349"/>
      <c r="M903" s="349"/>
      <c r="N903" s="349"/>
      <c r="O903" s="349"/>
      <c r="P903" s="349"/>
      <c r="Q903" s="349"/>
      <c r="R903" s="349"/>
      <c r="S903" s="349"/>
      <c r="T903" s="349"/>
      <c r="U903" s="349"/>
      <c r="V903" s="349"/>
      <c r="W903" s="349"/>
      <c r="X903" s="349"/>
      <c r="Y903" s="349"/>
      <c r="Z903" s="349"/>
    </row>
    <row r="904">
      <c r="A904" s="349"/>
      <c r="B904" s="349"/>
      <c r="C904" s="395"/>
      <c r="D904" s="349"/>
      <c r="E904" s="349"/>
      <c r="F904" s="349"/>
      <c r="G904" s="396"/>
      <c r="H904" s="349"/>
      <c r="I904" s="349"/>
      <c r="J904" s="349"/>
      <c r="K904" s="349"/>
      <c r="L904" s="349"/>
      <c r="M904" s="349"/>
      <c r="N904" s="349"/>
      <c r="O904" s="349"/>
      <c r="P904" s="349"/>
      <c r="Q904" s="349"/>
      <c r="R904" s="349"/>
      <c r="S904" s="349"/>
      <c r="T904" s="349"/>
      <c r="U904" s="349"/>
      <c r="V904" s="349"/>
      <c r="W904" s="349"/>
      <c r="X904" s="349"/>
      <c r="Y904" s="349"/>
      <c r="Z904" s="349"/>
    </row>
    <row r="905">
      <c r="A905" s="349"/>
      <c r="B905" s="349"/>
      <c r="C905" s="395"/>
      <c r="D905" s="349"/>
      <c r="E905" s="349"/>
      <c r="F905" s="349"/>
      <c r="G905" s="396"/>
      <c r="H905" s="349"/>
      <c r="I905" s="349"/>
      <c r="J905" s="349"/>
      <c r="K905" s="349"/>
      <c r="L905" s="349"/>
      <c r="M905" s="349"/>
      <c r="N905" s="349"/>
      <c r="O905" s="349"/>
      <c r="P905" s="349"/>
      <c r="Q905" s="349"/>
      <c r="R905" s="349"/>
      <c r="S905" s="349"/>
      <c r="T905" s="349"/>
      <c r="U905" s="349"/>
      <c r="V905" s="349"/>
      <c r="W905" s="349"/>
      <c r="X905" s="349"/>
      <c r="Y905" s="349"/>
      <c r="Z905" s="349"/>
    </row>
    <row r="906">
      <c r="A906" s="349"/>
      <c r="B906" s="349"/>
      <c r="C906" s="395"/>
      <c r="D906" s="349"/>
      <c r="E906" s="349"/>
      <c r="F906" s="349"/>
      <c r="G906" s="396"/>
      <c r="H906" s="349"/>
      <c r="I906" s="349"/>
      <c r="J906" s="349"/>
      <c r="K906" s="349"/>
      <c r="L906" s="349"/>
      <c r="M906" s="349"/>
      <c r="N906" s="349"/>
      <c r="O906" s="349"/>
      <c r="P906" s="349"/>
      <c r="Q906" s="349"/>
      <c r="R906" s="349"/>
      <c r="S906" s="349"/>
      <c r="T906" s="349"/>
      <c r="U906" s="349"/>
      <c r="V906" s="349"/>
      <c r="W906" s="349"/>
      <c r="X906" s="349"/>
      <c r="Y906" s="349"/>
      <c r="Z906" s="349"/>
    </row>
    <row r="907">
      <c r="A907" s="349"/>
      <c r="B907" s="349"/>
      <c r="C907" s="395"/>
      <c r="D907" s="349"/>
      <c r="E907" s="349"/>
      <c r="F907" s="349"/>
      <c r="G907" s="396"/>
      <c r="H907" s="349"/>
      <c r="I907" s="349"/>
      <c r="J907" s="349"/>
      <c r="K907" s="349"/>
      <c r="L907" s="349"/>
      <c r="M907" s="349"/>
      <c r="N907" s="349"/>
      <c r="O907" s="349"/>
      <c r="P907" s="349"/>
      <c r="Q907" s="349"/>
      <c r="R907" s="349"/>
      <c r="S907" s="349"/>
      <c r="T907" s="349"/>
      <c r="U907" s="349"/>
      <c r="V907" s="349"/>
      <c r="W907" s="349"/>
      <c r="X907" s="349"/>
      <c r="Y907" s="349"/>
      <c r="Z907" s="349"/>
    </row>
    <row r="908">
      <c r="A908" s="349"/>
      <c r="B908" s="349"/>
      <c r="C908" s="395"/>
      <c r="D908" s="349"/>
      <c r="E908" s="349"/>
      <c r="F908" s="349"/>
      <c r="G908" s="396"/>
      <c r="H908" s="349"/>
      <c r="I908" s="349"/>
      <c r="J908" s="349"/>
      <c r="K908" s="349"/>
      <c r="L908" s="349"/>
      <c r="M908" s="349"/>
      <c r="N908" s="349"/>
      <c r="O908" s="349"/>
      <c r="P908" s="349"/>
      <c r="Q908" s="349"/>
      <c r="R908" s="349"/>
      <c r="S908" s="349"/>
      <c r="T908" s="349"/>
      <c r="U908" s="349"/>
      <c r="V908" s="349"/>
      <c r="W908" s="349"/>
      <c r="X908" s="349"/>
      <c r="Y908" s="349"/>
      <c r="Z908" s="349"/>
    </row>
    <row r="909">
      <c r="A909" s="349"/>
      <c r="B909" s="349"/>
      <c r="C909" s="395"/>
      <c r="D909" s="349"/>
      <c r="E909" s="349"/>
      <c r="F909" s="349"/>
      <c r="G909" s="396"/>
      <c r="H909" s="349"/>
      <c r="I909" s="349"/>
      <c r="J909" s="349"/>
      <c r="K909" s="349"/>
      <c r="L909" s="349"/>
      <c r="M909" s="349"/>
      <c r="N909" s="349"/>
      <c r="O909" s="349"/>
      <c r="P909" s="349"/>
      <c r="Q909" s="349"/>
      <c r="R909" s="349"/>
      <c r="S909" s="349"/>
      <c r="T909" s="349"/>
      <c r="U909" s="349"/>
      <c r="V909" s="349"/>
      <c r="W909" s="349"/>
      <c r="X909" s="349"/>
      <c r="Y909" s="349"/>
      <c r="Z909" s="349"/>
    </row>
    <row r="910">
      <c r="A910" s="349"/>
      <c r="B910" s="349"/>
      <c r="C910" s="395"/>
      <c r="D910" s="349"/>
      <c r="E910" s="349"/>
      <c r="F910" s="349"/>
      <c r="G910" s="396"/>
      <c r="H910" s="349"/>
      <c r="I910" s="349"/>
      <c r="J910" s="349"/>
      <c r="K910" s="349"/>
      <c r="L910" s="349"/>
      <c r="M910" s="349"/>
      <c r="N910" s="349"/>
      <c r="O910" s="349"/>
      <c r="P910" s="349"/>
      <c r="Q910" s="349"/>
      <c r="R910" s="349"/>
      <c r="S910" s="349"/>
      <c r="T910" s="349"/>
      <c r="U910" s="349"/>
      <c r="V910" s="349"/>
      <c r="W910" s="349"/>
      <c r="X910" s="349"/>
      <c r="Y910" s="349"/>
      <c r="Z910" s="349"/>
    </row>
    <row r="911">
      <c r="A911" s="349"/>
      <c r="B911" s="349"/>
      <c r="C911" s="395"/>
      <c r="D911" s="349"/>
      <c r="E911" s="349"/>
      <c r="F911" s="349"/>
      <c r="G911" s="396"/>
      <c r="H911" s="349"/>
      <c r="I911" s="349"/>
      <c r="J911" s="349"/>
      <c r="K911" s="349"/>
      <c r="L911" s="349"/>
      <c r="M911" s="349"/>
      <c r="N911" s="349"/>
      <c r="O911" s="349"/>
      <c r="P911" s="349"/>
      <c r="Q911" s="349"/>
      <c r="R911" s="349"/>
      <c r="S911" s="349"/>
      <c r="T911" s="349"/>
      <c r="U911" s="349"/>
      <c r="V911" s="349"/>
      <c r="W911" s="349"/>
      <c r="X911" s="349"/>
      <c r="Y911" s="349"/>
      <c r="Z911" s="349"/>
    </row>
    <row r="912">
      <c r="A912" s="349"/>
      <c r="B912" s="349"/>
      <c r="C912" s="395"/>
      <c r="D912" s="349"/>
      <c r="E912" s="349"/>
      <c r="F912" s="349"/>
      <c r="G912" s="396"/>
      <c r="H912" s="349"/>
      <c r="I912" s="349"/>
      <c r="J912" s="349"/>
      <c r="K912" s="349"/>
      <c r="L912" s="349"/>
      <c r="M912" s="349"/>
      <c r="N912" s="349"/>
      <c r="O912" s="349"/>
      <c r="P912" s="349"/>
      <c r="Q912" s="349"/>
      <c r="R912" s="349"/>
      <c r="S912" s="349"/>
      <c r="T912" s="349"/>
      <c r="U912" s="349"/>
      <c r="V912" s="349"/>
      <c r="W912" s="349"/>
      <c r="X912" s="349"/>
      <c r="Y912" s="349"/>
      <c r="Z912" s="349"/>
    </row>
    <row r="913">
      <c r="A913" s="349"/>
      <c r="B913" s="349"/>
      <c r="C913" s="395"/>
      <c r="D913" s="349"/>
      <c r="E913" s="349"/>
      <c r="F913" s="349"/>
      <c r="G913" s="396"/>
      <c r="H913" s="349"/>
      <c r="I913" s="349"/>
      <c r="J913" s="349"/>
      <c r="K913" s="349"/>
      <c r="L913" s="349"/>
      <c r="M913" s="349"/>
      <c r="N913" s="349"/>
      <c r="O913" s="349"/>
      <c r="P913" s="349"/>
      <c r="Q913" s="349"/>
      <c r="R913" s="349"/>
      <c r="S913" s="349"/>
      <c r="T913" s="349"/>
      <c r="U913" s="349"/>
      <c r="V913" s="349"/>
      <c r="W913" s="349"/>
      <c r="X913" s="349"/>
      <c r="Y913" s="349"/>
      <c r="Z913" s="349"/>
    </row>
    <row r="914">
      <c r="A914" s="349"/>
      <c r="B914" s="349"/>
      <c r="C914" s="395"/>
      <c r="D914" s="349"/>
      <c r="E914" s="349"/>
      <c r="F914" s="349"/>
      <c r="G914" s="396"/>
      <c r="H914" s="349"/>
      <c r="I914" s="349"/>
      <c r="J914" s="349"/>
      <c r="K914" s="349"/>
      <c r="L914" s="349"/>
      <c r="M914" s="349"/>
      <c r="N914" s="349"/>
      <c r="O914" s="349"/>
      <c r="P914" s="349"/>
      <c r="Q914" s="349"/>
      <c r="R914" s="349"/>
      <c r="S914" s="349"/>
      <c r="T914" s="349"/>
      <c r="U914" s="349"/>
      <c r="V914" s="349"/>
      <c r="W914" s="349"/>
      <c r="X914" s="349"/>
      <c r="Y914" s="349"/>
      <c r="Z914" s="349"/>
    </row>
    <row r="915">
      <c r="A915" s="349"/>
      <c r="B915" s="349"/>
      <c r="C915" s="395"/>
      <c r="D915" s="349"/>
      <c r="E915" s="349"/>
      <c r="F915" s="349"/>
      <c r="G915" s="396"/>
      <c r="H915" s="349"/>
      <c r="I915" s="349"/>
      <c r="J915" s="349"/>
      <c r="K915" s="349"/>
      <c r="L915" s="349"/>
      <c r="M915" s="349"/>
      <c r="N915" s="349"/>
      <c r="O915" s="349"/>
      <c r="P915" s="349"/>
      <c r="Q915" s="349"/>
      <c r="R915" s="349"/>
      <c r="S915" s="349"/>
      <c r="T915" s="349"/>
      <c r="U915" s="349"/>
      <c r="V915" s="349"/>
      <c r="W915" s="349"/>
      <c r="X915" s="349"/>
      <c r="Y915" s="349"/>
      <c r="Z915" s="349"/>
    </row>
    <row r="916">
      <c r="A916" s="349"/>
      <c r="B916" s="349"/>
      <c r="C916" s="395"/>
      <c r="D916" s="349"/>
      <c r="E916" s="349"/>
      <c r="F916" s="349"/>
      <c r="G916" s="396"/>
      <c r="H916" s="349"/>
      <c r="I916" s="349"/>
      <c r="J916" s="349"/>
      <c r="K916" s="349"/>
      <c r="L916" s="349"/>
      <c r="M916" s="349"/>
      <c r="N916" s="349"/>
      <c r="O916" s="349"/>
      <c r="P916" s="349"/>
      <c r="Q916" s="349"/>
      <c r="R916" s="349"/>
      <c r="S916" s="349"/>
      <c r="T916" s="349"/>
      <c r="U916" s="349"/>
      <c r="V916" s="349"/>
      <c r="W916" s="349"/>
      <c r="X916" s="349"/>
      <c r="Y916" s="349"/>
      <c r="Z916" s="349"/>
    </row>
    <row r="917">
      <c r="A917" s="349"/>
      <c r="B917" s="349"/>
      <c r="C917" s="395"/>
      <c r="D917" s="349"/>
      <c r="E917" s="349"/>
      <c r="F917" s="349"/>
      <c r="G917" s="396"/>
      <c r="H917" s="349"/>
      <c r="I917" s="349"/>
      <c r="J917" s="349"/>
      <c r="K917" s="349"/>
      <c r="L917" s="349"/>
      <c r="M917" s="349"/>
      <c r="N917" s="349"/>
      <c r="O917" s="349"/>
      <c r="P917" s="349"/>
      <c r="Q917" s="349"/>
      <c r="R917" s="349"/>
      <c r="S917" s="349"/>
      <c r="T917" s="349"/>
      <c r="U917" s="349"/>
      <c r="V917" s="349"/>
      <c r="W917" s="349"/>
      <c r="X917" s="349"/>
      <c r="Y917" s="349"/>
      <c r="Z917" s="349"/>
    </row>
    <row r="918">
      <c r="A918" s="349"/>
      <c r="B918" s="349"/>
      <c r="C918" s="395"/>
      <c r="D918" s="349"/>
      <c r="E918" s="349"/>
      <c r="F918" s="349"/>
      <c r="G918" s="396"/>
      <c r="H918" s="349"/>
      <c r="I918" s="349"/>
      <c r="J918" s="349"/>
      <c r="K918" s="349"/>
      <c r="L918" s="349"/>
      <c r="M918" s="349"/>
      <c r="N918" s="349"/>
      <c r="O918" s="349"/>
      <c r="P918" s="349"/>
      <c r="Q918" s="349"/>
      <c r="R918" s="349"/>
      <c r="S918" s="349"/>
      <c r="T918" s="349"/>
      <c r="U918" s="349"/>
      <c r="V918" s="349"/>
      <c r="W918" s="349"/>
      <c r="X918" s="349"/>
      <c r="Y918" s="349"/>
      <c r="Z918" s="349"/>
    </row>
    <row r="919">
      <c r="A919" s="349"/>
      <c r="B919" s="349"/>
      <c r="C919" s="395"/>
      <c r="D919" s="349"/>
      <c r="E919" s="349"/>
      <c r="F919" s="349"/>
      <c r="G919" s="396"/>
      <c r="H919" s="349"/>
      <c r="I919" s="349"/>
      <c r="J919" s="349"/>
      <c r="K919" s="349"/>
      <c r="L919" s="349"/>
      <c r="M919" s="349"/>
      <c r="N919" s="349"/>
      <c r="O919" s="349"/>
      <c r="P919" s="349"/>
      <c r="Q919" s="349"/>
      <c r="R919" s="349"/>
      <c r="S919" s="349"/>
      <c r="T919" s="349"/>
      <c r="U919" s="349"/>
      <c r="V919" s="349"/>
      <c r="W919" s="349"/>
      <c r="X919" s="349"/>
      <c r="Y919" s="349"/>
      <c r="Z919" s="349"/>
    </row>
    <row r="920">
      <c r="A920" s="349"/>
      <c r="B920" s="349"/>
      <c r="C920" s="395"/>
      <c r="D920" s="349"/>
      <c r="E920" s="349"/>
      <c r="F920" s="349"/>
      <c r="G920" s="396"/>
      <c r="H920" s="349"/>
      <c r="I920" s="349"/>
      <c r="J920" s="349"/>
      <c r="K920" s="349"/>
      <c r="L920" s="349"/>
      <c r="M920" s="349"/>
      <c r="N920" s="349"/>
      <c r="O920" s="349"/>
      <c r="P920" s="349"/>
      <c r="Q920" s="349"/>
      <c r="R920" s="349"/>
      <c r="S920" s="349"/>
      <c r="T920" s="349"/>
      <c r="U920" s="349"/>
      <c r="V920" s="349"/>
      <c r="W920" s="349"/>
      <c r="X920" s="349"/>
      <c r="Y920" s="349"/>
      <c r="Z920" s="349"/>
    </row>
    <row r="921">
      <c r="A921" s="349"/>
      <c r="B921" s="349"/>
      <c r="C921" s="395"/>
      <c r="D921" s="349"/>
      <c r="E921" s="349"/>
      <c r="F921" s="349"/>
      <c r="G921" s="396"/>
      <c r="H921" s="349"/>
      <c r="I921" s="349"/>
      <c r="J921" s="349"/>
      <c r="K921" s="349"/>
      <c r="L921" s="349"/>
      <c r="M921" s="349"/>
      <c r="N921" s="349"/>
      <c r="O921" s="349"/>
      <c r="P921" s="349"/>
      <c r="Q921" s="349"/>
      <c r="R921" s="349"/>
      <c r="S921" s="349"/>
      <c r="T921" s="349"/>
      <c r="U921" s="349"/>
      <c r="V921" s="349"/>
      <c r="W921" s="349"/>
      <c r="X921" s="349"/>
      <c r="Y921" s="349"/>
      <c r="Z921" s="349"/>
    </row>
    <row r="922">
      <c r="A922" s="349"/>
      <c r="B922" s="349"/>
      <c r="C922" s="395"/>
      <c r="D922" s="349"/>
      <c r="E922" s="349"/>
      <c r="F922" s="349"/>
      <c r="G922" s="396"/>
      <c r="H922" s="349"/>
      <c r="I922" s="349"/>
      <c r="J922" s="349"/>
      <c r="K922" s="349"/>
      <c r="L922" s="349"/>
      <c r="M922" s="349"/>
      <c r="N922" s="349"/>
      <c r="O922" s="349"/>
      <c r="P922" s="349"/>
      <c r="Q922" s="349"/>
      <c r="R922" s="349"/>
      <c r="S922" s="349"/>
      <c r="T922" s="349"/>
      <c r="U922" s="349"/>
      <c r="V922" s="349"/>
      <c r="W922" s="349"/>
      <c r="X922" s="349"/>
      <c r="Y922" s="349"/>
      <c r="Z922" s="349"/>
    </row>
    <row r="923">
      <c r="A923" s="349"/>
      <c r="B923" s="349"/>
      <c r="C923" s="395"/>
      <c r="D923" s="349"/>
      <c r="E923" s="349"/>
      <c r="F923" s="349"/>
      <c r="G923" s="396"/>
      <c r="H923" s="349"/>
      <c r="I923" s="349"/>
      <c r="J923" s="349"/>
      <c r="K923" s="349"/>
      <c r="L923" s="349"/>
      <c r="M923" s="349"/>
      <c r="N923" s="349"/>
      <c r="O923" s="349"/>
      <c r="P923" s="349"/>
      <c r="Q923" s="349"/>
      <c r="R923" s="349"/>
      <c r="S923" s="349"/>
      <c r="T923" s="349"/>
      <c r="U923" s="349"/>
      <c r="V923" s="349"/>
      <c r="W923" s="349"/>
      <c r="X923" s="349"/>
      <c r="Y923" s="349"/>
      <c r="Z923" s="349"/>
    </row>
    <row r="924">
      <c r="A924" s="349"/>
      <c r="B924" s="349"/>
      <c r="C924" s="395"/>
      <c r="D924" s="349"/>
      <c r="E924" s="349"/>
      <c r="F924" s="349"/>
      <c r="G924" s="396"/>
      <c r="H924" s="349"/>
      <c r="I924" s="349"/>
      <c r="J924" s="349"/>
      <c r="K924" s="349"/>
      <c r="L924" s="349"/>
      <c r="M924" s="349"/>
      <c r="N924" s="349"/>
      <c r="O924" s="349"/>
      <c r="P924" s="349"/>
      <c r="Q924" s="349"/>
      <c r="R924" s="349"/>
      <c r="S924" s="349"/>
      <c r="T924" s="349"/>
      <c r="U924" s="349"/>
      <c r="V924" s="349"/>
      <c r="W924" s="349"/>
      <c r="X924" s="349"/>
      <c r="Y924" s="349"/>
      <c r="Z924" s="349"/>
    </row>
    <row r="925">
      <c r="A925" s="349"/>
      <c r="B925" s="349"/>
      <c r="C925" s="395"/>
      <c r="D925" s="349"/>
      <c r="E925" s="349"/>
      <c r="F925" s="349"/>
      <c r="G925" s="396"/>
      <c r="H925" s="349"/>
      <c r="I925" s="349"/>
      <c r="J925" s="349"/>
      <c r="K925" s="349"/>
      <c r="L925" s="349"/>
      <c r="M925" s="349"/>
      <c r="N925" s="349"/>
      <c r="O925" s="349"/>
      <c r="P925" s="349"/>
      <c r="Q925" s="349"/>
      <c r="R925" s="349"/>
      <c r="S925" s="349"/>
      <c r="T925" s="349"/>
      <c r="U925" s="349"/>
      <c r="V925" s="349"/>
      <c r="W925" s="349"/>
      <c r="X925" s="349"/>
      <c r="Y925" s="349"/>
      <c r="Z925" s="349"/>
    </row>
    <row r="926">
      <c r="A926" s="349"/>
      <c r="B926" s="349"/>
      <c r="C926" s="395"/>
      <c r="D926" s="349"/>
      <c r="E926" s="349"/>
      <c r="F926" s="349"/>
      <c r="G926" s="396"/>
      <c r="H926" s="349"/>
      <c r="I926" s="349"/>
      <c r="J926" s="349"/>
      <c r="K926" s="349"/>
      <c r="L926" s="349"/>
      <c r="M926" s="349"/>
      <c r="N926" s="349"/>
      <c r="O926" s="349"/>
      <c r="P926" s="349"/>
      <c r="Q926" s="349"/>
      <c r="R926" s="349"/>
      <c r="S926" s="349"/>
      <c r="T926" s="349"/>
      <c r="U926" s="349"/>
      <c r="V926" s="349"/>
      <c r="W926" s="349"/>
      <c r="X926" s="349"/>
      <c r="Y926" s="349"/>
      <c r="Z926" s="349"/>
    </row>
    <row r="927">
      <c r="A927" s="349"/>
      <c r="B927" s="349"/>
      <c r="C927" s="395"/>
      <c r="D927" s="349"/>
      <c r="E927" s="349"/>
      <c r="F927" s="349"/>
      <c r="G927" s="396"/>
      <c r="H927" s="349"/>
      <c r="I927" s="349"/>
      <c r="J927" s="349"/>
      <c r="K927" s="349"/>
      <c r="L927" s="349"/>
      <c r="M927" s="349"/>
      <c r="N927" s="349"/>
      <c r="O927" s="349"/>
      <c r="P927" s="349"/>
      <c r="Q927" s="349"/>
      <c r="R927" s="349"/>
      <c r="S927" s="349"/>
      <c r="T927" s="349"/>
      <c r="U927" s="349"/>
      <c r="V927" s="349"/>
      <c r="W927" s="349"/>
      <c r="X927" s="349"/>
      <c r="Y927" s="349"/>
      <c r="Z927" s="349"/>
    </row>
    <row r="928">
      <c r="A928" s="349"/>
      <c r="B928" s="349"/>
      <c r="C928" s="395"/>
      <c r="D928" s="349"/>
      <c r="E928" s="349"/>
      <c r="F928" s="349"/>
      <c r="G928" s="396"/>
      <c r="H928" s="349"/>
      <c r="I928" s="349"/>
      <c r="J928" s="349"/>
      <c r="K928" s="349"/>
      <c r="L928" s="349"/>
      <c r="M928" s="349"/>
      <c r="N928" s="349"/>
      <c r="O928" s="349"/>
      <c r="P928" s="349"/>
      <c r="Q928" s="349"/>
      <c r="R928" s="349"/>
      <c r="S928" s="349"/>
      <c r="T928" s="349"/>
      <c r="U928" s="349"/>
      <c r="V928" s="349"/>
      <c r="W928" s="349"/>
      <c r="X928" s="349"/>
      <c r="Y928" s="349"/>
      <c r="Z928" s="349"/>
    </row>
    <row r="929">
      <c r="A929" s="349"/>
      <c r="B929" s="349"/>
      <c r="C929" s="395"/>
      <c r="D929" s="349"/>
      <c r="E929" s="349"/>
      <c r="F929" s="349"/>
      <c r="G929" s="396"/>
      <c r="H929" s="349"/>
      <c r="I929" s="349"/>
      <c r="J929" s="349"/>
      <c r="K929" s="349"/>
      <c r="L929" s="349"/>
      <c r="M929" s="349"/>
      <c r="N929" s="349"/>
      <c r="O929" s="349"/>
      <c r="P929" s="349"/>
      <c r="Q929" s="349"/>
      <c r="R929" s="349"/>
      <c r="S929" s="349"/>
      <c r="T929" s="349"/>
      <c r="U929" s="349"/>
      <c r="V929" s="349"/>
      <c r="W929" s="349"/>
      <c r="X929" s="349"/>
      <c r="Y929" s="349"/>
      <c r="Z929" s="349"/>
    </row>
    <row r="930">
      <c r="A930" s="349"/>
      <c r="B930" s="349"/>
      <c r="C930" s="395"/>
      <c r="D930" s="349"/>
      <c r="E930" s="349"/>
      <c r="F930" s="349"/>
      <c r="G930" s="396"/>
      <c r="H930" s="349"/>
      <c r="I930" s="349"/>
      <c r="J930" s="349"/>
      <c r="K930" s="349"/>
      <c r="L930" s="349"/>
      <c r="M930" s="349"/>
      <c r="N930" s="349"/>
      <c r="O930" s="349"/>
      <c r="P930" s="349"/>
      <c r="Q930" s="349"/>
      <c r="R930" s="349"/>
      <c r="S930" s="349"/>
      <c r="T930" s="349"/>
      <c r="U930" s="349"/>
      <c r="V930" s="349"/>
      <c r="W930" s="349"/>
      <c r="X930" s="349"/>
      <c r="Y930" s="349"/>
      <c r="Z930" s="349"/>
    </row>
    <row r="931">
      <c r="A931" s="349"/>
      <c r="B931" s="349"/>
      <c r="C931" s="395"/>
      <c r="D931" s="349"/>
      <c r="E931" s="349"/>
      <c r="F931" s="349"/>
      <c r="G931" s="396"/>
      <c r="H931" s="349"/>
      <c r="I931" s="349"/>
      <c r="J931" s="349"/>
      <c r="K931" s="349"/>
      <c r="L931" s="349"/>
      <c r="M931" s="349"/>
      <c r="N931" s="349"/>
      <c r="O931" s="349"/>
      <c r="P931" s="349"/>
      <c r="Q931" s="349"/>
      <c r="R931" s="349"/>
      <c r="S931" s="349"/>
      <c r="T931" s="349"/>
      <c r="U931" s="349"/>
      <c r="V931" s="349"/>
      <c r="W931" s="349"/>
      <c r="X931" s="349"/>
      <c r="Y931" s="349"/>
      <c r="Z931" s="349"/>
    </row>
    <row r="932">
      <c r="A932" s="349"/>
      <c r="B932" s="349"/>
      <c r="C932" s="395"/>
      <c r="D932" s="349"/>
      <c r="E932" s="349"/>
      <c r="F932" s="349"/>
      <c r="G932" s="396"/>
      <c r="H932" s="349"/>
      <c r="I932" s="349"/>
      <c r="J932" s="349"/>
      <c r="K932" s="349"/>
      <c r="L932" s="349"/>
      <c r="M932" s="349"/>
      <c r="N932" s="349"/>
      <c r="O932" s="349"/>
      <c r="P932" s="349"/>
      <c r="Q932" s="349"/>
      <c r="R932" s="349"/>
      <c r="S932" s="349"/>
      <c r="T932" s="349"/>
      <c r="U932" s="349"/>
      <c r="V932" s="349"/>
      <c r="W932" s="349"/>
      <c r="X932" s="349"/>
      <c r="Y932" s="349"/>
      <c r="Z932" s="349"/>
    </row>
    <row r="933">
      <c r="A933" s="349"/>
      <c r="B933" s="349"/>
      <c r="C933" s="395"/>
      <c r="D933" s="349"/>
      <c r="E933" s="349"/>
      <c r="F933" s="349"/>
      <c r="G933" s="396"/>
      <c r="H933" s="349"/>
      <c r="I933" s="349"/>
      <c r="J933" s="349"/>
      <c r="K933" s="349"/>
      <c r="L933" s="349"/>
      <c r="M933" s="349"/>
      <c r="N933" s="349"/>
      <c r="O933" s="349"/>
      <c r="P933" s="349"/>
      <c r="Q933" s="349"/>
      <c r="R933" s="349"/>
      <c r="S933" s="349"/>
      <c r="T933" s="349"/>
      <c r="U933" s="349"/>
      <c r="V933" s="349"/>
      <c r="W933" s="349"/>
      <c r="X933" s="349"/>
      <c r="Y933" s="349"/>
      <c r="Z933" s="349"/>
    </row>
    <row r="934">
      <c r="A934" s="349"/>
      <c r="B934" s="349"/>
      <c r="C934" s="395"/>
      <c r="D934" s="349"/>
      <c r="E934" s="349"/>
      <c r="F934" s="349"/>
      <c r="G934" s="396"/>
      <c r="H934" s="349"/>
      <c r="I934" s="349"/>
      <c r="J934" s="349"/>
      <c r="K934" s="349"/>
      <c r="L934" s="349"/>
      <c r="M934" s="349"/>
      <c r="N934" s="349"/>
      <c r="O934" s="349"/>
      <c r="P934" s="349"/>
      <c r="Q934" s="349"/>
      <c r="R934" s="349"/>
      <c r="S934" s="349"/>
      <c r="T934" s="349"/>
      <c r="U934" s="349"/>
      <c r="V934" s="349"/>
      <c r="W934" s="349"/>
      <c r="X934" s="349"/>
      <c r="Y934" s="349"/>
      <c r="Z934" s="349"/>
    </row>
    <row r="935">
      <c r="A935" s="349"/>
      <c r="B935" s="349"/>
      <c r="C935" s="395"/>
      <c r="D935" s="349"/>
      <c r="E935" s="349"/>
      <c r="F935" s="349"/>
      <c r="G935" s="396"/>
      <c r="H935" s="349"/>
      <c r="I935" s="349"/>
      <c r="J935" s="349"/>
      <c r="K935" s="349"/>
      <c r="L935" s="349"/>
      <c r="M935" s="349"/>
      <c r="N935" s="349"/>
      <c r="O935" s="349"/>
      <c r="P935" s="349"/>
      <c r="Q935" s="349"/>
      <c r="R935" s="349"/>
      <c r="S935" s="349"/>
      <c r="T935" s="349"/>
      <c r="U935" s="349"/>
      <c r="V935" s="349"/>
      <c r="W935" s="349"/>
      <c r="X935" s="349"/>
      <c r="Y935" s="349"/>
      <c r="Z935" s="349"/>
    </row>
    <row r="936">
      <c r="A936" s="349"/>
      <c r="B936" s="349"/>
      <c r="C936" s="395"/>
      <c r="D936" s="349"/>
      <c r="E936" s="349"/>
      <c r="F936" s="349"/>
      <c r="G936" s="396"/>
      <c r="H936" s="349"/>
      <c r="I936" s="349"/>
      <c r="J936" s="349"/>
      <c r="K936" s="349"/>
      <c r="L936" s="349"/>
      <c r="M936" s="349"/>
      <c r="N936" s="349"/>
      <c r="O936" s="349"/>
      <c r="P936" s="349"/>
      <c r="Q936" s="349"/>
      <c r="R936" s="349"/>
      <c r="S936" s="349"/>
      <c r="T936" s="349"/>
      <c r="U936" s="349"/>
      <c r="V936" s="349"/>
      <c r="W936" s="349"/>
      <c r="X936" s="349"/>
      <c r="Y936" s="349"/>
      <c r="Z936" s="349"/>
    </row>
    <row r="937">
      <c r="A937" s="349"/>
      <c r="B937" s="349"/>
      <c r="C937" s="395"/>
      <c r="D937" s="349"/>
      <c r="E937" s="349"/>
      <c r="F937" s="349"/>
      <c r="G937" s="396"/>
      <c r="H937" s="349"/>
      <c r="I937" s="349"/>
      <c r="J937" s="349"/>
      <c r="K937" s="349"/>
      <c r="L937" s="349"/>
      <c r="M937" s="349"/>
      <c r="N937" s="349"/>
      <c r="O937" s="349"/>
      <c r="P937" s="349"/>
      <c r="Q937" s="349"/>
      <c r="R937" s="349"/>
      <c r="S937" s="349"/>
      <c r="T937" s="349"/>
      <c r="U937" s="349"/>
      <c r="V937" s="349"/>
      <c r="W937" s="349"/>
      <c r="X937" s="349"/>
      <c r="Y937" s="349"/>
      <c r="Z937" s="349"/>
    </row>
    <row r="938">
      <c r="A938" s="349"/>
      <c r="B938" s="349"/>
      <c r="C938" s="395"/>
      <c r="D938" s="349"/>
      <c r="E938" s="349"/>
      <c r="F938" s="349"/>
      <c r="G938" s="396"/>
      <c r="H938" s="349"/>
      <c r="I938" s="349"/>
      <c r="J938" s="349"/>
      <c r="K938" s="349"/>
      <c r="L938" s="349"/>
      <c r="M938" s="349"/>
      <c r="N938" s="349"/>
      <c r="O938" s="349"/>
      <c r="P938" s="349"/>
      <c r="Q938" s="349"/>
      <c r="R938" s="349"/>
      <c r="S938" s="349"/>
      <c r="T938" s="349"/>
      <c r="U938" s="349"/>
      <c r="V938" s="349"/>
      <c r="W938" s="349"/>
      <c r="X938" s="349"/>
      <c r="Y938" s="349"/>
      <c r="Z938" s="349"/>
    </row>
    <row r="939">
      <c r="A939" s="349"/>
      <c r="B939" s="349"/>
      <c r="C939" s="395"/>
      <c r="D939" s="349"/>
      <c r="E939" s="349"/>
      <c r="F939" s="349"/>
      <c r="G939" s="396"/>
      <c r="H939" s="349"/>
      <c r="I939" s="349"/>
      <c r="J939" s="349"/>
      <c r="K939" s="349"/>
      <c r="L939" s="349"/>
      <c r="M939" s="349"/>
      <c r="N939" s="349"/>
      <c r="O939" s="349"/>
      <c r="P939" s="349"/>
      <c r="Q939" s="349"/>
      <c r="R939" s="349"/>
      <c r="S939" s="349"/>
      <c r="T939" s="349"/>
      <c r="U939" s="349"/>
      <c r="V939" s="349"/>
      <c r="W939" s="349"/>
      <c r="X939" s="349"/>
      <c r="Y939" s="349"/>
      <c r="Z939" s="349"/>
    </row>
    <row r="940">
      <c r="A940" s="349"/>
      <c r="B940" s="349"/>
      <c r="C940" s="395"/>
      <c r="D940" s="349"/>
      <c r="E940" s="349"/>
      <c r="F940" s="349"/>
      <c r="G940" s="396"/>
      <c r="H940" s="349"/>
      <c r="I940" s="349"/>
      <c r="J940" s="349"/>
      <c r="K940" s="349"/>
      <c r="L940" s="349"/>
      <c r="M940" s="349"/>
      <c r="N940" s="349"/>
      <c r="O940" s="349"/>
      <c r="P940" s="349"/>
      <c r="Q940" s="349"/>
      <c r="R940" s="349"/>
      <c r="S940" s="349"/>
      <c r="T940" s="349"/>
      <c r="U940" s="349"/>
      <c r="V940" s="349"/>
      <c r="W940" s="349"/>
      <c r="X940" s="349"/>
      <c r="Y940" s="349"/>
      <c r="Z940" s="349"/>
    </row>
    <row r="941">
      <c r="A941" s="349"/>
      <c r="B941" s="349"/>
      <c r="C941" s="395"/>
      <c r="D941" s="349"/>
      <c r="E941" s="349"/>
      <c r="F941" s="349"/>
      <c r="G941" s="396"/>
      <c r="H941" s="349"/>
      <c r="I941" s="349"/>
      <c r="J941" s="349"/>
      <c r="K941" s="349"/>
      <c r="L941" s="349"/>
      <c r="M941" s="349"/>
      <c r="N941" s="349"/>
      <c r="O941" s="349"/>
      <c r="P941" s="349"/>
      <c r="Q941" s="349"/>
      <c r="R941" s="349"/>
      <c r="S941" s="349"/>
      <c r="T941" s="349"/>
      <c r="U941" s="349"/>
      <c r="V941" s="349"/>
      <c r="W941" s="349"/>
      <c r="X941" s="349"/>
      <c r="Y941" s="349"/>
      <c r="Z941" s="349"/>
    </row>
    <row r="942">
      <c r="A942" s="349"/>
      <c r="B942" s="349"/>
      <c r="C942" s="395"/>
      <c r="D942" s="349"/>
      <c r="E942" s="349"/>
      <c r="F942" s="349"/>
      <c r="G942" s="396"/>
      <c r="H942" s="349"/>
      <c r="I942" s="349"/>
      <c r="J942" s="349"/>
      <c r="K942" s="349"/>
      <c r="L942" s="349"/>
      <c r="M942" s="349"/>
      <c r="N942" s="349"/>
      <c r="O942" s="349"/>
      <c r="P942" s="349"/>
      <c r="Q942" s="349"/>
      <c r="R942" s="349"/>
      <c r="S942" s="349"/>
      <c r="T942" s="349"/>
      <c r="U942" s="349"/>
      <c r="V942" s="349"/>
      <c r="W942" s="349"/>
      <c r="X942" s="349"/>
      <c r="Y942" s="349"/>
      <c r="Z942" s="349"/>
    </row>
    <row r="943">
      <c r="A943" s="349"/>
      <c r="B943" s="349"/>
      <c r="C943" s="395"/>
      <c r="D943" s="349"/>
      <c r="E943" s="349"/>
      <c r="F943" s="349"/>
      <c r="G943" s="396"/>
      <c r="H943" s="349"/>
      <c r="I943" s="349"/>
      <c r="J943" s="349"/>
      <c r="K943" s="349"/>
      <c r="L943" s="349"/>
      <c r="M943" s="349"/>
      <c r="N943" s="349"/>
      <c r="O943" s="349"/>
      <c r="P943" s="349"/>
      <c r="Q943" s="349"/>
      <c r="R943" s="349"/>
      <c r="S943" s="349"/>
      <c r="T943" s="349"/>
      <c r="U943" s="349"/>
      <c r="V943" s="349"/>
      <c r="W943" s="349"/>
      <c r="X943" s="349"/>
      <c r="Y943" s="349"/>
      <c r="Z943" s="349"/>
    </row>
    <row r="944">
      <c r="A944" s="349"/>
      <c r="B944" s="349"/>
      <c r="C944" s="395"/>
      <c r="D944" s="349"/>
      <c r="E944" s="349"/>
      <c r="F944" s="349"/>
      <c r="G944" s="396"/>
      <c r="H944" s="349"/>
      <c r="I944" s="349"/>
      <c r="J944" s="349"/>
      <c r="K944" s="349"/>
      <c r="L944" s="349"/>
      <c r="M944" s="349"/>
      <c r="N944" s="349"/>
      <c r="O944" s="349"/>
      <c r="P944" s="349"/>
      <c r="Q944" s="349"/>
      <c r="R944" s="349"/>
      <c r="S944" s="349"/>
      <c r="T944" s="349"/>
      <c r="U944" s="349"/>
      <c r="V944" s="349"/>
      <c r="W944" s="349"/>
      <c r="X944" s="349"/>
      <c r="Y944" s="349"/>
      <c r="Z944" s="349"/>
    </row>
    <row r="945">
      <c r="A945" s="349"/>
      <c r="B945" s="349"/>
      <c r="C945" s="395"/>
      <c r="D945" s="349"/>
      <c r="E945" s="349"/>
      <c r="F945" s="349"/>
      <c r="G945" s="396"/>
      <c r="H945" s="349"/>
      <c r="I945" s="349"/>
      <c r="J945" s="349"/>
      <c r="K945" s="349"/>
      <c r="L945" s="349"/>
      <c r="M945" s="349"/>
      <c r="N945" s="349"/>
      <c r="O945" s="349"/>
      <c r="P945" s="349"/>
      <c r="Q945" s="349"/>
      <c r="R945" s="349"/>
      <c r="S945" s="349"/>
      <c r="T945" s="349"/>
      <c r="U945" s="349"/>
      <c r="V945" s="349"/>
      <c r="W945" s="349"/>
      <c r="X945" s="349"/>
      <c r="Y945" s="349"/>
      <c r="Z945" s="349"/>
    </row>
    <row r="946">
      <c r="A946" s="349"/>
      <c r="B946" s="349"/>
      <c r="C946" s="395"/>
      <c r="D946" s="349"/>
      <c r="E946" s="349"/>
      <c r="F946" s="349"/>
      <c r="G946" s="396"/>
      <c r="H946" s="349"/>
      <c r="I946" s="349"/>
      <c r="J946" s="349"/>
      <c r="K946" s="349"/>
      <c r="L946" s="349"/>
      <c r="M946" s="349"/>
      <c r="N946" s="349"/>
      <c r="O946" s="349"/>
      <c r="P946" s="349"/>
      <c r="Q946" s="349"/>
      <c r="R946" s="349"/>
      <c r="S946" s="349"/>
      <c r="T946" s="349"/>
      <c r="U946" s="349"/>
      <c r="V946" s="349"/>
      <c r="W946" s="349"/>
      <c r="X946" s="349"/>
      <c r="Y946" s="349"/>
      <c r="Z946" s="349"/>
    </row>
    <row r="947">
      <c r="A947" s="349"/>
      <c r="B947" s="349"/>
      <c r="C947" s="395"/>
      <c r="D947" s="349"/>
      <c r="E947" s="349"/>
      <c r="F947" s="349"/>
      <c r="G947" s="396"/>
      <c r="H947" s="349"/>
      <c r="I947" s="349"/>
      <c r="J947" s="349"/>
      <c r="K947" s="349"/>
      <c r="L947" s="349"/>
      <c r="M947" s="349"/>
      <c r="N947" s="349"/>
      <c r="O947" s="349"/>
      <c r="P947" s="349"/>
      <c r="Q947" s="349"/>
      <c r="R947" s="349"/>
      <c r="S947" s="349"/>
      <c r="T947" s="349"/>
      <c r="U947" s="349"/>
      <c r="V947" s="349"/>
      <c r="W947" s="349"/>
      <c r="X947" s="349"/>
      <c r="Y947" s="349"/>
      <c r="Z947" s="349"/>
    </row>
    <row r="948">
      <c r="A948" s="349"/>
      <c r="B948" s="349"/>
      <c r="C948" s="395"/>
      <c r="D948" s="349"/>
      <c r="E948" s="349"/>
      <c r="F948" s="349"/>
      <c r="G948" s="396"/>
      <c r="H948" s="349"/>
      <c r="I948" s="349"/>
      <c r="J948" s="349"/>
      <c r="K948" s="349"/>
      <c r="L948" s="349"/>
      <c r="M948" s="349"/>
      <c r="N948" s="349"/>
      <c r="O948" s="349"/>
      <c r="P948" s="349"/>
      <c r="Q948" s="349"/>
      <c r="R948" s="349"/>
      <c r="S948" s="349"/>
      <c r="T948" s="349"/>
      <c r="U948" s="349"/>
      <c r="V948" s="349"/>
      <c r="W948" s="349"/>
      <c r="X948" s="349"/>
      <c r="Y948" s="349"/>
      <c r="Z948" s="349"/>
    </row>
    <row r="949">
      <c r="A949" s="349"/>
      <c r="B949" s="349"/>
      <c r="C949" s="395"/>
      <c r="D949" s="349"/>
      <c r="E949" s="349"/>
      <c r="F949" s="349"/>
      <c r="G949" s="396"/>
      <c r="H949" s="349"/>
      <c r="I949" s="349"/>
      <c r="J949" s="349"/>
      <c r="K949" s="349"/>
      <c r="L949" s="349"/>
      <c r="M949" s="349"/>
      <c r="N949" s="349"/>
      <c r="O949" s="349"/>
      <c r="P949" s="349"/>
      <c r="Q949" s="349"/>
      <c r="R949" s="349"/>
      <c r="S949" s="349"/>
      <c r="T949" s="349"/>
      <c r="U949" s="349"/>
      <c r="V949" s="349"/>
      <c r="W949" s="349"/>
      <c r="X949" s="349"/>
      <c r="Y949" s="349"/>
      <c r="Z949" s="349"/>
    </row>
    <row r="950">
      <c r="A950" s="349"/>
      <c r="B950" s="349"/>
      <c r="C950" s="395"/>
      <c r="D950" s="349"/>
      <c r="E950" s="349"/>
      <c r="F950" s="349"/>
      <c r="G950" s="396"/>
      <c r="H950" s="349"/>
      <c r="I950" s="349"/>
      <c r="J950" s="349"/>
      <c r="K950" s="349"/>
      <c r="L950" s="349"/>
      <c r="M950" s="349"/>
      <c r="N950" s="349"/>
      <c r="O950" s="349"/>
      <c r="P950" s="349"/>
      <c r="Q950" s="349"/>
      <c r="R950" s="349"/>
      <c r="S950" s="349"/>
      <c r="T950" s="349"/>
      <c r="U950" s="349"/>
      <c r="V950" s="349"/>
      <c r="W950" s="349"/>
      <c r="X950" s="349"/>
      <c r="Y950" s="349"/>
      <c r="Z950" s="349"/>
    </row>
    <row r="951">
      <c r="A951" s="349"/>
      <c r="B951" s="349"/>
      <c r="C951" s="395"/>
      <c r="D951" s="349"/>
      <c r="E951" s="349"/>
      <c r="F951" s="349"/>
      <c r="G951" s="396"/>
      <c r="H951" s="349"/>
      <c r="I951" s="349"/>
      <c r="J951" s="349"/>
      <c r="K951" s="349"/>
      <c r="L951" s="349"/>
      <c r="M951" s="349"/>
      <c r="N951" s="349"/>
      <c r="O951" s="349"/>
      <c r="P951" s="349"/>
      <c r="Q951" s="349"/>
      <c r="R951" s="349"/>
      <c r="S951" s="349"/>
      <c r="T951" s="349"/>
      <c r="U951" s="349"/>
      <c r="V951" s="349"/>
      <c r="W951" s="349"/>
      <c r="X951" s="349"/>
      <c r="Y951" s="349"/>
      <c r="Z951" s="349"/>
    </row>
    <row r="952">
      <c r="A952" s="349"/>
      <c r="B952" s="349"/>
      <c r="C952" s="395"/>
      <c r="D952" s="349"/>
      <c r="E952" s="349"/>
      <c r="F952" s="349"/>
      <c r="G952" s="396"/>
      <c r="H952" s="349"/>
      <c r="I952" s="349"/>
      <c r="J952" s="349"/>
      <c r="K952" s="349"/>
      <c r="L952" s="349"/>
      <c r="M952" s="349"/>
      <c r="N952" s="349"/>
      <c r="O952" s="349"/>
      <c r="P952" s="349"/>
      <c r="Q952" s="349"/>
      <c r="R952" s="349"/>
      <c r="S952" s="349"/>
      <c r="T952" s="349"/>
      <c r="U952" s="349"/>
      <c r="V952" s="349"/>
      <c r="W952" s="349"/>
      <c r="X952" s="349"/>
      <c r="Y952" s="349"/>
      <c r="Z952" s="349"/>
    </row>
    <row r="953">
      <c r="A953" s="349"/>
      <c r="B953" s="349"/>
      <c r="C953" s="395"/>
      <c r="D953" s="349"/>
      <c r="E953" s="349"/>
      <c r="F953" s="349"/>
      <c r="G953" s="396"/>
      <c r="H953" s="349"/>
      <c r="I953" s="349"/>
      <c r="J953" s="349"/>
      <c r="K953" s="349"/>
      <c r="L953" s="349"/>
      <c r="M953" s="349"/>
      <c r="N953" s="349"/>
      <c r="O953" s="349"/>
      <c r="P953" s="349"/>
      <c r="Q953" s="349"/>
      <c r="R953" s="349"/>
      <c r="S953" s="349"/>
      <c r="T953" s="349"/>
      <c r="U953" s="349"/>
      <c r="V953" s="349"/>
      <c r="W953" s="349"/>
      <c r="X953" s="349"/>
      <c r="Y953" s="349"/>
      <c r="Z953" s="349"/>
    </row>
    <row r="954">
      <c r="A954" s="349"/>
      <c r="B954" s="349"/>
      <c r="C954" s="395"/>
      <c r="D954" s="349"/>
      <c r="E954" s="349"/>
      <c r="F954" s="349"/>
      <c r="G954" s="396"/>
      <c r="H954" s="349"/>
      <c r="I954" s="349"/>
      <c r="J954" s="349"/>
      <c r="K954" s="349"/>
      <c r="L954" s="349"/>
      <c r="M954" s="349"/>
      <c r="N954" s="349"/>
      <c r="O954" s="349"/>
      <c r="P954" s="349"/>
      <c r="Q954" s="349"/>
      <c r="R954" s="349"/>
      <c r="S954" s="349"/>
      <c r="T954" s="349"/>
      <c r="U954" s="349"/>
      <c r="V954" s="349"/>
      <c r="W954" s="349"/>
      <c r="X954" s="349"/>
      <c r="Y954" s="349"/>
      <c r="Z954" s="349"/>
    </row>
    <row r="955">
      <c r="A955" s="349"/>
      <c r="B955" s="349"/>
      <c r="C955" s="395"/>
      <c r="D955" s="349"/>
      <c r="E955" s="349"/>
      <c r="F955" s="349"/>
      <c r="G955" s="396"/>
      <c r="H955" s="349"/>
      <c r="I955" s="349"/>
      <c r="J955" s="349"/>
      <c r="K955" s="349"/>
      <c r="L955" s="349"/>
      <c r="M955" s="349"/>
      <c r="N955" s="349"/>
      <c r="O955" s="349"/>
      <c r="P955" s="349"/>
      <c r="Q955" s="349"/>
      <c r="R955" s="349"/>
      <c r="S955" s="349"/>
      <c r="T955" s="349"/>
      <c r="U955" s="349"/>
      <c r="V955" s="349"/>
      <c r="W955" s="349"/>
      <c r="X955" s="349"/>
      <c r="Y955" s="349"/>
      <c r="Z955" s="349"/>
    </row>
    <row r="956">
      <c r="A956" s="349"/>
      <c r="B956" s="349"/>
      <c r="C956" s="395"/>
      <c r="D956" s="349"/>
      <c r="E956" s="349"/>
      <c r="F956" s="349"/>
      <c r="G956" s="396"/>
      <c r="H956" s="349"/>
      <c r="I956" s="349"/>
      <c r="J956" s="349"/>
      <c r="K956" s="349"/>
      <c r="L956" s="349"/>
      <c r="M956" s="349"/>
      <c r="N956" s="349"/>
      <c r="O956" s="349"/>
      <c r="P956" s="349"/>
      <c r="Q956" s="349"/>
      <c r="R956" s="349"/>
      <c r="S956" s="349"/>
      <c r="T956" s="349"/>
      <c r="U956" s="349"/>
      <c r="V956" s="349"/>
      <c r="W956" s="349"/>
      <c r="X956" s="349"/>
      <c r="Y956" s="349"/>
      <c r="Z956" s="349"/>
    </row>
    <row r="957">
      <c r="A957" s="349"/>
      <c r="B957" s="349"/>
      <c r="C957" s="395"/>
      <c r="D957" s="349"/>
      <c r="E957" s="349"/>
      <c r="F957" s="349"/>
      <c r="G957" s="396"/>
      <c r="H957" s="349"/>
      <c r="I957" s="349"/>
      <c r="J957" s="349"/>
      <c r="K957" s="349"/>
      <c r="L957" s="349"/>
      <c r="M957" s="349"/>
      <c r="N957" s="349"/>
      <c r="O957" s="349"/>
      <c r="P957" s="349"/>
      <c r="Q957" s="349"/>
      <c r="R957" s="349"/>
      <c r="S957" s="349"/>
      <c r="T957" s="349"/>
      <c r="U957" s="349"/>
      <c r="V957" s="349"/>
      <c r="W957" s="349"/>
      <c r="X957" s="349"/>
      <c r="Y957" s="349"/>
      <c r="Z957" s="349"/>
    </row>
    <row r="958">
      <c r="A958" s="349"/>
      <c r="B958" s="349"/>
      <c r="C958" s="395"/>
      <c r="D958" s="349"/>
      <c r="E958" s="349"/>
      <c r="F958" s="349"/>
      <c r="G958" s="396"/>
      <c r="H958" s="349"/>
      <c r="I958" s="349"/>
      <c r="J958" s="349"/>
      <c r="K958" s="349"/>
      <c r="L958" s="349"/>
      <c r="M958" s="349"/>
      <c r="N958" s="349"/>
      <c r="O958" s="349"/>
      <c r="P958" s="349"/>
      <c r="Q958" s="349"/>
      <c r="R958" s="349"/>
      <c r="S958" s="349"/>
      <c r="T958" s="349"/>
      <c r="U958" s="349"/>
      <c r="V958" s="349"/>
      <c r="W958" s="349"/>
      <c r="X958" s="349"/>
      <c r="Y958" s="349"/>
      <c r="Z958" s="349"/>
    </row>
    <row r="959">
      <c r="A959" s="349"/>
      <c r="B959" s="349"/>
      <c r="C959" s="395"/>
      <c r="D959" s="349"/>
      <c r="E959" s="349"/>
      <c r="F959" s="349"/>
      <c r="G959" s="396"/>
      <c r="H959" s="349"/>
      <c r="I959" s="349"/>
      <c r="J959" s="349"/>
      <c r="K959" s="349"/>
      <c r="L959" s="349"/>
      <c r="M959" s="349"/>
      <c r="N959" s="349"/>
      <c r="O959" s="349"/>
      <c r="P959" s="349"/>
      <c r="Q959" s="349"/>
      <c r="R959" s="349"/>
      <c r="S959" s="349"/>
      <c r="T959" s="349"/>
      <c r="U959" s="349"/>
      <c r="V959" s="349"/>
      <c r="W959" s="349"/>
      <c r="X959" s="349"/>
      <c r="Y959" s="349"/>
      <c r="Z959" s="349"/>
    </row>
    <row r="960">
      <c r="A960" s="349"/>
      <c r="B960" s="349"/>
      <c r="C960" s="395"/>
      <c r="D960" s="349"/>
      <c r="E960" s="349"/>
      <c r="F960" s="349"/>
      <c r="G960" s="396"/>
      <c r="H960" s="349"/>
      <c r="I960" s="349"/>
      <c r="J960" s="349"/>
      <c r="K960" s="349"/>
      <c r="L960" s="349"/>
      <c r="M960" s="349"/>
      <c r="N960" s="349"/>
      <c r="O960" s="349"/>
      <c r="P960" s="349"/>
      <c r="Q960" s="349"/>
      <c r="R960" s="349"/>
      <c r="S960" s="349"/>
      <c r="T960" s="349"/>
      <c r="U960" s="349"/>
      <c r="V960" s="349"/>
      <c r="W960" s="349"/>
      <c r="X960" s="349"/>
      <c r="Y960" s="349"/>
      <c r="Z960" s="349"/>
    </row>
    <row r="961">
      <c r="A961" s="349"/>
      <c r="B961" s="349"/>
      <c r="C961" s="395"/>
      <c r="D961" s="349"/>
      <c r="E961" s="349"/>
      <c r="F961" s="349"/>
      <c r="G961" s="396"/>
      <c r="H961" s="349"/>
      <c r="I961" s="349"/>
      <c r="J961" s="349"/>
      <c r="K961" s="349"/>
      <c r="L961" s="349"/>
      <c r="M961" s="349"/>
      <c r="N961" s="349"/>
      <c r="O961" s="349"/>
      <c r="P961" s="349"/>
      <c r="Q961" s="349"/>
      <c r="R961" s="349"/>
      <c r="S961" s="349"/>
      <c r="T961" s="349"/>
      <c r="U961" s="349"/>
      <c r="V961" s="349"/>
      <c r="W961" s="349"/>
      <c r="X961" s="349"/>
      <c r="Y961" s="349"/>
      <c r="Z961" s="349"/>
    </row>
    <row r="962">
      <c r="A962" s="349"/>
      <c r="B962" s="349"/>
      <c r="C962" s="395"/>
      <c r="D962" s="349"/>
      <c r="E962" s="349"/>
      <c r="F962" s="349"/>
      <c r="G962" s="396"/>
      <c r="H962" s="349"/>
      <c r="I962" s="349"/>
      <c r="J962" s="349"/>
      <c r="K962" s="349"/>
      <c r="L962" s="349"/>
      <c r="M962" s="349"/>
      <c r="N962" s="349"/>
      <c r="O962" s="349"/>
      <c r="P962" s="349"/>
      <c r="Q962" s="349"/>
      <c r="R962" s="349"/>
      <c r="S962" s="349"/>
      <c r="T962" s="349"/>
      <c r="U962" s="349"/>
      <c r="V962" s="349"/>
      <c r="W962" s="349"/>
      <c r="X962" s="349"/>
      <c r="Y962" s="349"/>
      <c r="Z962" s="349"/>
    </row>
    <row r="963">
      <c r="A963" s="349"/>
      <c r="B963" s="349"/>
      <c r="C963" s="395"/>
      <c r="D963" s="349"/>
      <c r="E963" s="349"/>
      <c r="F963" s="349"/>
      <c r="G963" s="396"/>
      <c r="H963" s="349"/>
      <c r="I963" s="349"/>
      <c r="J963" s="349"/>
      <c r="K963" s="349"/>
      <c r="L963" s="349"/>
      <c r="M963" s="349"/>
      <c r="N963" s="349"/>
      <c r="O963" s="349"/>
      <c r="P963" s="349"/>
      <c r="Q963" s="349"/>
      <c r="R963" s="349"/>
      <c r="S963" s="349"/>
      <c r="T963" s="349"/>
      <c r="U963" s="349"/>
      <c r="V963" s="349"/>
      <c r="W963" s="349"/>
      <c r="X963" s="349"/>
      <c r="Y963" s="349"/>
      <c r="Z963" s="349"/>
    </row>
    <row r="964">
      <c r="A964" s="349"/>
      <c r="B964" s="349"/>
      <c r="C964" s="395"/>
      <c r="D964" s="349"/>
      <c r="E964" s="349"/>
      <c r="F964" s="349"/>
      <c r="G964" s="396"/>
      <c r="H964" s="349"/>
      <c r="I964" s="349"/>
      <c r="J964" s="349"/>
      <c r="K964" s="349"/>
      <c r="L964" s="349"/>
      <c r="M964" s="349"/>
      <c r="N964" s="349"/>
      <c r="O964" s="349"/>
      <c r="P964" s="349"/>
      <c r="Q964" s="349"/>
      <c r="R964" s="349"/>
      <c r="S964" s="349"/>
      <c r="T964" s="349"/>
      <c r="U964" s="349"/>
      <c r="V964" s="349"/>
      <c r="W964" s="349"/>
      <c r="X964" s="349"/>
      <c r="Y964" s="349"/>
      <c r="Z964" s="349"/>
    </row>
    <row r="965">
      <c r="A965" s="349"/>
      <c r="B965" s="349"/>
      <c r="C965" s="395"/>
      <c r="D965" s="349"/>
      <c r="E965" s="349"/>
      <c r="F965" s="349"/>
      <c r="G965" s="396"/>
      <c r="H965" s="349"/>
      <c r="I965" s="349"/>
      <c r="J965" s="349"/>
      <c r="K965" s="349"/>
      <c r="L965" s="349"/>
      <c r="M965" s="349"/>
      <c r="N965" s="349"/>
      <c r="O965" s="349"/>
      <c r="P965" s="349"/>
      <c r="Q965" s="349"/>
      <c r="R965" s="349"/>
      <c r="S965" s="349"/>
      <c r="T965" s="349"/>
      <c r="U965" s="349"/>
      <c r="V965" s="349"/>
      <c r="W965" s="349"/>
      <c r="X965" s="349"/>
      <c r="Y965" s="349"/>
      <c r="Z965" s="349"/>
    </row>
    <row r="966">
      <c r="A966" s="349"/>
      <c r="B966" s="349"/>
      <c r="C966" s="395"/>
      <c r="D966" s="349"/>
      <c r="E966" s="349"/>
      <c r="F966" s="349"/>
      <c r="G966" s="396"/>
      <c r="H966" s="349"/>
      <c r="I966" s="349"/>
      <c r="J966" s="349"/>
      <c r="K966" s="349"/>
      <c r="L966" s="349"/>
      <c r="M966" s="349"/>
      <c r="N966" s="349"/>
      <c r="O966" s="349"/>
      <c r="P966" s="349"/>
      <c r="Q966" s="349"/>
      <c r="R966" s="349"/>
      <c r="S966" s="349"/>
      <c r="T966" s="349"/>
      <c r="U966" s="349"/>
      <c r="V966" s="349"/>
      <c r="W966" s="349"/>
      <c r="X966" s="349"/>
      <c r="Y966" s="349"/>
      <c r="Z966" s="349"/>
    </row>
    <row r="967">
      <c r="A967" s="349"/>
      <c r="B967" s="349"/>
      <c r="C967" s="395"/>
      <c r="D967" s="349"/>
      <c r="E967" s="349"/>
      <c r="F967" s="349"/>
      <c r="G967" s="396"/>
      <c r="H967" s="349"/>
      <c r="I967" s="349"/>
      <c r="J967" s="349"/>
      <c r="K967" s="349"/>
      <c r="L967" s="349"/>
      <c r="M967" s="349"/>
      <c r="N967" s="349"/>
      <c r="O967" s="349"/>
      <c r="P967" s="349"/>
      <c r="Q967" s="349"/>
      <c r="R967" s="349"/>
      <c r="S967" s="349"/>
      <c r="T967" s="349"/>
      <c r="U967" s="349"/>
      <c r="V967" s="349"/>
      <c r="W967" s="349"/>
      <c r="X967" s="349"/>
      <c r="Y967" s="349"/>
      <c r="Z967" s="349"/>
    </row>
    <row r="968">
      <c r="A968" s="349"/>
      <c r="B968" s="349"/>
      <c r="C968" s="395"/>
      <c r="D968" s="349"/>
      <c r="E968" s="349"/>
      <c r="F968" s="349"/>
      <c r="G968" s="396"/>
      <c r="H968" s="349"/>
      <c r="I968" s="349"/>
      <c r="J968" s="349"/>
      <c r="K968" s="349"/>
      <c r="L968" s="349"/>
      <c r="M968" s="349"/>
      <c r="N968" s="349"/>
      <c r="O968" s="349"/>
      <c r="P968" s="349"/>
      <c r="Q968" s="349"/>
      <c r="R968" s="349"/>
      <c r="S968" s="349"/>
      <c r="T968" s="349"/>
      <c r="U968" s="349"/>
      <c r="V968" s="349"/>
      <c r="W968" s="349"/>
      <c r="X968" s="349"/>
      <c r="Y968" s="349"/>
      <c r="Z968" s="349"/>
    </row>
    <row r="969">
      <c r="A969" s="349"/>
      <c r="B969" s="349"/>
      <c r="C969" s="395"/>
      <c r="D969" s="349"/>
      <c r="E969" s="349"/>
      <c r="F969" s="349"/>
      <c r="G969" s="396"/>
      <c r="H969" s="349"/>
      <c r="I969" s="349"/>
      <c r="J969" s="349"/>
      <c r="K969" s="349"/>
      <c r="L969" s="349"/>
      <c r="M969" s="349"/>
      <c r="N969" s="349"/>
      <c r="O969" s="349"/>
      <c r="P969" s="349"/>
      <c r="Q969" s="349"/>
      <c r="R969" s="349"/>
      <c r="S969" s="349"/>
      <c r="T969" s="349"/>
      <c r="U969" s="349"/>
      <c r="V969" s="349"/>
      <c r="W969" s="349"/>
      <c r="X969" s="349"/>
      <c r="Y969" s="349"/>
      <c r="Z969" s="349"/>
    </row>
    <row r="970">
      <c r="A970" s="349"/>
      <c r="B970" s="349"/>
      <c r="C970" s="395"/>
      <c r="D970" s="349"/>
      <c r="E970" s="349"/>
      <c r="F970" s="349"/>
      <c r="G970" s="396"/>
      <c r="H970" s="349"/>
      <c r="I970" s="349"/>
      <c r="J970" s="349"/>
      <c r="K970" s="349"/>
      <c r="L970" s="349"/>
      <c r="M970" s="349"/>
      <c r="N970" s="349"/>
      <c r="O970" s="349"/>
      <c r="P970" s="349"/>
      <c r="Q970" s="349"/>
      <c r="R970" s="349"/>
      <c r="S970" s="349"/>
      <c r="T970" s="349"/>
      <c r="U970" s="349"/>
      <c r="V970" s="349"/>
      <c r="W970" s="349"/>
      <c r="X970" s="349"/>
      <c r="Y970" s="349"/>
      <c r="Z970" s="349"/>
    </row>
    <row r="971">
      <c r="A971" s="349"/>
      <c r="B971" s="349"/>
      <c r="C971" s="395"/>
      <c r="D971" s="349"/>
      <c r="E971" s="349"/>
      <c r="F971" s="349"/>
      <c r="G971" s="396"/>
      <c r="H971" s="349"/>
      <c r="I971" s="349"/>
      <c r="J971" s="349"/>
      <c r="K971" s="349"/>
      <c r="L971" s="349"/>
      <c r="M971" s="349"/>
      <c r="N971" s="349"/>
      <c r="O971" s="349"/>
      <c r="P971" s="349"/>
      <c r="Q971" s="349"/>
      <c r="R971" s="349"/>
      <c r="S971" s="349"/>
      <c r="T971" s="349"/>
      <c r="U971" s="349"/>
      <c r="V971" s="349"/>
      <c r="W971" s="349"/>
      <c r="X971" s="349"/>
      <c r="Y971" s="349"/>
      <c r="Z971" s="349"/>
    </row>
    <row r="972">
      <c r="A972" s="349"/>
      <c r="B972" s="349"/>
      <c r="C972" s="395"/>
      <c r="D972" s="349"/>
      <c r="E972" s="349"/>
      <c r="F972" s="349"/>
      <c r="G972" s="396"/>
      <c r="H972" s="349"/>
      <c r="I972" s="349"/>
      <c r="J972" s="349"/>
      <c r="K972" s="349"/>
      <c r="L972" s="349"/>
      <c r="M972" s="349"/>
      <c r="N972" s="349"/>
      <c r="O972" s="349"/>
      <c r="P972" s="349"/>
      <c r="Q972" s="349"/>
      <c r="R972" s="349"/>
      <c r="S972" s="349"/>
      <c r="T972" s="349"/>
      <c r="U972" s="349"/>
      <c r="V972" s="349"/>
      <c r="W972" s="349"/>
      <c r="X972" s="349"/>
      <c r="Y972" s="349"/>
      <c r="Z972" s="349"/>
    </row>
    <row r="973">
      <c r="A973" s="349"/>
      <c r="B973" s="349"/>
      <c r="C973" s="395"/>
      <c r="D973" s="349"/>
      <c r="E973" s="349"/>
      <c r="F973" s="349"/>
      <c r="G973" s="396"/>
      <c r="H973" s="349"/>
      <c r="I973" s="349"/>
      <c r="J973" s="349"/>
      <c r="K973" s="349"/>
      <c r="L973" s="349"/>
      <c r="M973" s="349"/>
      <c r="N973" s="349"/>
      <c r="O973" s="349"/>
      <c r="P973" s="349"/>
      <c r="Q973" s="349"/>
      <c r="R973" s="349"/>
      <c r="S973" s="349"/>
      <c r="T973" s="349"/>
      <c r="U973" s="349"/>
      <c r="V973" s="349"/>
      <c r="W973" s="349"/>
      <c r="X973" s="349"/>
      <c r="Y973" s="349"/>
      <c r="Z973" s="349"/>
    </row>
    <row r="974">
      <c r="A974" s="349"/>
      <c r="B974" s="349"/>
      <c r="C974" s="395"/>
      <c r="D974" s="349"/>
      <c r="E974" s="349"/>
      <c r="F974" s="349"/>
      <c r="G974" s="396"/>
      <c r="H974" s="349"/>
      <c r="I974" s="349"/>
      <c r="J974" s="349"/>
      <c r="K974" s="349"/>
      <c r="L974" s="349"/>
      <c r="M974" s="349"/>
      <c r="N974" s="349"/>
      <c r="O974" s="349"/>
      <c r="P974" s="349"/>
      <c r="Q974" s="349"/>
      <c r="R974" s="349"/>
      <c r="S974" s="349"/>
      <c r="T974" s="349"/>
      <c r="U974" s="349"/>
      <c r="V974" s="349"/>
      <c r="W974" s="349"/>
      <c r="X974" s="349"/>
      <c r="Y974" s="349"/>
      <c r="Z974" s="349"/>
    </row>
    <row r="975">
      <c r="A975" s="349"/>
      <c r="B975" s="349"/>
      <c r="C975" s="395"/>
      <c r="D975" s="349"/>
      <c r="E975" s="349"/>
      <c r="F975" s="349"/>
      <c r="G975" s="396"/>
      <c r="H975" s="349"/>
      <c r="I975" s="349"/>
      <c r="J975" s="349"/>
      <c r="K975" s="349"/>
      <c r="L975" s="349"/>
      <c r="M975" s="349"/>
      <c r="N975" s="349"/>
      <c r="O975" s="349"/>
      <c r="P975" s="349"/>
      <c r="Q975" s="349"/>
      <c r="R975" s="349"/>
      <c r="S975" s="349"/>
      <c r="T975" s="349"/>
      <c r="U975" s="349"/>
      <c r="V975" s="349"/>
      <c r="W975" s="349"/>
      <c r="X975" s="349"/>
      <c r="Y975" s="349"/>
      <c r="Z975" s="349"/>
    </row>
    <row r="976">
      <c r="A976" s="349"/>
      <c r="B976" s="349"/>
      <c r="C976" s="395"/>
      <c r="D976" s="349"/>
      <c r="E976" s="349"/>
      <c r="F976" s="349"/>
      <c r="G976" s="396"/>
      <c r="H976" s="349"/>
      <c r="I976" s="349"/>
      <c r="J976" s="349"/>
      <c r="K976" s="349"/>
      <c r="L976" s="349"/>
      <c r="M976" s="349"/>
      <c r="N976" s="349"/>
      <c r="O976" s="349"/>
      <c r="P976" s="349"/>
      <c r="Q976" s="349"/>
      <c r="R976" s="349"/>
      <c r="S976" s="349"/>
      <c r="T976" s="349"/>
      <c r="U976" s="349"/>
      <c r="V976" s="349"/>
      <c r="W976" s="349"/>
      <c r="X976" s="349"/>
      <c r="Y976" s="349"/>
      <c r="Z976" s="349"/>
    </row>
    <row r="977">
      <c r="A977" s="349"/>
      <c r="B977" s="349"/>
      <c r="C977" s="395"/>
      <c r="D977" s="349"/>
      <c r="E977" s="349"/>
      <c r="F977" s="349"/>
      <c r="G977" s="396"/>
      <c r="H977" s="349"/>
      <c r="I977" s="349"/>
      <c r="J977" s="349"/>
      <c r="K977" s="349"/>
      <c r="L977" s="349"/>
      <c r="M977" s="349"/>
      <c r="N977" s="349"/>
      <c r="O977" s="349"/>
      <c r="P977" s="349"/>
      <c r="Q977" s="349"/>
      <c r="R977" s="349"/>
      <c r="S977" s="349"/>
      <c r="T977" s="349"/>
      <c r="U977" s="349"/>
      <c r="V977" s="349"/>
      <c r="W977" s="349"/>
      <c r="X977" s="349"/>
      <c r="Y977" s="349"/>
      <c r="Z977" s="349"/>
    </row>
    <row r="978">
      <c r="A978" s="349"/>
      <c r="B978" s="349"/>
      <c r="C978" s="395"/>
      <c r="D978" s="349"/>
      <c r="E978" s="349"/>
      <c r="F978" s="349"/>
      <c r="G978" s="396"/>
      <c r="H978" s="349"/>
      <c r="I978" s="349"/>
      <c r="J978" s="349"/>
      <c r="K978" s="349"/>
      <c r="L978" s="349"/>
      <c r="M978" s="349"/>
      <c r="N978" s="349"/>
      <c r="O978" s="349"/>
      <c r="P978" s="349"/>
      <c r="Q978" s="349"/>
      <c r="R978" s="349"/>
      <c r="S978" s="349"/>
      <c r="T978" s="349"/>
      <c r="U978" s="349"/>
      <c r="V978" s="349"/>
      <c r="W978" s="349"/>
      <c r="X978" s="349"/>
      <c r="Y978" s="349"/>
      <c r="Z978" s="349"/>
    </row>
    <row r="979">
      <c r="A979" s="349"/>
      <c r="B979" s="349"/>
      <c r="C979" s="395"/>
      <c r="D979" s="349"/>
      <c r="E979" s="349"/>
      <c r="F979" s="349"/>
      <c r="G979" s="396"/>
      <c r="H979" s="349"/>
      <c r="I979" s="349"/>
      <c r="J979" s="349"/>
      <c r="K979" s="349"/>
      <c r="L979" s="349"/>
      <c r="M979" s="349"/>
      <c r="N979" s="349"/>
      <c r="O979" s="349"/>
      <c r="P979" s="349"/>
      <c r="Q979" s="349"/>
      <c r="R979" s="349"/>
      <c r="S979" s="349"/>
      <c r="T979" s="349"/>
      <c r="U979" s="349"/>
      <c r="V979" s="349"/>
      <c r="W979" s="349"/>
      <c r="X979" s="349"/>
      <c r="Y979" s="349"/>
      <c r="Z979" s="349"/>
    </row>
    <row r="980">
      <c r="A980" s="349"/>
      <c r="B980" s="349"/>
      <c r="C980" s="395"/>
      <c r="D980" s="349"/>
      <c r="E980" s="349"/>
      <c r="F980" s="349"/>
      <c r="G980" s="396"/>
      <c r="H980" s="349"/>
      <c r="I980" s="349"/>
      <c r="J980" s="349"/>
      <c r="K980" s="349"/>
      <c r="L980" s="349"/>
      <c r="M980" s="349"/>
      <c r="N980" s="349"/>
      <c r="O980" s="349"/>
      <c r="P980" s="349"/>
      <c r="Q980" s="349"/>
      <c r="R980" s="349"/>
      <c r="S980" s="349"/>
      <c r="T980" s="349"/>
      <c r="U980" s="349"/>
      <c r="V980" s="349"/>
      <c r="W980" s="349"/>
      <c r="X980" s="349"/>
      <c r="Y980" s="349"/>
      <c r="Z980" s="349"/>
    </row>
    <row r="981">
      <c r="A981" s="349"/>
      <c r="B981" s="349"/>
      <c r="C981" s="395"/>
      <c r="D981" s="349"/>
      <c r="E981" s="349"/>
      <c r="F981" s="349"/>
      <c r="G981" s="396"/>
      <c r="H981" s="349"/>
      <c r="I981" s="349"/>
      <c r="J981" s="349"/>
      <c r="K981" s="349"/>
      <c r="L981" s="349"/>
      <c r="M981" s="349"/>
      <c r="N981" s="349"/>
      <c r="O981" s="349"/>
      <c r="P981" s="349"/>
      <c r="Q981" s="349"/>
      <c r="R981" s="349"/>
      <c r="S981" s="349"/>
      <c r="T981" s="349"/>
      <c r="U981" s="349"/>
      <c r="V981" s="349"/>
      <c r="W981" s="349"/>
      <c r="X981" s="349"/>
      <c r="Y981" s="349"/>
      <c r="Z981" s="349"/>
    </row>
    <row r="982">
      <c r="A982" s="349"/>
      <c r="B982" s="349"/>
      <c r="C982" s="395"/>
      <c r="D982" s="349"/>
      <c r="E982" s="349"/>
      <c r="F982" s="349"/>
      <c r="G982" s="396"/>
      <c r="H982" s="349"/>
      <c r="I982" s="349"/>
      <c r="J982" s="349"/>
      <c r="K982" s="349"/>
      <c r="L982" s="349"/>
      <c r="M982" s="349"/>
      <c r="N982" s="349"/>
      <c r="O982" s="349"/>
      <c r="P982" s="349"/>
      <c r="Q982" s="349"/>
      <c r="R982" s="349"/>
      <c r="S982" s="349"/>
      <c r="T982" s="349"/>
      <c r="U982" s="349"/>
      <c r="V982" s="349"/>
      <c r="W982" s="349"/>
      <c r="X982" s="349"/>
      <c r="Y982" s="349"/>
      <c r="Z982" s="349"/>
    </row>
    <row r="983">
      <c r="A983" s="349"/>
      <c r="B983" s="349"/>
      <c r="C983" s="395"/>
      <c r="D983" s="349"/>
      <c r="E983" s="349"/>
      <c r="F983" s="349"/>
      <c r="G983" s="396"/>
      <c r="H983" s="349"/>
      <c r="I983" s="349"/>
      <c r="J983" s="349"/>
      <c r="K983" s="349"/>
      <c r="L983" s="349"/>
      <c r="M983" s="349"/>
      <c r="N983" s="349"/>
      <c r="O983" s="349"/>
      <c r="P983" s="349"/>
      <c r="Q983" s="349"/>
      <c r="R983" s="349"/>
      <c r="S983" s="349"/>
      <c r="T983" s="349"/>
      <c r="U983" s="349"/>
      <c r="V983" s="349"/>
      <c r="W983" s="349"/>
      <c r="X983" s="349"/>
      <c r="Y983" s="349"/>
      <c r="Z983" s="349"/>
    </row>
    <row r="984">
      <c r="A984" s="349"/>
      <c r="B984" s="349"/>
      <c r="C984" s="395"/>
      <c r="D984" s="349"/>
      <c r="E984" s="349"/>
      <c r="F984" s="349"/>
      <c r="G984" s="396"/>
      <c r="H984" s="349"/>
      <c r="I984" s="349"/>
      <c r="J984" s="349"/>
      <c r="K984" s="349"/>
      <c r="L984" s="349"/>
      <c r="M984" s="349"/>
      <c r="N984" s="349"/>
      <c r="O984" s="349"/>
      <c r="P984" s="349"/>
      <c r="Q984" s="349"/>
      <c r="R984" s="349"/>
      <c r="S984" s="349"/>
      <c r="T984" s="349"/>
      <c r="U984" s="349"/>
      <c r="V984" s="349"/>
      <c r="W984" s="349"/>
      <c r="X984" s="349"/>
      <c r="Y984" s="349"/>
      <c r="Z984" s="349"/>
    </row>
    <row r="985">
      <c r="A985" s="349"/>
      <c r="B985" s="349"/>
      <c r="C985" s="395"/>
      <c r="D985" s="349"/>
      <c r="E985" s="349"/>
      <c r="F985" s="349"/>
      <c r="G985" s="396"/>
      <c r="H985" s="349"/>
      <c r="I985" s="349"/>
      <c r="J985" s="349"/>
      <c r="K985" s="349"/>
      <c r="L985" s="349"/>
      <c r="M985" s="349"/>
      <c r="N985" s="349"/>
      <c r="O985" s="349"/>
      <c r="P985" s="349"/>
      <c r="Q985" s="349"/>
      <c r="R985" s="349"/>
      <c r="S985" s="349"/>
      <c r="T985" s="349"/>
      <c r="U985" s="349"/>
      <c r="V985" s="349"/>
      <c r="W985" s="349"/>
      <c r="X985" s="349"/>
      <c r="Y985" s="349"/>
      <c r="Z985" s="349"/>
    </row>
    <row r="986">
      <c r="A986" s="349"/>
      <c r="B986" s="349"/>
      <c r="C986" s="395"/>
      <c r="D986" s="349"/>
      <c r="E986" s="349"/>
      <c r="F986" s="349"/>
      <c r="G986" s="396"/>
      <c r="H986" s="349"/>
      <c r="I986" s="349"/>
      <c r="J986" s="349"/>
      <c r="K986" s="349"/>
      <c r="L986" s="349"/>
      <c r="M986" s="349"/>
      <c r="N986" s="349"/>
      <c r="O986" s="349"/>
      <c r="P986" s="349"/>
      <c r="Q986" s="349"/>
      <c r="R986" s="349"/>
      <c r="S986" s="349"/>
      <c r="T986" s="349"/>
      <c r="U986" s="349"/>
      <c r="V986" s="349"/>
      <c r="W986" s="349"/>
      <c r="X986" s="349"/>
      <c r="Y986" s="349"/>
      <c r="Z986" s="349"/>
    </row>
    <row r="987">
      <c r="A987" s="349"/>
      <c r="B987" s="349"/>
      <c r="C987" s="395"/>
      <c r="D987" s="349"/>
      <c r="E987" s="349"/>
      <c r="F987" s="349"/>
      <c r="G987" s="396"/>
      <c r="H987" s="349"/>
      <c r="I987" s="349"/>
      <c r="J987" s="349"/>
      <c r="K987" s="349"/>
      <c r="L987" s="349"/>
      <c r="M987" s="349"/>
      <c r="N987" s="349"/>
      <c r="O987" s="349"/>
      <c r="P987" s="349"/>
      <c r="Q987" s="349"/>
      <c r="R987" s="349"/>
      <c r="S987" s="349"/>
      <c r="T987" s="349"/>
      <c r="U987" s="349"/>
      <c r="V987" s="349"/>
      <c r="W987" s="349"/>
      <c r="X987" s="349"/>
      <c r="Y987" s="349"/>
      <c r="Z987" s="349"/>
    </row>
    <row r="988">
      <c r="A988" s="349"/>
      <c r="B988" s="349"/>
      <c r="C988" s="395"/>
      <c r="D988" s="349"/>
      <c r="E988" s="349"/>
      <c r="F988" s="349"/>
      <c r="G988" s="396"/>
      <c r="H988" s="349"/>
      <c r="I988" s="349"/>
      <c r="J988" s="349"/>
      <c r="K988" s="349"/>
      <c r="L988" s="349"/>
      <c r="M988" s="349"/>
      <c r="N988" s="349"/>
      <c r="O988" s="349"/>
      <c r="P988" s="349"/>
      <c r="Q988" s="349"/>
      <c r="R988" s="349"/>
      <c r="S988" s="349"/>
      <c r="T988" s="349"/>
      <c r="U988" s="349"/>
      <c r="V988" s="349"/>
      <c r="W988" s="349"/>
      <c r="X988" s="349"/>
      <c r="Y988" s="349"/>
      <c r="Z988" s="349"/>
    </row>
    <row r="989">
      <c r="A989" s="349"/>
      <c r="B989" s="349"/>
      <c r="C989" s="395"/>
      <c r="D989" s="349"/>
      <c r="E989" s="349"/>
      <c r="F989" s="349"/>
      <c r="G989" s="396"/>
      <c r="H989" s="349"/>
      <c r="I989" s="349"/>
      <c r="J989" s="349"/>
      <c r="K989" s="349"/>
      <c r="L989" s="349"/>
      <c r="M989" s="349"/>
      <c r="N989" s="349"/>
      <c r="O989" s="349"/>
      <c r="P989" s="349"/>
      <c r="Q989" s="349"/>
      <c r="R989" s="349"/>
      <c r="S989" s="349"/>
      <c r="T989" s="349"/>
      <c r="U989" s="349"/>
      <c r="V989" s="349"/>
      <c r="W989" s="349"/>
      <c r="X989" s="349"/>
      <c r="Y989" s="349"/>
      <c r="Z989" s="349"/>
    </row>
    <row r="990">
      <c r="A990" s="349"/>
      <c r="B990" s="349"/>
      <c r="C990" s="395"/>
      <c r="D990" s="349"/>
      <c r="E990" s="349"/>
      <c r="F990" s="349"/>
      <c r="G990" s="396"/>
      <c r="H990" s="349"/>
      <c r="I990" s="349"/>
      <c r="J990" s="349"/>
      <c r="K990" s="349"/>
      <c r="L990" s="349"/>
      <c r="M990" s="349"/>
      <c r="N990" s="349"/>
      <c r="O990" s="349"/>
      <c r="P990" s="349"/>
      <c r="Q990" s="349"/>
      <c r="R990" s="349"/>
      <c r="S990" s="349"/>
      <c r="T990" s="349"/>
      <c r="U990" s="349"/>
      <c r="V990" s="349"/>
      <c r="W990" s="349"/>
      <c r="X990" s="349"/>
      <c r="Y990" s="349"/>
      <c r="Z990" s="349"/>
    </row>
    <row r="991">
      <c r="A991" s="349"/>
      <c r="B991" s="349"/>
      <c r="C991" s="395"/>
      <c r="D991" s="349"/>
      <c r="E991" s="349"/>
      <c r="F991" s="349"/>
      <c r="G991" s="396"/>
      <c r="H991" s="349"/>
      <c r="I991" s="349"/>
      <c r="J991" s="349"/>
      <c r="K991" s="349"/>
      <c r="L991" s="349"/>
      <c r="M991" s="349"/>
      <c r="N991" s="349"/>
      <c r="O991" s="349"/>
      <c r="P991" s="349"/>
      <c r="Q991" s="349"/>
      <c r="R991" s="349"/>
      <c r="S991" s="349"/>
      <c r="T991" s="349"/>
      <c r="U991" s="349"/>
      <c r="V991" s="349"/>
      <c r="W991" s="349"/>
      <c r="X991" s="349"/>
      <c r="Y991" s="349"/>
      <c r="Z991" s="349"/>
    </row>
    <row r="992">
      <c r="A992" s="349"/>
      <c r="B992" s="349"/>
      <c r="C992" s="395"/>
      <c r="D992" s="349"/>
      <c r="E992" s="349"/>
      <c r="F992" s="349"/>
      <c r="G992" s="396"/>
      <c r="H992" s="349"/>
      <c r="I992" s="349"/>
      <c r="J992" s="349"/>
      <c r="K992" s="349"/>
      <c r="L992" s="349"/>
      <c r="M992" s="349"/>
      <c r="N992" s="349"/>
      <c r="O992" s="349"/>
      <c r="P992" s="349"/>
      <c r="Q992" s="349"/>
      <c r="R992" s="349"/>
      <c r="S992" s="349"/>
      <c r="T992" s="349"/>
      <c r="U992" s="349"/>
      <c r="V992" s="349"/>
      <c r="W992" s="349"/>
      <c r="X992" s="349"/>
      <c r="Y992" s="349"/>
      <c r="Z992" s="349"/>
    </row>
    <row r="993">
      <c r="A993" s="349"/>
      <c r="B993" s="349"/>
      <c r="C993" s="395"/>
      <c r="D993" s="349"/>
      <c r="E993" s="349"/>
      <c r="F993" s="349"/>
      <c r="G993" s="396"/>
      <c r="H993" s="349"/>
      <c r="I993" s="349"/>
      <c r="J993" s="349"/>
      <c r="K993" s="349"/>
      <c r="L993" s="349"/>
      <c r="M993" s="349"/>
      <c r="N993" s="349"/>
      <c r="O993" s="349"/>
      <c r="P993" s="349"/>
      <c r="Q993" s="349"/>
      <c r="R993" s="349"/>
      <c r="S993" s="349"/>
      <c r="T993" s="349"/>
      <c r="U993" s="349"/>
      <c r="V993" s="349"/>
      <c r="W993" s="349"/>
      <c r="X993" s="349"/>
      <c r="Y993" s="349"/>
      <c r="Z993" s="349"/>
    </row>
    <row r="994">
      <c r="A994" s="349"/>
      <c r="B994" s="349"/>
      <c r="C994" s="395"/>
      <c r="D994" s="349"/>
      <c r="E994" s="349"/>
      <c r="F994" s="349"/>
      <c r="G994" s="396"/>
      <c r="H994" s="349"/>
      <c r="I994" s="349"/>
      <c r="J994" s="349"/>
      <c r="K994" s="349"/>
      <c r="L994" s="349"/>
      <c r="M994" s="349"/>
      <c r="N994" s="349"/>
      <c r="O994" s="349"/>
      <c r="P994" s="349"/>
      <c r="Q994" s="349"/>
      <c r="R994" s="349"/>
      <c r="S994" s="349"/>
      <c r="T994" s="349"/>
      <c r="U994" s="349"/>
      <c r="V994" s="349"/>
      <c r="W994" s="349"/>
      <c r="X994" s="349"/>
      <c r="Y994" s="349"/>
      <c r="Z994" s="349"/>
    </row>
    <row r="995">
      <c r="A995" s="349"/>
      <c r="B995" s="349"/>
      <c r="C995" s="395"/>
      <c r="D995" s="349"/>
      <c r="E995" s="349"/>
      <c r="F995" s="349"/>
      <c r="G995" s="396"/>
      <c r="H995" s="349"/>
      <c r="I995" s="349"/>
      <c r="J995" s="349"/>
      <c r="K995" s="349"/>
      <c r="L995" s="349"/>
      <c r="M995" s="349"/>
      <c r="N995" s="349"/>
      <c r="O995" s="349"/>
      <c r="P995" s="349"/>
      <c r="Q995" s="349"/>
      <c r="R995" s="349"/>
      <c r="S995" s="349"/>
      <c r="T995" s="349"/>
      <c r="U995" s="349"/>
      <c r="V995" s="349"/>
      <c r="W995" s="349"/>
      <c r="X995" s="349"/>
      <c r="Y995" s="349"/>
      <c r="Z995" s="349"/>
    </row>
    <row r="996">
      <c r="A996" s="349"/>
      <c r="B996" s="349"/>
      <c r="C996" s="395"/>
      <c r="D996" s="349"/>
      <c r="E996" s="349"/>
      <c r="F996" s="349"/>
      <c r="G996" s="396"/>
      <c r="H996" s="349"/>
      <c r="I996" s="349"/>
      <c r="J996" s="349"/>
      <c r="K996" s="349"/>
      <c r="L996" s="349"/>
      <c r="M996" s="349"/>
      <c r="N996" s="349"/>
      <c r="O996" s="349"/>
      <c r="P996" s="349"/>
      <c r="Q996" s="349"/>
      <c r="R996" s="349"/>
      <c r="S996" s="349"/>
      <c r="T996" s="349"/>
      <c r="U996" s="349"/>
      <c r="V996" s="349"/>
      <c r="W996" s="349"/>
      <c r="X996" s="349"/>
      <c r="Y996" s="349"/>
      <c r="Z996" s="349"/>
    </row>
    <row r="997">
      <c r="A997" s="349"/>
      <c r="B997" s="349"/>
      <c r="C997" s="395"/>
      <c r="D997" s="349"/>
      <c r="E997" s="349"/>
      <c r="F997" s="349"/>
      <c r="G997" s="396"/>
      <c r="H997" s="349"/>
      <c r="I997" s="349"/>
      <c r="J997" s="349"/>
      <c r="K997" s="349"/>
      <c r="L997" s="349"/>
      <c r="M997" s="349"/>
      <c r="N997" s="349"/>
      <c r="O997" s="349"/>
      <c r="P997" s="349"/>
      <c r="Q997" s="349"/>
      <c r="R997" s="349"/>
      <c r="S997" s="349"/>
      <c r="T997" s="349"/>
      <c r="U997" s="349"/>
      <c r="V997" s="349"/>
      <c r="W997" s="349"/>
      <c r="X997" s="349"/>
      <c r="Y997" s="349"/>
      <c r="Z997" s="349"/>
    </row>
    <row r="998">
      <c r="A998" s="349"/>
      <c r="B998" s="349"/>
      <c r="C998" s="395"/>
      <c r="D998" s="349"/>
      <c r="E998" s="349"/>
      <c r="F998" s="349"/>
      <c r="G998" s="396"/>
      <c r="H998" s="349"/>
      <c r="I998" s="349"/>
      <c r="J998" s="349"/>
      <c r="K998" s="349"/>
      <c r="L998" s="349"/>
      <c r="M998" s="349"/>
      <c r="N998" s="349"/>
      <c r="O998" s="349"/>
      <c r="P998" s="349"/>
      <c r="Q998" s="349"/>
      <c r="R998" s="349"/>
      <c r="S998" s="349"/>
      <c r="T998" s="349"/>
      <c r="U998" s="349"/>
      <c r="V998" s="349"/>
      <c r="W998" s="349"/>
      <c r="X998" s="349"/>
      <c r="Y998" s="349"/>
      <c r="Z998" s="349"/>
    </row>
    <row r="999">
      <c r="A999" s="349"/>
      <c r="B999" s="349"/>
      <c r="C999" s="395"/>
      <c r="D999" s="349"/>
      <c r="E999" s="349"/>
      <c r="F999" s="349"/>
      <c r="G999" s="396"/>
      <c r="H999" s="349"/>
      <c r="I999" s="349"/>
      <c r="J999" s="349"/>
      <c r="K999" s="349"/>
      <c r="L999" s="349"/>
      <c r="M999" s="349"/>
      <c r="N999" s="349"/>
      <c r="O999" s="349"/>
      <c r="P999" s="349"/>
      <c r="Q999" s="349"/>
      <c r="R999" s="349"/>
      <c r="S999" s="349"/>
      <c r="T999" s="349"/>
      <c r="U999" s="349"/>
      <c r="V999" s="349"/>
      <c r="W999" s="349"/>
      <c r="X999" s="349"/>
      <c r="Y999" s="349"/>
      <c r="Z999" s="349"/>
    </row>
  </sheetData>
  <conditionalFormatting sqref="B1:C22">
    <cfRule type="cellIs" dxfId="1" priority="1" operator="greaterThan">
      <formula>20</formula>
    </cfRule>
  </conditionalFormatting>
  <dataValidations>
    <dataValidation type="list" allowBlank="1" showErrorMessage="1" sqref="L2">
      <formula1>CLIENTES!$B$2:$B999</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38"/>
    <col customWidth="1" min="4" max="4" width="9.75"/>
    <col customWidth="1" min="6" max="6" width="13.5"/>
    <col customWidth="1" min="7" max="7" width="13.38"/>
    <col customWidth="1" min="8" max="8" width="12.38"/>
    <col customWidth="1" min="9" max="9" width="13.13"/>
    <col customWidth="1" min="10" max="12" width="12.38"/>
    <col customWidth="1" min="13" max="13" width="14.13"/>
    <col customWidth="1" min="15" max="22" width="14.13"/>
    <col customWidth="1" min="23" max="23" width="9.5"/>
    <col customWidth="1" min="25" max="25" width="10.75"/>
    <col customWidth="1" min="26" max="26" width="11.38"/>
    <col customWidth="1" min="27" max="28" width="11.13"/>
    <col customWidth="1" min="29" max="29" width="10.75"/>
    <col customWidth="1" min="30" max="30" width="10.38"/>
    <col customWidth="1" min="31" max="31" width="10.63"/>
    <col customWidth="1" min="32" max="38" width="6.38"/>
    <col customWidth="1" min="39" max="39" width="5.75"/>
    <col customWidth="1" min="40" max="41" width="6.38"/>
    <col customWidth="1" min="42" max="42" width="5.63"/>
    <col customWidth="1" min="43" max="43" width="14.13"/>
    <col customWidth="1" min="44" max="44" width="16.0"/>
    <col customWidth="1" min="45" max="45" width="15.25"/>
    <col customWidth="1" min="46" max="46" width="15.38"/>
    <col customWidth="1" min="47" max="47" width="17.88"/>
    <col customWidth="1" min="48" max="48" width="14.38"/>
  </cols>
  <sheetData>
    <row r="1">
      <c r="A1" s="397" t="s">
        <v>122</v>
      </c>
      <c r="B1" s="397" t="s">
        <v>153</v>
      </c>
      <c r="C1" s="398" t="s">
        <v>114</v>
      </c>
      <c r="D1" s="399" t="s">
        <v>115</v>
      </c>
      <c r="E1" s="400" t="s">
        <v>2</v>
      </c>
      <c r="F1" s="401" t="s">
        <v>67</v>
      </c>
      <c r="G1" s="401" t="s">
        <v>7</v>
      </c>
      <c r="H1" s="402" t="s">
        <v>154</v>
      </c>
      <c r="I1" s="402" t="s">
        <v>155</v>
      </c>
      <c r="J1" s="402" t="s">
        <v>156</v>
      </c>
      <c r="K1" s="402" t="s">
        <v>125</v>
      </c>
      <c r="M1" s="403"/>
      <c r="N1" s="403"/>
      <c r="O1" s="403"/>
      <c r="P1" s="403"/>
      <c r="Q1" s="403"/>
      <c r="R1" s="403"/>
      <c r="S1" s="403"/>
      <c r="T1" s="403"/>
      <c r="U1" s="403"/>
      <c r="V1" s="403"/>
      <c r="W1" s="404"/>
      <c r="X1" s="405"/>
      <c r="Y1" s="405"/>
      <c r="Z1" s="405"/>
      <c r="AA1" s="405"/>
      <c r="AB1" s="405"/>
      <c r="AC1" s="405"/>
      <c r="AD1" s="405"/>
      <c r="AE1" s="405"/>
      <c r="AF1" s="405"/>
      <c r="AG1" s="405"/>
      <c r="AH1" s="405"/>
      <c r="AI1" s="405"/>
      <c r="AJ1" s="405"/>
      <c r="AK1" s="405"/>
      <c r="AL1" s="405"/>
      <c r="AM1" s="406"/>
      <c r="AN1" s="406"/>
      <c r="AO1" s="406"/>
      <c r="AP1" s="406"/>
      <c r="AQ1" s="407"/>
      <c r="AR1" s="403"/>
      <c r="AS1" s="403"/>
      <c r="AT1" s="403"/>
      <c r="AU1" s="403"/>
      <c r="AV1" s="403"/>
      <c r="AW1" s="403"/>
      <c r="AX1" s="403"/>
      <c r="AY1" s="403"/>
    </row>
    <row r="2">
      <c r="A2" s="408" t="s">
        <v>127</v>
      </c>
      <c r="B2" s="409">
        <v>45351.0</v>
      </c>
      <c r="C2" s="410">
        <v>10564.162087040098</v>
      </c>
      <c r="D2" s="411">
        <f t="shared" ref="D2:D26" si="1">IF(E2&lt;&gt;0,E2/C2,)</f>
        <v>7.126168586</v>
      </c>
      <c r="E2" s="412">
        <v>75282.0</v>
      </c>
      <c r="F2" s="413">
        <f t="shared" ref="F2:F26" si="2">IF(D2&lt;&gt;0,$N$4*D2,)</f>
        <v>147259.4553</v>
      </c>
      <c r="G2" s="413">
        <f t="shared" ref="G2:G57" si="3">IF(E2&lt;&gt;0,F2-E2-((F2-E2)*7%),)</f>
        <v>66939.03345</v>
      </c>
      <c r="H2" s="414">
        <f t="shared" ref="H2:H61" si="4">G2/E2</f>
        <v>0.88917714</v>
      </c>
      <c r="I2" s="415">
        <f t="shared" ref="I2:I61" si="5">TODAY()-B2</f>
        <v>739</v>
      </c>
      <c r="J2" s="414">
        <f t="shared" ref="J2:J61" si="6">+(1+H2)^(360/I2)-1</f>
        <v>0.3632791655</v>
      </c>
      <c r="K2" s="416">
        <f t="shared" ref="K2:K61" si="7">IF(E2&gt;0, -E2, IF(E2&lt;0, -E2, 0))</f>
        <v>-75282</v>
      </c>
      <c r="L2" s="417"/>
      <c r="M2" s="403">
        <f>SUMIF(A:A,"marleny",E:E)</f>
        <v>0</v>
      </c>
      <c r="N2" s="403"/>
      <c r="O2" s="403"/>
      <c r="P2" s="403"/>
      <c r="Q2" s="403"/>
      <c r="R2" s="403"/>
      <c r="S2" s="403"/>
      <c r="T2" s="403"/>
      <c r="U2" s="403"/>
      <c r="V2" s="403"/>
      <c r="W2" s="404"/>
      <c r="X2" s="405"/>
      <c r="Y2" s="405"/>
      <c r="Z2" s="405"/>
      <c r="AA2" s="405"/>
      <c r="AB2" s="405"/>
      <c r="AC2" s="405"/>
      <c r="AD2" s="405"/>
      <c r="AE2" s="405"/>
      <c r="AF2" s="405"/>
      <c r="AG2" s="405"/>
      <c r="AH2" s="405"/>
      <c r="AI2" s="405"/>
      <c r="AJ2" s="405"/>
      <c r="AK2" s="405"/>
      <c r="AL2" s="405"/>
      <c r="AM2" s="406"/>
      <c r="AN2" s="406"/>
      <c r="AO2" s="406"/>
      <c r="AP2" s="406"/>
      <c r="AQ2" s="407"/>
      <c r="AR2" s="403"/>
      <c r="AS2" s="403"/>
      <c r="AT2" s="403"/>
      <c r="AU2" s="403"/>
      <c r="AV2" s="403"/>
      <c r="AW2" s="403"/>
      <c r="AX2" s="403"/>
      <c r="AY2" s="403"/>
    </row>
    <row r="3">
      <c r="A3" s="408" t="s">
        <v>157</v>
      </c>
      <c r="B3" s="409">
        <v>45366.0</v>
      </c>
      <c r="C3" s="410">
        <v>10671.289198958828</v>
      </c>
      <c r="D3" s="411">
        <f t="shared" si="1"/>
        <v>5.154016443</v>
      </c>
      <c r="E3" s="412">
        <v>55000.0</v>
      </c>
      <c r="F3" s="413">
        <f t="shared" si="2"/>
        <v>106505.7113</v>
      </c>
      <c r="G3" s="413">
        <f t="shared" si="3"/>
        <v>47900.31152</v>
      </c>
      <c r="H3" s="414">
        <f t="shared" si="4"/>
        <v>0.8709147549</v>
      </c>
      <c r="I3" s="415">
        <f t="shared" si="5"/>
        <v>724</v>
      </c>
      <c r="J3" s="414">
        <f t="shared" si="6"/>
        <v>0.3654489557</v>
      </c>
      <c r="K3" s="416">
        <f t="shared" si="7"/>
        <v>-55000</v>
      </c>
      <c r="L3" s="403"/>
      <c r="M3" s="418"/>
      <c r="N3" s="419"/>
      <c r="O3" s="403"/>
      <c r="P3" s="403"/>
      <c r="Q3" s="420"/>
      <c r="R3" s="420"/>
      <c r="S3" s="420"/>
      <c r="T3" s="420"/>
      <c r="U3" s="420"/>
      <c r="V3" s="420"/>
      <c r="W3" s="404"/>
      <c r="X3" s="405"/>
      <c r="Y3" s="405"/>
      <c r="Z3" s="405"/>
      <c r="AA3" s="405"/>
      <c r="AB3" s="405"/>
      <c r="AC3" s="405"/>
      <c r="AD3" s="405"/>
      <c r="AE3" s="405"/>
      <c r="AF3" s="405"/>
      <c r="AG3" s="405"/>
      <c r="AH3" s="405"/>
      <c r="AI3" s="405"/>
      <c r="AJ3" s="405"/>
      <c r="AK3" s="405"/>
      <c r="AL3" s="405"/>
      <c r="AM3" s="406"/>
      <c r="AN3" s="406"/>
      <c r="AO3" s="406"/>
      <c r="AP3" s="406"/>
      <c r="AQ3" s="407"/>
      <c r="AR3" s="403"/>
      <c r="AS3" s="403"/>
      <c r="AT3" s="403"/>
      <c r="AU3" s="403"/>
      <c r="AV3" s="403"/>
      <c r="AW3" s="403"/>
      <c r="AX3" s="403"/>
      <c r="AY3" s="403"/>
    </row>
    <row r="4">
      <c r="A4" s="408" t="s">
        <v>127</v>
      </c>
      <c r="B4" s="409">
        <v>45372.0</v>
      </c>
      <c r="C4" s="410">
        <v>10654.878793304842</v>
      </c>
      <c r="D4" s="411">
        <f t="shared" si="1"/>
        <v>0.4692685949</v>
      </c>
      <c r="E4" s="412">
        <v>5000.0</v>
      </c>
      <c r="F4" s="413">
        <f t="shared" si="2"/>
        <v>9697.249911</v>
      </c>
      <c r="G4" s="413">
        <f t="shared" si="3"/>
        <v>4368.442417</v>
      </c>
      <c r="H4" s="414">
        <f t="shared" si="4"/>
        <v>0.8736884834</v>
      </c>
      <c r="I4" s="415">
        <f t="shared" si="5"/>
        <v>718</v>
      </c>
      <c r="J4" s="414">
        <f t="shared" si="6"/>
        <v>0.3700250092</v>
      </c>
      <c r="K4" s="416">
        <f t="shared" si="7"/>
        <v>-5000</v>
      </c>
      <c r="L4" s="403"/>
      <c r="M4" s="402" t="s">
        <v>141</v>
      </c>
      <c r="N4" s="421">
        <f>BALANCE!C10</f>
        <v>20664.60449</v>
      </c>
      <c r="O4" s="417"/>
      <c r="P4" s="403"/>
      <c r="Q4" s="420"/>
      <c r="R4" s="420"/>
      <c r="S4" s="420"/>
      <c r="T4" s="420"/>
      <c r="U4" s="420"/>
      <c r="V4" s="420"/>
      <c r="W4" s="404"/>
      <c r="X4" s="405"/>
      <c r="Y4" s="405"/>
      <c r="Z4" s="405"/>
      <c r="AA4" s="405"/>
      <c r="AB4" s="405"/>
      <c r="AC4" s="405"/>
      <c r="AD4" s="405"/>
      <c r="AE4" s="405"/>
      <c r="AF4" s="405"/>
      <c r="AG4" s="405"/>
      <c r="AH4" s="405"/>
      <c r="AI4" s="405"/>
      <c r="AJ4" s="405"/>
      <c r="AK4" s="405"/>
      <c r="AL4" s="405"/>
      <c r="AM4" s="406"/>
      <c r="AN4" s="406"/>
      <c r="AO4" s="406"/>
      <c r="AP4" s="406"/>
      <c r="AQ4" s="403"/>
      <c r="AR4" s="403"/>
      <c r="AS4" s="403"/>
      <c r="AT4" s="403"/>
      <c r="AU4" s="403"/>
      <c r="AV4" s="403"/>
      <c r="AW4" s="403"/>
      <c r="AX4" s="403"/>
      <c r="AY4" s="403"/>
    </row>
    <row r="5">
      <c r="A5" s="408" t="s">
        <v>157</v>
      </c>
      <c r="B5" s="409">
        <v>45383.0</v>
      </c>
      <c r="C5" s="410">
        <v>10948.45125990877</v>
      </c>
      <c r="D5" s="411">
        <f t="shared" si="1"/>
        <v>1.37042214</v>
      </c>
      <c r="E5" s="412">
        <v>15004.0</v>
      </c>
      <c r="F5" s="413">
        <f t="shared" si="2"/>
        <v>28319.23149</v>
      </c>
      <c r="G5" s="413">
        <f t="shared" si="3"/>
        <v>12383.16529</v>
      </c>
      <c r="H5" s="414">
        <f t="shared" si="4"/>
        <v>0.825324266</v>
      </c>
      <c r="I5" s="415">
        <f t="shared" si="5"/>
        <v>707</v>
      </c>
      <c r="J5" s="414">
        <f t="shared" si="6"/>
        <v>0.358540893</v>
      </c>
      <c r="K5" s="416">
        <f t="shared" si="7"/>
        <v>-15004</v>
      </c>
      <c r="L5" s="403"/>
      <c r="M5" s="422"/>
      <c r="N5" s="422"/>
      <c r="O5" s="417"/>
      <c r="P5" s="403"/>
      <c r="Q5" s="403"/>
      <c r="R5" s="403"/>
      <c r="S5" s="403"/>
      <c r="T5" s="403"/>
      <c r="U5" s="403"/>
      <c r="V5" s="403"/>
      <c r="W5" s="404"/>
      <c r="X5" s="405"/>
      <c r="Y5" s="405"/>
      <c r="Z5" s="405"/>
      <c r="AA5" s="405"/>
      <c r="AB5" s="405"/>
      <c r="AC5" s="405"/>
      <c r="AD5" s="405"/>
      <c r="AE5" s="405"/>
      <c r="AF5" s="405"/>
      <c r="AG5" s="405"/>
      <c r="AH5" s="405"/>
      <c r="AI5" s="405"/>
      <c r="AJ5" s="405"/>
      <c r="AK5" s="405"/>
      <c r="AL5" s="405"/>
      <c r="AM5" s="406"/>
      <c r="AN5" s="406"/>
      <c r="AO5" s="406"/>
      <c r="AP5" s="406"/>
      <c r="AQ5" s="403"/>
      <c r="AR5" s="403"/>
      <c r="AS5" s="403"/>
      <c r="AT5" s="403"/>
      <c r="AU5" s="403"/>
      <c r="AV5" s="403"/>
      <c r="AW5" s="403"/>
      <c r="AX5" s="403"/>
      <c r="AY5" s="403"/>
    </row>
    <row r="6">
      <c r="A6" s="408" t="s">
        <v>127</v>
      </c>
      <c r="B6" s="409">
        <v>45384.0</v>
      </c>
      <c r="C6" s="410">
        <v>10995.728229019689</v>
      </c>
      <c r="D6" s="411">
        <f t="shared" si="1"/>
        <v>1.000388494</v>
      </c>
      <c r="E6" s="412">
        <v>11000.0</v>
      </c>
      <c r="F6" s="413">
        <f t="shared" si="2"/>
        <v>20672.63255</v>
      </c>
      <c r="G6" s="413">
        <f t="shared" si="3"/>
        <v>8995.548275</v>
      </c>
      <c r="H6" s="414">
        <f t="shared" si="4"/>
        <v>0.817777116</v>
      </c>
      <c r="I6" s="415">
        <f t="shared" si="5"/>
        <v>706</v>
      </c>
      <c r="J6" s="414">
        <f t="shared" si="6"/>
        <v>0.3562622222</v>
      </c>
      <c r="K6" s="416">
        <f t="shared" si="7"/>
        <v>-11000</v>
      </c>
      <c r="L6" s="403"/>
      <c r="M6" s="423"/>
      <c r="N6" s="423"/>
      <c r="O6" s="403"/>
      <c r="P6" s="403"/>
      <c r="Q6" s="403"/>
      <c r="R6" s="403"/>
      <c r="S6" s="403"/>
      <c r="T6" s="403"/>
      <c r="U6" s="403"/>
      <c r="V6" s="403"/>
      <c r="W6" s="404"/>
      <c r="X6" s="405"/>
      <c r="Y6" s="405"/>
      <c r="Z6" s="405"/>
      <c r="AA6" s="405"/>
      <c r="AB6" s="405"/>
      <c r="AC6" s="405"/>
      <c r="AD6" s="405"/>
      <c r="AE6" s="405"/>
      <c r="AF6" s="405"/>
      <c r="AG6" s="405"/>
      <c r="AH6" s="405"/>
      <c r="AI6" s="405"/>
      <c r="AJ6" s="405"/>
      <c r="AK6" s="405"/>
      <c r="AL6" s="405"/>
      <c r="AM6" s="406"/>
      <c r="AN6" s="406"/>
      <c r="AO6" s="406"/>
      <c r="AP6" s="406"/>
      <c r="AQ6" s="403"/>
      <c r="AR6" s="403"/>
      <c r="AS6" s="403"/>
      <c r="AT6" s="403"/>
      <c r="AU6" s="403"/>
      <c r="AV6" s="403"/>
      <c r="AW6" s="403"/>
      <c r="AX6" s="403"/>
      <c r="AY6" s="403"/>
    </row>
    <row r="7">
      <c r="A7" s="408" t="s">
        <v>127</v>
      </c>
      <c r="B7" s="409">
        <v>45392.0</v>
      </c>
      <c r="C7" s="410">
        <v>11091.2386751317</v>
      </c>
      <c r="D7" s="411">
        <f t="shared" si="1"/>
        <v>0.9016125514</v>
      </c>
      <c r="E7" s="412">
        <v>10000.0</v>
      </c>
      <c r="F7" s="413">
        <f t="shared" si="2"/>
        <v>18631.46677</v>
      </c>
      <c r="G7" s="413">
        <f t="shared" si="3"/>
        <v>8027.2641</v>
      </c>
      <c r="H7" s="414">
        <f t="shared" si="4"/>
        <v>0.80272641</v>
      </c>
      <c r="I7" s="415">
        <f t="shared" si="5"/>
        <v>698</v>
      </c>
      <c r="J7" s="414">
        <f t="shared" si="6"/>
        <v>0.35518376</v>
      </c>
      <c r="K7" s="416">
        <f t="shared" si="7"/>
        <v>-10000</v>
      </c>
      <c r="L7" s="417"/>
      <c r="M7" s="403"/>
      <c r="N7" s="403"/>
      <c r="O7" s="403"/>
      <c r="P7" s="420"/>
      <c r="Q7" s="420"/>
      <c r="R7" s="420"/>
      <c r="S7" s="420"/>
      <c r="T7" s="420"/>
      <c r="U7" s="420"/>
      <c r="V7" s="420"/>
      <c r="W7" s="404"/>
      <c r="X7" s="405"/>
      <c r="Y7" s="405"/>
      <c r="Z7" s="405"/>
      <c r="AA7" s="405"/>
      <c r="AB7" s="405"/>
      <c r="AC7" s="405"/>
      <c r="AD7" s="405"/>
      <c r="AE7" s="405"/>
      <c r="AF7" s="405"/>
      <c r="AG7" s="405"/>
      <c r="AH7" s="405"/>
      <c r="AI7" s="405"/>
      <c r="AJ7" s="405"/>
      <c r="AK7" s="405"/>
      <c r="AL7" s="405"/>
      <c r="AM7" s="406"/>
      <c r="AN7" s="406"/>
      <c r="AO7" s="406"/>
      <c r="AP7" s="406"/>
      <c r="AQ7" s="420"/>
      <c r="AR7" s="403"/>
      <c r="AS7" s="403"/>
      <c r="AT7" s="403"/>
      <c r="AU7" s="403"/>
      <c r="AV7" s="403"/>
      <c r="AW7" s="403"/>
      <c r="AX7" s="403"/>
      <c r="AY7" s="403"/>
    </row>
    <row r="8">
      <c r="A8" s="408" t="s">
        <v>127</v>
      </c>
      <c r="B8" s="409">
        <v>45420.0</v>
      </c>
      <c r="C8" s="410">
        <v>11413.481551325622</v>
      </c>
      <c r="D8" s="411">
        <f t="shared" si="1"/>
        <v>1.752313692</v>
      </c>
      <c r="E8" s="412">
        <v>20000.0</v>
      </c>
      <c r="F8" s="413">
        <f t="shared" si="2"/>
        <v>36210.86939</v>
      </c>
      <c r="G8" s="413">
        <f t="shared" si="3"/>
        <v>15076.10853</v>
      </c>
      <c r="H8" s="414">
        <f t="shared" si="4"/>
        <v>0.7538054265</v>
      </c>
      <c r="I8" s="415">
        <f t="shared" si="5"/>
        <v>670</v>
      </c>
      <c r="J8" s="414">
        <f t="shared" si="6"/>
        <v>0.3523667633</v>
      </c>
      <c r="K8" s="416">
        <f t="shared" si="7"/>
        <v>-20000</v>
      </c>
      <c r="L8" s="403"/>
      <c r="M8" s="401" t="s">
        <v>158</v>
      </c>
      <c r="N8" s="413">
        <f>SUM(E:E)</f>
        <v>26552325.28</v>
      </c>
      <c r="O8" s="417"/>
      <c r="P8" s="403"/>
      <c r="Q8" s="420"/>
      <c r="R8" s="420"/>
      <c r="S8" s="420"/>
      <c r="T8" s="420"/>
      <c r="U8" s="420"/>
      <c r="V8" s="420"/>
      <c r="W8" s="404"/>
      <c r="X8" s="405"/>
      <c r="Y8" s="405"/>
      <c r="Z8" s="405"/>
      <c r="AA8" s="405"/>
      <c r="AB8" s="405"/>
      <c r="AC8" s="405"/>
      <c r="AD8" s="405"/>
      <c r="AE8" s="405"/>
      <c r="AF8" s="405"/>
      <c r="AG8" s="405"/>
      <c r="AH8" s="405"/>
      <c r="AI8" s="405"/>
      <c r="AJ8" s="405"/>
      <c r="AK8" s="405"/>
      <c r="AL8" s="405"/>
      <c r="AM8" s="406"/>
      <c r="AN8" s="406"/>
      <c r="AO8" s="406"/>
      <c r="AP8" s="406"/>
      <c r="AQ8" s="403"/>
      <c r="AR8" s="403"/>
      <c r="AS8" s="403"/>
      <c r="AT8" s="403"/>
      <c r="AU8" s="403"/>
      <c r="AV8" s="403"/>
      <c r="AW8" s="403"/>
      <c r="AX8" s="403"/>
      <c r="AY8" s="403"/>
    </row>
    <row r="9">
      <c r="A9" s="408" t="s">
        <v>157</v>
      </c>
      <c r="B9" s="409">
        <v>45480.0</v>
      </c>
      <c r="C9" s="410">
        <v>12487.287998625916</v>
      </c>
      <c r="D9" s="411">
        <f t="shared" si="1"/>
        <v>1.601628793</v>
      </c>
      <c r="E9" s="412">
        <v>20000.0</v>
      </c>
      <c r="F9" s="413">
        <f t="shared" si="2"/>
        <v>33097.02553</v>
      </c>
      <c r="G9" s="413">
        <f t="shared" si="3"/>
        <v>12180.23374</v>
      </c>
      <c r="H9" s="414">
        <f t="shared" si="4"/>
        <v>0.6090116872</v>
      </c>
      <c r="I9" s="415">
        <f t="shared" si="5"/>
        <v>610</v>
      </c>
      <c r="J9" s="414">
        <f t="shared" si="6"/>
        <v>0.3240481821</v>
      </c>
      <c r="K9" s="416">
        <f t="shared" si="7"/>
        <v>-20000</v>
      </c>
      <c r="L9" s="403"/>
      <c r="M9" s="401" t="s">
        <v>159</v>
      </c>
      <c r="N9" s="413">
        <f>SUM(F:F)</f>
        <v>28775985.52</v>
      </c>
      <c r="O9" s="417"/>
      <c r="P9" s="403"/>
      <c r="Q9" s="420"/>
      <c r="R9" s="420"/>
      <c r="S9" s="420"/>
      <c r="T9" s="420"/>
      <c r="U9" s="420"/>
      <c r="V9" s="420"/>
      <c r="W9" s="404"/>
      <c r="X9" s="405"/>
      <c r="Y9" s="405"/>
      <c r="Z9" s="405"/>
      <c r="AA9" s="405"/>
      <c r="AB9" s="405"/>
      <c r="AC9" s="405"/>
      <c r="AD9" s="405"/>
      <c r="AE9" s="405"/>
      <c r="AF9" s="405"/>
      <c r="AG9" s="405"/>
      <c r="AH9" s="405"/>
      <c r="AI9" s="405"/>
      <c r="AJ9" s="405"/>
      <c r="AK9" s="405"/>
      <c r="AL9" s="405"/>
      <c r="AM9" s="406"/>
      <c r="AN9" s="406"/>
      <c r="AO9" s="406"/>
      <c r="AP9" s="406"/>
      <c r="AQ9" s="403"/>
      <c r="AR9" s="403"/>
      <c r="AS9" s="403"/>
      <c r="AT9" s="403"/>
      <c r="AU9" s="403"/>
      <c r="AV9" s="403"/>
      <c r="AW9" s="403"/>
      <c r="AX9" s="403"/>
      <c r="AY9" s="403"/>
    </row>
    <row r="10">
      <c r="A10" s="408" t="s">
        <v>157</v>
      </c>
      <c r="B10" s="409">
        <v>45484.0</v>
      </c>
      <c r="C10" s="410">
        <v>12560.042777857567</v>
      </c>
      <c r="D10" s="411">
        <f t="shared" si="1"/>
        <v>0.7961756323</v>
      </c>
      <c r="E10" s="412">
        <v>10000.0</v>
      </c>
      <c r="F10" s="413">
        <f t="shared" si="2"/>
        <v>16452.65454</v>
      </c>
      <c r="G10" s="413">
        <f t="shared" si="3"/>
        <v>6000.968724</v>
      </c>
      <c r="H10" s="414">
        <f t="shared" si="4"/>
        <v>0.6000968724</v>
      </c>
      <c r="I10" s="415">
        <f t="shared" si="5"/>
        <v>606</v>
      </c>
      <c r="J10" s="414">
        <f t="shared" si="6"/>
        <v>0.3221326056</v>
      </c>
      <c r="K10" s="416">
        <f t="shared" si="7"/>
        <v>-10000</v>
      </c>
      <c r="L10" s="403"/>
      <c r="M10" s="424" t="s">
        <v>160</v>
      </c>
      <c r="N10" s="425">
        <f>SUM(G:G)</f>
        <v>3902023.676</v>
      </c>
      <c r="O10" s="417"/>
      <c r="P10" s="403"/>
      <c r="Q10" s="420"/>
      <c r="R10" s="420"/>
      <c r="S10" s="420"/>
      <c r="T10" s="420"/>
      <c r="U10" s="420"/>
      <c r="V10" s="420"/>
      <c r="W10" s="404"/>
      <c r="X10" s="405"/>
      <c r="Y10" s="405"/>
      <c r="Z10" s="405"/>
      <c r="AA10" s="405"/>
      <c r="AB10" s="405"/>
      <c r="AC10" s="405"/>
      <c r="AD10" s="405"/>
      <c r="AE10" s="405"/>
      <c r="AF10" s="405"/>
      <c r="AG10" s="405"/>
      <c r="AH10" s="405"/>
      <c r="AI10" s="405"/>
      <c r="AJ10" s="405"/>
      <c r="AK10" s="405"/>
      <c r="AL10" s="405"/>
      <c r="AM10" s="406"/>
      <c r="AN10" s="406"/>
      <c r="AO10" s="406"/>
      <c r="AP10" s="406"/>
      <c r="AQ10" s="403"/>
      <c r="AR10" s="403"/>
      <c r="AS10" s="403"/>
      <c r="AT10" s="403"/>
      <c r="AU10" s="403"/>
      <c r="AV10" s="403"/>
      <c r="AW10" s="403"/>
      <c r="AX10" s="403"/>
      <c r="AY10" s="403"/>
    </row>
    <row r="11">
      <c r="A11" s="408" t="s">
        <v>127</v>
      </c>
      <c r="B11" s="409">
        <v>45527.0</v>
      </c>
      <c r="C11" s="410">
        <v>12912.576508654038</v>
      </c>
      <c r="D11" s="411">
        <f t="shared" si="1"/>
        <v>1.54887756</v>
      </c>
      <c r="E11" s="412">
        <v>20000.0</v>
      </c>
      <c r="F11" s="413">
        <f t="shared" si="2"/>
        <v>32006.94218</v>
      </c>
      <c r="G11" s="413">
        <f t="shared" si="3"/>
        <v>11166.45623</v>
      </c>
      <c r="H11" s="414">
        <f t="shared" si="4"/>
        <v>0.5583228114</v>
      </c>
      <c r="I11" s="415">
        <f t="shared" si="5"/>
        <v>563</v>
      </c>
      <c r="J11" s="414">
        <f t="shared" si="6"/>
        <v>0.3279791324</v>
      </c>
      <c r="K11" s="416">
        <f t="shared" si="7"/>
        <v>-20000</v>
      </c>
      <c r="L11" s="417"/>
      <c r="M11" s="403"/>
      <c r="N11" s="403"/>
      <c r="O11" s="403"/>
      <c r="P11" s="403"/>
      <c r="Q11" s="403"/>
      <c r="R11" s="403"/>
      <c r="S11" s="403"/>
      <c r="T11" s="403"/>
      <c r="U11" s="403"/>
      <c r="V11" s="403"/>
      <c r="W11" s="404"/>
      <c r="X11" s="405"/>
      <c r="Y11" s="405"/>
      <c r="Z11" s="405"/>
      <c r="AA11" s="405"/>
      <c r="AB11" s="405"/>
      <c r="AC11" s="405"/>
      <c r="AD11" s="405"/>
      <c r="AE11" s="405"/>
      <c r="AF11" s="405"/>
      <c r="AG11" s="405"/>
      <c r="AH11" s="405"/>
      <c r="AI11" s="405"/>
      <c r="AJ11" s="405"/>
      <c r="AK11" s="405"/>
      <c r="AL11" s="405"/>
      <c r="AM11" s="406"/>
      <c r="AN11" s="406"/>
      <c r="AO11" s="406"/>
      <c r="AP11" s="406"/>
      <c r="AQ11" s="403"/>
      <c r="AR11" s="403"/>
      <c r="AS11" s="403"/>
      <c r="AT11" s="403"/>
      <c r="AU11" s="403"/>
      <c r="AV11" s="403"/>
      <c r="AW11" s="403"/>
      <c r="AX11" s="403"/>
      <c r="AY11" s="403"/>
    </row>
    <row r="12">
      <c r="A12" s="408" t="s">
        <v>157</v>
      </c>
      <c r="B12" s="409">
        <v>45533.0</v>
      </c>
      <c r="C12" s="410">
        <v>13049.800683050222</v>
      </c>
      <c r="D12" s="411">
        <f t="shared" si="1"/>
        <v>1.532590458</v>
      </c>
      <c r="E12" s="412">
        <v>20000.0</v>
      </c>
      <c r="F12" s="413">
        <f t="shared" si="2"/>
        <v>31670.37564</v>
      </c>
      <c r="G12" s="413">
        <f t="shared" si="3"/>
        <v>10853.44935</v>
      </c>
      <c r="H12" s="414">
        <f t="shared" si="4"/>
        <v>0.5426724675</v>
      </c>
      <c r="I12" s="415">
        <f t="shared" si="5"/>
        <v>557</v>
      </c>
      <c r="J12" s="414">
        <f t="shared" si="6"/>
        <v>0.3233813048</v>
      </c>
      <c r="K12" s="416">
        <f t="shared" si="7"/>
        <v>-20000</v>
      </c>
      <c r="L12" s="426"/>
      <c r="M12" s="403"/>
      <c r="N12" s="403"/>
      <c r="O12" s="403"/>
      <c r="P12" s="403"/>
      <c r="Q12" s="403"/>
      <c r="R12" s="403"/>
      <c r="S12" s="403"/>
      <c r="T12" s="403"/>
      <c r="U12" s="403"/>
      <c r="V12" s="403"/>
      <c r="W12" s="404"/>
      <c r="X12" s="405"/>
      <c r="Y12" s="405"/>
      <c r="Z12" s="405"/>
      <c r="AA12" s="405"/>
      <c r="AB12" s="405"/>
      <c r="AC12" s="405"/>
      <c r="AD12" s="405"/>
      <c r="AE12" s="405"/>
      <c r="AF12" s="405"/>
      <c r="AG12" s="405"/>
      <c r="AH12" s="405"/>
      <c r="AI12" s="405"/>
      <c r="AJ12" s="405"/>
      <c r="AK12" s="405"/>
      <c r="AL12" s="405"/>
      <c r="AM12" s="406"/>
      <c r="AN12" s="406"/>
      <c r="AO12" s="406"/>
      <c r="AP12" s="406"/>
      <c r="AQ12" s="403"/>
      <c r="AR12" s="403"/>
      <c r="AS12" s="403"/>
      <c r="AT12" s="403"/>
      <c r="AU12" s="403"/>
      <c r="AV12" s="403"/>
      <c r="AW12" s="403"/>
      <c r="AX12" s="403"/>
      <c r="AY12" s="403"/>
    </row>
    <row r="13">
      <c r="A13" s="408" t="s">
        <v>157</v>
      </c>
      <c r="B13" s="409">
        <v>45549.0</v>
      </c>
      <c r="C13" s="410">
        <v>13029.645021568691</v>
      </c>
      <c r="D13" s="411">
        <f t="shared" si="1"/>
        <v>0.767480617</v>
      </c>
      <c r="E13" s="412">
        <v>10000.0</v>
      </c>
      <c r="F13" s="413">
        <f t="shared" si="2"/>
        <v>15859.6834</v>
      </c>
      <c r="G13" s="413">
        <f t="shared" si="3"/>
        <v>5449.505562</v>
      </c>
      <c r="H13" s="414">
        <f t="shared" si="4"/>
        <v>0.5449505562</v>
      </c>
      <c r="I13" s="415">
        <f t="shared" si="5"/>
        <v>541</v>
      </c>
      <c r="J13" s="414">
        <f t="shared" si="6"/>
        <v>0.3357041027</v>
      </c>
      <c r="K13" s="416">
        <f t="shared" si="7"/>
        <v>-10000</v>
      </c>
      <c r="L13" s="426"/>
      <c r="M13" s="403"/>
      <c r="N13" s="403"/>
      <c r="O13" s="403"/>
      <c r="P13" s="403"/>
      <c r="Q13" s="403"/>
      <c r="R13" s="403"/>
      <c r="S13" s="403"/>
      <c r="T13" s="403"/>
      <c r="U13" s="403"/>
      <c r="V13" s="403"/>
      <c r="W13" s="406"/>
      <c r="X13" s="405"/>
      <c r="Y13" s="405"/>
      <c r="Z13" s="405"/>
      <c r="AA13" s="405"/>
      <c r="AB13" s="405"/>
      <c r="AC13" s="405"/>
      <c r="AD13" s="405"/>
      <c r="AE13" s="405"/>
      <c r="AF13" s="405"/>
      <c r="AG13" s="405"/>
      <c r="AH13" s="405"/>
      <c r="AI13" s="405"/>
      <c r="AJ13" s="405"/>
      <c r="AK13" s="405"/>
      <c r="AL13" s="405"/>
      <c r="AM13" s="406"/>
      <c r="AN13" s="406"/>
      <c r="AO13" s="406"/>
      <c r="AP13" s="406"/>
      <c r="AQ13" s="403"/>
      <c r="AR13" s="403"/>
      <c r="AS13" s="403"/>
      <c r="AT13" s="403"/>
      <c r="AU13" s="403"/>
      <c r="AV13" s="403"/>
      <c r="AW13" s="403"/>
      <c r="AX13" s="403"/>
      <c r="AY13" s="403"/>
    </row>
    <row r="14">
      <c r="A14" s="408" t="s">
        <v>157</v>
      </c>
      <c r="B14" s="409">
        <v>45553.0</v>
      </c>
      <c r="C14" s="410">
        <v>13064.412903602954</v>
      </c>
      <c r="D14" s="411">
        <f t="shared" si="1"/>
        <v>0.7654381466</v>
      </c>
      <c r="E14" s="412">
        <v>10000.0</v>
      </c>
      <c r="F14" s="413">
        <f t="shared" si="2"/>
        <v>15817.47656</v>
      </c>
      <c r="G14" s="413">
        <f t="shared" si="3"/>
        <v>5410.2532</v>
      </c>
      <c r="H14" s="414">
        <f t="shared" si="4"/>
        <v>0.54102532</v>
      </c>
      <c r="I14" s="415">
        <f t="shared" si="5"/>
        <v>537</v>
      </c>
      <c r="J14" s="414">
        <f t="shared" si="6"/>
        <v>0.3363062329</v>
      </c>
      <c r="K14" s="416">
        <f t="shared" si="7"/>
        <v>-10000</v>
      </c>
      <c r="L14" s="417"/>
      <c r="M14" s="403"/>
      <c r="N14" s="403"/>
      <c r="O14" s="403"/>
      <c r="P14" s="403"/>
      <c r="Q14" s="403"/>
      <c r="R14" s="403"/>
      <c r="S14" s="403"/>
      <c r="T14" s="403"/>
      <c r="U14" s="403"/>
      <c r="V14" s="403"/>
      <c r="W14" s="406"/>
      <c r="X14" s="405"/>
      <c r="Y14" s="405"/>
      <c r="Z14" s="405"/>
      <c r="AA14" s="405"/>
      <c r="AB14" s="405"/>
      <c r="AC14" s="405"/>
      <c r="AD14" s="405"/>
      <c r="AE14" s="405"/>
      <c r="AF14" s="405"/>
      <c r="AG14" s="405"/>
      <c r="AH14" s="405"/>
      <c r="AI14" s="405"/>
      <c r="AJ14" s="405"/>
      <c r="AK14" s="405"/>
      <c r="AL14" s="405"/>
      <c r="AM14" s="406"/>
      <c r="AN14" s="406"/>
      <c r="AO14" s="406"/>
      <c r="AP14" s="406"/>
      <c r="AQ14" s="403"/>
      <c r="AR14" s="403"/>
      <c r="AS14" s="403"/>
      <c r="AT14" s="403"/>
      <c r="AU14" s="403"/>
      <c r="AV14" s="403"/>
      <c r="AW14" s="403"/>
      <c r="AX14" s="403"/>
      <c r="AY14" s="403"/>
    </row>
    <row r="15">
      <c r="A15" s="408" t="s">
        <v>151</v>
      </c>
      <c r="B15" s="409">
        <v>45560.0</v>
      </c>
      <c r="C15" s="410">
        <v>13310.539933583606</v>
      </c>
      <c r="D15" s="411">
        <f t="shared" si="1"/>
        <v>6.385916757</v>
      </c>
      <c r="E15" s="412">
        <v>85000.0</v>
      </c>
      <c r="F15" s="413">
        <f t="shared" si="2"/>
        <v>131962.4441</v>
      </c>
      <c r="G15" s="413">
        <f t="shared" si="3"/>
        <v>43675.07297</v>
      </c>
      <c r="H15" s="414">
        <f t="shared" si="4"/>
        <v>0.5138243879</v>
      </c>
      <c r="I15" s="415">
        <f t="shared" si="5"/>
        <v>530</v>
      </c>
      <c r="J15" s="414">
        <f t="shared" si="6"/>
        <v>0.3253037666</v>
      </c>
      <c r="K15" s="416">
        <f t="shared" si="7"/>
        <v>-85000</v>
      </c>
      <c r="L15" s="417"/>
      <c r="M15" s="403"/>
      <c r="N15" s="403"/>
      <c r="O15" s="403"/>
      <c r="P15" s="403"/>
      <c r="Q15" s="403"/>
      <c r="R15" s="403"/>
      <c r="S15" s="403"/>
      <c r="T15" s="403"/>
      <c r="U15" s="403"/>
      <c r="V15" s="403"/>
      <c r="W15" s="406"/>
      <c r="X15" s="405"/>
      <c r="Y15" s="405"/>
      <c r="Z15" s="405"/>
      <c r="AA15" s="405"/>
      <c r="AB15" s="405"/>
      <c r="AC15" s="405"/>
      <c r="AD15" s="405"/>
      <c r="AE15" s="405"/>
      <c r="AF15" s="405"/>
      <c r="AG15" s="405"/>
      <c r="AH15" s="405"/>
      <c r="AI15" s="405"/>
      <c r="AJ15" s="405"/>
      <c r="AK15" s="405"/>
      <c r="AL15" s="405"/>
      <c r="AM15" s="406"/>
      <c r="AN15" s="406"/>
      <c r="AO15" s="406"/>
      <c r="AP15" s="406"/>
      <c r="AQ15" s="403"/>
      <c r="AR15" s="403"/>
      <c r="AS15" s="403"/>
      <c r="AT15" s="403"/>
      <c r="AU15" s="403"/>
      <c r="AV15" s="403"/>
      <c r="AW15" s="403"/>
      <c r="AX15" s="403"/>
      <c r="AY15" s="403"/>
    </row>
    <row r="16">
      <c r="A16" s="408" t="s">
        <v>127</v>
      </c>
      <c r="B16" s="409">
        <v>45576.0</v>
      </c>
      <c r="C16" s="410">
        <v>13541.24775884143</v>
      </c>
      <c r="D16" s="411">
        <f t="shared" si="1"/>
        <v>2.21545315</v>
      </c>
      <c r="E16" s="412">
        <v>30000.0</v>
      </c>
      <c r="F16" s="413">
        <f t="shared" si="2"/>
        <v>45781.4631</v>
      </c>
      <c r="G16" s="413">
        <f t="shared" si="3"/>
        <v>14676.76068</v>
      </c>
      <c r="H16" s="414">
        <f t="shared" si="4"/>
        <v>0.4892253561</v>
      </c>
      <c r="I16" s="415">
        <f t="shared" si="5"/>
        <v>514</v>
      </c>
      <c r="J16" s="414">
        <f t="shared" si="6"/>
        <v>0.3217204063</v>
      </c>
      <c r="K16" s="416">
        <f t="shared" si="7"/>
        <v>-30000</v>
      </c>
      <c r="L16" s="417"/>
      <c r="M16" s="403"/>
      <c r="N16" s="403"/>
      <c r="O16" s="403"/>
      <c r="P16" s="420"/>
      <c r="Q16" s="420"/>
      <c r="R16" s="420"/>
      <c r="S16" s="420"/>
      <c r="T16" s="420"/>
      <c r="U16" s="420"/>
      <c r="V16" s="420"/>
      <c r="W16" s="406"/>
      <c r="X16" s="405"/>
      <c r="Y16" s="405"/>
      <c r="Z16" s="405"/>
      <c r="AA16" s="405"/>
      <c r="AB16" s="405"/>
      <c r="AC16" s="405"/>
      <c r="AD16" s="405"/>
      <c r="AE16" s="405"/>
      <c r="AF16" s="405"/>
      <c r="AG16" s="405"/>
      <c r="AH16" s="405"/>
      <c r="AI16" s="405"/>
      <c r="AJ16" s="405"/>
      <c r="AK16" s="405"/>
      <c r="AL16" s="405"/>
      <c r="AM16" s="406"/>
      <c r="AN16" s="406"/>
      <c r="AO16" s="406"/>
      <c r="AP16" s="406"/>
      <c r="AQ16" s="420"/>
      <c r="AR16" s="403"/>
      <c r="AS16" s="403"/>
      <c r="AT16" s="403"/>
      <c r="AU16" s="403"/>
      <c r="AV16" s="403"/>
      <c r="AW16" s="403"/>
      <c r="AX16" s="403"/>
      <c r="AY16" s="403"/>
    </row>
    <row r="17">
      <c r="A17" s="408" t="s">
        <v>157</v>
      </c>
      <c r="B17" s="409">
        <v>45582.0</v>
      </c>
      <c r="C17" s="410">
        <v>13761.666123887499</v>
      </c>
      <c r="D17" s="411">
        <f t="shared" si="1"/>
        <v>1.089984299</v>
      </c>
      <c r="E17" s="412">
        <v>15000.0</v>
      </c>
      <c r="F17" s="413">
        <f t="shared" si="2"/>
        <v>22524.09443</v>
      </c>
      <c r="G17" s="413">
        <f t="shared" si="3"/>
        <v>6997.40782</v>
      </c>
      <c r="H17" s="414">
        <f t="shared" si="4"/>
        <v>0.4664938547</v>
      </c>
      <c r="I17" s="415">
        <f t="shared" si="5"/>
        <v>508</v>
      </c>
      <c r="J17" s="414">
        <f t="shared" si="6"/>
        <v>0.3117056699</v>
      </c>
      <c r="K17" s="416">
        <f t="shared" si="7"/>
        <v>-15000</v>
      </c>
      <c r="L17" s="417"/>
      <c r="M17" s="403"/>
      <c r="N17" s="403"/>
      <c r="O17" s="403"/>
      <c r="P17" s="420"/>
      <c r="Q17" s="420"/>
      <c r="R17" s="420"/>
      <c r="S17" s="420"/>
      <c r="T17" s="420"/>
      <c r="U17" s="420"/>
      <c r="V17" s="420"/>
      <c r="W17" s="404"/>
      <c r="X17" s="405"/>
      <c r="Y17" s="405"/>
      <c r="Z17" s="405"/>
      <c r="AA17" s="405"/>
      <c r="AB17" s="405"/>
      <c r="AC17" s="405"/>
      <c r="AD17" s="405"/>
      <c r="AE17" s="405"/>
      <c r="AF17" s="405"/>
      <c r="AG17" s="405"/>
      <c r="AH17" s="405"/>
      <c r="AI17" s="405"/>
      <c r="AJ17" s="405"/>
      <c r="AK17" s="405"/>
      <c r="AL17" s="405"/>
      <c r="AM17" s="406"/>
      <c r="AN17" s="406"/>
      <c r="AO17" s="406"/>
      <c r="AP17" s="406"/>
      <c r="AQ17" s="420"/>
      <c r="AR17" s="403"/>
      <c r="AS17" s="403"/>
      <c r="AT17" s="403"/>
      <c r="AU17" s="403"/>
      <c r="AV17" s="403"/>
      <c r="AW17" s="403"/>
      <c r="AX17" s="403"/>
      <c r="AY17" s="403"/>
    </row>
    <row r="18">
      <c r="A18" s="408" t="s">
        <v>161</v>
      </c>
      <c r="B18" s="409">
        <v>45582.0</v>
      </c>
      <c r="C18" s="410">
        <v>13761.666123887499</v>
      </c>
      <c r="D18" s="411">
        <f t="shared" si="1"/>
        <v>3.633280996</v>
      </c>
      <c r="E18" s="412">
        <v>50000.0</v>
      </c>
      <c r="F18" s="413">
        <f t="shared" si="2"/>
        <v>75080.31477</v>
      </c>
      <c r="G18" s="413">
        <f t="shared" si="3"/>
        <v>23324.69273</v>
      </c>
      <c r="H18" s="414">
        <f t="shared" si="4"/>
        <v>0.4664938547</v>
      </c>
      <c r="I18" s="415">
        <f t="shared" si="5"/>
        <v>508</v>
      </c>
      <c r="J18" s="414">
        <f t="shared" si="6"/>
        <v>0.3117056699</v>
      </c>
      <c r="K18" s="416">
        <f t="shared" si="7"/>
        <v>-50000</v>
      </c>
      <c r="L18" s="426"/>
      <c r="M18" s="403"/>
      <c r="N18" s="403"/>
      <c r="O18" s="403"/>
      <c r="P18" s="420"/>
      <c r="Q18" s="420"/>
      <c r="R18" s="420"/>
      <c r="S18" s="420"/>
      <c r="T18" s="420"/>
      <c r="U18" s="420"/>
      <c r="V18" s="420"/>
      <c r="W18" s="404"/>
      <c r="X18" s="405"/>
      <c r="Y18" s="405"/>
      <c r="Z18" s="405"/>
      <c r="AA18" s="405"/>
      <c r="AB18" s="405"/>
      <c r="AC18" s="405"/>
      <c r="AD18" s="405"/>
      <c r="AE18" s="405"/>
      <c r="AF18" s="405"/>
      <c r="AG18" s="405"/>
      <c r="AH18" s="405"/>
      <c r="AI18" s="405"/>
      <c r="AJ18" s="405"/>
      <c r="AK18" s="405"/>
      <c r="AL18" s="405"/>
      <c r="AM18" s="406"/>
      <c r="AN18" s="406"/>
      <c r="AO18" s="406"/>
      <c r="AP18" s="406"/>
      <c r="AQ18" s="420"/>
      <c r="AR18" s="403"/>
      <c r="AS18" s="403"/>
      <c r="AT18" s="403"/>
      <c r="AU18" s="403"/>
      <c r="AV18" s="403"/>
      <c r="AW18" s="403"/>
      <c r="AX18" s="403"/>
      <c r="AY18" s="403"/>
    </row>
    <row r="19">
      <c r="A19" s="408" t="s">
        <v>151</v>
      </c>
      <c r="B19" s="409">
        <v>45597.0</v>
      </c>
      <c r="C19" s="410">
        <v>14058.996828007463</v>
      </c>
      <c r="D19" s="411">
        <f t="shared" si="1"/>
        <v>14.22576607</v>
      </c>
      <c r="E19" s="412">
        <v>200000.0</v>
      </c>
      <c r="F19" s="413">
        <f t="shared" si="2"/>
        <v>293969.8293</v>
      </c>
      <c r="G19" s="413">
        <f t="shared" si="3"/>
        <v>87391.94122</v>
      </c>
      <c r="H19" s="414">
        <f t="shared" si="4"/>
        <v>0.4369597061</v>
      </c>
      <c r="I19" s="415">
        <f t="shared" si="5"/>
        <v>493</v>
      </c>
      <c r="J19" s="414">
        <f t="shared" si="6"/>
        <v>0.3030758033</v>
      </c>
      <c r="K19" s="416">
        <f t="shared" si="7"/>
        <v>-200000</v>
      </c>
      <c r="L19" s="417"/>
      <c r="M19" s="403"/>
      <c r="N19" s="403"/>
      <c r="O19" s="403"/>
      <c r="P19" s="420"/>
      <c r="Q19" s="420"/>
      <c r="R19" s="420"/>
      <c r="S19" s="420"/>
      <c r="T19" s="420"/>
      <c r="U19" s="420"/>
      <c r="V19" s="420"/>
      <c r="W19" s="404"/>
      <c r="X19" s="405"/>
      <c r="Y19" s="405"/>
      <c r="Z19" s="405"/>
      <c r="AA19" s="405"/>
      <c r="AB19" s="405"/>
      <c r="AC19" s="405"/>
      <c r="AD19" s="405"/>
      <c r="AE19" s="405"/>
      <c r="AF19" s="405"/>
      <c r="AG19" s="405"/>
      <c r="AH19" s="405"/>
      <c r="AI19" s="405"/>
      <c r="AJ19" s="405"/>
      <c r="AK19" s="405"/>
      <c r="AL19" s="405"/>
      <c r="AM19" s="406"/>
      <c r="AN19" s="406"/>
      <c r="AO19" s="406"/>
      <c r="AP19" s="406"/>
      <c r="AQ19" s="420"/>
      <c r="AR19" s="403"/>
      <c r="AS19" s="403"/>
      <c r="AT19" s="403"/>
      <c r="AU19" s="403"/>
      <c r="AV19" s="403"/>
      <c r="AW19" s="403"/>
      <c r="AX19" s="403"/>
      <c r="AY19" s="403"/>
    </row>
    <row r="20">
      <c r="A20" s="408" t="s">
        <v>144</v>
      </c>
      <c r="B20" s="409">
        <v>45600.0</v>
      </c>
      <c r="C20" s="410">
        <v>14222.703549339827</v>
      </c>
      <c r="D20" s="411">
        <f t="shared" si="1"/>
        <v>3.515506024</v>
      </c>
      <c r="E20" s="412">
        <v>50000.0</v>
      </c>
      <c r="F20" s="413">
        <f t="shared" si="2"/>
        <v>72646.54155</v>
      </c>
      <c r="G20" s="413">
        <f t="shared" si="3"/>
        <v>21061.28364</v>
      </c>
      <c r="H20" s="414">
        <f t="shared" si="4"/>
        <v>0.4212256728</v>
      </c>
      <c r="I20" s="415">
        <f t="shared" si="5"/>
        <v>490</v>
      </c>
      <c r="J20" s="414">
        <f t="shared" si="6"/>
        <v>0.2946745283</v>
      </c>
      <c r="K20" s="416">
        <f t="shared" si="7"/>
        <v>-50000</v>
      </c>
      <c r="L20" s="417"/>
      <c r="M20" s="403"/>
      <c r="N20" s="403"/>
      <c r="O20" s="403"/>
      <c r="P20" s="420"/>
      <c r="Q20" s="420"/>
      <c r="R20" s="420"/>
      <c r="S20" s="420"/>
      <c r="T20" s="420"/>
      <c r="U20" s="420"/>
      <c r="V20" s="420"/>
      <c r="W20" s="404"/>
      <c r="X20" s="405"/>
      <c r="Y20" s="405"/>
      <c r="Z20" s="405"/>
      <c r="AA20" s="405"/>
      <c r="AB20" s="405"/>
      <c r="AC20" s="405"/>
      <c r="AD20" s="405"/>
      <c r="AE20" s="405"/>
      <c r="AF20" s="405"/>
      <c r="AG20" s="405"/>
      <c r="AH20" s="405"/>
      <c r="AI20" s="405"/>
      <c r="AJ20" s="405"/>
      <c r="AK20" s="405"/>
      <c r="AL20" s="405"/>
      <c r="AM20" s="406"/>
      <c r="AN20" s="406"/>
      <c r="AO20" s="406"/>
      <c r="AP20" s="406"/>
      <c r="AQ20" s="420"/>
      <c r="AR20" s="403"/>
      <c r="AS20" s="403"/>
      <c r="AT20" s="403"/>
      <c r="AU20" s="403"/>
      <c r="AV20" s="403"/>
      <c r="AW20" s="403"/>
      <c r="AX20" s="403"/>
      <c r="AY20" s="403"/>
    </row>
    <row r="21">
      <c r="A21" s="408" t="s">
        <v>144</v>
      </c>
      <c r="B21" s="409">
        <v>45629.0</v>
      </c>
      <c r="C21" s="410">
        <v>14616.375598633862</v>
      </c>
      <c r="D21" s="411">
        <f t="shared" si="1"/>
        <v>41.04984823</v>
      </c>
      <c r="E21" s="412">
        <v>600000.0</v>
      </c>
      <c r="F21" s="413">
        <f t="shared" si="2"/>
        <v>848278.8779</v>
      </c>
      <c r="G21" s="413">
        <f t="shared" si="3"/>
        <v>230899.3564</v>
      </c>
      <c r="H21" s="414">
        <f t="shared" si="4"/>
        <v>0.3848322607</v>
      </c>
      <c r="I21" s="415">
        <f t="shared" si="5"/>
        <v>461</v>
      </c>
      <c r="J21" s="414">
        <f t="shared" si="6"/>
        <v>0.2894918929</v>
      </c>
      <c r="K21" s="416">
        <f t="shared" si="7"/>
        <v>-600000</v>
      </c>
      <c r="L21" s="417"/>
      <c r="M21" s="403"/>
      <c r="N21" s="403"/>
      <c r="O21" s="403"/>
      <c r="P21" s="420"/>
      <c r="Q21" s="420"/>
      <c r="R21" s="420"/>
      <c r="S21" s="420"/>
      <c r="T21" s="420"/>
      <c r="U21" s="420"/>
      <c r="V21" s="420"/>
      <c r="W21" s="404"/>
      <c r="X21" s="405"/>
      <c r="Y21" s="405"/>
      <c r="Z21" s="405"/>
      <c r="AA21" s="405"/>
      <c r="AB21" s="405"/>
      <c r="AC21" s="405"/>
      <c r="AD21" s="405"/>
      <c r="AE21" s="405"/>
      <c r="AF21" s="405"/>
      <c r="AG21" s="405"/>
      <c r="AH21" s="405"/>
      <c r="AI21" s="405"/>
      <c r="AJ21" s="405"/>
      <c r="AK21" s="405"/>
      <c r="AL21" s="405"/>
      <c r="AM21" s="406"/>
      <c r="AN21" s="406"/>
      <c r="AO21" s="406"/>
      <c r="AP21" s="406"/>
      <c r="AQ21" s="420"/>
      <c r="AR21" s="403"/>
      <c r="AS21" s="403"/>
      <c r="AT21" s="403"/>
      <c r="AU21" s="403"/>
      <c r="AV21" s="403"/>
      <c r="AW21" s="403"/>
      <c r="AX21" s="403"/>
      <c r="AY21" s="403"/>
    </row>
    <row r="22">
      <c r="A22" s="408" t="s">
        <v>140</v>
      </c>
      <c r="B22" s="409">
        <v>45629.0</v>
      </c>
      <c r="C22" s="410">
        <v>14616.375598633862</v>
      </c>
      <c r="D22" s="411">
        <f t="shared" si="1"/>
        <v>34.20820686</v>
      </c>
      <c r="E22" s="412">
        <v>500000.0</v>
      </c>
      <c r="F22" s="413">
        <f t="shared" si="2"/>
        <v>706899.0649</v>
      </c>
      <c r="G22" s="413">
        <f t="shared" si="3"/>
        <v>192416.1304</v>
      </c>
      <c r="H22" s="414">
        <f t="shared" si="4"/>
        <v>0.3848322607</v>
      </c>
      <c r="I22" s="415">
        <f t="shared" si="5"/>
        <v>461</v>
      </c>
      <c r="J22" s="414">
        <f t="shared" si="6"/>
        <v>0.2894918929</v>
      </c>
      <c r="K22" s="416">
        <f t="shared" si="7"/>
        <v>-500000</v>
      </c>
      <c r="L22" s="417"/>
      <c r="M22" s="403"/>
      <c r="N22" s="403"/>
      <c r="O22" s="403"/>
      <c r="P22" s="420"/>
      <c r="Q22" s="420"/>
      <c r="R22" s="420"/>
      <c r="S22" s="420"/>
      <c r="T22" s="420"/>
      <c r="U22" s="420"/>
      <c r="V22" s="420"/>
      <c r="W22" s="404"/>
      <c r="X22" s="405"/>
      <c r="Y22" s="405"/>
      <c r="Z22" s="405"/>
      <c r="AA22" s="405"/>
      <c r="AB22" s="405"/>
      <c r="AC22" s="405"/>
      <c r="AD22" s="405"/>
      <c r="AE22" s="405"/>
      <c r="AF22" s="405"/>
      <c r="AG22" s="405"/>
      <c r="AH22" s="405"/>
      <c r="AI22" s="405"/>
      <c r="AJ22" s="405"/>
      <c r="AK22" s="405"/>
      <c r="AL22" s="405"/>
      <c r="AM22" s="406"/>
      <c r="AN22" s="406"/>
      <c r="AO22" s="406"/>
      <c r="AP22" s="406"/>
      <c r="AQ22" s="420"/>
      <c r="AR22" s="403"/>
      <c r="AS22" s="403"/>
      <c r="AT22" s="403"/>
      <c r="AU22" s="403"/>
      <c r="AV22" s="403"/>
      <c r="AW22" s="403"/>
      <c r="AX22" s="403"/>
      <c r="AY22" s="403"/>
    </row>
    <row r="23">
      <c r="A23" s="408" t="s">
        <v>151</v>
      </c>
      <c r="B23" s="409">
        <v>45634.0</v>
      </c>
      <c r="C23" s="410">
        <v>14535.338381573276</v>
      </c>
      <c r="D23" s="411">
        <f t="shared" si="1"/>
        <v>6.879784796</v>
      </c>
      <c r="E23" s="412">
        <v>100000.0</v>
      </c>
      <c r="F23" s="413">
        <f t="shared" si="2"/>
        <v>142168.0318</v>
      </c>
      <c r="G23" s="413">
        <f t="shared" si="3"/>
        <v>39216.26953</v>
      </c>
      <c r="H23" s="414">
        <f t="shared" si="4"/>
        <v>0.3921626953</v>
      </c>
      <c r="I23" s="415">
        <f t="shared" si="5"/>
        <v>456</v>
      </c>
      <c r="J23" s="414">
        <f t="shared" si="6"/>
        <v>0.2984925656</v>
      </c>
      <c r="K23" s="416">
        <f t="shared" si="7"/>
        <v>-100000</v>
      </c>
      <c r="L23" s="417"/>
      <c r="M23" s="403"/>
      <c r="N23" s="403"/>
      <c r="O23" s="403"/>
      <c r="P23" s="420"/>
      <c r="Q23" s="420"/>
      <c r="R23" s="420"/>
      <c r="S23" s="420"/>
      <c r="T23" s="420"/>
      <c r="U23" s="420"/>
      <c r="V23" s="420"/>
      <c r="W23" s="404"/>
      <c r="X23" s="405"/>
      <c r="Y23" s="405"/>
      <c r="Z23" s="405"/>
      <c r="AA23" s="405"/>
      <c r="AB23" s="405"/>
      <c r="AC23" s="405"/>
      <c r="AD23" s="405"/>
      <c r="AE23" s="405"/>
      <c r="AF23" s="405"/>
      <c r="AG23" s="405"/>
      <c r="AH23" s="405"/>
      <c r="AI23" s="405"/>
      <c r="AJ23" s="405"/>
      <c r="AK23" s="405"/>
      <c r="AL23" s="405"/>
      <c r="AM23" s="406"/>
      <c r="AN23" s="406"/>
      <c r="AO23" s="406"/>
      <c r="AP23" s="406"/>
      <c r="AQ23" s="420"/>
      <c r="AR23" s="403"/>
      <c r="AS23" s="403"/>
      <c r="AT23" s="403"/>
      <c r="AU23" s="403"/>
      <c r="AV23" s="403"/>
      <c r="AW23" s="403"/>
      <c r="AX23" s="403"/>
      <c r="AY23" s="403"/>
    </row>
    <row r="24">
      <c r="A24" s="408" t="s">
        <v>157</v>
      </c>
      <c r="B24" s="409">
        <v>45648.0</v>
      </c>
      <c r="C24" s="410">
        <v>13847.299786634005</v>
      </c>
      <c r="D24" s="411">
        <f t="shared" si="1"/>
        <v>2.888649817</v>
      </c>
      <c r="E24" s="412">
        <v>40000.0</v>
      </c>
      <c r="F24" s="413">
        <f t="shared" si="2"/>
        <v>59692.80597</v>
      </c>
      <c r="G24" s="413">
        <f t="shared" si="3"/>
        <v>18314.30956</v>
      </c>
      <c r="H24" s="414">
        <f t="shared" si="4"/>
        <v>0.4578577389</v>
      </c>
      <c r="I24" s="415">
        <f t="shared" si="5"/>
        <v>442</v>
      </c>
      <c r="J24" s="414">
        <f t="shared" si="6"/>
        <v>0.3593855631</v>
      </c>
      <c r="K24" s="416">
        <f t="shared" si="7"/>
        <v>-40000</v>
      </c>
      <c r="L24" s="417"/>
      <c r="M24" s="403"/>
      <c r="N24" s="403"/>
      <c r="O24" s="403"/>
      <c r="P24" s="420"/>
      <c r="Q24" s="420"/>
      <c r="R24" s="420"/>
      <c r="S24" s="420"/>
      <c r="T24" s="420"/>
      <c r="U24" s="420"/>
      <c r="V24" s="420"/>
      <c r="W24" s="404"/>
      <c r="X24" s="405"/>
      <c r="Y24" s="405"/>
      <c r="Z24" s="405"/>
      <c r="AA24" s="405"/>
      <c r="AB24" s="405"/>
      <c r="AC24" s="405"/>
      <c r="AD24" s="405"/>
      <c r="AE24" s="405"/>
      <c r="AF24" s="405"/>
      <c r="AG24" s="405"/>
      <c r="AH24" s="405"/>
      <c r="AI24" s="405"/>
      <c r="AJ24" s="405"/>
      <c r="AK24" s="405"/>
      <c r="AL24" s="405"/>
      <c r="AM24" s="406"/>
      <c r="AN24" s="406"/>
      <c r="AO24" s="406"/>
      <c r="AP24" s="406"/>
      <c r="AQ24" s="420"/>
      <c r="AR24" s="403"/>
      <c r="AS24" s="403"/>
      <c r="AT24" s="403"/>
      <c r="AU24" s="403"/>
      <c r="AV24" s="403"/>
      <c r="AW24" s="403"/>
      <c r="AX24" s="403"/>
      <c r="AY24" s="403"/>
    </row>
    <row r="25">
      <c r="A25" s="408" t="s">
        <v>161</v>
      </c>
      <c r="B25" s="409">
        <v>45648.0</v>
      </c>
      <c r="C25" s="410">
        <v>13847.299786634005</v>
      </c>
      <c r="D25" s="411">
        <f t="shared" si="1"/>
        <v>3.610812272</v>
      </c>
      <c r="E25" s="412">
        <v>50000.0</v>
      </c>
      <c r="F25" s="413">
        <f t="shared" si="2"/>
        <v>74616.00747</v>
      </c>
      <c r="G25" s="413">
        <f t="shared" si="3"/>
        <v>22892.88695</v>
      </c>
      <c r="H25" s="414">
        <f t="shared" si="4"/>
        <v>0.4578577389</v>
      </c>
      <c r="I25" s="415">
        <f t="shared" si="5"/>
        <v>442</v>
      </c>
      <c r="J25" s="414">
        <f t="shared" si="6"/>
        <v>0.3593855631</v>
      </c>
      <c r="K25" s="416">
        <f t="shared" si="7"/>
        <v>-50000</v>
      </c>
      <c r="L25" s="417"/>
      <c r="M25" s="403"/>
      <c r="N25" s="403"/>
      <c r="O25" s="403"/>
      <c r="P25" s="420"/>
      <c r="Q25" s="420"/>
      <c r="R25" s="420"/>
      <c r="S25" s="420"/>
      <c r="T25" s="420"/>
      <c r="U25" s="420"/>
      <c r="V25" s="420"/>
      <c r="W25" s="404"/>
      <c r="X25" s="405"/>
      <c r="Y25" s="405"/>
      <c r="Z25" s="405"/>
      <c r="AA25" s="405"/>
      <c r="AB25" s="405"/>
      <c r="AC25" s="405"/>
      <c r="AD25" s="405"/>
      <c r="AE25" s="405"/>
      <c r="AF25" s="405"/>
      <c r="AG25" s="405"/>
      <c r="AH25" s="405"/>
      <c r="AI25" s="405"/>
      <c r="AJ25" s="405"/>
      <c r="AK25" s="405"/>
      <c r="AL25" s="405"/>
      <c r="AM25" s="406"/>
      <c r="AN25" s="406"/>
      <c r="AO25" s="406"/>
      <c r="AP25" s="406"/>
      <c r="AQ25" s="420"/>
      <c r="AR25" s="403"/>
      <c r="AS25" s="403"/>
      <c r="AT25" s="403"/>
      <c r="AU25" s="403"/>
      <c r="AV25" s="403"/>
      <c r="AW25" s="403"/>
      <c r="AX25" s="403"/>
      <c r="AY25" s="403"/>
    </row>
    <row r="26">
      <c r="A26" s="408" t="s">
        <v>144</v>
      </c>
      <c r="B26" s="409">
        <v>45648.0</v>
      </c>
      <c r="C26" s="410">
        <v>13847.299786634005</v>
      </c>
      <c r="D26" s="411">
        <f t="shared" si="1"/>
        <v>24.69795594</v>
      </c>
      <c r="E26" s="412">
        <v>342000.0</v>
      </c>
      <c r="F26" s="413">
        <f t="shared" si="2"/>
        <v>510373.4911</v>
      </c>
      <c r="G26" s="413">
        <f t="shared" si="3"/>
        <v>156587.3467</v>
      </c>
      <c r="H26" s="414">
        <f t="shared" si="4"/>
        <v>0.4578577389</v>
      </c>
      <c r="I26" s="415">
        <f t="shared" si="5"/>
        <v>442</v>
      </c>
      <c r="J26" s="414">
        <f t="shared" si="6"/>
        <v>0.3593855631</v>
      </c>
      <c r="K26" s="416">
        <f t="shared" si="7"/>
        <v>-342000</v>
      </c>
      <c r="L26" s="417"/>
      <c r="M26" s="403"/>
      <c r="N26" s="403"/>
      <c r="O26" s="403"/>
      <c r="P26" s="420"/>
      <c r="Q26" s="420"/>
      <c r="R26" s="420"/>
      <c r="S26" s="420"/>
      <c r="T26" s="420"/>
      <c r="U26" s="420"/>
      <c r="V26" s="420"/>
      <c r="W26" s="404"/>
      <c r="X26" s="405"/>
      <c r="Y26" s="405"/>
      <c r="Z26" s="405"/>
      <c r="AA26" s="405"/>
      <c r="AB26" s="405"/>
      <c r="AC26" s="405"/>
      <c r="AD26" s="405"/>
      <c r="AE26" s="405"/>
      <c r="AF26" s="405"/>
      <c r="AG26" s="405"/>
      <c r="AH26" s="405"/>
      <c r="AI26" s="405"/>
      <c r="AJ26" s="405"/>
      <c r="AK26" s="405"/>
      <c r="AL26" s="405"/>
      <c r="AM26" s="406"/>
      <c r="AN26" s="406"/>
      <c r="AO26" s="406"/>
      <c r="AP26" s="406"/>
      <c r="AQ26" s="420"/>
      <c r="AR26" s="403"/>
      <c r="AS26" s="403"/>
      <c r="AT26" s="403"/>
      <c r="AU26" s="403"/>
      <c r="AV26" s="403"/>
      <c r="AW26" s="403"/>
      <c r="AX26" s="403"/>
      <c r="AY26" s="403"/>
    </row>
    <row r="27">
      <c r="A27" s="408" t="s">
        <v>151</v>
      </c>
      <c r="B27" s="409">
        <v>45686.0</v>
      </c>
      <c r="C27" s="410">
        <v>14888.95295688533</v>
      </c>
      <c r="D27" s="411">
        <v>-27.4914676185008</v>
      </c>
      <c r="E27" s="412">
        <v>-385000.0</v>
      </c>
      <c r="F27" s="427">
        <v>-409319.0</v>
      </c>
      <c r="G27" s="413">
        <f t="shared" si="3"/>
        <v>-22616.67</v>
      </c>
      <c r="H27" s="414">
        <f t="shared" si="4"/>
        <v>0.0587445974</v>
      </c>
      <c r="I27" s="415">
        <f t="shared" si="5"/>
        <v>404</v>
      </c>
      <c r="J27" s="414">
        <f t="shared" si="6"/>
        <v>0.05218274336</v>
      </c>
      <c r="K27" s="416">
        <f t="shared" si="7"/>
        <v>385000</v>
      </c>
      <c r="L27" s="417"/>
      <c r="M27" s="403"/>
      <c r="N27" s="403"/>
      <c r="O27" s="403"/>
      <c r="P27" s="420"/>
      <c r="Q27" s="420"/>
      <c r="R27" s="420"/>
      <c r="S27" s="420"/>
      <c r="T27" s="420"/>
      <c r="U27" s="420"/>
      <c r="V27" s="420"/>
      <c r="W27" s="404"/>
      <c r="X27" s="405"/>
      <c r="Y27" s="405"/>
      <c r="Z27" s="405"/>
      <c r="AA27" s="405"/>
      <c r="AB27" s="405"/>
      <c r="AC27" s="405"/>
      <c r="AD27" s="405"/>
      <c r="AE27" s="405"/>
      <c r="AF27" s="405"/>
      <c r="AG27" s="405"/>
      <c r="AH27" s="405"/>
      <c r="AI27" s="405"/>
      <c r="AJ27" s="405"/>
      <c r="AK27" s="405"/>
      <c r="AL27" s="405"/>
      <c r="AM27" s="406"/>
      <c r="AN27" s="406"/>
      <c r="AO27" s="406"/>
      <c r="AP27" s="406"/>
      <c r="AQ27" s="420"/>
      <c r="AR27" s="403"/>
      <c r="AS27" s="403"/>
      <c r="AT27" s="403"/>
      <c r="AU27" s="403"/>
      <c r="AV27" s="403"/>
      <c r="AW27" s="403"/>
      <c r="AX27" s="403"/>
      <c r="AY27" s="403"/>
    </row>
    <row r="28">
      <c r="A28" s="408" t="s">
        <v>157</v>
      </c>
      <c r="B28" s="409">
        <v>45722.0</v>
      </c>
      <c r="C28" s="410">
        <v>13898.837644341316</v>
      </c>
      <c r="D28" s="411">
        <f t="shared" ref="D28:D61" si="8">IF(E28&lt;&gt;0,E28/C28,)</f>
        <v>1.798711564</v>
      </c>
      <c r="E28" s="412">
        <v>25000.0</v>
      </c>
      <c r="F28" s="413">
        <f t="shared" ref="F28:F57" si="9">IF(D28&lt;&gt;0,$N$4*D28,)</f>
        <v>37169.66306</v>
      </c>
      <c r="G28" s="413">
        <f t="shared" si="3"/>
        <v>11317.78664</v>
      </c>
      <c r="H28" s="414">
        <f t="shared" si="4"/>
        <v>0.4527114658</v>
      </c>
      <c r="I28" s="415">
        <f t="shared" si="5"/>
        <v>368</v>
      </c>
      <c r="J28" s="414">
        <f t="shared" si="6"/>
        <v>0.4409659745</v>
      </c>
      <c r="K28" s="416">
        <f t="shared" si="7"/>
        <v>-25000</v>
      </c>
      <c r="L28" s="417"/>
      <c r="M28" s="403"/>
      <c r="N28" s="403"/>
      <c r="O28" s="403"/>
      <c r="P28" s="420"/>
      <c r="Q28" s="420"/>
      <c r="R28" s="420"/>
      <c r="S28" s="420"/>
      <c r="T28" s="420"/>
      <c r="U28" s="420"/>
      <c r="V28" s="420"/>
      <c r="W28" s="404"/>
      <c r="X28" s="405"/>
      <c r="Y28" s="405"/>
      <c r="Z28" s="405"/>
      <c r="AA28" s="405"/>
      <c r="AB28" s="405"/>
      <c r="AC28" s="405"/>
      <c r="AD28" s="405"/>
      <c r="AE28" s="405"/>
      <c r="AF28" s="405"/>
      <c r="AG28" s="405"/>
      <c r="AH28" s="405"/>
      <c r="AI28" s="405"/>
      <c r="AJ28" s="405"/>
      <c r="AK28" s="405"/>
      <c r="AL28" s="405"/>
      <c r="AM28" s="406"/>
      <c r="AN28" s="406"/>
      <c r="AO28" s="406"/>
      <c r="AP28" s="406"/>
      <c r="AQ28" s="420"/>
      <c r="AR28" s="403"/>
      <c r="AS28" s="403"/>
      <c r="AT28" s="403"/>
      <c r="AU28" s="403"/>
      <c r="AV28" s="403"/>
      <c r="AW28" s="403"/>
      <c r="AX28" s="403"/>
      <c r="AY28" s="403"/>
    </row>
    <row r="29">
      <c r="A29" s="408" t="s">
        <v>144</v>
      </c>
      <c r="B29" s="409">
        <v>45722.0</v>
      </c>
      <c r="C29" s="410">
        <v>13898.837644341316</v>
      </c>
      <c r="D29" s="411">
        <f t="shared" si="8"/>
        <v>3.597423128</v>
      </c>
      <c r="E29" s="412">
        <v>50000.0</v>
      </c>
      <c r="F29" s="413">
        <f t="shared" si="9"/>
        <v>74339.32612</v>
      </c>
      <c r="G29" s="413">
        <f t="shared" si="3"/>
        <v>22635.57329</v>
      </c>
      <c r="H29" s="414">
        <f t="shared" si="4"/>
        <v>0.4527114658</v>
      </c>
      <c r="I29" s="415">
        <f t="shared" si="5"/>
        <v>368</v>
      </c>
      <c r="J29" s="414">
        <f t="shared" si="6"/>
        <v>0.4409659745</v>
      </c>
      <c r="K29" s="416">
        <f t="shared" si="7"/>
        <v>-50000</v>
      </c>
      <c r="L29" s="417"/>
      <c r="M29" s="403"/>
      <c r="N29" s="403"/>
      <c r="O29" s="403"/>
      <c r="P29" s="420"/>
      <c r="Q29" s="420"/>
      <c r="R29" s="420"/>
      <c r="S29" s="420"/>
      <c r="T29" s="420"/>
      <c r="U29" s="420"/>
      <c r="V29" s="420"/>
      <c r="W29" s="404"/>
      <c r="X29" s="405"/>
      <c r="Y29" s="405"/>
      <c r="Z29" s="405"/>
      <c r="AA29" s="405"/>
      <c r="AB29" s="405"/>
      <c r="AC29" s="405"/>
      <c r="AD29" s="405"/>
      <c r="AE29" s="405"/>
      <c r="AF29" s="405"/>
      <c r="AG29" s="405"/>
      <c r="AH29" s="405"/>
      <c r="AI29" s="405"/>
      <c r="AJ29" s="405"/>
      <c r="AK29" s="405"/>
      <c r="AL29" s="405"/>
      <c r="AM29" s="406"/>
      <c r="AN29" s="406"/>
      <c r="AO29" s="406"/>
      <c r="AP29" s="406"/>
      <c r="AQ29" s="420"/>
      <c r="AR29" s="403"/>
      <c r="AS29" s="403"/>
      <c r="AT29" s="403"/>
      <c r="AU29" s="403"/>
      <c r="AV29" s="403"/>
      <c r="AW29" s="403"/>
      <c r="AX29" s="403"/>
      <c r="AY29" s="403"/>
    </row>
    <row r="30">
      <c r="A30" s="408" t="s">
        <v>127</v>
      </c>
      <c r="B30" s="409">
        <v>45722.0</v>
      </c>
      <c r="C30" s="410">
        <v>13898.837644341316</v>
      </c>
      <c r="D30" s="411">
        <f t="shared" si="8"/>
        <v>3.597423128</v>
      </c>
      <c r="E30" s="412">
        <v>50000.0</v>
      </c>
      <c r="F30" s="413">
        <f t="shared" si="9"/>
        <v>74339.32612</v>
      </c>
      <c r="G30" s="413">
        <f t="shared" si="3"/>
        <v>22635.57329</v>
      </c>
      <c r="H30" s="414">
        <f t="shared" si="4"/>
        <v>0.4527114658</v>
      </c>
      <c r="I30" s="415">
        <f t="shared" si="5"/>
        <v>368</v>
      </c>
      <c r="J30" s="414">
        <f t="shared" si="6"/>
        <v>0.4409659745</v>
      </c>
      <c r="K30" s="416">
        <f t="shared" si="7"/>
        <v>-50000</v>
      </c>
      <c r="L30" s="428"/>
      <c r="M30" s="403"/>
      <c r="N30" s="403"/>
      <c r="O30" s="403"/>
      <c r="P30" s="420"/>
      <c r="Q30" s="420"/>
      <c r="R30" s="420"/>
      <c r="S30" s="420"/>
      <c r="T30" s="420"/>
      <c r="U30" s="420"/>
      <c r="V30" s="420"/>
      <c r="W30" s="404"/>
      <c r="X30" s="405"/>
      <c r="Y30" s="405"/>
      <c r="Z30" s="405"/>
      <c r="AA30" s="405"/>
      <c r="AB30" s="405"/>
      <c r="AC30" s="405"/>
      <c r="AD30" s="405"/>
      <c r="AE30" s="405"/>
      <c r="AF30" s="405"/>
      <c r="AG30" s="405"/>
      <c r="AH30" s="405"/>
      <c r="AI30" s="405"/>
      <c r="AJ30" s="405"/>
      <c r="AK30" s="405"/>
      <c r="AL30" s="405"/>
      <c r="AM30" s="406"/>
      <c r="AN30" s="406"/>
      <c r="AO30" s="406"/>
      <c r="AP30" s="406"/>
      <c r="AQ30" s="420"/>
      <c r="AR30" s="403"/>
      <c r="AS30" s="403"/>
      <c r="AT30" s="403"/>
      <c r="AU30" s="403"/>
      <c r="AV30" s="403"/>
      <c r="AW30" s="403"/>
      <c r="AX30" s="403"/>
      <c r="AY30" s="403"/>
    </row>
    <row r="31">
      <c r="A31" s="408" t="s">
        <v>127</v>
      </c>
      <c r="B31" s="409">
        <v>45744.0</v>
      </c>
      <c r="C31" s="410">
        <v>14139.392728151093</v>
      </c>
      <c r="D31" s="411">
        <f t="shared" si="8"/>
        <v>2.82897581</v>
      </c>
      <c r="E31" s="412">
        <v>40000.0</v>
      </c>
      <c r="F31" s="413">
        <f t="shared" si="9"/>
        <v>58459.66622</v>
      </c>
      <c r="G31" s="413">
        <f t="shared" si="3"/>
        <v>17167.48958</v>
      </c>
      <c r="H31" s="414">
        <f t="shared" si="4"/>
        <v>0.4291872396</v>
      </c>
      <c r="I31" s="415">
        <f t="shared" si="5"/>
        <v>346</v>
      </c>
      <c r="J31" s="414">
        <f t="shared" si="6"/>
        <v>0.4499880155</v>
      </c>
      <c r="K31" s="416">
        <f t="shared" si="7"/>
        <v>-40000</v>
      </c>
      <c r="L31" s="417"/>
      <c r="M31" s="403"/>
      <c r="N31" s="403"/>
      <c r="O31" s="403"/>
      <c r="P31" s="403"/>
      <c r="Q31" s="403"/>
      <c r="R31" s="403"/>
      <c r="S31" s="403"/>
      <c r="T31" s="403"/>
      <c r="U31" s="403"/>
      <c r="V31" s="403"/>
      <c r="W31" s="404"/>
      <c r="X31" s="405"/>
      <c r="Y31" s="405"/>
      <c r="Z31" s="405"/>
      <c r="AA31" s="405"/>
      <c r="AB31" s="405"/>
      <c r="AC31" s="405"/>
      <c r="AD31" s="405"/>
      <c r="AE31" s="405"/>
      <c r="AF31" s="405"/>
      <c r="AG31" s="405"/>
      <c r="AH31" s="405"/>
      <c r="AI31" s="405"/>
      <c r="AJ31" s="405"/>
      <c r="AK31" s="405"/>
      <c r="AL31" s="405"/>
      <c r="AM31" s="406"/>
      <c r="AN31" s="406"/>
      <c r="AO31" s="406"/>
      <c r="AP31" s="406"/>
      <c r="AQ31" s="403"/>
      <c r="AR31" s="403"/>
      <c r="AS31" s="403"/>
      <c r="AT31" s="403"/>
      <c r="AU31" s="403"/>
      <c r="AV31" s="403"/>
      <c r="AW31" s="403"/>
      <c r="AX31" s="403"/>
      <c r="AY31" s="403"/>
    </row>
    <row r="32">
      <c r="A32" s="408" t="s">
        <v>161</v>
      </c>
      <c r="B32" s="409">
        <v>45744.0</v>
      </c>
      <c r="C32" s="410">
        <v>14139.392728151093</v>
      </c>
      <c r="D32" s="411">
        <f t="shared" si="8"/>
        <v>2.121731858</v>
      </c>
      <c r="E32" s="412">
        <v>30000.0</v>
      </c>
      <c r="F32" s="413">
        <f t="shared" si="9"/>
        <v>43844.74966</v>
      </c>
      <c r="G32" s="413">
        <f t="shared" si="3"/>
        <v>12875.61719</v>
      </c>
      <c r="H32" s="414">
        <f t="shared" si="4"/>
        <v>0.4291872396</v>
      </c>
      <c r="I32" s="415">
        <f t="shared" si="5"/>
        <v>346</v>
      </c>
      <c r="J32" s="414">
        <f t="shared" si="6"/>
        <v>0.4499880155</v>
      </c>
      <c r="K32" s="416">
        <f t="shared" si="7"/>
        <v>-30000</v>
      </c>
      <c r="L32" s="417"/>
      <c r="M32" s="403"/>
      <c r="N32" s="403"/>
      <c r="O32" s="403"/>
      <c r="P32" s="403"/>
      <c r="Q32" s="403"/>
      <c r="R32" s="403"/>
      <c r="S32" s="403"/>
      <c r="T32" s="403"/>
      <c r="U32" s="403"/>
      <c r="V32" s="403"/>
      <c r="W32" s="404"/>
      <c r="X32" s="405"/>
      <c r="Y32" s="405"/>
      <c r="Z32" s="405"/>
      <c r="AA32" s="405"/>
      <c r="AB32" s="405"/>
      <c r="AC32" s="405"/>
      <c r="AD32" s="405"/>
      <c r="AE32" s="405"/>
      <c r="AF32" s="405"/>
      <c r="AG32" s="405"/>
      <c r="AH32" s="405"/>
      <c r="AI32" s="405"/>
      <c r="AJ32" s="405"/>
      <c r="AK32" s="405"/>
      <c r="AL32" s="405"/>
      <c r="AM32" s="406"/>
      <c r="AN32" s="406"/>
      <c r="AO32" s="406"/>
      <c r="AP32" s="406"/>
      <c r="AQ32" s="403"/>
      <c r="AR32" s="403"/>
      <c r="AS32" s="403"/>
      <c r="AT32" s="403"/>
      <c r="AU32" s="403"/>
      <c r="AV32" s="403"/>
      <c r="AW32" s="403"/>
      <c r="AX32" s="403"/>
      <c r="AY32" s="403"/>
    </row>
    <row r="33">
      <c r="A33" s="408" t="s">
        <v>144</v>
      </c>
      <c r="B33" s="409">
        <v>45744.0</v>
      </c>
      <c r="C33" s="410">
        <v>14139.392728151093</v>
      </c>
      <c r="D33" s="411">
        <f t="shared" si="8"/>
        <v>3.536219763</v>
      </c>
      <c r="E33" s="412">
        <v>50000.0</v>
      </c>
      <c r="F33" s="413">
        <f t="shared" si="9"/>
        <v>73074.58277</v>
      </c>
      <c r="G33" s="413">
        <f t="shared" si="3"/>
        <v>21459.36198</v>
      </c>
      <c r="H33" s="414">
        <f t="shared" si="4"/>
        <v>0.4291872396</v>
      </c>
      <c r="I33" s="415">
        <f t="shared" si="5"/>
        <v>346</v>
      </c>
      <c r="J33" s="414">
        <f t="shared" si="6"/>
        <v>0.4499880155</v>
      </c>
      <c r="K33" s="416">
        <f t="shared" si="7"/>
        <v>-50000</v>
      </c>
      <c r="L33" s="417"/>
      <c r="M33" s="403"/>
      <c r="N33" s="403"/>
      <c r="O33" s="403"/>
      <c r="P33" s="403"/>
      <c r="Q33" s="403"/>
      <c r="R33" s="403"/>
      <c r="S33" s="403"/>
      <c r="T33" s="403"/>
      <c r="U33" s="403"/>
      <c r="V33" s="403"/>
      <c r="W33" s="404"/>
      <c r="X33" s="405"/>
      <c r="Y33" s="405"/>
      <c r="Z33" s="405"/>
      <c r="AA33" s="405"/>
      <c r="AB33" s="405"/>
      <c r="AC33" s="405"/>
      <c r="AD33" s="405"/>
      <c r="AE33" s="405"/>
      <c r="AF33" s="405"/>
      <c r="AG33" s="405"/>
      <c r="AH33" s="405"/>
      <c r="AI33" s="405"/>
      <c r="AJ33" s="405"/>
      <c r="AK33" s="405"/>
      <c r="AL33" s="405"/>
      <c r="AM33" s="406"/>
      <c r="AN33" s="406"/>
      <c r="AO33" s="406"/>
      <c r="AP33" s="406"/>
      <c r="AQ33" s="403"/>
      <c r="AR33" s="403"/>
      <c r="AS33" s="403"/>
      <c r="AT33" s="403"/>
      <c r="AU33" s="403"/>
      <c r="AV33" s="403"/>
      <c r="AW33" s="403"/>
      <c r="AX33" s="403"/>
      <c r="AY33" s="403"/>
    </row>
    <row r="34">
      <c r="A34" s="408" t="s">
        <v>140</v>
      </c>
      <c r="B34" s="409">
        <v>45746.0</v>
      </c>
      <c r="C34" s="410">
        <v>14145.595191883693</v>
      </c>
      <c r="D34" s="411">
        <f t="shared" si="8"/>
        <v>1.41386769</v>
      </c>
      <c r="E34" s="412">
        <v>20000.0</v>
      </c>
      <c r="F34" s="413">
        <f t="shared" si="9"/>
        <v>29217.01661</v>
      </c>
      <c r="G34" s="413">
        <f t="shared" si="3"/>
        <v>8571.82545</v>
      </c>
      <c r="H34" s="414">
        <f t="shared" si="4"/>
        <v>0.4285912725</v>
      </c>
      <c r="I34" s="415">
        <f t="shared" si="5"/>
        <v>344</v>
      </c>
      <c r="J34" s="414">
        <f t="shared" si="6"/>
        <v>0.4524895467</v>
      </c>
      <c r="K34" s="416">
        <f t="shared" si="7"/>
        <v>-20000</v>
      </c>
      <c r="L34" s="417"/>
      <c r="M34" s="403"/>
      <c r="N34" s="403"/>
      <c r="O34" s="403"/>
      <c r="P34" s="403"/>
      <c r="Q34" s="403"/>
      <c r="R34" s="403"/>
      <c r="S34" s="403"/>
      <c r="T34" s="403"/>
      <c r="U34" s="403"/>
      <c r="V34" s="403"/>
      <c r="W34" s="404"/>
      <c r="X34" s="405"/>
      <c r="Y34" s="405"/>
      <c r="Z34" s="405"/>
      <c r="AA34" s="405"/>
      <c r="AB34" s="405"/>
      <c r="AC34" s="405"/>
      <c r="AD34" s="405"/>
      <c r="AE34" s="405"/>
      <c r="AF34" s="405"/>
      <c r="AG34" s="405"/>
      <c r="AH34" s="405"/>
      <c r="AI34" s="405"/>
      <c r="AJ34" s="405"/>
      <c r="AK34" s="405"/>
      <c r="AL34" s="405"/>
      <c r="AM34" s="406"/>
      <c r="AN34" s="406"/>
      <c r="AO34" s="406"/>
      <c r="AP34" s="406"/>
      <c r="AQ34" s="403"/>
      <c r="AR34" s="403"/>
      <c r="AS34" s="403"/>
      <c r="AT34" s="403"/>
      <c r="AU34" s="403"/>
      <c r="AV34" s="403"/>
      <c r="AW34" s="403"/>
      <c r="AX34" s="403"/>
      <c r="AY34" s="403"/>
    </row>
    <row r="35">
      <c r="A35" s="408" t="s">
        <v>157</v>
      </c>
      <c r="B35" s="409">
        <v>45751.0</v>
      </c>
      <c r="C35" s="410">
        <v>13372.19326115812</v>
      </c>
      <c r="D35" s="411">
        <f t="shared" si="8"/>
        <v>4.935615176</v>
      </c>
      <c r="E35" s="412">
        <v>66000.0</v>
      </c>
      <c r="F35" s="413">
        <f t="shared" si="9"/>
        <v>101992.5355</v>
      </c>
      <c r="G35" s="413">
        <f t="shared" si="3"/>
        <v>33473.05803</v>
      </c>
      <c r="H35" s="414">
        <f t="shared" si="4"/>
        <v>0.5071675459</v>
      </c>
      <c r="I35" s="415">
        <f t="shared" si="5"/>
        <v>339</v>
      </c>
      <c r="J35" s="414">
        <f t="shared" si="6"/>
        <v>0.5459594167</v>
      </c>
      <c r="K35" s="416">
        <f t="shared" si="7"/>
        <v>-66000</v>
      </c>
      <c r="L35" s="417"/>
      <c r="M35" s="420"/>
      <c r="N35" s="420"/>
      <c r="O35" s="403"/>
      <c r="P35" s="403"/>
      <c r="Q35" s="403"/>
      <c r="R35" s="403"/>
      <c r="S35" s="403"/>
      <c r="T35" s="403"/>
      <c r="U35" s="403"/>
      <c r="V35" s="403"/>
      <c r="W35" s="404"/>
      <c r="X35" s="405"/>
      <c r="Y35" s="405"/>
      <c r="Z35" s="405"/>
      <c r="AA35" s="405"/>
      <c r="AB35" s="405"/>
      <c r="AC35" s="405"/>
      <c r="AD35" s="405"/>
      <c r="AE35" s="405"/>
      <c r="AF35" s="405"/>
      <c r="AG35" s="405"/>
      <c r="AH35" s="405"/>
      <c r="AI35" s="405"/>
      <c r="AJ35" s="405"/>
      <c r="AK35" s="405"/>
      <c r="AL35" s="405"/>
      <c r="AM35" s="406"/>
      <c r="AN35" s="406"/>
      <c r="AO35" s="406"/>
      <c r="AP35" s="406"/>
      <c r="AQ35" s="403"/>
      <c r="AR35" s="403"/>
      <c r="AS35" s="403"/>
      <c r="AT35" s="403"/>
      <c r="AU35" s="403"/>
      <c r="AV35" s="403"/>
      <c r="AW35" s="403"/>
      <c r="AX35" s="403"/>
      <c r="AY35" s="403"/>
    </row>
    <row r="36">
      <c r="A36" s="408" t="s">
        <v>127</v>
      </c>
      <c r="B36" s="409">
        <v>45785.0</v>
      </c>
      <c r="C36" s="410">
        <v>16296.604901113988</v>
      </c>
      <c r="D36" s="429">
        <f t="shared" si="8"/>
        <v>5.260359475</v>
      </c>
      <c r="E36" s="412">
        <v>85726.0</v>
      </c>
      <c r="F36" s="413">
        <f t="shared" si="9"/>
        <v>108703.248</v>
      </c>
      <c r="G36" s="413">
        <f t="shared" si="3"/>
        <v>21368.84064</v>
      </c>
      <c r="H36" s="414">
        <f t="shared" si="4"/>
        <v>0.2492690741</v>
      </c>
      <c r="I36" s="415">
        <f t="shared" si="5"/>
        <v>305</v>
      </c>
      <c r="J36" s="414">
        <f t="shared" si="6"/>
        <v>0.3004263402</v>
      </c>
      <c r="K36" s="416">
        <f t="shared" si="7"/>
        <v>-85726</v>
      </c>
      <c r="L36" s="417"/>
      <c r="M36" s="430"/>
      <c r="N36" s="430"/>
      <c r="O36" s="403"/>
      <c r="P36" s="403"/>
      <c r="Q36" s="403"/>
      <c r="R36" s="403"/>
      <c r="S36" s="403"/>
      <c r="T36" s="403"/>
      <c r="U36" s="403"/>
      <c r="V36" s="403"/>
      <c r="W36" s="404"/>
      <c r="X36" s="405"/>
      <c r="Y36" s="405"/>
      <c r="Z36" s="405"/>
      <c r="AA36" s="405"/>
      <c r="AB36" s="405"/>
      <c r="AC36" s="405"/>
      <c r="AD36" s="405"/>
      <c r="AE36" s="405"/>
      <c r="AF36" s="405"/>
      <c r="AG36" s="405"/>
      <c r="AH36" s="405"/>
      <c r="AI36" s="405"/>
      <c r="AJ36" s="405"/>
      <c r="AK36" s="405"/>
      <c r="AL36" s="405"/>
      <c r="AM36" s="406"/>
      <c r="AN36" s="406"/>
      <c r="AO36" s="406"/>
      <c r="AP36" s="406"/>
      <c r="AQ36" s="403"/>
      <c r="AR36" s="403"/>
      <c r="AS36" s="403"/>
      <c r="AT36" s="403"/>
      <c r="AU36" s="403"/>
      <c r="AV36" s="403"/>
      <c r="AW36" s="403"/>
      <c r="AX36" s="403"/>
      <c r="AY36" s="403"/>
    </row>
    <row r="37">
      <c r="A37" s="408" t="s">
        <v>157</v>
      </c>
      <c r="B37" s="409">
        <v>45839.0</v>
      </c>
      <c r="C37" s="410">
        <v>17300.979339330315</v>
      </c>
      <c r="D37" s="429">
        <f t="shared" si="8"/>
        <v>1.156003924</v>
      </c>
      <c r="E37" s="412">
        <v>20000.0</v>
      </c>
      <c r="F37" s="413">
        <f t="shared" si="9"/>
        <v>23888.36387</v>
      </c>
      <c r="G37" s="413">
        <f t="shared" si="3"/>
        <v>3616.178397</v>
      </c>
      <c r="H37" s="414">
        <f t="shared" si="4"/>
        <v>0.1808089198</v>
      </c>
      <c r="I37" s="415">
        <f t="shared" si="5"/>
        <v>251</v>
      </c>
      <c r="J37" s="414">
        <f t="shared" si="6"/>
        <v>0.2691839224</v>
      </c>
      <c r="K37" s="416">
        <f t="shared" si="7"/>
        <v>-20000</v>
      </c>
      <c r="L37" s="417"/>
      <c r="M37" s="430"/>
      <c r="N37" s="430"/>
      <c r="O37" s="403"/>
      <c r="P37" s="403"/>
      <c r="Q37" s="403"/>
      <c r="R37" s="403"/>
      <c r="S37" s="403"/>
      <c r="T37" s="403"/>
      <c r="U37" s="403"/>
      <c r="V37" s="403"/>
      <c r="W37" s="404"/>
      <c r="X37" s="405"/>
      <c r="Y37" s="405"/>
      <c r="Z37" s="405"/>
      <c r="AA37" s="405"/>
      <c r="AB37" s="405"/>
      <c r="AC37" s="405"/>
      <c r="AD37" s="405"/>
      <c r="AE37" s="405"/>
      <c r="AF37" s="405"/>
      <c r="AG37" s="405"/>
      <c r="AH37" s="405"/>
      <c r="AI37" s="405"/>
      <c r="AJ37" s="405"/>
      <c r="AK37" s="405"/>
      <c r="AL37" s="405"/>
      <c r="AM37" s="406"/>
      <c r="AN37" s="406"/>
      <c r="AO37" s="406"/>
      <c r="AP37" s="406"/>
      <c r="AQ37" s="403"/>
      <c r="AR37" s="403"/>
      <c r="AS37" s="403"/>
      <c r="AT37" s="403"/>
      <c r="AU37" s="403"/>
      <c r="AV37" s="403"/>
      <c r="AW37" s="403"/>
      <c r="AX37" s="403"/>
      <c r="AY37" s="403"/>
    </row>
    <row r="38">
      <c r="A38" s="408" t="s">
        <v>144</v>
      </c>
      <c r="B38" s="409">
        <v>45848.0</v>
      </c>
      <c r="C38" s="431">
        <v>17174.46072705187</v>
      </c>
      <c r="D38" s="429">
        <f t="shared" si="8"/>
        <v>29.11299562</v>
      </c>
      <c r="E38" s="412">
        <v>500000.0</v>
      </c>
      <c r="F38" s="413">
        <f t="shared" si="9"/>
        <v>601608.54</v>
      </c>
      <c r="G38" s="413">
        <f t="shared" si="3"/>
        <v>94495.94218</v>
      </c>
      <c r="H38" s="414">
        <f t="shared" si="4"/>
        <v>0.1889918844</v>
      </c>
      <c r="I38" s="415">
        <f t="shared" si="5"/>
        <v>242</v>
      </c>
      <c r="J38" s="414">
        <f t="shared" si="6"/>
        <v>0.2937083038</v>
      </c>
      <c r="K38" s="416">
        <f t="shared" si="7"/>
        <v>-500000</v>
      </c>
      <c r="L38" s="417"/>
      <c r="M38" s="403"/>
      <c r="N38" s="403"/>
      <c r="O38" s="403"/>
      <c r="P38" s="403"/>
      <c r="Q38" s="403"/>
      <c r="R38" s="403"/>
      <c r="S38" s="403"/>
      <c r="T38" s="403"/>
      <c r="U38" s="403"/>
      <c r="V38" s="403"/>
      <c r="W38" s="404"/>
      <c r="X38" s="405"/>
      <c r="Y38" s="405"/>
      <c r="Z38" s="405"/>
      <c r="AA38" s="405"/>
      <c r="AB38" s="405"/>
      <c r="AC38" s="405"/>
      <c r="AD38" s="405"/>
      <c r="AE38" s="405"/>
      <c r="AF38" s="405"/>
      <c r="AG38" s="405"/>
      <c r="AH38" s="405"/>
      <c r="AI38" s="405"/>
      <c r="AJ38" s="405"/>
      <c r="AK38" s="405"/>
      <c r="AL38" s="405"/>
      <c r="AM38" s="406"/>
      <c r="AN38" s="406"/>
      <c r="AO38" s="406"/>
      <c r="AP38" s="406"/>
      <c r="AQ38" s="403"/>
      <c r="AR38" s="403"/>
      <c r="AS38" s="403"/>
      <c r="AT38" s="403"/>
      <c r="AU38" s="403"/>
      <c r="AV38" s="403"/>
      <c r="AW38" s="403"/>
      <c r="AX38" s="403"/>
      <c r="AY38" s="403"/>
    </row>
    <row r="39">
      <c r="A39" s="408" t="s">
        <v>151</v>
      </c>
      <c r="B39" s="409">
        <v>45852.0</v>
      </c>
      <c r="C39" s="410">
        <v>17243.259508720013</v>
      </c>
      <c r="D39" s="429">
        <f t="shared" si="8"/>
        <v>28.99683785</v>
      </c>
      <c r="E39" s="412">
        <v>500000.0</v>
      </c>
      <c r="F39" s="413">
        <f t="shared" si="9"/>
        <v>599208.1855</v>
      </c>
      <c r="G39" s="413">
        <f t="shared" si="3"/>
        <v>92263.61255</v>
      </c>
      <c r="H39" s="414">
        <f t="shared" si="4"/>
        <v>0.1845272251</v>
      </c>
      <c r="I39" s="415">
        <f t="shared" si="5"/>
        <v>238</v>
      </c>
      <c r="J39" s="414">
        <f t="shared" si="6"/>
        <v>0.2919467354</v>
      </c>
      <c r="K39" s="416">
        <f t="shared" si="7"/>
        <v>-500000</v>
      </c>
      <c r="L39" s="417"/>
      <c r="M39" s="420"/>
      <c r="N39" s="420"/>
      <c r="O39" s="420"/>
      <c r="P39" s="403"/>
      <c r="Q39" s="403"/>
      <c r="R39" s="403"/>
      <c r="S39" s="403"/>
      <c r="T39" s="403"/>
      <c r="U39" s="403"/>
      <c r="V39" s="403"/>
      <c r="W39" s="404"/>
      <c r="X39" s="405"/>
      <c r="Y39" s="405"/>
      <c r="Z39" s="405"/>
      <c r="AA39" s="405"/>
      <c r="AB39" s="405"/>
      <c r="AC39" s="405"/>
      <c r="AD39" s="405"/>
      <c r="AE39" s="405"/>
      <c r="AF39" s="405"/>
      <c r="AG39" s="405"/>
      <c r="AH39" s="405"/>
      <c r="AI39" s="405"/>
      <c r="AJ39" s="405"/>
      <c r="AK39" s="405"/>
      <c r="AL39" s="405"/>
      <c r="AM39" s="406"/>
      <c r="AN39" s="406"/>
      <c r="AO39" s="406"/>
      <c r="AP39" s="406"/>
      <c r="AQ39" s="403"/>
      <c r="AR39" s="403"/>
      <c r="AS39" s="403"/>
      <c r="AT39" s="403"/>
      <c r="AU39" s="403"/>
      <c r="AV39" s="403"/>
      <c r="AW39" s="403"/>
      <c r="AX39" s="403"/>
      <c r="AY39" s="403"/>
    </row>
    <row r="40">
      <c r="A40" s="408" t="s">
        <v>162</v>
      </c>
      <c r="B40" s="409">
        <v>45856.0</v>
      </c>
      <c r="C40" s="410">
        <v>17378.492950314023</v>
      </c>
      <c r="D40" s="429">
        <f t="shared" si="8"/>
        <v>57.54238891</v>
      </c>
      <c r="E40" s="412">
        <v>1000000.0</v>
      </c>
      <c r="F40" s="413">
        <f t="shared" si="9"/>
        <v>1189090.708</v>
      </c>
      <c r="G40" s="413">
        <f t="shared" si="3"/>
        <v>175854.3584</v>
      </c>
      <c r="H40" s="414">
        <f t="shared" si="4"/>
        <v>0.1758543584</v>
      </c>
      <c r="I40" s="415">
        <f t="shared" si="5"/>
        <v>234</v>
      </c>
      <c r="J40" s="414">
        <f t="shared" si="6"/>
        <v>0.2830282091</v>
      </c>
      <c r="K40" s="416">
        <f t="shared" si="7"/>
        <v>-1000000</v>
      </c>
      <c r="L40" s="417"/>
      <c r="M40" s="420"/>
      <c r="N40" s="420"/>
      <c r="O40" s="420"/>
      <c r="P40" s="403"/>
      <c r="Q40" s="403"/>
      <c r="R40" s="403"/>
      <c r="S40" s="403"/>
      <c r="T40" s="403"/>
      <c r="U40" s="403"/>
      <c r="V40" s="403"/>
      <c r="W40" s="404"/>
      <c r="X40" s="405"/>
      <c r="Y40" s="405"/>
      <c r="Z40" s="405"/>
      <c r="AA40" s="405"/>
      <c r="AB40" s="405"/>
      <c r="AC40" s="405"/>
      <c r="AD40" s="405"/>
      <c r="AE40" s="405"/>
      <c r="AF40" s="405"/>
      <c r="AG40" s="405"/>
      <c r="AH40" s="405"/>
      <c r="AI40" s="405"/>
      <c r="AJ40" s="405"/>
      <c r="AK40" s="405"/>
      <c r="AL40" s="405"/>
      <c r="AM40" s="406"/>
      <c r="AN40" s="406"/>
      <c r="AO40" s="406"/>
      <c r="AP40" s="406"/>
      <c r="AQ40" s="403"/>
      <c r="AR40" s="403"/>
      <c r="AS40" s="403"/>
      <c r="AT40" s="403"/>
      <c r="AU40" s="403"/>
      <c r="AV40" s="403"/>
      <c r="AW40" s="403"/>
      <c r="AX40" s="403"/>
      <c r="AY40" s="403"/>
    </row>
    <row r="41">
      <c r="A41" s="408" t="s">
        <v>148</v>
      </c>
      <c r="B41" s="409">
        <v>45865.0</v>
      </c>
      <c r="C41" s="410">
        <v>17200.97575677129</v>
      </c>
      <c r="D41" s="429">
        <f t="shared" si="8"/>
        <v>232.5449472</v>
      </c>
      <c r="E41" s="412">
        <v>4000000.0</v>
      </c>
      <c r="F41" s="413">
        <f t="shared" si="9"/>
        <v>4805449.36</v>
      </c>
      <c r="G41" s="413">
        <f t="shared" si="3"/>
        <v>749067.9049</v>
      </c>
      <c r="H41" s="414">
        <f t="shared" si="4"/>
        <v>0.1872669762</v>
      </c>
      <c r="I41" s="415">
        <f t="shared" si="5"/>
        <v>225</v>
      </c>
      <c r="J41" s="414">
        <f t="shared" si="6"/>
        <v>0.3160652469</v>
      </c>
      <c r="K41" s="416">
        <f t="shared" si="7"/>
        <v>-4000000</v>
      </c>
      <c r="L41" s="417"/>
      <c r="M41" s="420"/>
      <c r="N41" s="420"/>
      <c r="O41" s="420"/>
      <c r="P41" s="403"/>
      <c r="Q41" s="403"/>
      <c r="R41" s="403"/>
      <c r="S41" s="403"/>
      <c r="T41" s="403"/>
      <c r="U41" s="403"/>
      <c r="V41" s="403"/>
      <c r="W41" s="404"/>
      <c r="X41" s="405"/>
      <c r="Y41" s="405"/>
      <c r="Z41" s="405"/>
      <c r="AA41" s="405"/>
      <c r="AB41" s="405"/>
      <c r="AC41" s="405"/>
      <c r="AD41" s="405"/>
      <c r="AE41" s="405"/>
      <c r="AF41" s="405"/>
      <c r="AG41" s="405"/>
      <c r="AH41" s="405"/>
      <c r="AI41" s="405"/>
      <c r="AJ41" s="405"/>
      <c r="AK41" s="405"/>
      <c r="AL41" s="405"/>
      <c r="AM41" s="406"/>
      <c r="AN41" s="406"/>
      <c r="AO41" s="406"/>
      <c r="AP41" s="406"/>
      <c r="AQ41" s="403"/>
      <c r="AR41" s="403"/>
      <c r="AS41" s="403"/>
      <c r="AT41" s="403"/>
      <c r="AU41" s="403"/>
      <c r="AV41" s="403"/>
      <c r="AW41" s="403"/>
      <c r="AX41" s="403"/>
      <c r="AY41" s="403"/>
    </row>
    <row r="42">
      <c r="A42" s="408" t="s">
        <v>127</v>
      </c>
      <c r="B42" s="409">
        <v>45872.0</v>
      </c>
      <c r="C42" s="410">
        <v>17348.67458758403</v>
      </c>
      <c r="D42" s="429">
        <f t="shared" si="8"/>
        <v>2.882064549</v>
      </c>
      <c r="E42" s="412">
        <v>50000.0</v>
      </c>
      <c r="F42" s="413">
        <f t="shared" si="9"/>
        <v>59556.72401</v>
      </c>
      <c r="G42" s="413">
        <f t="shared" si="3"/>
        <v>8887.753326</v>
      </c>
      <c r="H42" s="414">
        <f t="shared" si="4"/>
        <v>0.1777550665</v>
      </c>
      <c r="I42" s="415">
        <f t="shared" si="5"/>
        <v>218</v>
      </c>
      <c r="J42" s="414">
        <f t="shared" si="6"/>
        <v>0.3102027331</v>
      </c>
      <c r="K42" s="416">
        <f t="shared" si="7"/>
        <v>-50000</v>
      </c>
      <c r="L42" s="417"/>
      <c r="M42" s="403"/>
      <c r="N42" s="403"/>
      <c r="O42" s="403"/>
      <c r="P42" s="420"/>
      <c r="Q42" s="420"/>
      <c r="R42" s="420"/>
      <c r="S42" s="420"/>
      <c r="T42" s="420"/>
      <c r="U42" s="420"/>
      <c r="V42" s="420"/>
      <c r="W42" s="404"/>
      <c r="X42" s="405"/>
      <c r="Y42" s="405"/>
      <c r="Z42" s="405"/>
      <c r="AA42" s="405"/>
      <c r="AB42" s="405"/>
      <c r="AC42" s="405"/>
      <c r="AD42" s="405"/>
      <c r="AE42" s="405"/>
      <c r="AF42" s="405"/>
      <c r="AG42" s="405"/>
      <c r="AH42" s="405"/>
      <c r="AI42" s="405"/>
      <c r="AJ42" s="405"/>
      <c r="AK42" s="405"/>
      <c r="AL42" s="405"/>
      <c r="AM42" s="406"/>
      <c r="AN42" s="406"/>
      <c r="AO42" s="406"/>
      <c r="AP42" s="406"/>
      <c r="AQ42" s="420"/>
      <c r="AR42" s="403"/>
      <c r="AS42" s="403"/>
      <c r="AT42" s="403"/>
      <c r="AU42" s="403"/>
      <c r="AV42" s="403"/>
      <c r="AW42" s="403"/>
      <c r="AX42" s="403"/>
      <c r="AY42" s="403"/>
    </row>
    <row r="43">
      <c r="A43" s="408" t="s">
        <v>139</v>
      </c>
      <c r="B43" s="409">
        <v>45881.0</v>
      </c>
      <c r="C43" s="410">
        <v>17586.24284671587</v>
      </c>
      <c r="D43" s="429">
        <f t="shared" si="8"/>
        <v>22.74505154</v>
      </c>
      <c r="E43" s="412">
        <v>400000.0</v>
      </c>
      <c r="F43" s="413">
        <f t="shared" si="9"/>
        <v>470017.4942</v>
      </c>
      <c r="G43" s="413">
        <f t="shared" si="3"/>
        <v>65116.26956</v>
      </c>
      <c r="H43" s="414">
        <f t="shared" si="4"/>
        <v>0.1627906739</v>
      </c>
      <c r="I43" s="415">
        <f t="shared" si="5"/>
        <v>209</v>
      </c>
      <c r="J43" s="414">
        <f t="shared" si="6"/>
        <v>0.2966585227</v>
      </c>
      <c r="K43" s="416">
        <f t="shared" si="7"/>
        <v>-400000</v>
      </c>
      <c r="L43" s="417"/>
      <c r="M43" s="403"/>
      <c r="N43" s="403"/>
      <c r="O43" s="403"/>
      <c r="P43" s="420"/>
      <c r="Q43" s="420"/>
      <c r="R43" s="420"/>
      <c r="S43" s="420"/>
      <c r="T43" s="420"/>
      <c r="U43" s="420"/>
      <c r="V43" s="420"/>
      <c r="W43" s="404"/>
      <c r="X43" s="405"/>
      <c r="Y43" s="405"/>
      <c r="Z43" s="405"/>
      <c r="AA43" s="405"/>
      <c r="AB43" s="405"/>
      <c r="AC43" s="405"/>
      <c r="AD43" s="405"/>
      <c r="AE43" s="405"/>
      <c r="AF43" s="405"/>
      <c r="AG43" s="405"/>
      <c r="AH43" s="405"/>
      <c r="AI43" s="405"/>
      <c r="AJ43" s="405"/>
      <c r="AK43" s="405"/>
      <c r="AL43" s="405"/>
      <c r="AM43" s="406"/>
      <c r="AN43" s="406"/>
      <c r="AO43" s="406"/>
      <c r="AP43" s="406"/>
      <c r="AQ43" s="420"/>
      <c r="AR43" s="403"/>
      <c r="AS43" s="403"/>
      <c r="AT43" s="403"/>
      <c r="AU43" s="403"/>
      <c r="AV43" s="403"/>
      <c r="AW43" s="403"/>
      <c r="AX43" s="403"/>
      <c r="AY43" s="403"/>
    </row>
    <row r="44">
      <c r="A44" s="408" t="s">
        <v>157</v>
      </c>
      <c r="B44" s="409">
        <v>45901.0</v>
      </c>
      <c r="C44" s="410">
        <v>18337.99180535498</v>
      </c>
      <c r="D44" s="429">
        <f t="shared" si="8"/>
        <v>2.726579907</v>
      </c>
      <c r="E44" s="412">
        <v>50000.0</v>
      </c>
      <c r="F44" s="413">
        <f t="shared" si="9"/>
        <v>56343.69539</v>
      </c>
      <c r="G44" s="413">
        <f t="shared" si="3"/>
        <v>5899.63671</v>
      </c>
      <c r="H44" s="414">
        <f t="shared" si="4"/>
        <v>0.1179927342</v>
      </c>
      <c r="I44" s="415">
        <f t="shared" si="5"/>
        <v>189</v>
      </c>
      <c r="J44" s="414">
        <f t="shared" si="6"/>
        <v>0.2367010397</v>
      </c>
      <c r="K44" s="416">
        <f t="shared" si="7"/>
        <v>-50000</v>
      </c>
      <c r="L44" s="417"/>
      <c r="M44" s="403"/>
      <c r="N44" s="403"/>
      <c r="O44" s="403"/>
      <c r="P44" s="420"/>
      <c r="Q44" s="420"/>
      <c r="R44" s="420"/>
      <c r="S44" s="420"/>
      <c r="T44" s="420"/>
      <c r="U44" s="420"/>
      <c r="V44" s="420"/>
      <c r="W44" s="404"/>
      <c r="X44" s="405"/>
      <c r="Y44" s="405"/>
      <c r="Z44" s="405"/>
      <c r="AA44" s="405"/>
      <c r="AB44" s="405"/>
      <c r="AC44" s="405"/>
      <c r="AD44" s="405"/>
      <c r="AE44" s="405"/>
      <c r="AF44" s="405"/>
      <c r="AG44" s="405"/>
      <c r="AH44" s="405"/>
      <c r="AI44" s="405"/>
      <c r="AJ44" s="405"/>
      <c r="AK44" s="405"/>
      <c r="AL44" s="405"/>
      <c r="AM44" s="406"/>
      <c r="AN44" s="406"/>
      <c r="AO44" s="406"/>
      <c r="AP44" s="406"/>
      <c r="AQ44" s="420"/>
      <c r="AR44" s="403"/>
      <c r="AS44" s="403"/>
      <c r="AT44" s="403"/>
      <c r="AU44" s="403"/>
      <c r="AV44" s="403"/>
      <c r="AW44" s="403"/>
      <c r="AX44" s="403"/>
      <c r="AY44" s="403"/>
    </row>
    <row r="45">
      <c r="A45" s="408" t="s">
        <v>139</v>
      </c>
      <c r="B45" s="409">
        <v>45901.0</v>
      </c>
      <c r="C45" s="410">
        <v>18337.99180535498</v>
      </c>
      <c r="D45" s="429">
        <f t="shared" si="8"/>
        <v>1.908605935</v>
      </c>
      <c r="E45" s="412">
        <v>35000.0</v>
      </c>
      <c r="F45" s="413">
        <f t="shared" si="9"/>
        <v>39440.58677</v>
      </c>
      <c r="G45" s="413">
        <f t="shared" si="3"/>
        <v>4129.745697</v>
      </c>
      <c r="H45" s="414">
        <f t="shared" si="4"/>
        <v>0.1179927342</v>
      </c>
      <c r="I45" s="415">
        <f t="shared" si="5"/>
        <v>189</v>
      </c>
      <c r="J45" s="414">
        <f t="shared" si="6"/>
        <v>0.2367010397</v>
      </c>
      <c r="K45" s="416">
        <f t="shared" si="7"/>
        <v>-35000</v>
      </c>
      <c r="L45" s="417"/>
      <c r="M45" s="403"/>
      <c r="N45" s="403"/>
      <c r="O45" s="403"/>
      <c r="P45" s="420"/>
      <c r="Q45" s="420"/>
      <c r="R45" s="420"/>
      <c r="S45" s="420"/>
      <c r="T45" s="420"/>
      <c r="U45" s="420"/>
      <c r="V45" s="420"/>
      <c r="W45" s="404"/>
      <c r="X45" s="405"/>
      <c r="Y45" s="405"/>
      <c r="Z45" s="405"/>
      <c r="AA45" s="405"/>
      <c r="AB45" s="405"/>
      <c r="AC45" s="405"/>
      <c r="AD45" s="405"/>
      <c r="AE45" s="405"/>
      <c r="AF45" s="405"/>
      <c r="AG45" s="405"/>
      <c r="AH45" s="405"/>
      <c r="AI45" s="405"/>
      <c r="AJ45" s="405"/>
      <c r="AK45" s="405"/>
      <c r="AL45" s="405"/>
      <c r="AM45" s="406"/>
      <c r="AN45" s="406"/>
      <c r="AO45" s="406"/>
      <c r="AP45" s="406"/>
      <c r="AQ45" s="420"/>
      <c r="AR45" s="403"/>
      <c r="AS45" s="403"/>
      <c r="AT45" s="403"/>
      <c r="AU45" s="403"/>
      <c r="AV45" s="403"/>
      <c r="AW45" s="403"/>
      <c r="AX45" s="403"/>
      <c r="AY45" s="403"/>
    </row>
    <row r="46">
      <c r="A46" s="408" t="s">
        <v>139</v>
      </c>
      <c r="B46" s="409">
        <v>45914.0</v>
      </c>
      <c r="C46" s="410">
        <v>18925.66000042288</v>
      </c>
      <c r="D46" s="429">
        <f t="shared" si="8"/>
        <v>2.113532632</v>
      </c>
      <c r="E46" s="412">
        <v>40000.0</v>
      </c>
      <c r="F46" s="413">
        <f t="shared" si="9"/>
        <v>43675.31592</v>
      </c>
      <c r="G46" s="413">
        <f t="shared" si="3"/>
        <v>3418.043802</v>
      </c>
      <c r="H46" s="414">
        <f t="shared" si="4"/>
        <v>0.08545109505</v>
      </c>
      <c r="I46" s="415">
        <f t="shared" si="5"/>
        <v>176</v>
      </c>
      <c r="J46" s="414">
        <f t="shared" si="6"/>
        <v>0.1826035285</v>
      </c>
      <c r="K46" s="416">
        <f t="shared" si="7"/>
        <v>-40000</v>
      </c>
      <c r="L46" s="417"/>
      <c r="M46" s="403"/>
      <c r="N46" s="403"/>
      <c r="O46" s="403"/>
      <c r="P46" s="420"/>
      <c r="Q46" s="420"/>
      <c r="R46" s="420"/>
      <c r="S46" s="420"/>
      <c r="T46" s="420"/>
      <c r="U46" s="420"/>
      <c r="V46" s="420"/>
      <c r="W46" s="404"/>
      <c r="X46" s="405"/>
      <c r="Y46" s="405"/>
      <c r="Z46" s="405"/>
      <c r="AA46" s="405"/>
      <c r="AB46" s="405"/>
      <c r="AC46" s="405"/>
      <c r="AD46" s="405"/>
      <c r="AE46" s="405"/>
      <c r="AF46" s="405"/>
      <c r="AG46" s="405"/>
      <c r="AH46" s="405"/>
      <c r="AI46" s="405"/>
      <c r="AJ46" s="405"/>
      <c r="AK46" s="405"/>
      <c r="AL46" s="405"/>
      <c r="AM46" s="406"/>
      <c r="AN46" s="406"/>
      <c r="AO46" s="406"/>
      <c r="AP46" s="406"/>
      <c r="AQ46" s="420"/>
      <c r="AR46" s="403"/>
      <c r="AS46" s="403"/>
      <c r="AT46" s="403"/>
      <c r="AU46" s="403"/>
      <c r="AV46" s="403"/>
      <c r="AW46" s="403"/>
      <c r="AX46" s="403"/>
      <c r="AY46" s="403"/>
    </row>
    <row r="47">
      <c r="A47" s="408" t="s">
        <v>151</v>
      </c>
      <c r="B47" s="409">
        <v>45918.0</v>
      </c>
      <c r="C47" s="410">
        <v>19001.54367219434</v>
      </c>
      <c r="D47" s="429">
        <f t="shared" si="8"/>
        <v>52.62730319</v>
      </c>
      <c r="E47" s="412">
        <v>1000000.0</v>
      </c>
      <c r="F47" s="413">
        <f t="shared" si="9"/>
        <v>1087522.406</v>
      </c>
      <c r="G47" s="413">
        <f t="shared" si="3"/>
        <v>81395.83728</v>
      </c>
      <c r="H47" s="414">
        <f t="shared" si="4"/>
        <v>0.08139583728</v>
      </c>
      <c r="I47" s="415">
        <f t="shared" si="5"/>
        <v>172</v>
      </c>
      <c r="J47" s="414">
        <f t="shared" si="6"/>
        <v>0.1779605707</v>
      </c>
      <c r="K47" s="416">
        <f t="shared" si="7"/>
        <v>-1000000</v>
      </c>
      <c r="L47" s="417"/>
      <c r="M47" s="403"/>
      <c r="N47" s="403"/>
      <c r="O47" s="403"/>
      <c r="P47" s="420"/>
      <c r="Q47" s="420"/>
      <c r="R47" s="420"/>
      <c r="S47" s="420"/>
      <c r="T47" s="420"/>
      <c r="U47" s="420"/>
      <c r="V47" s="420"/>
      <c r="W47" s="404"/>
      <c r="X47" s="405"/>
      <c r="Y47" s="405"/>
      <c r="Z47" s="405"/>
      <c r="AA47" s="405"/>
      <c r="AB47" s="405"/>
      <c r="AC47" s="405"/>
      <c r="AD47" s="405"/>
      <c r="AE47" s="405"/>
      <c r="AF47" s="405"/>
      <c r="AG47" s="405"/>
      <c r="AH47" s="405"/>
      <c r="AI47" s="405"/>
      <c r="AJ47" s="405"/>
      <c r="AK47" s="405"/>
      <c r="AL47" s="405"/>
      <c r="AM47" s="406"/>
      <c r="AN47" s="406"/>
      <c r="AO47" s="406"/>
      <c r="AP47" s="406"/>
      <c r="AQ47" s="420"/>
      <c r="AR47" s="403"/>
      <c r="AS47" s="403"/>
      <c r="AT47" s="403"/>
      <c r="AU47" s="403"/>
      <c r="AV47" s="403"/>
      <c r="AW47" s="403"/>
      <c r="AX47" s="403"/>
      <c r="AY47" s="403"/>
    </row>
    <row r="48">
      <c r="A48" s="408" t="s">
        <v>150</v>
      </c>
      <c r="B48" s="409">
        <v>45931.0</v>
      </c>
      <c r="C48" s="410">
        <v>19192.124658741974</v>
      </c>
      <c r="D48" s="429">
        <f t="shared" si="8"/>
        <v>104.2094107</v>
      </c>
      <c r="E48" s="412">
        <v>2000000.0</v>
      </c>
      <c r="F48" s="413">
        <f t="shared" si="9"/>
        <v>2153446.255</v>
      </c>
      <c r="G48" s="413">
        <f t="shared" si="3"/>
        <v>142705.0171</v>
      </c>
      <c r="H48" s="414">
        <f t="shared" si="4"/>
        <v>0.07135250857</v>
      </c>
      <c r="I48" s="415">
        <f t="shared" si="5"/>
        <v>159</v>
      </c>
      <c r="J48" s="414">
        <f t="shared" si="6"/>
        <v>0.1688840997</v>
      </c>
      <c r="K48" s="416">
        <f t="shared" si="7"/>
        <v>-2000000</v>
      </c>
      <c r="L48" s="417"/>
      <c r="M48" s="403"/>
      <c r="N48" s="403"/>
      <c r="O48" s="403"/>
      <c r="P48" s="403"/>
      <c r="Q48" s="403"/>
      <c r="R48" s="403"/>
      <c r="S48" s="403"/>
      <c r="T48" s="403"/>
      <c r="U48" s="403"/>
      <c r="V48" s="403"/>
      <c r="W48" s="404"/>
      <c r="X48" s="405"/>
      <c r="Y48" s="405"/>
      <c r="Z48" s="405"/>
      <c r="AA48" s="405"/>
      <c r="AB48" s="405"/>
      <c r="AC48" s="405"/>
      <c r="AD48" s="405"/>
      <c r="AE48" s="405"/>
      <c r="AF48" s="405"/>
      <c r="AG48" s="405"/>
      <c r="AH48" s="405"/>
      <c r="AI48" s="405"/>
      <c r="AJ48" s="405"/>
      <c r="AK48" s="405"/>
      <c r="AL48" s="405"/>
      <c r="AM48" s="406"/>
      <c r="AN48" s="406"/>
      <c r="AO48" s="406"/>
      <c r="AP48" s="406"/>
      <c r="AQ48" s="403"/>
      <c r="AR48" s="403"/>
      <c r="AS48" s="403"/>
      <c r="AT48" s="403"/>
      <c r="AU48" s="403"/>
      <c r="AV48" s="403"/>
      <c r="AW48" s="403"/>
      <c r="AX48" s="403"/>
      <c r="AY48" s="403"/>
    </row>
    <row r="49">
      <c r="A49" s="408" t="s">
        <v>150</v>
      </c>
      <c r="B49" s="409">
        <v>45932.0</v>
      </c>
      <c r="C49" s="410">
        <v>19150.627670769823</v>
      </c>
      <c r="D49" s="429">
        <f t="shared" si="8"/>
        <v>104.4352193</v>
      </c>
      <c r="E49" s="412">
        <v>2000000.0</v>
      </c>
      <c r="F49" s="413">
        <f t="shared" si="9"/>
        <v>2158112.501</v>
      </c>
      <c r="G49" s="413">
        <f t="shared" si="3"/>
        <v>147044.6256</v>
      </c>
      <c r="H49" s="414">
        <f t="shared" si="4"/>
        <v>0.07352231281</v>
      </c>
      <c r="I49" s="415">
        <f t="shared" si="5"/>
        <v>158</v>
      </c>
      <c r="J49" s="414">
        <f t="shared" si="6"/>
        <v>0.1754453725</v>
      </c>
      <c r="K49" s="416">
        <f t="shared" si="7"/>
        <v>-2000000</v>
      </c>
      <c r="L49" s="417"/>
      <c r="M49" s="403"/>
      <c r="N49" s="403"/>
      <c r="O49" s="403"/>
      <c r="P49" s="403"/>
      <c r="Q49" s="403"/>
      <c r="R49" s="403"/>
      <c r="S49" s="403"/>
      <c r="T49" s="403"/>
      <c r="U49" s="403"/>
      <c r="V49" s="403"/>
      <c r="W49" s="404"/>
      <c r="X49" s="405"/>
      <c r="Y49" s="405"/>
      <c r="Z49" s="405"/>
      <c r="AA49" s="405"/>
      <c r="AB49" s="405"/>
      <c r="AC49" s="405"/>
      <c r="AD49" s="405"/>
      <c r="AE49" s="405"/>
      <c r="AF49" s="405"/>
      <c r="AG49" s="405"/>
      <c r="AH49" s="405"/>
      <c r="AI49" s="405"/>
      <c r="AJ49" s="405"/>
      <c r="AK49" s="405"/>
      <c r="AL49" s="405"/>
      <c r="AM49" s="406"/>
      <c r="AN49" s="406"/>
      <c r="AO49" s="406"/>
      <c r="AP49" s="406"/>
      <c r="AQ49" s="403"/>
      <c r="AR49" s="403"/>
      <c r="AS49" s="403"/>
      <c r="AT49" s="403"/>
      <c r="AU49" s="403"/>
      <c r="AV49" s="403"/>
      <c r="AW49" s="403"/>
      <c r="AX49" s="403"/>
      <c r="AY49" s="403"/>
    </row>
    <row r="50">
      <c r="A50" s="408" t="s">
        <v>152</v>
      </c>
      <c r="B50" s="409">
        <v>45944.0</v>
      </c>
      <c r="C50" s="410">
        <v>19299.32426665746</v>
      </c>
      <c r="D50" s="429">
        <f t="shared" si="8"/>
        <v>25.90764283</v>
      </c>
      <c r="E50" s="412">
        <v>500000.0</v>
      </c>
      <c r="F50" s="413">
        <f t="shared" si="9"/>
        <v>535371.1923</v>
      </c>
      <c r="G50" s="413">
        <f t="shared" si="3"/>
        <v>32895.20883</v>
      </c>
      <c r="H50" s="414">
        <f t="shared" si="4"/>
        <v>0.06579041765</v>
      </c>
      <c r="I50" s="415">
        <f t="shared" si="5"/>
        <v>146</v>
      </c>
      <c r="J50" s="414">
        <f t="shared" si="6"/>
        <v>0.170123936</v>
      </c>
      <c r="K50" s="416">
        <f t="shared" si="7"/>
        <v>-500000</v>
      </c>
      <c r="L50" s="417"/>
      <c r="M50" s="403"/>
      <c r="N50" s="403"/>
      <c r="O50" s="403"/>
      <c r="P50" s="403"/>
      <c r="Q50" s="403"/>
      <c r="R50" s="403"/>
      <c r="S50" s="403"/>
      <c r="T50" s="403"/>
      <c r="U50" s="403"/>
      <c r="V50" s="403"/>
      <c r="W50" s="404"/>
      <c r="X50" s="405"/>
      <c r="Y50" s="405"/>
      <c r="Z50" s="405"/>
      <c r="AA50" s="405"/>
      <c r="AB50" s="405"/>
      <c r="AC50" s="405"/>
      <c r="AD50" s="405"/>
      <c r="AE50" s="405"/>
      <c r="AF50" s="405"/>
      <c r="AG50" s="405"/>
      <c r="AH50" s="405"/>
      <c r="AI50" s="405"/>
      <c r="AJ50" s="405"/>
      <c r="AK50" s="405"/>
      <c r="AL50" s="405"/>
      <c r="AM50" s="406"/>
      <c r="AN50" s="406"/>
      <c r="AO50" s="406"/>
      <c r="AP50" s="406"/>
      <c r="AQ50" s="403"/>
      <c r="AR50" s="403"/>
      <c r="AS50" s="403"/>
      <c r="AT50" s="403"/>
      <c r="AU50" s="403"/>
      <c r="AV50" s="403"/>
      <c r="AW50" s="403"/>
      <c r="AX50" s="403"/>
      <c r="AY50" s="403"/>
    </row>
    <row r="51">
      <c r="A51" s="408" t="s">
        <v>139</v>
      </c>
      <c r="B51" s="409">
        <v>45945.0</v>
      </c>
      <c r="C51" s="410">
        <v>19354.800371468962</v>
      </c>
      <c r="D51" s="429">
        <f t="shared" si="8"/>
        <v>2.58333845</v>
      </c>
      <c r="E51" s="412">
        <v>50000.0</v>
      </c>
      <c r="F51" s="413">
        <f t="shared" si="9"/>
        <v>53383.66733</v>
      </c>
      <c r="G51" s="413">
        <f t="shared" si="3"/>
        <v>3146.810618</v>
      </c>
      <c r="H51" s="414">
        <f t="shared" si="4"/>
        <v>0.06293621236</v>
      </c>
      <c r="I51" s="415">
        <f t="shared" si="5"/>
        <v>145</v>
      </c>
      <c r="J51" s="414">
        <f t="shared" si="6"/>
        <v>0.1636194895</v>
      </c>
      <c r="K51" s="416">
        <f t="shared" si="7"/>
        <v>-50000</v>
      </c>
      <c r="L51" s="417"/>
      <c r="M51" s="403"/>
      <c r="N51" s="403"/>
      <c r="O51" s="403"/>
      <c r="P51" s="403"/>
      <c r="Q51" s="403"/>
      <c r="R51" s="403"/>
      <c r="S51" s="403"/>
      <c r="T51" s="403"/>
      <c r="U51" s="403"/>
      <c r="V51" s="403"/>
      <c r="W51" s="404"/>
      <c r="X51" s="405"/>
      <c r="Y51" s="405"/>
      <c r="Z51" s="405"/>
      <c r="AA51" s="405"/>
      <c r="AB51" s="405"/>
      <c r="AC51" s="405"/>
      <c r="AD51" s="405"/>
      <c r="AE51" s="405"/>
      <c r="AF51" s="405"/>
      <c r="AG51" s="405"/>
      <c r="AH51" s="405"/>
      <c r="AI51" s="405"/>
      <c r="AJ51" s="405"/>
      <c r="AK51" s="405"/>
      <c r="AL51" s="405"/>
      <c r="AM51" s="406"/>
      <c r="AN51" s="406"/>
      <c r="AO51" s="406"/>
      <c r="AP51" s="406"/>
      <c r="AQ51" s="403"/>
      <c r="AR51" s="403"/>
      <c r="AS51" s="403"/>
      <c r="AT51" s="403"/>
      <c r="AU51" s="403"/>
      <c r="AV51" s="403"/>
      <c r="AW51" s="403"/>
      <c r="AX51" s="403"/>
      <c r="AY51" s="403"/>
    </row>
    <row r="52">
      <c r="A52" s="408" t="s">
        <v>151</v>
      </c>
      <c r="B52" s="409">
        <v>45950.0</v>
      </c>
      <c r="C52" s="410">
        <v>19615.99456721991</v>
      </c>
      <c r="D52" s="432">
        <f t="shared" si="8"/>
        <v>40.78304555</v>
      </c>
      <c r="E52" s="412">
        <v>800000.0</v>
      </c>
      <c r="F52" s="413">
        <f t="shared" si="9"/>
        <v>842765.5061</v>
      </c>
      <c r="G52" s="413">
        <f t="shared" si="3"/>
        <v>39771.92066</v>
      </c>
      <c r="H52" s="414">
        <f t="shared" si="4"/>
        <v>0.04971490082</v>
      </c>
      <c r="I52" s="415">
        <f t="shared" si="5"/>
        <v>140</v>
      </c>
      <c r="J52" s="414">
        <f t="shared" si="6"/>
        <v>0.1328789377</v>
      </c>
      <c r="K52" s="416">
        <f t="shared" si="7"/>
        <v>-800000</v>
      </c>
      <c r="L52" s="417"/>
      <c r="M52" s="403"/>
      <c r="N52" s="403"/>
      <c r="O52" s="403"/>
      <c r="P52" s="403"/>
      <c r="Q52" s="403"/>
      <c r="R52" s="403"/>
      <c r="S52" s="403"/>
      <c r="T52" s="403"/>
      <c r="U52" s="403"/>
      <c r="V52" s="403"/>
      <c r="W52" s="404"/>
      <c r="X52" s="405"/>
      <c r="Y52" s="405"/>
      <c r="Z52" s="405"/>
      <c r="AA52" s="405"/>
      <c r="AB52" s="405"/>
      <c r="AC52" s="405"/>
      <c r="AD52" s="405"/>
      <c r="AE52" s="405"/>
      <c r="AF52" s="405"/>
      <c r="AG52" s="405"/>
      <c r="AH52" s="405"/>
      <c r="AI52" s="405"/>
      <c r="AJ52" s="405"/>
      <c r="AK52" s="405"/>
      <c r="AL52" s="405"/>
      <c r="AM52" s="406"/>
      <c r="AN52" s="406"/>
      <c r="AO52" s="406"/>
      <c r="AP52" s="406"/>
      <c r="AQ52" s="403"/>
      <c r="AR52" s="403"/>
      <c r="AS52" s="403"/>
      <c r="AT52" s="403"/>
      <c r="AU52" s="403"/>
      <c r="AV52" s="403"/>
      <c r="AW52" s="403"/>
      <c r="AX52" s="403"/>
      <c r="AY52" s="403"/>
    </row>
    <row r="53">
      <c r="A53" s="408" t="s">
        <v>139</v>
      </c>
      <c r="B53" s="409">
        <v>45954.0</v>
      </c>
      <c r="C53" s="410">
        <v>20104.294628255353</v>
      </c>
      <c r="D53" s="432">
        <f t="shared" si="8"/>
        <v>4.974061605</v>
      </c>
      <c r="E53" s="412">
        <v>100000.0</v>
      </c>
      <c r="F53" s="413">
        <f t="shared" si="9"/>
        <v>102787.0157</v>
      </c>
      <c r="G53" s="413">
        <f t="shared" si="3"/>
        <v>2591.924647</v>
      </c>
      <c r="H53" s="414">
        <f t="shared" si="4"/>
        <v>0.02591924647</v>
      </c>
      <c r="I53" s="415">
        <f t="shared" si="5"/>
        <v>136</v>
      </c>
      <c r="J53" s="414">
        <f t="shared" si="6"/>
        <v>0.07008243213</v>
      </c>
      <c r="K53" s="416">
        <f t="shared" si="7"/>
        <v>-100000</v>
      </c>
      <c r="L53" s="417"/>
      <c r="M53" s="403"/>
      <c r="N53" s="403"/>
      <c r="O53" s="403"/>
      <c r="P53" s="403"/>
      <c r="Q53" s="403"/>
      <c r="R53" s="403"/>
      <c r="S53" s="403"/>
      <c r="T53" s="403"/>
      <c r="U53" s="403"/>
      <c r="V53" s="403"/>
      <c r="W53" s="404"/>
      <c r="X53" s="405"/>
      <c r="Y53" s="405"/>
      <c r="Z53" s="405"/>
      <c r="AA53" s="405"/>
      <c r="AB53" s="405"/>
      <c r="AC53" s="405"/>
      <c r="AD53" s="405"/>
      <c r="AE53" s="405"/>
      <c r="AF53" s="405"/>
      <c r="AG53" s="405"/>
      <c r="AH53" s="405"/>
      <c r="AI53" s="405"/>
      <c r="AJ53" s="405"/>
      <c r="AK53" s="405"/>
      <c r="AL53" s="405"/>
      <c r="AM53" s="406"/>
      <c r="AN53" s="406"/>
      <c r="AO53" s="406"/>
      <c r="AP53" s="406"/>
      <c r="AQ53" s="403"/>
      <c r="AR53" s="403"/>
      <c r="AS53" s="403"/>
      <c r="AT53" s="403"/>
      <c r="AU53" s="403"/>
      <c r="AV53" s="403"/>
      <c r="AW53" s="403"/>
      <c r="AX53" s="403"/>
      <c r="AY53" s="403"/>
    </row>
    <row r="54">
      <c r="A54" s="408" t="s">
        <v>127</v>
      </c>
      <c r="B54" s="409">
        <v>45963.0</v>
      </c>
      <c r="C54" s="410">
        <v>20514.5362569711</v>
      </c>
      <c r="D54" s="432">
        <f t="shared" si="8"/>
        <v>3.412214594</v>
      </c>
      <c r="E54" s="412">
        <v>70000.0</v>
      </c>
      <c r="F54" s="413">
        <f t="shared" si="9"/>
        <v>70512.065</v>
      </c>
      <c r="G54" s="413">
        <f t="shared" si="3"/>
        <v>476.2204508</v>
      </c>
      <c r="H54" s="414">
        <f t="shared" si="4"/>
        <v>0.006803149297</v>
      </c>
      <c r="I54" s="415">
        <f t="shared" si="5"/>
        <v>127</v>
      </c>
      <c r="J54" s="414">
        <f t="shared" si="6"/>
        <v>0.019405094</v>
      </c>
      <c r="K54" s="416">
        <f t="shared" si="7"/>
        <v>-70000</v>
      </c>
      <c r="L54" s="417"/>
      <c r="M54" s="403"/>
      <c r="N54" s="403"/>
      <c r="O54" s="403"/>
      <c r="P54" s="403"/>
      <c r="Q54" s="403"/>
      <c r="R54" s="403"/>
      <c r="S54" s="403"/>
      <c r="T54" s="403"/>
      <c r="U54" s="403"/>
      <c r="V54" s="403"/>
      <c r="W54" s="404"/>
      <c r="X54" s="405"/>
      <c r="Y54" s="405"/>
      <c r="Z54" s="405"/>
      <c r="AA54" s="405"/>
      <c r="AB54" s="405"/>
      <c r="AC54" s="405"/>
      <c r="AD54" s="405"/>
      <c r="AE54" s="405"/>
      <c r="AF54" s="405"/>
      <c r="AG54" s="405"/>
      <c r="AH54" s="405"/>
      <c r="AI54" s="405"/>
      <c r="AJ54" s="405"/>
      <c r="AK54" s="405"/>
      <c r="AL54" s="405"/>
      <c r="AM54" s="406"/>
      <c r="AN54" s="406"/>
      <c r="AO54" s="406"/>
      <c r="AP54" s="406"/>
      <c r="AQ54" s="403"/>
      <c r="AR54" s="403"/>
      <c r="AS54" s="403"/>
      <c r="AT54" s="403"/>
      <c r="AU54" s="403"/>
      <c r="AV54" s="403"/>
      <c r="AW54" s="403"/>
      <c r="AX54" s="403"/>
      <c r="AY54" s="403"/>
    </row>
    <row r="55">
      <c r="A55" s="408" t="s">
        <v>157</v>
      </c>
      <c r="B55" s="409">
        <v>45964.0</v>
      </c>
      <c r="C55" s="410">
        <v>20519.942407784387</v>
      </c>
      <c r="D55" s="432">
        <f t="shared" si="8"/>
        <v>0.9746616049</v>
      </c>
      <c r="E55" s="412">
        <v>20000.0</v>
      </c>
      <c r="F55" s="413">
        <f t="shared" si="9"/>
        <v>20140.99657</v>
      </c>
      <c r="G55" s="413">
        <f t="shared" si="3"/>
        <v>131.1268131</v>
      </c>
      <c r="H55" s="414">
        <f t="shared" si="4"/>
        <v>0.006556340656</v>
      </c>
      <c r="I55" s="415">
        <f t="shared" si="5"/>
        <v>126</v>
      </c>
      <c r="J55" s="414">
        <f t="shared" si="6"/>
        <v>0.01884665889</v>
      </c>
      <c r="K55" s="416">
        <f t="shared" si="7"/>
        <v>-20000</v>
      </c>
      <c r="L55" s="417"/>
      <c r="M55" s="403"/>
      <c r="N55" s="403"/>
      <c r="O55" s="403"/>
      <c r="P55" s="403"/>
      <c r="Q55" s="403"/>
      <c r="R55" s="403"/>
      <c r="S55" s="403"/>
      <c r="T55" s="403"/>
      <c r="U55" s="403"/>
      <c r="V55" s="403"/>
      <c r="W55" s="404"/>
      <c r="X55" s="405"/>
      <c r="Y55" s="405"/>
      <c r="Z55" s="405"/>
      <c r="AA55" s="405"/>
      <c r="AB55" s="405"/>
      <c r="AC55" s="405"/>
      <c r="AD55" s="405"/>
      <c r="AE55" s="405"/>
      <c r="AF55" s="405"/>
      <c r="AG55" s="405"/>
      <c r="AH55" s="405"/>
      <c r="AI55" s="405"/>
      <c r="AJ55" s="405"/>
      <c r="AK55" s="405"/>
      <c r="AL55" s="405"/>
      <c r="AM55" s="406"/>
      <c r="AN55" s="406"/>
      <c r="AO55" s="406"/>
      <c r="AP55" s="406"/>
      <c r="AQ55" s="403"/>
      <c r="AR55" s="403"/>
      <c r="AS55" s="403"/>
      <c r="AT55" s="403"/>
      <c r="AU55" s="403"/>
      <c r="AV55" s="403"/>
      <c r="AW55" s="403"/>
      <c r="AX55" s="403"/>
      <c r="AY55" s="403"/>
    </row>
    <row r="56">
      <c r="A56" s="408" t="s">
        <v>151</v>
      </c>
      <c r="B56" s="409">
        <v>45964.0</v>
      </c>
      <c r="C56" s="410">
        <v>20519.942407784387</v>
      </c>
      <c r="D56" s="432">
        <f t="shared" si="8"/>
        <v>9.746616049</v>
      </c>
      <c r="E56" s="412">
        <v>200000.0</v>
      </c>
      <c r="F56" s="413">
        <f t="shared" si="9"/>
        <v>201409.9657</v>
      </c>
      <c r="G56" s="413">
        <f t="shared" si="3"/>
        <v>1311.268131</v>
      </c>
      <c r="H56" s="414">
        <f t="shared" si="4"/>
        <v>0.006556340656</v>
      </c>
      <c r="I56" s="415">
        <f t="shared" si="5"/>
        <v>126</v>
      </c>
      <c r="J56" s="414">
        <f t="shared" si="6"/>
        <v>0.01884665889</v>
      </c>
      <c r="K56" s="416">
        <f t="shared" si="7"/>
        <v>-200000</v>
      </c>
      <c r="L56" s="417"/>
      <c r="M56" s="403"/>
      <c r="N56" s="403"/>
      <c r="O56" s="403"/>
      <c r="P56" s="403"/>
      <c r="Q56" s="403"/>
      <c r="R56" s="403"/>
      <c r="S56" s="403"/>
      <c r="T56" s="403"/>
      <c r="U56" s="403"/>
      <c r="V56" s="403"/>
      <c r="W56" s="404"/>
      <c r="X56" s="405"/>
      <c r="Y56" s="405"/>
      <c r="Z56" s="405"/>
      <c r="AA56" s="405"/>
      <c r="AB56" s="405"/>
      <c r="AC56" s="405"/>
      <c r="AD56" s="405"/>
      <c r="AE56" s="405"/>
      <c r="AF56" s="405"/>
      <c r="AG56" s="405"/>
      <c r="AH56" s="405"/>
      <c r="AI56" s="405"/>
      <c r="AJ56" s="405"/>
      <c r="AK56" s="405"/>
      <c r="AL56" s="405"/>
      <c r="AM56" s="406"/>
      <c r="AN56" s="406"/>
      <c r="AO56" s="406"/>
      <c r="AP56" s="406"/>
      <c r="AQ56" s="403"/>
      <c r="AR56" s="403"/>
      <c r="AS56" s="403"/>
      <c r="AT56" s="403"/>
      <c r="AU56" s="403"/>
      <c r="AV56" s="403"/>
      <c r="AW56" s="403"/>
      <c r="AX56" s="403"/>
      <c r="AY56" s="403"/>
    </row>
    <row r="57">
      <c r="A57" s="408" t="s">
        <v>136</v>
      </c>
      <c r="B57" s="409">
        <v>45964.0</v>
      </c>
      <c r="C57" s="410">
        <v>20519.942407784387</v>
      </c>
      <c r="D57" s="432">
        <f t="shared" si="8"/>
        <v>19.4932321</v>
      </c>
      <c r="E57" s="412">
        <v>400000.0</v>
      </c>
      <c r="F57" s="413">
        <f t="shared" si="9"/>
        <v>402819.9315</v>
      </c>
      <c r="G57" s="413">
        <f t="shared" si="3"/>
        <v>2622.536262</v>
      </c>
      <c r="H57" s="414">
        <f t="shared" si="4"/>
        <v>0.006556340656</v>
      </c>
      <c r="I57" s="415">
        <f t="shared" si="5"/>
        <v>126</v>
      </c>
      <c r="J57" s="414">
        <f t="shared" si="6"/>
        <v>0.01884665889</v>
      </c>
      <c r="K57" s="416">
        <f t="shared" si="7"/>
        <v>-400000</v>
      </c>
      <c r="L57" s="417"/>
      <c r="M57" s="403"/>
      <c r="N57" s="403"/>
      <c r="O57" s="403"/>
      <c r="P57" s="403"/>
      <c r="Q57" s="403"/>
      <c r="R57" s="403"/>
      <c r="S57" s="403"/>
      <c r="T57" s="403"/>
      <c r="U57" s="403"/>
      <c r="V57" s="403"/>
      <c r="W57" s="404"/>
      <c r="X57" s="405"/>
      <c r="Y57" s="405"/>
      <c r="Z57" s="405"/>
      <c r="AA57" s="405"/>
      <c r="AB57" s="405"/>
      <c r="AC57" s="405"/>
      <c r="AD57" s="405"/>
      <c r="AE57" s="405"/>
      <c r="AF57" s="405"/>
      <c r="AG57" s="405"/>
      <c r="AH57" s="405"/>
      <c r="AI57" s="405"/>
      <c r="AJ57" s="405"/>
      <c r="AK57" s="405"/>
      <c r="AL57" s="405"/>
      <c r="AM57" s="406"/>
      <c r="AN57" s="406"/>
      <c r="AO57" s="406"/>
      <c r="AP57" s="406"/>
      <c r="AQ57" s="403"/>
      <c r="AR57" s="403"/>
      <c r="AS57" s="403"/>
      <c r="AT57" s="403"/>
      <c r="AU57" s="403"/>
      <c r="AV57" s="403"/>
      <c r="AW57" s="403"/>
      <c r="AX57" s="403"/>
      <c r="AY57" s="403"/>
    </row>
    <row r="58">
      <c r="A58" s="408" t="s">
        <v>127</v>
      </c>
      <c r="B58" s="409">
        <v>45980.0</v>
      </c>
      <c r="C58" s="410">
        <v>21234.614413998977</v>
      </c>
      <c r="D58" s="432">
        <f t="shared" si="8"/>
        <v>-6.122079613</v>
      </c>
      <c r="E58" s="412">
        <v>-130000.0</v>
      </c>
      <c r="F58" s="413"/>
      <c r="G58" s="413"/>
      <c r="H58" s="414">
        <f t="shared" si="4"/>
        <v>0</v>
      </c>
      <c r="I58" s="415">
        <f t="shared" si="5"/>
        <v>110</v>
      </c>
      <c r="J58" s="414">
        <f t="shared" si="6"/>
        <v>0</v>
      </c>
      <c r="K58" s="416">
        <f t="shared" si="7"/>
        <v>130000</v>
      </c>
      <c r="L58" s="417"/>
      <c r="M58" s="417"/>
      <c r="N58" s="420"/>
      <c r="O58" s="420"/>
      <c r="P58" s="403"/>
      <c r="Q58" s="403"/>
      <c r="R58" s="403"/>
      <c r="S58" s="403"/>
      <c r="T58" s="403"/>
      <c r="U58" s="403"/>
      <c r="V58" s="403"/>
      <c r="W58" s="404"/>
      <c r="X58" s="405"/>
      <c r="Y58" s="405"/>
      <c r="Z58" s="405"/>
      <c r="AA58" s="405"/>
      <c r="AB58" s="405"/>
      <c r="AC58" s="405"/>
      <c r="AD58" s="405"/>
      <c r="AE58" s="405"/>
      <c r="AF58" s="405"/>
      <c r="AG58" s="405"/>
      <c r="AH58" s="405"/>
      <c r="AI58" s="405"/>
      <c r="AJ58" s="405"/>
      <c r="AK58" s="405"/>
      <c r="AL58" s="405"/>
      <c r="AM58" s="406"/>
      <c r="AN58" s="406"/>
      <c r="AO58" s="406"/>
      <c r="AP58" s="406"/>
      <c r="AQ58" s="403"/>
      <c r="AR58" s="403"/>
      <c r="AS58" s="403"/>
      <c r="AT58" s="403"/>
      <c r="AU58" s="403"/>
      <c r="AV58" s="403"/>
      <c r="AW58" s="403"/>
      <c r="AX58" s="403"/>
      <c r="AY58" s="403"/>
    </row>
    <row r="59">
      <c r="A59" s="408" t="s">
        <v>136</v>
      </c>
      <c r="B59" s="409">
        <v>45980.0</v>
      </c>
      <c r="C59" s="410">
        <v>21234.614413998977</v>
      </c>
      <c r="D59" s="432">
        <f t="shared" si="8"/>
        <v>-19.49323212</v>
      </c>
      <c r="E59" s="412">
        <v>-413931.2677</v>
      </c>
      <c r="F59" s="413"/>
      <c r="G59" s="413"/>
      <c r="H59" s="414">
        <f t="shared" si="4"/>
        <v>0</v>
      </c>
      <c r="I59" s="415">
        <f t="shared" si="5"/>
        <v>110</v>
      </c>
      <c r="J59" s="414">
        <f t="shared" si="6"/>
        <v>0</v>
      </c>
      <c r="K59" s="416">
        <f t="shared" si="7"/>
        <v>413931.2677</v>
      </c>
      <c r="L59" s="417"/>
      <c r="M59" s="420"/>
      <c r="N59" s="420"/>
      <c r="O59" s="420"/>
      <c r="P59" s="403"/>
      <c r="Q59" s="403"/>
      <c r="R59" s="403"/>
      <c r="S59" s="403"/>
      <c r="T59" s="403"/>
      <c r="U59" s="403"/>
      <c r="V59" s="403"/>
      <c r="W59" s="404"/>
      <c r="X59" s="405"/>
      <c r="Y59" s="405"/>
      <c r="Z59" s="405"/>
      <c r="AA59" s="405"/>
      <c r="AB59" s="405"/>
      <c r="AC59" s="405"/>
      <c r="AD59" s="405"/>
      <c r="AE59" s="405"/>
      <c r="AF59" s="405"/>
      <c r="AG59" s="405"/>
      <c r="AH59" s="405"/>
      <c r="AI59" s="405"/>
      <c r="AJ59" s="405"/>
      <c r="AK59" s="405"/>
      <c r="AL59" s="405"/>
      <c r="AM59" s="406"/>
      <c r="AN59" s="406"/>
      <c r="AO59" s="406"/>
      <c r="AP59" s="406"/>
      <c r="AQ59" s="403"/>
      <c r="AR59" s="403"/>
      <c r="AS59" s="403"/>
      <c r="AT59" s="403"/>
      <c r="AU59" s="403"/>
      <c r="AV59" s="403"/>
      <c r="AW59" s="403"/>
      <c r="AX59" s="403"/>
      <c r="AY59" s="403"/>
    </row>
    <row r="60">
      <c r="A60" s="408" t="s">
        <v>136</v>
      </c>
      <c r="B60" s="409">
        <v>45982.0</v>
      </c>
      <c r="C60" s="410">
        <v>20944.506817277215</v>
      </c>
      <c r="D60" s="432">
        <f t="shared" si="8"/>
        <v>19.76323775</v>
      </c>
      <c r="E60" s="412">
        <v>413931.2677</v>
      </c>
      <c r="F60" s="413">
        <f>IF(D60&lt;&gt;0,$N$4*D60,)</f>
        <v>408399.4914</v>
      </c>
      <c r="G60" s="413">
        <f>IF(E60&lt;&gt;0,F60-E60-((F60-E60)*7%),)</f>
        <v>-5144.551978</v>
      </c>
      <c r="H60" s="414">
        <f t="shared" si="4"/>
        <v>-0.01242851744</v>
      </c>
      <c r="I60" s="415">
        <f t="shared" si="5"/>
        <v>108</v>
      </c>
      <c r="J60" s="414">
        <f t="shared" si="6"/>
        <v>-0.04083099713</v>
      </c>
      <c r="K60" s="416">
        <f t="shared" si="7"/>
        <v>-413931.2677</v>
      </c>
      <c r="L60" s="417"/>
      <c r="M60" s="420"/>
      <c r="N60" s="420"/>
      <c r="O60" s="420"/>
      <c r="P60" s="403"/>
      <c r="Q60" s="403"/>
      <c r="R60" s="403"/>
      <c r="S60" s="403"/>
      <c r="T60" s="403"/>
      <c r="U60" s="403"/>
      <c r="V60" s="403"/>
      <c r="W60" s="404"/>
      <c r="X60" s="405"/>
      <c r="Y60" s="405"/>
      <c r="Z60" s="405"/>
      <c r="AA60" s="405"/>
      <c r="AB60" s="405"/>
      <c r="AC60" s="405"/>
      <c r="AD60" s="405"/>
      <c r="AE60" s="405"/>
      <c r="AF60" s="405"/>
      <c r="AG60" s="405"/>
      <c r="AH60" s="405"/>
      <c r="AI60" s="405"/>
      <c r="AJ60" s="405"/>
      <c r="AK60" s="405"/>
      <c r="AL60" s="405"/>
      <c r="AM60" s="406"/>
      <c r="AN60" s="406"/>
      <c r="AO60" s="406"/>
      <c r="AP60" s="406"/>
      <c r="AQ60" s="403"/>
      <c r="AR60" s="403"/>
      <c r="AS60" s="403"/>
      <c r="AT60" s="403"/>
      <c r="AU60" s="403"/>
      <c r="AV60" s="403"/>
      <c r="AW60" s="403"/>
      <c r="AX60" s="403"/>
      <c r="AY60" s="403"/>
    </row>
    <row r="61">
      <c r="A61" s="408" t="s">
        <v>139</v>
      </c>
      <c r="B61" s="409">
        <v>45989.0</v>
      </c>
      <c r="C61" s="410">
        <v>20967.043686049747</v>
      </c>
      <c r="D61" s="432">
        <f t="shared" si="8"/>
        <v>-9.538779191</v>
      </c>
      <c r="E61" s="412">
        <v>-200000.0</v>
      </c>
      <c r="F61" s="413"/>
      <c r="G61" s="413"/>
      <c r="H61" s="414">
        <f t="shared" si="4"/>
        <v>0</v>
      </c>
      <c r="I61" s="415">
        <f t="shared" si="5"/>
        <v>101</v>
      </c>
      <c r="J61" s="414">
        <f t="shared" si="6"/>
        <v>0</v>
      </c>
      <c r="K61" s="416">
        <f t="shared" si="7"/>
        <v>200000</v>
      </c>
      <c r="L61" s="417"/>
      <c r="M61" s="420"/>
      <c r="N61" s="420"/>
      <c r="O61" s="420"/>
      <c r="P61" s="403"/>
      <c r="Q61" s="403"/>
      <c r="R61" s="403"/>
      <c r="S61" s="403"/>
      <c r="T61" s="403"/>
      <c r="U61" s="403"/>
      <c r="V61" s="403"/>
      <c r="W61" s="404"/>
      <c r="X61" s="405"/>
      <c r="Y61" s="405"/>
      <c r="Z61" s="405"/>
      <c r="AA61" s="405"/>
      <c r="AB61" s="405"/>
      <c r="AC61" s="405"/>
      <c r="AD61" s="405"/>
      <c r="AE61" s="405"/>
      <c r="AF61" s="405"/>
      <c r="AG61" s="405"/>
      <c r="AH61" s="405"/>
      <c r="AI61" s="405"/>
      <c r="AJ61" s="405"/>
      <c r="AK61" s="405"/>
      <c r="AL61" s="405"/>
      <c r="AM61" s="406"/>
      <c r="AN61" s="406"/>
      <c r="AO61" s="406"/>
      <c r="AP61" s="406"/>
      <c r="AQ61" s="403"/>
      <c r="AR61" s="403"/>
      <c r="AS61" s="403"/>
      <c r="AT61" s="403"/>
      <c r="AU61" s="403"/>
      <c r="AV61" s="403"/>
      <c r="AW61" s="403"/>
      <c r="AX61" s="403"/>
      <c r="AY61" s="403"/>
    </row>
    <row r="62">
      <c r="A62" s="433" t="s">
        <v>163</v>
      </c>
      <c r="B62" s="434"/>
      <c r="C62" s="435">
        <v>21104.55909385308</v>
      </c>
      <c r="D62" s="436">
        <v>-0.2</v>
      </c>
      <c r="E62" s="437"/>
      <c r="F62" s="438">
        <v>-795769.8</v>
      </c>
      <c r="G62" s="438">
        <v>1373600.74407931</v>
      </c>
      <c r="H62" s="414"/>
      <c r="I62" s="415"/>
      <c r="J62" s="414"/>
      <c r="K62" s="416"/>
      <c r="L62" s="417"/>
      <c r="M62" s="420"/>
      <c r="N62" s="420"/>
      <c r="O62" s="420"/>
      <c r="P62" s="403"/>
      <c r="Q62" s="403"/>
      <c r="R62" s="403"/>
      <c r="S62" s="403"/>
      <c r="T62" s="403"/>
      <c r="U62" s="403"/>
      <c r="V62" s="403"/>
      <c r="W62" s="404"/>
      <c r="X62" s="405"/>
      <c r="Y62" s="405"/>
      <c r="Z62" s="405"/>
      <c r="AA62" s="405"/>
      <c r="AB62" s="405"/>
      <c r="AC62" s="405"/>
      <c r="AD62" s="405"/>
      <c r="AE62" s="405"/>
      <c r="AF62" s="405"/>
      <c r="AG62" s="405"/>
      <c r="AH62" s="405"/>
      <c r="AI62" s="405"/>
      <c r="AJ62" s="405"/>
      <c r="AK62" s="405"/>
      <c r="AL62" s="405"/>
      <c r="AM62" s="406"/>
      <c r="AN62" s="406"/>
      <c r="AO62" s="406"/>
      <c r="AP62" s="406"/>
      <c r="AQ62" s="403"/>
      <c r="AR62" s="403"/>
      <c r="AS62" s="403"/>
      <c r="AT62" s="403"/>
      <c r="AU62" s="403"/>
      <c r="AV62" s="403"/>
      <c r="AW62" s="403"/>
      <c r="AX62" s="403"/>
      <c r="AY62" s="403"/>
    </row>
    <row r="63">
      <c r="A63" s="408" t="s">
        <v>157</v>
      </c>
      <c r="B63" s="439">
        <v>45991.0</v>
      </c>
      <c r="C63" s="410">
        <v>20979.43076929938</v>
      </c>
      <c r="D63" s="432">
        <f>IF(E63&lt;&gt;0,E63/C63,)-9.635451274</f>
        <v>-27.55795852</v>
      </c>
      <c r="E63" s="412">
        <v>-376004.0</v>
      </c>
      <c r="F63" s="413">
        <f>D63*C63</f>
        <v>-578150.2829</v>
      </c>
      <c r="G63" s="413">
        <f>-F63+E63</f>
        <v>202146.2829</v>
      </c>
      <c r="H63" s="414"/>
      <c r="I63" s="415">
        <f t="shared" ref="I63:I87" si="10">TODAY()-B63</f>
        <v>99</v>
      </c>
      <c r="J63" s="414"/>
      <c r="K63" s="416"/>
      <c r="L63" s="417"/>
      <c r="M63" s="420"/>
      <c r="N63" s="420"/>
      <c r="O63" s="420"/>
      <c r="P63" s="403"/>
      <c r="Q63" s="403"/>
      <c r="R63" s="403"/>
      <c r="S63" s="403"/>
      <c r="T63" s="403"/>
      <c r="U63" s="403"/>
      <c r="V63" s="403"/>
      <c r="W63" s="404"/>
      <c r="X63" s="405"/>
      <c r="Y63" s="405"/>
      <c r="Z63" s="405"/>
      <c r="AA63" s="405"/>
      <c r="AB63" s="405"/>
      <c r="AC63" s="405"/>
      <c r="AD63" s="405"/>
      <c r="AE63" s="405"/>
      <c r="AF63" s="405"/>
      <c r="AG63" s="405"/>
      <c r="AH63" s="405"/>
      <c r="AI63" s="405"/>
      <c r="AJ63" s="405"/>
      <c r="AK63" s="405"/>
      <c r="AL63" s="405"/>
      <c r="AM63" s="406"/>
      <c r="AN63" s="406"/>
      <c r="AO63" s="406"/>
      <c r="AP63" s="406"/>
      <c r="AQ63" s="403"/>
      <c r="AR63" s="403"/>
      <c r="AS63" s="403"/>
      <c r="AT63" s="403"/>
      <c r="AU63" s="403"/>
      <c r="AV63" s="403"/>
      <c r="AW63" s="403"/>
      <c r="AX63" s="403"/>
      <c r="AY63" s="403"/>
    </row>
    <row r="64">
      <c r="A64" s="408" t="s">
        <v>136</v>
      </c>
      <c r="B64" s="439">
        <v>45991.0</v>
      </c>
      <c r="C64" s="410">
        <v>20979.43076929938</v>
      </c>
      <c r="D64" s="432">
        <f t="shared" ref="D64:D73" si="11">IF(E64&lt;&gt;0,E64/C64,)</f>
        <v>1.008143794</v>
      </c>
      <c r="E64" s="416">
        <v>21150.28293384041</v>
      </c>
      <c r="F64" s="413">
        <f t="shared" ref="F64:F73" si="12">IF(D64&lt;&gt;0,$N$4*D64,)</f>
        <v>20832.89277</v>
      </c>
      <c r="G64" s="413">
        <f t="shared" ref="G64:G73" si="13">IF(E64&lt;&gt;0,F64-E64-((F64-E64)*7%),)</f>
        <v>-295.1728523</v>
      </c>
      <c r="H64" s="414">
        <f t="shared" ref="H64:H87" si="14">G64/E64</f>
        <v>-0.01395597654</v>
      </c>
      <c r="I64" s="415">
        <f t="shared" si="10"/>
        <v>99</v>
      </c>
      <c r="J64" s="414">
        <f t="shared" ref="J64:J87" si="15">+(1+H64)^(360/I64)-1</f>
        <v>-0.0498224919</v>
      </c>
      <c r="K64" s="416">
        <f t="shared" ref="K64:K87" si="16">IF(E64&gt;0, -E64, IF(E64&lt;0, -E64, 0))</f>
        <v>-21150.28293</v>
      </c>
      <c r="L64" s="417"/>
      <c r="M64" s="420"/>
      <c r="N64" s="420"/>
      <c r="O64" s="420"/>
      <c r="P64" s="403"/>
      <c r="Q64" s="403"/>
      <c r="R64" s="403"/>
      <c r="S64" s="403"/>
      <c r="T64" s="403"/>
      <c r="U64" s="403"/>
      <c r="V64" s="403"/>
      <c r="W64" s="404"/>
      <c r="X64" s="405"/>
      <c r="Y64" s="405"/>
      <c r="Z64" s="405"/>
      <c r="AA64" s="405"/>
      <c r="AB64" s="405"/>
      <c r="AC64" s="405"/>
      <c r="AD64" s="405"/>
      <c r="AE64" s="405"/>
      <c r="AF64" s="405"/>
      <c r="AG64" s="405"/>
      <c r="AH64" s="405"/>
      <c r="AI64" s="405"/>
      <c r="AJ64" s="405"/>
      <c r="AK64" s="405"/>
      <c r="AL64" s="405"/>
      <c r="AM64" s="406"/>
      <c r="AN64" s="406"/>
      <c r="AO64" s="406"/>
      <c r="AP64" s="406"/>
      <c r="AQ64" s="403"/>
      <c r="AR64" s="403"/>
      <c r="AS64" s="403"/>
      <c r="AT64" s="403"/>
      <c r="AU64" s="403"/>
      <c r="AV64" s="403"/>
      <c r="AW64" s="403"/>
      <c r="AX64" s="403"/>
      <c r="AY64" s="403"/>
    </row>
    <row r="65">
      <c r="A65" s="408" t="s">
        <v>133</v>
      </c>
      <c r="B65" s="439">
        <v>45996.0</v>
      </c>
      <c r="C65" s="410">
        <v>21075.431209045815</v>
      </c>
      <c r="D65" s="432">
        <f t="shared" si="11"/>
        <v>14.2345842</v>
      </c>
      <c r="E65" s="412">
        <v>300000.0</v>
      </c>
      <c r="F65" s="413">
        <f t="shared" si="12"/>
        <v>294152.0524</v>
      </c>
      <c r="G65" s="413">
        <f t="shared" si="13"/>
        <v>-5438.591249</v>
      </c>
      <c r="H65" s="414">
        <f t="shared" si="14"/>
        <v>-0.0181286375</v>
      </c>
      <c r="I65" s="415">
        <f t="shared" si="10"/>
        <v>94</v>
      </c>
      <c r="J65" s="414">
        <f t="shared" si="15"/>
        <v>-0.06766758577</v>
      </c>
      <c r="K65" s="416">
        <f t="shared" si="16"/>
        <v>-300000</v>
      </c>
      <c r="L65" s="417"/>
      <c r="M65" s="420"/>
      <c r="N65" s="420"/>
      <c r="O65" s="420"/>
      <c r="P65" s="403"/>
      <c r="Q65" s="403"/>
      <c r="R65" s="403"/>
      <c r="S65" s="403"/>
      <c r="T65" s="403"/>
      <c r="U65" s="403"/>
      <c r="V65" s="403"/>
      <c r="W65" s="404"/>
      <c r="X65" s="405"/>
      <c r="Y65" s="405"/>
      <c r="Z65" s="405"/>
      <c r="AA65" s="405"/>
      <c r="AB65" s="405"/>
      <c r="AC65" s="405"/>
      <c r="AD65" s="405"/>
      <c r="AE65" s="405"/>
      <c r="AF65" s="405"/>
      <c r="AG65" s="405"/>
      <c r="AH65" s="405"/>
      <c r="AI65" s="405"/>
      <c r="AJ65" s="405"/>
      <c r="AK65" s="405"/>
      <c r="AL65" s="405"/>
      <c r="AM65" s="406"/>
      <c r="AN65" s="406"/>
      <c r="AO65" s="406"/>
      <c r="AP65" s="406"/>
      <c r="AQ65" s="403"/>
      <c r="AR65" s="403"/>
      <c r="AS65" s="403"/>
      <c r="AT65" s="403"/>
      <c r="AU65" s="403"/>
      <c r="AV65" s="403"/>
      <c r="AW65" s="403"/>
      <c r="AX65" s="403"/>
      <c r="AY65" s="403"/>
    </row>
    <row r="66">
      <c r="A66" s="408" t="s">
        <v>152</v>
      </c>
      <c r="B66" s="439">
        <v>46002.0</v>
      </c>
      <c r="C66" s="410">
        <v>21396.780788499356</v>
      </c>
      <c r="D66" s="432">
        <f t="shared" si="11"/>
        <v>70.10400372</v>
      </c>
      <c r="E66" s="412">
        <v>1500000.0</v>
      </c>
      <c r="F66" s="413">
        <f t="shared" si="12"/>
        <v>1448671.51</v>
      </c>
      <c r="G66" s="413">
        <f t="shared" si="13"/>
        <v>-47735.49592</v>
      </c>
      <c r="H66" s="414">
        <f t="shared" si="14"/>
        <v>-0.03182366395</v>
      </c>
      <c r="I66" s="415">
        <f t="shared" si="10"/>
        <v>88</v>
      </c>
      <c r="J66" s="414">
        <f t="shared" si="15"/>
        <v>-0.1239256057</v>
      </c>
      <c r="K66" s="416">
        <f t="shared" si="16"/>
        <v>-1500000</v>
      </c>
      <c r="L66" s="417"/>
      <c r="M66" s="420"/>
      <c r="N66" s="420"/>
      <c r="O66" s="420"/>
      <c r="P66" s="403"/>
      <c r="Q66" s="403"/>
      <c r="R66" s="403"/>
      <c r="S66" s="403"/>
      <c r="T66" s="403"/>
      <c r="U66" s="403"/>
      <c r="V66" s="403"/>
      <c r="W66" s="404"/>
      <c r="X66" s="405"/>
      <c r="Y66" s="405"/>
      <c r="Z66" s="405"/>
      <c r="AA66" s="405"/>
      <c r="AB66" s="405"/>
      <c r="AC66" s="405"/>
      <c r="AD66" s="405"/>
      <c r="AE66" s="405"/>
      <c r="AF66" s="405"/>
      <c r="AG66" s="405"/>
      <c r="AH66" s="405"/>
      <c r="AI66" s="405"/>
      <c r="AJ66" s="405"/>
      <c r="AK66" s="405"/>
      <c r="AL66" s="405"/>
      <c r="AM66" s="406"/>
      <c r="AN66" s="406"/>
      <c r="AO66" s="406"/>
      <c r="AP66" s="406"/>
      <c r="AQ66" s="403"/>
      <c r="AR66" s="403"/>
      <c r="AS66" s="403"/>
      <c r="AT66" s="403"/>
      <c r="AU66" s="403"/>
      <c r="AV66" s="403"/>
      <c r="AW66" s="403"/>
      <c r="AX66" s="403"/>
      <c r="AY66" s="403"/>
    </row>
    <row r="67">
      <c r="A67" s="408" t="s">
        <v>142</v>
      </c>
      <c r="B67" s="439">
        <v>46016.0</v>
      </c>
      <c r="C67" s="410">
        <v>21152.75181044421</v>
      </c>
      <c r="D67" s="432">
        <f t="shared" si="11"/>
        <v>47.27517294</v>
      </c>
      <c r="E67" s="412">
        <v>1000000.0</v>
      </c>
      <c r="F67" s="413">
        <f t="shared" si="12"/>
        <v>976922.7508</v>
      </c>
      <c r="G67" s="413">
        <f t="shared" si="13"/>
        <v>-21461.84174</v>
      </c>
      <c r="H67" s="414">
        <f t="shared" si="14"/>
        <v>-0.02146184174</v>
      </c>
      <c r="I67" s="415">
        <f t="shared" si="10"/>
        <v>74</v>
      </c>
      <c r="J67" s="414">
        <f t="shared" si="15"/>
        <v>-0.100166612</v>
      </c>
      <c r="K67" s="416">
        <f t="shared" si="16"/>
        <v>-1000000</v>
      </c>
      <c r="L67" s="417"/>
      <c r="M67" s="420"/>
      <c r="N67" s="420"/>
      <c r="O67" s="420"/>
      <c r="P67" s="403"/>
      <c r="Q67" s="403"/>
      <c r="R67" s="403"/>
      <c r="S67" s="403"/>
      <c r="T67" s="403"/>
      <c r="U67" s="403"/>
      <c r="V67" s="403"/>
      <c r="W67" s="404"/>
      <c r="X67" s="405"/>
      <c r="Y67" s="405"/>
      <c r="Z67" s="405"/>
      <c r="AA67" s="405"/>
      <c r="AB67" s="405"/>
      <c r="AC67" s="405"/>
      <c r="AD67" s="405"/>
      <c r="AE67" s="405"/>
      <c r="AF67" s="405"/>
      <c r="AG67" s="405"/>
      <c r="AH67" s="405"/>
      <c r="AI67" s="405"/>
      <c r="AJ67" s="405"/>
      <c r="AK67" s="405"/>
      <c r="AL67" s="405"/>
      <c r="AM67" s="406"/>
      <c r="AN67" s="406"/>
      <c r="AO67" s="406"/>
      <c r="AP67" s="406"/>
      <c r="AQ67" s="403"/>
      <c r="AR67" s="403"/>
      <c r="AS67" s="403"/>
      <c r="AT67" s="403"/>
      <c r="AU67" s="403"/>
      <c r="AV67" s="403"/>
      <c r="AW67" s="403"/>
      <c r="AX67" s="403"/>
      <c r="AY67" s="403"/>
    </row>
    <row r="68">
      <c r="A68" s="408" t="s">
        <v>146</v>
      </c>
      <c r="B68" s="439">
        <v>46016.0</v>
      </c>
      <c r="C68" s="410">
        <v>21152.75181044421</v>
      </c>
      <c r="D68" s="432">
        <f t="shared" si="11"/>
        <v>82.73155265</v>
      </c>
      <c r="E68" s="412">
        <v>1750000.0</v>
      </c>
      <c r="F68" s="413">
        <f t="shared" si="12"/>
        <v>1709614.814</v>
      </c>
      <c r="G68" s="413">
        <f t="shared" si="13"/>
        <v>-37558.22305</v>
      </c>
      <c r="H68" s="414">
        <f t="shared" si="14"/>
        <v>-0.02146184174</v>
      </c>
      <c r="I68" s="415">
        <f t="shared" si="10"/>
        <v>74</v>
      </c>
      <c r="J68" s="414">
        <f t="shared" si="15"/>
        <v>-0.100166612</v>
      </c>
      <c r="K68" s="416">
        <f t="shared" si="16"/>
        <v>-1750000</v>
      </c>
      <c r="L68" s="417"/>
      <c r="M68" s="420"/>
      <c r="N68" s="420"/>
      <c r="O68" s="420"/>
      <c r="P68" s="403"/>
      <c r="Q68" s="403"/>
      <c r="R68" s="403"/>
      <c r="S68" s="403"/>
      <c r="T68" s="403"/>
      <c r="U68" s="403"/>
      <c r="V68" s="403"/>
      <c r="W68" s="404"/>
      <c r="X68" s="405"/>
      <c r="Y68" s="405"/>
      <c r="Z68" s="405"/>
      <c r="AA68" s="405"/>
      <c r="AB68" s="405"/>
      <c r="AC68" s="405"/>
      <c r="AD68" s="405"/>
      <c r="AE68" s="405"/>
      <c r="AF68" s="405"/>
      <c r="AG68" s="405"/>
      <c r="AH68" s="405"/>
      <c r="AI68" s="405"/>
      <c r="AJ68" s="405"/>
      <c r="AK68" s="405"/>
      <c r="AL68" s="405"/>
      <c r="AM68" s="406"/>
      <c r="AN68" s="406"/>
      <c r="AO68" s="406"/>
      <c r="AP68" s="406"/>
      <c r="AQ68" s="403"/>
      <c r="AR68" s="403"/>
      <c r="AS68" s="403"/>
      <c r="AT68" s="403"/>
      <c r="AU68" s="403"/>
      <c r="AV68" s="403"/>
      <c r="AW68" s="403"/>
      <c r="AX68" s="403"/>
      <c r="AY68" s="403"/>
    </row>
    <row r="69">
      <c r="A69" s="408" t="s">
        <v>139</v>
      </c>
      <c r="B69" s="439">
        <v>46021.0</v>
      </c>
      <c r="C69" s="410">
        <v>21044.590264891653</v>
      </c>
      <c r="D69" s="432">
        <f t="shared" si="11"/>
        <v>9.50363003</v>
      </c>
      <c r="E69" s="412">
        <v>200000.0</v>
      </c>
      <c r="F69" s="413">
        <f t="shared" si="12"/>
        <v>196388.7557</v>
      </c>
      <c r="G69" s="413">
        <f t="shared" si="13"/>
        <v>-3358.457162</v>
      </c>
      <c r="H69" s="414">
        <f t="shared" si="14"/>
        <v>-0.01679228581</v>
      </c>
      <c r="I69" s="415">
        <f t="shared" si="10"/>
        <v>69</v>
      </c>
      <c r="J69" s="414">
        <f t="shared" si="15"/>
        <v>-0.08456495556</v>
      </c>
      <c r="K69" s="416">
        <f t="shared" si="16"/>
        <v>-200000</v>
      </c>
      <c r="L69" s="417"/>
      <c r="M69" s="420"/>
      <c r="N69" s="420"/>
      <c r="O69" s="420"/>
      <c r="P69" s="403"/>
      <c r="Q69" s="403"/>
      <c r="R69" s="403"/>
      <c r="S69" s="403"/>
      <c r="T69" s="403"/>
      <c r="U69" s="403"/>
      <c r="V69" s="403"/>
      <c r="W69" s="404"/>
      <c r="X69" s="405"/>
      <c r="Y69" s="405"/>
      <c r="Z69" s="405"/>
      <c r="AA69" s="405"/>
      <c r="AB69" s="405"/>
      <c r="AC69" s="405"/>
      <c r="AD69" s="405"/>
      <c r="AE69" s="405"/>
      <c r="AF69" s="405"/>
      <c r="AG69" s="405"/>
      <c r="AH69" s="405"/>
      <c r="AI69" s="405"/>
      <c r="AJ69" s="405"/>
      <c r="AK69" s="405"/>
      <c r="AL69" s="405"/>
      <c r="AM69" s="406"/>
      <c r="AN69" s="406"/>
      <c r="AO69" s="406"/>
      <c r="AP69" s="406"/>
      <c r="AQ69" s="403"/>
      <c r="AR69" s="403"/>
      <c r="AS69" s="403"/>
      <c r="AT69" s="403"/>
      <c r="AU69" s="403"/>
      <c r="AV69" s="403"/>
      <c r="AW69" s="403"/>
      <c r="AX69" s="403"/>
      <c r="AY69" s="403"/>
    </row>
    <row r="70">
      <c r="A70" s="408" t="s">
        <v>136</v>
      </c>
      <c r="B70" s="439">
        <v>46023.0</v>
      </c>
      <c r="C70" s="410">
        <v>21049.415670853476</v>
      </c>
      <c r="D70" s="432">
        <f t="shared" si="11"/>
        <v>4.7507257</v>
      </c>
      <c r="E70" s="412">
        <v>100000.0</v>
      </c>
      <c r="F70" s="413">
        <f t="shared" si="12"/>
        <v>98171.86761</v>
      </c>
      <c r="G70" s="413">
        <f t="shared" si="13"/>
        <v>-1700.163119</v>
      </c>
      <c r="H70" s="414">
        <f t="shared" si="14"/>
        <v>-0.01700163119</v>
      </c>
      <c r="I70" s="415">
        <f t="shared" si="10"/>
        <v>67</v>
      </c>
      <c r="J70" s="414">
        <f t="shared" si="15"/>
        <v>-0.0880202844</v>
      </c>
      <c r="K70" s="416">
        <f t="shared" si="16"/>
        <v>-100000</v>
      </c>
      <c r="L70" s="417"/>
      <c r="M70" s="420"/>
      <c r="N70" s="420"/>
      <c r="O70" s="420"/>
      <c r="P70" s="403"/>
      <c r="Q70" s="403"/>
      <c r="R70" s="403"/>
      <c r="S70" s="403"/>
      <c r="T70" s="403"/>
      <c r="U70" s="403"/>
      <c r="V70" s="403"/>
      <c r="W70" s="404"/>
      <c r="X70" s="405"/>
      <c r="Y70" s="405"/>
      <c r="Z70" s="405"/>
      <c r="AA70" s="405"/>
      <c r="AB70" s="405"/>
      <c r="AC70" s="405"/>
      <c r="AD70" s="405"/>
      <c r="AE70" s="405"/>
      <c r="AF70" s="405"/>
      <c r="AG70" s="405"/>
      <c r="AH70" s="405"/>
      <c r="AI70" s="405"/>
      <c r="AJ70" s="405"/>
      <c r="AK70" s="405"/>
      <c r="AL70" s="405"/>
      <c r="AM70" s="406"/>
      <c r="AN70" s="406"/>
      <c r="AO70" s="406"/>
      <c r="AP70" s="406"/>
      <c r="AQ70" s="403"/>
      <c r="AR70" s="403"/>
      <c r="AS70" s="403"/>
      <c r="AT70" s="403"/>
      <c r="AU70" s="403"/>
      <c r="AV70" s="403"/>
      <c r="AW70" s="403"/>
      <c r="AX70" s="403"/>
      <c r="AY70" s="403"/>
    </row>
    <row r="71">
      <c r="A71" s="408" t="s">
        <v>131</v>
      </c>
      <c r="B71" s="439">
        <v>46023.0</v>
      </c>
      <c r="C71" s="410">
        <v>21049.415670853476</v>
      </c>
      <c r="D71" s="432">
        <f t="shared" si="11"/>
        <v>9.5014514</v>
      </c>
      <c r="E71" s="412">
        <v>200000.0</v>
      </c>
      <c r="F71" s="413">
        <f t="shared" si="12"/>
        <v>196343.7352</v>
      </c>
      <c r="G71" s="413">
        <f t="shared" si="13"/>
        <v>-3400.326238</v>
      </c>
      <c r="H71" s="414">
        <f t="shared" si="14"/>
        <v>-0.01700163119</v>
      </c>
      <c r="I71" s="415">
        <f t="shared" si="10"/>
        <v>67</v>
      </c>
      <c r="J71" s="414">
        <f t="shared" si="15"/>
        <v>-0.0880202844</v>
      </c>
      <c r="K71" s="416">
        <f t="shared" si="16"/>
        <v>-200000</v>
      </c>
      <c r="L71" s="417"/>
      <c r="M71" s="420"/>
      <c r="N71" s="420"/>
      <c r="O71" s="420"/>
      <c r="P71" s="403"/>
      <c r="Q71" s="403"/>
      <c r="R71" s="403"/>
      <c r="S71" s="403"/>
      <c r="T71" s="403"/>
      <c r="U71" s="403"/>
      <c r="V71" s="403"/>
      <c r="W71" s="404"/>
      <c r="X71" s="405"/>
      <c r="Y71" s="405"/>
      <c r="Z71" s="405"/>
      <c r="AA71" s="405"/>
      <c r="AB71" s="405"/>
      <c r="AC71" s="405"/>
      <c r="AD71" s="405"/>
      <c r="AE71" s="405"/>
      <c r="AF71" s="405"/>
      <c r="AG71" s="405"/>
      <c r="AH71" s="405"/>
      <c r="AI71" s="405"/>
      <c r="AJ71" s="405"/>
      <c r="AK71" s="405"/>
      <c r="AL71" s="405"/>
      <c r="AM71" s="406"/>
      <c r="AN71" s="406"/>
      <c r="AO71" s="406"/>
      <c r="AP71" s="406"/>
      <c r="AQ71" s="403"/>
      <c r="AR71" s="403"/>
      <c r="AS71" s="403"/>
      <c r="AT71" s="403"/>
      <c r="AU71" s="403"/>
      <c r="AV71" s="403"/>
      <c r="AW71" s="403"/>
      <c r="AX71" s="403"/>
      <c r="AY71" s="403"/>
    </row>
    <row r="72">
      <c r="A72" s="408" t="s">
        <v>152</v>
      </c>
      <c r="B72" s="439">
        <v>46023.0</v>
      </c>
      <c r="C72" s="410">
        <v>21049.415670853476</v>
      </c>
      <c r="D72" s="432">
        <f t="shared" si="11"/>
        <v>142.521771</v>
      </c>
      <c r="E72" s="412">
        <v>3000000.0</v>
      </c>
      <c r="F72" s="413">
        <f t="shared" si="12"/>
        <v>2945156.028</v>
      </c>
      <c r="G72" s="413">
        <f t="shared" si="13"/>
        <v>-51004.89357</v>
      </c>
      <c r="H72" s="414">
        <f t="shared" si="14"/>
        <v>-0.01700163119</v>
      </c>
      <c r="I72" s="415">
        <f t="shared" si="10"/>
        <v>67</v>
      </c>
      <c r="J72" s="414">
        <f t="shared" si="15"/>
        <v>-0.0880202844</v>
      </c>
      <c r="K72" s="416">
        <f t="shared" si="16"/>
        <v>-3000000</v>
      </c>
      <c r="L72" s="417"/>
      <c r="M72" s="420"/>
      <c r="N72" s="420"/>
      <c r="O72" s="420"/>
      <c r="P72" s="403"/>
      <c r="Q72" s="403"/>
      <c r="R72" s="403"/>
      <c r="S72" s="403"/>
      <c r="T72" s="403"/>
      <c r="U72" s="403"/>
      <c r="V72" s="403"/>
      <c r="W72" s="404"/>
      <c r="X72" s="405"/>
      <c r="Y72" s="405"/>
      <c r="Z72" s="405"/>
      <c r="AA72" s="405"/>
      <c r="AB72" s="405"/>
      <c r="AC72" s="405"/>
      <c r="AD72" s="405"/>
      <c r="AE72" s="405"/>
      <c r="AF72" s="405"/>
      <c r="AG72" s="405"/>
      <c r="AH72" s="405"/>
      <c r="AI72" s="405"/>
      <c r="AJ72" s="405"/>
      <c r="AK72" s="405"/>
      <c r="AL72" s="405"/>
      <c r="AM72" s="406"/>
      <c r="AN72" s="406"/>
      <c r="AO72" s="406"/>
      <c r="AP72" s="406"/>
      <c r="AQ72" s="403"/>
      <c r="AR72" s="403"/>
      <c r="AS72" s="403"/>
      <c r="AT72" s="403"/>
      <c r="AU72" s="403"/>
      <c r="AV72" s="403"/>
      <c r="AW72" s="403"/>
      <c r="AX72" s="403"/>
      <c r="AY72" s="403"/>
    </row>
    <row r="73">
      <c r="A73" s="408" t="s">
        <v>126</v>
      </c>
      <c r="B73" s="439">
        <v>46035.0</v>
      </c>
      <c r="C73" s="410">
        <v>21297.9604936743</v>
      </c>
      <c r="D73" s="432">
        <f t="shared" si="11"/>
        <v>2.347642631</v>
      </c>
      <c r="E73" s="412">
        <v>50000.0</v>
      </c>
      <c r="F73" s="413">
        <f t="shared" si="12"/>
        <v>48513.10644</v>
      </c>
      <c r="G73" s="413">
        <f t="shared" si="13"/>
        <v>-1382.811015</v>
      </c>
      <c r="H73" s="414">
        <f t="shared" si="14"/>
        <v>-0.02765622029</v>
      </c>
      <c r="I73" s="415">
        <f t="shared" si="10"/>
        <v>55</v>
      </c>
      <c r="J73" s="414">
        <f t="shared" si="15"/>
        <v>-0.1677087706</v>
      </c>
      <c r="K73" s="416">
        <f t="shared" si="16"/>
        <v>-50000</v>
      </c>
      <c r="L73" s="417"/>
      <c r="M73" s="420"/>
      <c r="N73" s="420"/>
      <c r="O73" s="420"/>
      <c r="P73" s="403"/>
      <c r="Q73" s="403"/>
      <c r="R73" s="403"/>
      <c r="S73" s="403"/>
      <c r="T73" s="403"/>
      <c r="U73" s="403"/>
      <c r="V73" s="403"/>
      <c r="W73" s="404"/>
      <c r="X73" s="405"/>
      <c r="Y73" s="405"/>
      <c r="Z73" s="405"/>
      <c r="AA73" s="405"/>
      <c r="AB73" s="405"/>
      <c r="AC73" s="405"/>
      <c r="AD73" s="405"/>
      <c r="AE73" s="405"/>
      <c r="AF73" s="405"/>
      <c r="AG73" s="405"/>
      <c r="AH73" s="405"/>
      <c r="AI73" s="405"/>
      <c r="AJ73" s="405"/>
      <c r="AK73" s="405"/>
      <c r="AL73" s="405"/>
      <c r="AM73" s="406"/>
      <c r="AN73" s="406"/>
      <c r="AO73" s="406"/>
      <c r="AP73" s="406"/>
      <c r="AQ73" s="403"/>
      <c r="AR73" s="403"/>
      <c r="AS73" s="403"/>
      <c r="AT73" s="403"/>
      <c r="AU73" s="403"/>
      <c r="AV73" s="403"/>
      <c r="AW73" s="403"/>
      <c r="AX73" s="403"/>
      <c r="AY73" s="403"/>
    </row>
    <row r="74">
      <c r="A74" s="408" t="s">
        <v>162</v>
      </c>
      <c r="B74" s="439">
        <v>46039.0</v>
      </c>
      <c r="C74" s="410">
        <v>21639.45878189924</v>
      </c>
      <c r="D74" s="411">
        <v>-57.5423889090412</v>
      </c>
      <c r="E74" s="412">
        <v>-1000000.0</v>
      </c>
      <c r="F74" s="413">
        <f>D74*C74</f>
        <v>-1245186.153</v>
      </c>
      <c r="G74" s="413">
        <f>IF(E74&lt;&gt;0,F74-E74-((F74-E74)*16%),)</f>
        <v>-205956.3685</v>
      </c>
      <c r="H74" s="414">
        <f t="shared" si="14"/>
        <v>0.2059563685</v>
      </c>
      <c r="I74" s="415">
        <f t="shared" si="10"/>
        <v>51</v>
      </c>
      <c r="J74" s="414">
        <f t="shared" si="15"/>
        <v>2.750639981</v>
      </c>
      <c r="K74" s="416">
        <f t="shared" si="16"/>
        <v>1000000</v>
      </c>
      <c r="L74" s="417"/>
      <c r="M74" s="420"/>
      <c r="N74" s="420"/>
      <c r="O74" s="420"/>
      <c r="P74" s="403"/>
      <c r="Q74" s="403"/>
      <c r="R74" s="403"/>
      <c r="S74" s="403"/>
      <c r="T74" s="403"/>
      <c r="U74" s="403"/>
      <c r="V74" s="403"/>
      <c r="W74" s="404"/>
      <c r="X74" s="405"/>
      <c r="Y74" s="405"/>
      <c r="Z74" s="405"/>
      <c r="AA74" s="405"/>
      <c r="AB74" s="405"/>
      <c r="AC74" s="405"/>
      <c r="AD74" s="405"/>
      <c r="AE74" s="405"/>
      <c r="AF74" s="405"/>
      <c r="AG74" s="405"/>
      <c r="AH74" s="405"/>
      <c r="AI74" s="405"/>
      <c r="AJ74" s="405"/>
      <c r="AK74" s="405"/>
      <c r="AL74" s="405"/>
      <c r="AM74" s="406"/>
      <c r="AN74" s="406"/>
      <c r="AO74" s="406"/>
      <c r="AP74" s="406"/>
      <c r="AQ74" s="403"/>
      <c r="AR74" s="403"/>
      <c r="AS74" s="403"/>
      <c r="AT74" s="403"/>
      <c r="AU74" s="403"/>
      <c r="AV74" s="403"/>
      <c r="AW74" s="403"/>
      <c r="AX74" s="403"/>
      <c r="AY74" s="403"/>
    </row>
    <row r="75">
      <c r="A75" s="408" t="s">
        <v>136</v>
      </c>
      <c r="B75" s="439">
        <v>46039.0</v>
      </c>
      <c r="C75" s="410">
        <v>21639.45878189924</v>
      </c>
      <c r="D75" s="432">
        <f t="shared" ref="D75:D80" si="17">IF(E75&lt;&gt;0,E75/C75,)</f>
        <v>1.812891921</v>
      </c>
      <c r="E75" s="412">
        <v>39230.0</v>
      </c>
      <c r="F75" s="413">
        <f t="shared" ref="F75:F87" si="18">IF(D75&lt;&gt;0,$N$4*D75,)</f>
        <v>37462.69452</v>
      </c>
      <c r="G75" s="413">
        <f t="shared" ref="G75:G87" si="19">IF(E75&lt;&gt;0,F75-E75-((F75-E75)*7%),)</f>
        <v>-1643.594094</v>
      </c>
      <c r="H75" s="414">
        <f t="shared" si="14"/>
        <v>-0.04189635722</v>
      </c>
      <c r="I75" s="415">
        <f t="shared" si="10"/>
        <v>51</v>
      </c>
      <c r="J75" s="414">
        <f t="shared" si="15"/>
        <v>-0.2607453638</v>
      </c>
      <c r="K75" s="416">
        <f t="shared" si="16"/>
        <v>-39230</v>
      </c>
      <c r="L75" s="417"/>
      <c r="M75" s="420"/>
      <c r="N75" s="420"/>
      <c r="O75" s="420"/>
      <c r="P75" s="403"/>
      <c r="Q75" s="403"/>
      <c r="R75" s="403"/>
      <c r="S75" s="403"/>
      <c r="T75" s="403"/>
      <c r="U75" s="403"/>
      <c r="V75" s="403"/>
      <c r="W75" s="404"/>
      <c r="X75" s="405"/>
      <c r="Y75" s="405"/>
      <c r="Z75" s="405"/>
      <c r="AA75" s="405"/>
      <c r="AB75" s="405"/>
      <c r="AC75" s="405"/>
      <c r="AD75" s="405"/>
      <c r="AE75" s="405"/>
      <c r="AF75" s="405"/>
      <c r="AG75" s="405"/>
      <c r="AH75" s="405"/>
      <c r="AI75" s="405"/>
      <c r="AJ75" s="405"/>
      <c r="AK75" s="405"/>
      <c r="AL75" s="405"/>
      <c r="AM75" s="406"/>
      <c r="AN75" s="406"/>
      <c r="AO75" s="406"/>
      <c r="AP75" s="406"/>
      <c r="AQ75" s="403"/>
      <c r="AR75" s="403"/>
      <c r="AS75" s="403"/>
      <c r="AT75" s="403"/>
      <c r="AU75" s="403"/>
      <c r="AV75" s="403"/>
      <c r="AW75" s="403"/>
      <c r="AX75" s="403"/>
      <c r="AY75" s="403"/>
    </row>
    <row r="76">
      <c r="A76" s="408" t="s">
        <v>129</v>
      </c>
      <c r="B76" s="440">
        <v>46040.0</v>
      </c>
      <c r="C76" s="410">
        <v>21643.52165007073</v>
      </c>
      <c r="D76" s="432">
        <f t="shared" si="17"/>
        <v>9.240640374</v>
      </c>
      <c r="E76" s="412">
        <v>200000.0</v>
      </c>
      <c r="F76" s="413">
        <f t="shared" si="18"/>
        <v>190954.1785</v>
      </c>
      <c r="G76" s="413">
        <f t="shared" si="19"/>
        <v>-8412.613967</v>
      </c>
      <c r="H76" s="414">
        <f t="shared" si="14"/>
        <v>-0.04206306984</v>
      </c>
      <c r="I76" s="415">
        <f t="shared" si="10"/>
        <v>50</v>
      </c>
      <c r="J76" s="414">
        <f t="shared" si="15"/>
        <v>-0.2661187397</v>
      </c>
      <c r="K76" s="416">
        <f t="shared" si="16"/>
        <v>-200000</v>
      </c>
      <c r="L76" s="417"/>
      <c r="M76" s="420"/>
      <c r="N76" s="420"/>
      <c r="O76" s="420"/>
      <c r="P76" s="403"/>
      <c r="Q76" s="403"/>
      <c r="R76" s="403"/>
      <c r="S76" s="403"/>
      <c r="T76" s="403"/>
      <c r="U76" s="403"/>
      <c r="V76" s="403"/>
      <c r="W76" s="404"/>
      <c r="X76" s="405"/>
      <c r="Y76" s="405"/>
      <c r="Z76" s="405"/>
      <c r="AA76" s="405"/>
      <c r="AB76" s="405"/>
      <c r="AC76" s="405"/>
      <c r="AD76" s="405"/>
      <c r="AE76" s="405"/>
      <c r="AF76" s="405"/>
      <c r="AG76" s="405"/>
      <c r="AH76" s="405"/>
      <c r="AI76" s="405"/>
      <c r="AJ76" s="405"/>
      <c r="AK76" s="405"/>
      <c r="AL76" s="405"/>
      <c r="AM76" s="406"/>
      <c r="AN76" s="406"/>
      <c r="AO76" s="406"/>
      <c r="AP76" s="406"/>
      <c r="AQ76" s="403"/>
      <c r="AR76" s="403"/>
      <c r="AS76" s="403"/>
      <c r="AT76" s="403"/>
      <c r="AU76" s="403"/>
      <c r="AV76" s="403"/>
      <c r="AW76" s="403"/>
      <c r="AX76" s="403"/>
      <c r="AY76" s="403"/>
    </row>
    <row r="77">
      <c r="A77" s="408" t="s">
        <v>139</v>
      </c>
      <c r="B77" s="440">
        <v>46047.0</v>
      </c>
      <c r="C77" s="410">
        <v>22193.37043889699</v>
      </c>
      <c r="D77" s="432">
        <f t="shared" si="17"/>
        <v>1.351755024</v>
      </c>
      <c r="E77" s="412">
        <v>30000.0</v>
      </c>
      <c r="F77" s="413">
        <f t="shared" si="18"/>
        <v>27933.48294</v>
      </c>
      <c r="G77" s="413">
        <f t="shared" si="19"/>
        <v>-1921.860864</v>
      </c>
      <c r="H77" s="414">
        <f t="shared" si="14"/>
        <v>-0.0640620288</v>
      </c>
      <c r="I77" s="415">
        <f t="shared" si="10"/>
        <v>43</v>
      </c>
      <c r="J77" s="414">
        <f t="shared" si="15"/>
        <v>-0.4255162209</v>
      </c>
      <c r="K77" s="416">
        <f t="shared" si="16"/>
        <v>-30000</v>
      </c>
      <c r="L77" s="417"/>
      <c r="M77" s="420"/>
      <c r="N77" s="420"/>
      <c r="O77" s="420"/>
      <c r="P77" s="403"/>
      <c r="Q77" s="403"/>
      <c r="R77" s="403"/>
      <c r="S77" s="403"/>
      <c r="T77" s="403"/>
      <c r="U77" s="403"/>
      <c r="V77" s="403"/>
      <c r="W77" s="404"/>
      <c r="X77" s="405"/>
      <c r="Y77" s="405"/>
      <c r="Z77" s="405"/>
      <c r="AA77" s="405"/>
      <c r="AB77" s="405"/>
      <c r="AC77" s="405"/>
      <c r="AD77" s="405"/>
      <c r="AE77" s="405"/>
      <c r="AF77" s="405"/>
      <c r="AG77" s="405"/>
      <c r="AH77" s="405"/>
      <c r="AI77" s="405"/>
      <c r="AJ77" s="405"/>
      <c r="AK77" s="405"/>
      <c r="AL77" s="405"/>
      <c r="AM77" s="406"/>
      <c r="AN77" s="406"/>
      <c r="AO77" s="406"/>
      <c r="AP77" s="406"/>
      <c r="AQ77" s="403"/>
      <c r="AR77" s="403"/>
      <c r="AS77" s="403"/>
      <c r="AT77" s="403"/>
      <c r="AU77" s="403"/>
      <c r="AV77" s="403"/>
      <c r="AW77" s="403"/>
      <c r="AX77" s="403"/>
      <c r="AY77" s="403"/>
    </row>
    <row r="78">
      <c r="A78" s="408" t="s">
        <v>132</v>
      </c>
      <c r="B78" s="440">
        <v>46047.0</v>
      </c>
      <c r="C78" s="410">
        <v>22193.37043889699</v>
      </c>
      <c r="D78" s="432">
        <f t="shared" si="17"/>
        <v>9.011700163</v>
      </c>
      <c r="E78" s="412">
        <v>200000.0</v>
      </c>
      <c r="F78" s="413">
        <f t="shared" si="18"/>
        <v>186223.2196</v>
      </c>
      <c r="G78" s="413">
        <f t="shared" si="19"/>
        <v>-12812.40576</v>
      </c>
      <c r="H78" s="414">
        <f t="shared" si="14"/>
        <v>-0.0640620288</v>
      </c>
      <c r="I78" s="415">
        <f t="shared" si="10"/>
        <v>43</v>
      </c>
      <c r="J78" s="414">
        <f t="shared" si="15"/>
        <v>-0.4255162209</v>
      </c>
      <c r="K78" s="416">
        <f t="shared" si="16"/>
        <v>-200000</v>
      </c>
      <c r="L78" s="417"/>
      <c r="M78" s="403"/>
      <c r="N78" s="403"/>
      <c r="O78" s="403"/>
      <c r="P78" s="403"/>
      <c r="Q78" s="403"/>
      <c r="R78" s="403"/>
      <c r="S78" s="403"/>
      <c r="T78" s="403"/>
      <c r="U78" s="403"/>
      <c r="V78" s="403"/>
      <c r="W78" s="404"/>
      <c r="X78" s="405"/>
      <c r="Y78" s="405"/>
      <c r="Z78" s="405"/>
      <c r="AA78" s="405"/>
      <c r="AB78" s="405"/>
      <c r="AC78" s="405"/>
      <c r="AD78" s="405"/>
      <c r="AE78" s="405"/>
      <c r="AF78" s="405"/>
      <c r="AG78" s="405"/>
      <c r="AH78" s="405"/>
      <c r="AI78" s="405"/>
      <c r="AJ78" s="405"/>
      <c r="AK78" s="405"/>
      <c r="AL78" s="405"/>
      <c r="AM78" s="406"/>
      <c r="AN78" s="406"/>
      <c r="AO78" s="406"/>
      <c r="AP78" s="406"/>
      <c r="AQ78" s="403"/>
      <c r="AR78" s="403"/>
      <c r="AS78" s="403"/>
      <c r="AT78" s="403"/>
      <c r="AU78" s="403"/>
      <c r="AV78" s="403"/>
      <c r="AW78" s="403"/>
      <c r="AX78" s="403"/>
      <c r="AY78" s="403"/>
    </row>
    <row r="79">
      <c r="A79" s="408" t="s">
        <v>151</v>
      </c>
      <c r="B79" s="440">
        <v>46051.0</v>
      </c>
      <c r="C79" s="410">
        <v>22197.996918361845</v>
      </c>
      <c r="D79" s="432">
        <f t="shared" si="17"/>
        <v>45.04910978</v>
      </c>
      <c r="E79" s="412">
        <v>1000000.0</v>
      </c>
      <c r="F79" s="413">
        <f t="shared" si="18"/>
        <v>930922.036</v>
      </c>
      <c r="G79" s="413">
        <f t="shared" si="19"/>
        <v>-64242.50654</v>
      </c>
      <c r="H79" s="414">
        <f t="shared" si="14"/>
        <v>-0.06424250654</v>
      </c>
      <c r="I79" s="415">
        <f t="shared" si="10"/>
        <v>39</v>
      </c>
      <c r="J79" s="414">
        <f t="shared" si="15"/>
        <v>-0.4582296886</v>
      </c>
      <c r="K79" s="416">
        <f t="shared" si="16"/>
        <v>-1000000</v>
      </c>
      <c r="L79" s="417"/>
      <c r="M79" s="403"/>
      <c r="N79" s="403"/>
      <c r="O79" s="403"/>
      <c r="P79" s="403"/>
      <c r="Q79" s="403"/>
      <c r="R79" s="403"/>
      <c r="S79" s="403"/>
      <c r="T79" s="403"/>
      <c r="U79" s="403"/>
      <c r="V79" s="403"/>
      <c r="W79" s="404"/>
      <c r="X79" s="405"/>
      <c r="Y79" s="405"/>
      <c r="Z79" s="405"/>
      <c r="AA79" s="405"/>
      <c r="AB79" s="405"/>
      <c r="AC79" s="405"/>
      <c r="AD79" s="405"/>
      <c r="AE79" s="405"/>
      <c r="AF79" s="405"/>
      <c r="AG79" s="405"/>
      <c r="AH79" s="405"/>
      <c r="AI79" s="405"/>
      <c r="AJ79" s="405"/>
      <c r="AK79" s="405"/>
      <c r="AL79" s="405"/>
      <c r="AM79" s="406"/>
      <c r="AN79" s="406"/>
      <c r="AO79" s="406"/>
      <c r="AP79" s="406"/>
      <c r="AQ79" s="403"/>
      <c r="AR79" s="403"/>
      <c r="AS79" s="403"/>
      <c r="AT79" s="403"/>
      <c r="AU79" s="403"/>
      <c r="AV79" s="403"/>
      <c r="AW79" s="403"/>
      <c r="AX79" s="403"/>
      <c r="AY79" s="403"/>
    </row>
    <row r="80">
      <c r="A80" s="408" t="s">
        <v>128</v>
      </c>
      <c r="B80" s="440">
        <v>46068.0</v>
      </c>
      <c r="C80" s="410">
        <v>21679.26672028869</v>
      </c>
      <c r="D80" s="432">
        <f t="shared" si="17"/>
        <v>4.808741981</v>
      </c>
      <c r="E80" s="412">
        <v>104250.0</v>
      </c>
      <c r="F80" s="413">
        <f t="shared" si="18"/>
        <v>99370.75112</v>
      </c>
      <c r="G80" s="413">
        <f t="shared" si="19"/>
        <v>-4537.701461</v>
      </c>
      <c r="H80" s="414">
        <f t="shared" si="14"/>
        <v>-0.04352711234</v>
      </c>
      <c r="I80" s="415">
        <f t="shared" si="10"/>
        <v>22</v>
      </c>
      <c r="J80" s="414">
        <f t="shared" si="15"/>
        <v>-0.5172364179</v>
      </c>
      <c r="K80" s="416">
        <f t="shared" si="16"/>
        <v>-104250</v>
      </c>
      <c r="L80" s="417"/>
      <c r="M80" s="403"/>
      <c r="N80" s="403"/>
      <c r="O80" s="403"/>
      <c r="P80" s="403"/>
      <c r="Q80" s="403"/>
      <c r="R80" s="403"/>
      <c r="S80" s="403"/>
      <c r="T80" s="403"/>
      <c r="U80" s="403"/>
      <c r="V80" s="403"/>
      <c r="W80" s="404"/>
      <c r="X80" s="405"/>
      <c r="Y80" s="405"/>
      <c r="Z80" s="405"/>
      <c r="AA80" s="405"/>
      <c r="AB80" s="405"/>
      <c r="AC80" s="405"/>
      <c r="AD80" s="405"/>
      <c r="AE80" s="405"/>
      <c r="AF80" s="405"/>
      <c r="AG80" s="405"/>
      <c r="AH80" s="405"/>
      <c r="AI80" s="405"/>
      <c r="AJ80" s="405"/>
      <c r="AK80" s="405"/>
      <c r="AL80" s="405"/>
      <c r="AM80" s="406"/>
      <c r="AN80" s="406"/>
      <c r="AO80" s="406"/>
      <c r="AP80" s="406"/>
      <c r="AQ80" s="403"/>
      <c r="AR80" s="403"/>
      <c r="AS80" s="403"/>
      <c r="AT80" s="403"/>
      <c r="AU80" s="403"/>
      <c r="AV80" s="403"/>
      <c r="AW80" s="403"/>
      <c r="AX80" s="403"/>
      <c r="AY80" s="403"/>
    </row>
    <row r="81">
      <c r="A81" s="408" t="s">
        <v>161</v>
      </c>
      <c r="B81" s="440">
        <v>46068.0</v>
      </c>
      <c r="C81" s="410">
        <v>21679.26672028869</v>
      </c>
      <c r="D81" s="411">
        <v>-9.3658251253592</v>
      </c>
      <c r="E81" s="412">
        <v>-130000.0</v>
      </c>
      <c r="F81" s="413">
        <f t="shared" si="18"/>
        <v>-193541.0719</v>
      </c>
      <c r="G81" s="413">
        <f t="shared" si="19"/>
        <v>-59093.19687</v>
      </c>
      <c r="H81" s="414">
        <f t="shared" si="14"/>
        <v>0.4545630528</v>
      </c>
      <c r="I81" s="415">
        <f t="shared" si="10"/>
        <v>22</v>
      </c>
      <c r="J81" s="414">
        <f t="shared" si="15"/>
        <v>459.1466918</v>
      </c>
      <c r="K81" s="416">
        <f t="shared" si="16"/>
        <v>130000</v>
      </c>
      <c r="L81" s="417"/>
      <c r="M81" s="403"/>
      <c r="N81" s="403"/>
      <c r="O81" s="403"/>
      <c r="P81" s="403"/>
      <c r="Q81" s="403"/>
      <c r="R81" s="403"/>
      <c r="S81" s="403"/>
      <c r="T81" s="403"/>
      <c r="U81" s="403"/>
      <c r="V81" s="403"/>
      <c r="W81" s="404"/>
      <c r="X81" s="405"/>
      <c r="Y81" s="405"/>
      <c r="Z81" s="405"/>
      <c r="AA81" s="405"/>
      <c r="AB81" s="405"/>
      <c r="AC81" s="405"/>
      <c r="AD81" s="405"/>
      <c r="AE81" s="405"/>
      <c r="AF81" s="405"/>
      <c r="AG81" s="405"/>
      <c r="AH81" s="405"/>
      <c r="AI81" s="405"/>
      <c r="AJ81" s="405"/>
      <c r="AK81" s="405"/>
      <c r="AL81" s="405"/>
      <c r="AM81" s="406"/>
      <c r="AN81" s="406"/>
      <c r="AO81" s="406"/>
      <c r="AP81" s="406"/>
      <c r="AQ81" s="403"/>
      <c r="AR81" s="403"/>
      <c r="AS81" s="403"/>
      <c r="AT81" s="403"/>
      <c r="AU81" s="403"/>
      <c r="AV81" s="403"/>
      <c r="AW81" s="403"/>
      <c r="AX81" s="403"/>
      <c r="AY81" s="403"/>
    </row>
    <row r="82">
      <c r="A82" s="408" t="s">
        <v>136</v>
      </c>
      <c r="B82" s="440">
        <v>46068.0</v>
      </c>
      <c r="C82" s="410">
        <v>21679.26672028869</v>
      </c>
      <c r="D82" s="432">
        <f t="shared" ref="D82:D87" si="20">IF(E82&lt;&gt;0,E82/C82,)</f>
        <v>0.5390864991</v>
      </c>
      <c r="E82" s="412">
        <v>11687.0</v>
      </c>
      <c r="F82" s="413">
        <f t="shared" si="18"/>
        <v>11140.00929</v>
      </c>
      <c r="G82" s="413">
        <f t="shared" si="19"/>
        <v>-508.7013619</v>
      </c>
      <c r="H82" s="414">
        <f t="shared" si="14"/>
        <v>-0.04352711234</v>
      </c>
      <c r="I82" s="415">
        <f t="shared" si="10"/>
        <v>22</v>
      </c>
      <c r="J82" s="414">
        <f t="shared" si="15"/>
        <v>-0.5172364179</v>
      </c>
      <c r="K82" s="416">
        <f t="shared" si="16"/>
        <v>-11687</v>
      </c>
      <c r="L82" s="417"/>
      <c r="M82" s="403"/>
      <c r="N82" s="403"/>
      <c r="O82" s="403"/>
      <c r="P82" s="403"/>
      <c r="Q82" s="403"/>
      <c r="R82" s="403"/>
      <c r="S82" s="403"/>
      <c r="T82" s="403"/>
      <c r="U82" s="403"/>
      <c r="V82" s="403"/>
      <c r="W82" s="404"/>
      <c r="X82" s="405"/>
      <c r="Y82" s="405"/>
      <c r="Z82" s="405"/>
      <c r="AA82" s="405"/>
      <c r="AB82" s="405"/>
      <c r="AC82" s="405"/>
      <c r="AD82" s="405"/>
      <c r="AE82" s="405"/>
      <c r="AF82" s="405"/>
      <c r="AG82" s="405"/>
      <c r="AH82" s="405"/>
      <c r="AI82" s="405"/>
      <c r="AJ82" s="405"/>
      <c r="AK82" s="405"/>
      <c r="AL82" s="405"/>
      <c r="AM82" s="406"/>
      <c r="AN82" s="406"/>
      <c r="AO82" s="406"/>
      <c r="AP82" s="406"/>
      <c r="AQ82" s="403"/>
      <c r="AR82" s="403"/>
      <c r="AS82" s="403"/>
      <c r="AT82" s="403"/>
      <c r="AU82" s="403"/>
      <c r="AV82" s="403"/>
      <c r="AW82" s="403"/>
      <c r="AX82" s="403"/>
      <c r="AY82" s="403"/>
    </row>
    <row r="83">
      <c r="A83" s="408" t="s">
        <v>112</v>
      </c>
      <c r="B83" s="440">
        <v>46069.0</v>
      </c>
      <c r="C83" s="410">
        <v>21606.708874691583</v>
      </c>
      <c r="D83" s="432">
        <f t="shared" si="20"/>
        <v>11.57048033</v>
      </c>
      <c r="E83" s="412">
        <v>250000.0</v>
      </c>
      <c r="F83" s="413">
        <f t="shared" si="18"/>
        <v>239099.3997</v>
      </c>
      <c r="G83" s="413">
        <f t="shared" si="19"/>
        <v>-10137.55828</v>
      </c>
      <c r="H83" s="414">
        <f t="shared" si="14"/>
        <v>-0.04055023311</v>
      </c>
      <c r="I83" s="415">
        <f t="shared" si="10"/>
        <v>21</v>
      </c>
      <c r="J83" s="414">
        <f t="shared" si="15"/>
        <v>-0.5081758418</v>
      </c>
      <c r="K83" s="416">
        <f t="shared" si="16"/>
        <v>-250000</v>
      </c>
      <c r="L83" s="417"/>
      <c r="M83" s="403"/>
      <c r="N83" s="403"/>
      <c r="O83" s="403"/>
      <c r="P83" s="403"/>
      <c r="Q83" s="403"/>
      <c r="R83" s="403"/>
      <c r="S83" s="403"/>
      <c r="T83" s="403"/>
      <c r="U83" s="403"/>
      <c r="V83" s="403"/>
      <c r="W83" s="404"/>
      <c r="X83" s="405"/>
      <c r="Y83" s="405"/>
      <c r="Z83" s="405"/>
      <c r="AA83" s="405"/>
      <c r="AB83" s="405"/>
      <c r="AC83" s="405"/>
      <c r="AD83" s="405"/>
      <c r="AE83" s="405"/>
      <c r="AF83" s="405"/>
      <c r="AG83" s="405"/>
      <c r="AH83" s="405"/>
      <c r="AI83" s="405"/>
      <c r="AJ83" s="405"/>
      <c r="AK83" s="405"/>
      <c r="AL83" s="405"/>
      <c r="AM83" s="406"/>
      <c r="AN83" s="406"/>
      <c r="AO83" s="406"/>
      <c r="AP83" s="406"/>
      <c r="AQ83" s="403"/>
      <c r="AR83" s="403"/>
      <c r="AS83" s="403"/>
      <c r="AT83" s="403"/>
      <c r="AU83" s="403"/>
      <c r="AV83" s="403"/>
      <c r="AW83" s="403"/>
      <c r="AX83" s="403"/>
      <c r="AY83" s="403"/>
    </row>
    <row r="84">
      <c r="A84" s="408" t="s">
        <v>112</v>
      </c>
      <c r="B84" s="440">
        <v>46070.0</v>
      </c>
      <c r="C84" s="410">
        <v>21611.52539101849</v>
      </c>
      <c r="D84" s="432">
        <f t="shared" si="20"/>
        <v>4.16444459</v>
      </c>
      <c r="E84" s="412">
        <v>90000.0</v>
      </c>
      <c r="F84" s="413">
        <f t="shared" si="18"/>
        <v>86056.60036</v>
      </c>
      <c r="G84" s="413">
        <f t="shared" si="19"/>
        <v>-3667.361666</v>
      </c>
      <c r="H84" s="414">
        <f t="shared" si="14"/>
        <v>-0.04074846295</v>
      </c>
      <c r="I84" s="415">
        <f t="shared" si="10"/>
        <v>20</v>
      </c>
      <c r="J84" s="414">
        <f t="shared" si="15"/>
        <v>-0.5270828457</v>
      </c>
      <c r="K84" s="416">
        <f t="shared" si="16"/>
        <v>-90000</v>
      </c>
      <c r="L84" s="417"/>
      <c r="M84" s="403"/>
      <c r="N84" s="403"/>
      <c r="O84" s="403"/>
      <c r="P84" s="403"/>
      <c r="Q84" s="403"/>
      <c r="R84" s="403"/>
      <c r="S84" s="403"/>
      <c r="T84" s="403"/>
      <c r="U84" s="403"/>
      <c r="V84" s="403"/>
      <c r="W84" s="404"/>
      <c r="X84" s="405"/>
      <c r="Y84" s="405"/>
      <c r="Z84" s="405"/>
      <c r="AA84" s="405"/>
      <c r="AB84" s="405"/>
      <c r="AC84" s="405"/>
      <c r="AD84" s="405"/>
      <c r="AE84" s="405"/>
      <c r="AF84" s="405"/>
      <c r="AG84" s="405"/>
      <c r="AH84" s="405"/>
      <c r="AI84" s="405"/>
      <c r="AJ84" s="405"/>
      <c r="AK84" s="405"/>
      <c r="AL84" s="405"/>
      <c r="AM84" s="406"/>
      <c r="AN84" s="406"/>
      <c r="AO84" s="406"/>
      <c r="AP84" s="406"/>
      <c r="AQ84" s="403"/>
      <c r="AR84" s="403"/>
      <c r="AS84" s="403"/>
      <c r="AT84" s="403"/>
      <c r="AU84" s="403"/>
      <c r="AV84" s="403"/>
      <c r="AW84" s="403"/>
      <c r="AX84" s="403"/>
      <c r="AY84" s="403"/>
    </row>
    <row r="85">
      <c r="A85" s="408" t="s">
        <v>112</v>
      </c>
      <c r="B85" s="440">
        <v>46084.0</v>
      </c>
      <c r="C85" s="410">
        <v>20713.919143575476</v>
      </c>
      <c r="D85" s="432">
        <f t="shared" si="20"/>
        <v>2.41383582</v>
      </c>
      <c r="E85" s="412">
        <v>50000.0</v>
      </c>
      <c r="F85" s="413">
        <f t="shared" si="18"/>
        <v>49880.96251</v>
      </c>
      <c r="G85" s="413">
        <f t="shared" si="19"/>
        <v>-110.704863</v>
      </c>
      <c r="H85" s="414">
        <f t="shared" si="14"/>
        <v>-0.00221409726</v>
      </c>
      <c r="I85" s="415">
        <f t="shared" si="10"/>
        <v>6</v>
      </c>
      <c r="J85" s="414">
        <f t="shared" si="15"/>
        <v>-0.1245288845</v>
      </c>
      <c r="K85" s="416">
        <f t="shared" si="16"/>
        <v>-50000</v>
      </c>
      <c r="L85" s="417"/>
      <c r="M85" s="403"/>
      <c r="N85" s="403"/>
      <c r="O85" s="403"/>
      <c r="P85" s="403"/>
      <c r="Q85" s="403"/>
      <c r="R85" s="403"/>
      <c r="S85" s="403"/>
      <c r="T85" s="403"/>
      <c r="U85" s="403"/>
      <c r="V85" s="403"/>
      <c r="W85" s="404"/>
      <c r="X85" s="405"/>
      <c r="Y85" s="405"/>
      <c r="Z85" s="405"/>
      <c r="AA85" s="405"/>
      <c r="AB85" s="405"/>
      <c r="AC85" s="405"/>
      <c r="AD85" s="405"/>
      <c r="AE85" s="405"/>
      <c r="AF85" s="405"/>
      <c r="AG85" s="405"/>
      <c r="AH85" s="405"/>
      <c r="AI85" s="405"/>
      <c r="AJ85" s="405"/>
      <c r="AK85" s="405"/>
      <c r="AL85" s="405"/>
      <c r="AM85" s="406"/>
      <c r="AN85" s="406"/>
      <c r="AO85" s="406"/>
      <c r="AP85" s="406"/>
      <c r="AQ85" s="403"/>
      <c r="AR85" s="403"/>
      <c r="AS85" s="403"/>
      <c r="AT85" s="403"/>
      <c r="AU85" s="403"/>
      <c r="AV85" s="403"/>
      <c r="AW85" s="403"/>
      <c r="AX85" s="403"/>
      <c r="AY85" s="403"/>
    </row>
    <row r="86">
      <c r="A86" s="408" t="s">
        <v>136</v>
      </c>
      <c r="B86" s="440">
        <v>46084.0</v>
      </c>
      <c r="C86" s="410">
        <v>20713.919143575476</v>
      </c>
      <c r="D86" s="432">
        <f t="shared" si="20"/>
        <v>2.896602984</v>
      </c>
      <c r="E86" s="412">
        <v>60000.0</v>
      </c>
      <c r="F86" s="413">
        <f t="shared" si="18"/>
        <v>59857.15502</v>
      </c>
      <c r="G86" s="413">
        <f t="shared" si="19"/>
        <v>-132.8458356</v>
      </c>
      <c r="H86" s="414">
        <f t="shared" si="14"/>
        <v>-0.00221409726</v>
      </c>
      <c r="I86" s="415">
        <f t="shared" si="10"/>
        <v>6</v>
      </c>
      <c r="J86" s="414">
        <f t="shared" si="15"/>
        <v>-0.1245288845</v>
      </c>
      <c r="K86" s="416">
        <f t="shared" si="16"/>
        <v>-60000</v>
      </c>
      <c r="L86" s="417"/>
      <c r="M86" s="403"/>
      <c r="N86" s="403"/>
      <c r="O86" s="403"/>
      <c r="P86" s="403"/>
      <c r="Q86" s="403"/>
      <c r="R86" s="403"/>
      <c r="S86" s="403"/>
      <c r="T86" s="403"/>
      <c r="U86" s="403"/>
      <c r="V86" s="403"/>
      <c r="W86" s="404"/>
      <c r="X86" s="405"/>
      <c r="Y86" s="405"/>
      <c r="Z86" s="405"/>
      <c r="AA86" s="405"/>
      <c r="AB86" s="405"/>
      <c r="AC86" s="405"/>
      <c r="AD86" s="405"/>
      <c r="AE86" s="405"/>
      <c r="AF86" s="405"/>
      <c r="AG86" s="405"/>
      <c r="AH86" s="405"/>
      <c r="AI86" s="405"/>
      <c r="AJ86" s="405"/>
      <c r="AK86" s="405"/>
      <c r="AL86" s="405"/>
      <c r="AM86" s="406"/>
      <c r="AN86" s="406"/>
      <c r="AO86" s="406"/>
      <c r="AP86" s="406"/>
      <c r="AQ86" s="403"/>
      <c r="AR86" s="403"/>
      <c r="AS86" s="403"/>
      <c r="AT86" s="403"/>
      <c r="AU86" s="403"/>
      <c r="AV86" s="403"/>
      <c r="AW86" s="403"/>
      <c r="AX86" s="403"/>
      <c r="AY86" s="403"/>
    </row>
    <row r="87">
      <c r="A87" s="408" t="s">
        <v>146</v>
      </c>
      <c r="B87" s="440">
        <v>46090.0</v>
      </c>
      <c r="C87" s="410">
        <v>20664.604488613215</v>
      </c>
      <c r="D87" s="432">
        <f t="shared" si="20"/>
        <v>102.6876658</v>
      </c>
      <c r="E87" s="412">
        <v>2122000.0</v>
      </c>
      <c r="F87" s="413">
        <f t="shared" si="18"/>
        <v>2122000</v>
      </c>
      <c r="G87" s="413">
        <f t="shared" si="19"/>
        <v>-0.000257351906</v>
      </c>
      <c r="H87" s="414">
        <f t="shared" si="14"/>
        <v>-0.0000000001212779953</v>
      </c>
      <c r="I87" s="415">
        <f t="shared" si="10"/>
        <v>0</v>
      </c>
      <c r="J87" s="414" t="str">
        <f t="shared" si="15"/>
        <v>#DIV/0!</v>
      </c>
      <c r="K87" s="416">
        <f t="shared" si="16"/>
        <v>-2122000</v>
      </c>
      <c r="L87" s="417"/>
      <c r="M87" s="403"/>
      <c r="N87" s="403"/>
      <c r="O87" s="403"/>
      <c r="P87" s="403"/>
      <c r="Q87" s="403"/>
      <c r="R87" s="403"/>
      <c r="S87" s="403"/>
      <c r="T87" s="403"/>
      <c r="U87" s="403"/>
      <c r="V87" s="403"/>
      <c r="W87" s="404"/>
      <c r="X87" s="405"/>
      <c r="Y87" s="405"/>
      <c r="Z87" s="405"/>
      <c r="AA87" s="405"/>
      <c r="AB87" s="405"/>
      <c r="AC87" s="405"/>
      <c r="AD87" s="405"/>
      <c r="AE87" s="405"/>
      <c r="AF87" s="405"/>
      <c r="AG87" s="405"/>
      <c r="AH87" s="405"/>
      <c r="AI87" s="405"/>
      <c r="AJ87" s="405"/>
      <c r="AK87" s="405"/>
      <c r="AL87" s="405"/>
      <c r="AM87" s="406"/>
      <c r="AN87" s="406"/>
      <c r="AO87" s="406"/>
      <c r="AP87" s="406"/>
      <c r="AQ87" s="403"/>
      <c r="AR87" s="403"/>
      <c r="AS87" s="403"/>
      <c r="AT87" s="403"/>
      <c r="AU87" s="403"/>
      <c r="AV87" s="403"/>
      <c r="AW87" s="403"/>
      <c r="AX87" s="403"/>
      <c r="AY87" s="403"/>
    </row>
    <row r="88">
      <c r="A88" s="415"/>
      <c r="B88" s="415"/>
      <c r="C88" s="410"/>
      <c r="D88" s="429"/>
      <c r="E88" s="416"/>
      <c r="F88" s="413"/>
      <c r="G88" s="413"/>
      <c r="H88" s="415"/>
      <c r="I88" s="415"/>
      <c r="J88" s="415"/>
      <c r="K88" s="415"/>
      <c r="L88" s="417"/>
      <c r="M88" s="403"/>
      <c r="N88" s="403"/>
      <c r="O88" s="403"/>
      <c r="P88" s="403"/>
      <c r="Q88" s="403"/>
      <c r="R88" s="403"/>
      <c r="S88" s="403"/>
      <c r="T88" s="403"/>
      <c r="U88" s="403"/>
      <c r="V88" s="403"/>
      <c r="W88" s="404"/>
      <c r="X88" s="405"/>
      <c r="Y88" s="405"/>
      <c r="Z88" s="405"/>
      <c r="AA88" s="405"/>
      <c r="AB88" s="405"/>
      <c r="AC88" s="405"/>
      <c r="AD88" s="405"/>
      <c r="AE88" s="405"/>
      <c r="AF88" s="405"/>
      <c r="AG88" s="405"/>
      <c r="AH88" s="405"/>
      <c r="AI88" s="405"/>
      <c r="AJ88" s="405"/>
      <c r="AK88" s="405"/>
      <c r="AL88" s="405"/>
      <c r="AM88" s="406"/>
      <c r="AN88" s="406"/>
      <c r="AO88" s="406"/>
      <c r="AP88" s="406"/>
      <c r="AQ88" s="403"/>
      <c r="AR88" s="403"/>
      <c r="AS88" s="403"/>
      <c r="AT88" s="403"/>
      <c r="AU88" s="403"/>
      <c r="AV88" s="403"/>
      <c r="AW88" s="403"/>
      <c r="AX88" s="403"/>
      <c r="AY88" s="403"/>
    </row>
    <row r="89">
      <c r="A89" s="415"/>
      <c r="B89" s="415"/>
      <c r="C89" s="410"/>
      <c r="D89" s="429"/>
      <c r="E89" s="416"/>
      <c r="F89" s="413"/>
      <c r="G89" s="413"/>
      <c r="H89" s="415"/>
      <c r="I89" s="415"/>
      <c r="J89" s="415"/>
      <c r="K89" s="415"/>
      <c r="L89" s="417"/>
      <c r="M89" s="403"/>
      <c r="N89" s="403"/>
      <c r="O89" s="403"/>
      <c r="P89" s="403"/>
      <c r="Q89" s="403"/>
      <c r="R89" s="403"/>
      <c r="S89" s="403"/>
      <c r="T89" s="403"/>
      <c r="U89" s="403"/>
      <c r="V89" s="403"/>
      <c r="W89" s="404"/>
      <c r="X89" s="405"/>
      <c r="Y89" s="405"/>
      <c r="Z89" s="405"/>
      <c r="AA89" s="405"/>
      <c r="AB89" s="405"/>
      <c r="AC89" s="405"/>
      <c r="AD89" s="405"/>
      <c r="AE89" s="405"/>
      <c r="AF89" s="405"/>
      <c r="AG89" s="405"/>
      <c r="AH89" s="405"/>
      <c r="AI89" s="405"/>
      <c r="AJ89" s="405"/>
      <c r="AK89" s="405"/>
      <c r="AL89" s="405"/>
      <c r="AM89" s="406"/>
      <c r="AN89" s="406"/>
      <c r="AO89" s="406"/>
      <c r="AP89" s="406"/>
      <c r="AQ89" s="403"/>
      <c r="AR89" s="403"/>
      <c r="AS89" s="403"/>
      <c r="AT89" s="403"/>
      <c r="AU89" s="403"/>
      <c r="AV89" s="403"/>
      <c r="AW89" s="403"/>
      <c r="AX89" s="403"/>
      <c r="AY89" s="403"/>
    </row>
    <row r="90">
      <c r="A90" s="415"/>
      <c r="B90" s="415"/>
      <c r="C90" s="410"/>
      <c r="D90" s="429"/>
      <c r="E90" s="416"/>
      <c r="F90" s="413"/>
      <c r="G90" s="413"/>
      <c r="H90" s="415"/>
      <c r="I90" s="415"/>
      <c r="J90" s="415"/>
      <c r="K90" s="415"/>
      <c r="L90" s="417"/>
      <c r="M90" s="403"/>
      <c r="N90" s="403"/>
      <c r="O90" s="403"/>
      <c r="P90" s="403"/>
      <c r="Q90" s="403"/>
      <c r="R90" s="403"/>
      <c r="S90" s="403"/>
      <c r="T90" s="403"/>
      <c r="U90" s="403"/>
      <c r="V90" s="403"/>
      <c r="W90" s="404"/>
      <c r="X90" s="405"/>
      <c r="Y90" s="405"/>
      <c r="Z90" s="405"/>
      <c r="AA90" s="405"/>
      <c r="AB90" s="405"/>
      <c r="AC90" s="405"/>
      <c r="AD90" s="405"/>
      <c r="AE90" s="405"/>
      <c r="AF90" s="405"/>
      <c r="AG90" s="405"/>
      <c r="AH90" s="405"/>
      <c r="AI90" s="405"/>
      <c r="AJ90" s="405"/>
      <c r="AK90" s="405"/>
      <c r="AL90" s="405"/>
      <c r="AM90" s="406"/>
      <c r="AN90" s="406"/>
      <c r="AO90" s="406"/>
      <c r="AP90" s="406"/>
      <c r="AQ90" s="403"/>
      <c r="AR90" s="403"/>
      <c r="AS90" s="403"/>
      <c r="AT90" s="403"/>
      <c r="AU90" s="403"/>
      <c r="AV90" s="403"/>
      <c r="AW90" s="403"/>
      <c r="AX90" s="403"/>
      <c r="AY90" s="403"/>
    </row>
    <row r="91">
      <c r="A91" s="415"/>
      <c r="B91" s="415"/>
      <c r="C91" s="410"/>
      <c r="D91" s="429"/>
      <c r="E91" s="416"/>
      <c r="F91" s="413"/>
      <c r="G91" s="413"/>
      <c r="H91" s="415"/>
      <c r="I91" s="415"/>
      <c r="J91" s="415"/>
      <c r="K91" s="415"/>
      <c r="L91" s="417"/>
      <c r="M91" s="403"/>
      <c r="N91" s="403"/>
      <c r="O91" s="403"/>
      <c r="P91" s="403"/>
      <c r="Q91" s="403"/>
      <c r="R91" s="403"/>
      <c r="S91" s="403"/>
      <c r="T91" s="403"/>
      <c r="U91" s="403"/>
      <c r="V91" s="403"/>
      <c r="W91" s="404"/>
      <c r="X91" s="405"/>
      <c r="Y91" s="405"/>
      <c r="Z91" s="405"/>
      <c r="AA91" s="405"/>
      <c r="AB91" s="405"/>
      <c r="AC91" s="405"/>
      <c r="AD91" s="405"/>
      <c r="AE91" s="405"/>
      <c r="AF91" s="405"/>
      <c r="AG91" s="405"/>
      <c r="AH91" s="405"/>
      <c r="AI91" s="405"/>
      <c r="AJ91" s="405"/>
      <c r="AK91" s="405"/>
      <c r="AL91" s="405"/>
      <c r="AM91" s="406"/>
      <c r="AN91" s="406"/>
      <c r="AO91" s="406"/>
      <c r="AP91" s="406"/>
      <c r="AQ91" s="403"/>
      <c r="AR91" s="403"/>
      <c r="AS91" s="403"/>
      <c r="AT91" s="403"/>
      <c r="AU91" s="403"/>
      <c r="AV91" s="403"/>
      <c r="AW91" s="403"/>
      <c r="AX91" s="403"/>
      <c r="AY91" s="403"/>
    </row>
    <row r="92">
      <c r="A92" s="415"/>
      <c r="B92" s="415"/>
      <c r="C92" s="410"/>
      <c r="D92" s="429"/>
      <c r="E92" s="416"/>
      <c r="F92" s="413"/>
      <c r="G92" s="413"/>
      <c r="H92" s="415"/>
      <c r="I92" s="415"/>
      <c r="J92" s="415"/>
      <c r="K92" s="415"/>
      <c r="L92" s="417"/>
      <c r="M92" s="403"/>
      <c r="N92" s="403"/>
      <c r="O92" s="403"/>
      <c r="P92" s="403"/>
      <c r="Q92" s="403"/>
      <c r="R92" s="403"/>
      <c r="S92" s="403"/>
      <c r="T92" s="403"/>
      <c r="U92" s="403"/>
      <c r="V92" s="403"/>
      <c r="W92" s="404"/>
      <c r="X92" s="405"/>
      <c r="Y92" s="405"/>
      <c r="Z92" s="405"/>
      <c r="AA92" s="405"/>
      <c r="AB92" s="405"/>
      <c r="AC92" s="405"/>
      <c r="AD92" s="405"/>
      <c r="AE92" s="405"/>
      <c r="AF92" s="405"/>
      <c r="AG92" s="405"/>
      <c r="AH92" s="405"/>
      <c r="AI92" s="405"/>
      <c r="AJ92" s="405"/>
      <c r="AK92" s="405"/>
      <c r="AL92" s="405"/>
      <c r="AM92" s="406"/>
      <c r="AN92" s="406"/>
      <c r="AO92" s="406"/>
      <c r="AP92" s="406"/>
      <c r="AQ92" s="403"/>
      <c r="AR92" s="403"/>
      <c r="AS92" s="403"/>
      <c r="AT92" s="403"/>
      <c r="AU92" s="403"/>
      <c r="AV92" s="403"/>
      <c r="AW92" s="403"/>
      <c r="AX92" s="403"/>
      <c r="AY92" s="403"/>
    </row>
    <row r="93">
      <c r="A93" s="415"/>
      <c r="B93" s="415"/>
      <c r="C93" s="410"/>
      <c r="D93" s="429"/>
      <c r="E93" s="416"/>
      <c r="F93" s="413"/>
      <c r="G93" s="413"/>
      <c r="H93" s="415"/>
      <c r="I93" s="415"/>
      <c r="J93" s="415"/>
      <c r="K93" s="415"/>
      <c r="L93" s="417"/>
      <c r="M93" s="403"/>
      <c r="N93" s="403"/>
      <c r="O93" s="403"/>
      <c r="P93" s="403"/>
      <c r="Q93" s="403"/>
      <c r="R93" s="403"/>
      <c r="S93" s="403"/>
      <c r="T93" s="403"/>
      <c r="U93" s="403"/>
      <c r="V93" s="403"/>
      <c r="W93" s="404"/>
      <c r="X93" s="405"/>
      <c r="Y93" s="405"/>
      <c r="Z93" s="405"/>
      <c r="AA93" s="405"/>
      <c r="AB93" s="405"/>
      <c r="AC93" s="405"/>
      <c r="AD93" s="405"/>
      <c r="AE93" s="405"/>
      <c r="AF93" s="405"/>
      <c r="AG93" s="405"/>
      <c r="AH93" s="405"/>
      <c r="AI93" s="405"/>
      <c r="AJ93" s="405"/>
      <c r="AK93" s="405"/>
      <c r="AL93" s="405"/>
      <c r="AM93" s="406"/>
      <c r="AN93" s="406"/>
      <c r="AO93" s="406"/>
      <c r="AP93" s="406"/>
      <c r="AQ93" s="403"/>
      <c r="AR93" s="403"/>
      <c r="AS93" s="403"/>
      <c r="AT93" s="403"/>
      <c r="AU93" s="403"/>
      <c r="AV93" s="403"/>
      <c r="AW93" s="403"/>
      <c r="AX93" s="403"/>
      <c r="AY93" s="403"/>
    </row>
    <row r="94">
      <c r="A94" s="415"/>
      <c r="B94" s="415"/>
      <c r="C94" s="410"/>
      <c r="D94" s="429"/>
      <c r="E94" s="416"/>
      <c r="F94" s="413"/>
      <c r="G94" s="413"/>
      <c r="H94" s="415"/>
      <c r="I94" s="415"/>
      <c r="J94" s="415"/>
      <c r="K94" s="415"/>
      <c r="L94" s="417"/>
      <c r="M94" s="403"/>
      <c r="N94" s="403"/>
      <c r="O94" s="403"/>
      <c r="P94" s="403"/>
      <c r="Q94" s="403"/>
      <c r="R94" s="403"/>
      <c r="S94" s="403"/>
      <c r="T94" s="403"/>
      <c r="U94" s="403"/>
      <c r="V94" s="403"/>
      <c r="W94" s="404"/>
      <c r="X94" s="405"/>
      <c r="Y94" s="405"/>
      <c r="Z94" s="405"/>
      <c r="AA94" s="405"/>
      <c r="AB94" s="405"/>
      <c r="AC94" s="405"/>
      <c r="AD94" s="405"/>
      <c r="AE94" s="405"/>
      <c r="AF94" s="405"/>
      <c r="AG94" s="405"/>
      <c r="AH94" s="405"/>
      <c r="AI94" s="405"/>
      <c r="AJ94" s="405"/>
      <c r="AK94" s="405"/>
      <c r="AL94" s="405"/>
      <c r="AM94" s="406"/>
      <c r="AN94" s="406"/>
      <c r="AO94" s="406"/>
      <c r="AP94" s="406"/>
      <c r="AQ94" s="403"/>
      <c r="AR94" s="403"/>
      <c r="AS94" s="403"/>
      <c r="AT94" s="403"/>
      <c r="AU94" s="403"/>
      <c r="AV94" s="403"/>
      <c r="AW94" s="403"/>
      <c r="AX94" s="403"/>
      <c r="AY94" s="403"/>
    </row>
    <row r="95">
      <c r="A95" s="415"/>
      <c r="B95" s="415"/>
      <c r="C95" s="410"/>
      <c r="D95" s="429"/>
      <c r="E95" s="416"/>
      <c r="F95" s="413"/>
      <c r="G95" s="413"/>
      <c r="H95" s="415"/>
      <c r="I95" s="415"/>
      <c r="J95" s="415"/>
      <c r="K95" s="415"/>
      <c r="L95" s="417"/>
      <c r="M95" s="403"/>
      <c r="N95" s="403"/>
      <c r="O95" s="403"/>
      <c r="P95" s="403"/>
      <c r="Q95" s="403"/>
      <c r="R95" s="403"/>
      <c r="S95" s="403"/>
      <c r="T95" s="403"/>
      <c r="U95" s="403"/>
      <c r="V95" s="403"/>
      <c r="W95" s="404"/>
      <c r="X95" s="405"/>
      <c r="Y95" s="405"/>
      <c r="Z95" s="405"/>
      <c r="AA95" s="405"/>
      <c r="AB95" s="405"/>
      <c r="AC95" s="405"/>
      <c r="AD95" s="405"/>
      <c r="AE95" s="405"/>
      <c r="AF95" s="405"/>
      <c r="AG95" s="405"/>
      <c r="AH95" s="405"/>
      <c r="AI95" s="405"/>
      <c r="AJ95" s="405"/>
      <c r="AK95" s="405"/>
      <c r="AL95" s="405"/>
      <c r="AM95" s="406"/>
      <c r="AN95" s="406"/>
      <c r="AO95" s="406"/>
      <c r="AP95" s="406"/>
      <c r="AQ95" s="403"/>
      <c r="AR95" s="403"/>
      <c r="AS95" s="403"/>
      <c r="AT95" s="403"/>
      <c r="AU95" s="403"/>
      <c r="AV95" s="403"/>
      <c r="AW95" s="403"/>
      <c r="AX95" s="403"/>
      <c r="AY95" s="403"/>
    </row>
    <row r="96">
      <c r="A96" s="415"/>
      <c r="B96" s="415"/>
      <c r="C96" s="410"/>
      <c r="D96" s="429"/>
      <c r="E96" s="416"/>
      <c r="F96" s="413"/>
      <c r="G96" s="413"/>
      <c r="H96" s="415"/>
      <c r="I96" s="415"/>
      <c r="J96" s="415"/>
      <c r="K96" s="415"/>
      <c r="L96" s="417"/>
      <c r="M96" s="403"/>
      <c r="N96" s="403"/>
      <c r="O96" s="403"/>
      <c r="P96" s="403"/>
      <c r="Q96" s="403"/>
      <c r="R96" s="403"/>
      <c r="S96" s="403"/>
      <c r="T96" s="403"/>
      <c r="U96" s="403"/>
      <c r="V96" s="403"/>
      <c r="W96" s="404"/>
      <c r="X96" s="405"/>
      <c r="Y96" s="405"/>
      <c r="Z96" s="405"/>
      <c r="AA96" s="405"/>
      <c r="AB96" s="405"/>
      <c r="AC96" s="405"/>
      <c r="AD96" s="405"/>
      <c r="AE96" s="405"/>
      <c r="AF96" s="405"/>
      <c r="AG96" s="405"/>
      <c r="AH96" s="405"/>
      <c r="AI96" s="405"/>
      <c r="AJ96" s="405"/>
      <c r="AK96" s="405"/>
      <c r="AL96" s="405"/>
      <c r="AM96" s="406"/>
      <c r="AN96" s="406"/>
      <c r="AO96" s="406"/>
      <c r="AP96" s="406"/>
      <c r="AQ96" s="403"/>
      <c r="AR96" s="403"/>
      <c r="AS96" s="403"/>
      <c r="AT96" s="403"/>
      <c r="AU96" s="403"/>
      <c r="AV96" s="403"/>
      <c r="AW96" s="403"/>
      <c r="AX96" s="403"/>
      <c r="AY96" s="403"/>
    </row>
    <row r="97">
      <c r="A97" s="415"/>
      <c r="B97" s="415"/>
      <c r="C97" s="410"/>
      <c r="D97" s="429"/>
      <c r="E97" s="416"/>
      <c r="F97" s="413"/>
      <c r="G97" s="413"/>
      <c r="H97" s="415"/>
      <c r="I97" s="415"/>
      <c r="J97" s="415"/>
      <c r="K97" s="415"/>
      <c r="L97" s="417"/>
      <c r="M97" s="403"/>
      <c r="N97" s="403"/>
      <c r="O97" s="403"/>
      <c r="P97" s="403"/>
      <c r="Q97" s="403"/>
      <c r="R97" s="403"/>
      <c r="S97" s="403"/>
      <c r="T97" s="403"/>
      <c r="U97" s="403"/>
      <c r="V97" s="403"/>
      <c r="W97" s="404"/>
      <c r="X97" s="405"/>
      <c r="Y97" s="405"/>
      <c r="Z97" s="405"/>
      <c r="AA97" s="405"/>
      <c r="AB97" s="405"/>
      <c r="AC97" s="405"/>
      <c r="AD97" s="405"/>
      <c r="AE97" s="405"/>
      <c r="AF97" s="405"/>
      <c r="AG97" s="405"/>
      <c r="AH97" s="405"/>
      <c r="AI97" s="405"/>
      <c r="AJ97" s="405"/>
      <c r="AK97" s="405"/>
      <c r="AL97" s="405"/>
      <c r="AM97" s="406"/>
      <c r="AN97" s="406"/>
      <c r="AO97" s="406"/>
      <c r="AP97" s="406"/>
      <c r="AQ97" s="403"/>
      <c r="AR97" s="403"/>
      <c r="AS97" s="403"/>
      <c r="AT97" s="403"/>
      <c r="AU97" s="403"/>
      <c r="AV97" s="403"/>
      <c r="AW97" s="403"/>
      <c r="AX97" s="403"/>
      <c r="AY97" s="403"/>
    </row>
    <row r="98">
      <c r="A98" s="415"/>
      <c r="B98" s="415"/>
      <c r="C98" s="410"/>
      <c r="D98" s="429"/>
      <c r="E98" s="416"/>
      <c r="F98" s="413"/>
      <c r="G98" s="413"/>
      <c r="H98" s="415"/>
      <c r="I98" s="415"/>
      <c r="J98" s="415"/>
      <c r="K98" s="415"/>
      <c r="L98" s="417"/>
      <c r="M98" s="403"/>
      <c r="N98" s="403"/>
      <c r="O98" s="403"/>
      <c r="P98" s="403"/>
      <c r="Q98" s="403"/>
      <c r="R98" s="403"/>
      <c r="S98" s="403"/>
      <c r="T98" s="403"/>
      <c r="U98" s="403"/>
      <c r="V98" s="403"/>
      <c r="W98" s="404"/>
      <c r="X98" s="405"/>
      <c r="Y98" s="405"/>
      <c r="Z98" s="405"/>
      <c r="AA98" s="405"/>
      <c r="AB98" s="405"/>
      <c r="AC98" s="405"/>
      <c r="AD98" s="405"/>
      <c r="AE98" s="405"/>
      <c r="AF98" s="405"/>
      <c r="AG98" s="405"/>
      <c r="AH98" s="405"/>
      <c r="AI98" s="405"/>
      <c r="AJ98" s="405"/>
      <c r="AK98" s="405"/>
      <c r="AL98" s="405"/>
      <c r="AM98" s="406"/>
      <c r="AN98" s="406"/>
      <c r="AO98" s="406"/>
      <c r="AP98" s="406"/>
      <c r="AQ98" s="403"/>
      <c r="AR98" s="403"/>
      <c r="AS98" s="403"/>
      <c r="AT98" s="403"/>
      <c r="AU98" s="403"/>
      <c r="AV98" s="403"/>
      <c r="AW98" s="403"/>
      <c r="AX98" s="403"/>
      <c r="AY98" s="403"/>
    </row>
    <row r="99">
      <c r="A99" s="415"/>
      <c r="B99" s="415"/>
      <c r="C99" s="410"/>
      <c r="D99" s="429"/>
      <c r="E99" s="416"/>
      <c r="F99" s="413"/>
      <c r="G99" s="413"/>
      <c r="H99" s="415"/>
      <c r="I99" s="415"/>
      <c r="J99" s="415"/>
      <c r="K99" s="415"/>
      <c r="L99" s="417"/>
      <c r="M99" s="403"/>
      <c r="N99" s="403"/>
      <c r="O99" s="403"/>
      <c r="P99" s="403"/>
      <c r="Q99" s="441"/>
      <c r="R99" s="441"/>
      <c r="S99" s="441"/>
      <c r="T99" s="441"/>
      <c r="U99" s="441"/>
      <c r="V99" s="441"/>
      <c r="W99" s="404"/>
      <c r="X99" s="405"/>
      <c r="Y99" s="405"/>
      <c r="Z99" s="405"/>
      <c r="AA99" s="405"/>
      <c r="AB99" s="405"/>
      <c r="AC99" s="405"/>
      <c r="AD99" s="405"/>
      <c r="AE99" s="405"/>
      <c r="AF99" s="405"/>
      <c r="AG99" s="405"/>
      <c r="AH99" s="405"/>
      <c r="AI99" s="405"/>
      <c r="AJ99" s="405"/>
      <c r="AK99" s="405"/>
      <c r="AL99" s="405"/>
      <c r="AM99" s="406"/>
      <c r="AN99" s="406"/>
      <c r="AO99" s="406"/>
      <c r="AP99" s="406"/>
      <c r="AQ99" s="403"/>
      <c r="AR99" s="403"/>
      <c r="AS99" s="403"/>
      <c r="AT99" s="403"/>
      <c r="AU99" s="403"/>
      <c r="AV99" s="403"/>
      <c r="AW99" s="403"/>
      <c r="AX99" s="403"/>
      <c r="AY99" s="403"/>
    </row>
    <row r="100">
      <c r="A100" s="415"/>
      <c r="B100" s="415"/>
      <c r="C100" s="410"/>
      <c r="D100" s="429"/>
      <c r="E100" s="416"/>
      <c r="F100" s="413"/>
      <c r="G100" s="413"/>
      <c r="H100" s="415"/>
      <c r="I100" s="415"/>
      <c r="J100" s="415"/>
      <c r="K100" s="415"/>
      <c r="L100" s="417"/>
      <c r="M100" s="403"/>
      <c r="N100" s="403"/>
      <c r="O100" s="403"/>
      <c r="P100" s="403"/>
      <c r="Q100" s="403"/>
      <c r="R100" s="403"/>
      <c r="S100" s="403"/>
      <c r="T100" s="403"/>
      <c r="U100" s="403"/>
      <c r="V100" s="403"/>
      <c r="W100" s="404"/>
      <c r="X100" s="405"/>
      <c r="Y100" s="405"/>
      <c r="Z100" s="405"/>
      <c r="AA100" s="405"/>
      <c r="AB100" s="405"/>
      <c r="AC100" s="405"/>
      <c r="AD100" s="405"/>
      <c r="AE100" s="405"/>
      <c r="AF100" s="405"/>
      <c r="AG100" s="405"/>
      <c r="AH100" s="405"/>
      <c r="AI100" s="405"/>
      <c r="AJ100" s="405"/>
      <c r="AK100" s="405"/>
      <c r="AL100" s="405"/>
      <c r="AM100" s="406"/>
      <c r="AN100" s="406"/>
      <c r="AO100" s="406"/>
      <c r="AP100" s="406"/>
      <c r="AQ100" s="403"/>
      <c r="AR100" s="403"/>
      <c r="AS100" s="403"/>
      <c r="AT100" s="403"/>
      <c r="AU100" s="403"/>
      <c r="AV100" s="403"/>
      <c r="AW100" s="403"/>
      <c r="AX100" s="403"/>
      <c r="AY100" s="403"/>
    </row>
    <row r="101">
      <c r="A101" s="415"/>
      <c r="B101" s="415"/>
      <c r="C101" s="410"/>
      <c r="D101" s="429"/>
      <c r="E101" s="416"/>
      <c r="F101" s="413"/>
      <c r="G101" s="413"/>
      <c r="H101" s="415"/>
      <c r="I101" s="415"/>
      <c r="J101" s="415"/>
      <c r="K101" s="415"/>
      <c r="L101" s="417"/>
      <c r="M101" s="403"/>
      <c r="N101" s="403"/>
      <c r="O101" s="403"/>
      <c r="P101" s="403"/>
      <c r="Q101" s="403"/>
      <c r="R101" s="403"/>
      <c r="S101" s="403"/>
      <c r="T101" s="403"/>
      <c r="U101" s="403"/>
      <c r="V101" s="403"/>
      <c r="W101" s="404"/>
      <c r="X101" s="405"/>
      <c r="Y101" s="405"/>
      <c r="Z101" s="405"/>
      <c r="AA101" s="405"/>
      <c r="AB101" s="405"/>
      <c r="AC101" s="405"/>
      <c r="AD101" s="405"/>
      <c r="AE101" s="405"/>
      <c r="AF101" s="405"/>
      <c r="AG101" s="405"/>
      <c r="AH101" s="405"/>
      <c r="AI101" s="405"/>
      <c r="AJ101" s="405"/>
      <c r="AK101" s="405"/>
      <c r="AL101" s="405"/>
      <c r="AM101" s="406"/>
      <c r="AN101" s="406"/>
      <c r="AO101" s="406"/>
      <c r="AP101" s="406"/>
      <c r="AQ101" s="403"/>
      <c r="AR101" s="403"/>
      <c r="AS101" s="403"/>
      <c r="AT101" s="403"/>
      <c r="AU101" s="403"/>
      <c r="AV101" s="403"/>
      <c r="AW101" s="403"/>
      <c r="AX101" s="403"/>
      <c r="AY101" s="403"/>
    </row>
    <row r="102">
      <c r="A102" s="415"/>
      <c r="B102" s="415"/>
      <c r="C102" s="410"/>
      <c r="D102" s="429"/>
      <c r="E102" s="416"/>
      <c r="F102" s="413"/>
      <c r="G102" s="413"/>
      <c r="H102" s="415"/>
      <c r="I102" s="415"/>
      <c r="J102" s="415"/>
      <c r="K102" s="415"/>
      <c r="L102" s="417"/>
      <c r="M102" s="403"/>
      <c r="N102" s="403"/>
      <c r="O102" s="403"/>
      <c r="P102" s="403"/>
      <c r="Q102" s="403"/>
      <c r="R102" s="403"/>
      <c r="S102" s="403"/>
      <c r="T102" s="403"/>
      <c r="U102" s="403"/>
      <c r="V102" s="403"/>
      <c r="W102" s="404"/>
      <c r="X102" s="405"/>
      <c r="Y102" s="405"/>
      <c r="Z102" s="405"/>
      <c r="AA102" s="405"/>
      <c r="AB102" s="405"/>
      <c r="AC102" s="405"/>
      <c r="AD102" s="405"/>
      <c r="AE102" s="405"/>
      <c r="AF102" s="405"/>
      <c r="AG102" s="405"/>
      <c r="AH102" s="405"/>
      <c r="AI102" s="405"/>
      <c r="AJ102" s="405"/>
      <c r="AK102" s="405"/>
      <c r="AL102" s="405"/>
      <c r="AM102" s="406"/>
      <c r="AN102" s="406"/>
      <c r="AO102" s="406"/>
      <c r="AP102" s="406"/>
      <c r="AQ102" s="403"/>
      <c r="AR102" s="403"/>
      <c r="AS102" s="403"/>
      <c r="AT102" s="403"/>
      <c r="AU102" s="403"/>
      <c r="AV102" s="403"/>
      <c r="AW102" s="403"/>
      <c r="AX102" s="403"/>
      <c r="AY102" s="403"/>
    </row>
    <row r="103">
      <c r="A103" s="415"/>
      <c r="B103" s="415"/>
      <c r="C103" s="410"/>
      <c r="D103" s="429"/>
      <c r="E103" s="416"/>
      <c r="F103" s="413"/>
      <c r="G103" s="413"/>
      <c r="H103" s="415"/>
      <c r="I103" s="415"/>
      <c r="J103" s="415"/>
      <c r="K103" s="415"/>
      <c r="L103" s="417"/>
      <c r="M103" s="403"/>
      <c r="N103" s="403"/>
      <c r="O103" s="403"/>
      <c r="P103" s="403"/>
      <c r="Q103" s="403"/>
      <c r="R103" s="403"/>
      <c r="S103" s="403"/>
      <c r="T103" s="403"/>
      <c r="U103" s="403"/>
      <c r="V103" s="403"/>
      <c r="W103" s="404"/>
      <c r="X103" s="405"/>
      <c r="Y103" s="405"/>
      <c r="Z103" s="405"/>
      <c r="AA103" s="405"/>
      <c r="AB103" s="405"/>
      <c r="AC103" s="405"/>
      <c r="AD103" s="405"/>
      <c r="AE103" s="405"/>
      <c r="AF103" s="405"/>
      <c r="AG103" s="405"/>
      <c r="AH103" s="405"/>
      <c r="AI103" s="405"/>
      <c r="AJ103" s="405"/>
      <c r="AK103" s="405"/>
      <c r="AL103" s="405"/>
      <c r="AM103" s="406"/>
      <c r="AN103" s="406"/>
      <c r="AO103" s="406"/>
      <c r="AP103" s="406"/>
      <c r="AQ103" s="403"/>
      <c r="AR103" s="403"/>
      <c r="AS103" s="403"/>
      <c r="AT103" s="403"/>
      <c r="AU103" s="403"/>
      <c r="AV103" s="403"/>
      <c r="AW103" s="403"/>
      <c r="AX103" s="403"/>
      <c r="AY103" s="403"/>
    </row>
    <row r="104">
      <c r="A104" s="415"/>
      <c r="B104" s="415"/>
      <c r="C104" s="410"/>
      <c r="D104" s="429"/>
      <c r="E104" s="416"/>
      <c r="F104" s="413"/>
      <c r="G104" s="413"/>
      <c r="H104" s="415"/>
      <c r="I104" s="415"/>
      <c r="J104" s="415"/>
      <c r="K104" s="415"/>
      <c r="L104" s="417"/>
      <c r="M104" s="403"/>
      <c r="N104" s="403"/>
      <c r="O104" s="403"/>
      <c r="P104" s="403"/>
      <c r="Q104" s="403"/>
      <c r="R104" s="403"/>
      <c r="S104" s="403"/>
      <c r="T104" s="403"/>
      <c r="U104" s="403"/>
      <c r="V104" s="403"/>
      <c r="W104" s="404"/>
      <c r="X104" s="405"/>
      <c r="Y104" s="405"/>
      <c r="Z104" s="405"/>
      <c r="AA104" s="405"/>
      <c r="AB104" s="405"/>
      <c r="AC104" s="405"/>
      <c r="AD104" s="405"/>
      <c r="AE104" s="405"/>
      <c r="AF104" s="405"/>
      <c r="AG104" s="405"/>
      <c r="AH104" s="405"/>
      <c r="AI104" s="405"/>
      <c r="AJ104" s="405"/>
      <c r="AK104" s="405"/>
      <c r="AL104" s="405"/>
      <c r="AM104" s="406"/>
      <c r="AN104" s="406"/>
      <c r="AO104" s="406"/>
      <c r="AP104" s="406"/>
      <c r="AQ104" s="403"/>
      <c r="AR104" s="403"/>
      <c r="AS104" s="403"/>
      <c r="AT104" s="403"/>
      <c r="AU104" s="403"/>
      <c r="AV104" s="403"/>
      <c r="AW104" s="403"/>
      <c r="AX104" s="403"/>
      <c r="AY104" s="403"/>
    </row>
    <row r="105">
      <c r="A105" s="415"/>
      <c r="B105" s="415"/>
      <c r="C105" s="410"/>
      <c r="D105" s="429"/>
      <c r="E105" s="416"/>
      <c r="F105" s="413"/>
      <c r="G105" s="413"/>
      <c r="H105" s="415"/>
      <c r="I105" s="415"/>
      <c r="J105" s="415"/>
      <c r="K105" s="415"/>
      <c r="L105" s="417"/>
      <c r="M105" s="403"/>
      <c r="N105" s="403"/>
      <c r="O105" s="403"/>
      <c r="P105" s="403"/>
      <c r="Q105" s="403"/>
      <c r="R105" s="403"/>
      <c r="S105" s="403"/>
      <c r="T105" s="403"/>
      <c r="U105" s="403"/>
      <c r="V105" s="403"/>
      <c r="W105" s="404"/>
      <c r="X105" s="405"/>
      <c r="Y105" s="405"/>
      <c r="Z105" s="405"/>
      <c r="AA105" s="405"/>
      <c r="AB105" s="405"/>
      <c r="AC105" s="405"/>
      <c r="AD105" s="405"/>
      <c r="AE105" s="405"/>
      <c r="AF105" s="405"/>
      <c r="AG105" s="405"/>
      <c r="AH105" s="405"/>
      <c r="AI105" s="405"/>
      <c r="AJ105" s="405"/>
      <c r="AK105" s="405"/>
      <c r="AL105" s="405"/>
      <c r="AM105" s="406"/>
      <c r="AN105" s="406"/>
      <c r="AO105" s="406"/>
      <c r="AP105" s="406"/>
      <c r="AQ105" s="403"/>
      <c r="AR105" s="403"/>
      <c r="AS105" s="403"/>
      <c r="AT105" s="403"/>
      <c r="AU105" s="403"/>
      <c r="AV105" s="403"/>
      <c r="AW105" s="403"/>
      <c r="AX105" s="403"/>
      <c r="AY105" s="403"/>
    </row>
    <row r="106">
      <c r="A106" s="415"/>
      <c r="B106" s="415"/>
      <c r="C106" s="410"/>
      <c r="D106" s="429"/>
      <c r="E106" s="416"/>
      <c r="F106" s="413"/>
      <c r="G106" s="413"/>
      <c r="H106" s="415"/>
      <c r="I106" s="415"/>
      <c r="J106" s="415"/>
      <c r="K106" s="415"/>
      <c r="L106" s="417"/>
      <c r="M106" s="403"/>
      <c r="N106" s="403"/>
      <c r="O106" s="403"/>
      <c r="P106" s="403"/>
      <c r="Q106" s="403"/>
      <c r="R106" s="403"/>
      <c r="S106" s="403"/>
      <c r="T106" s="403"/>
      <c r="U106" s="403"/>
      <c r="V106" s="403"/>
      <c r="W106" s="404"/>
      <c r="X106" s="405"/>
      <c r="Y106" s="405"/>
      <c r="Z106" s="405"/>
      <c r="AA106" s="405"/>
      <c r="AB106" s="405"/>
      <c r="AC106" s="405"/>
      <c r="AD106" s="405"/>
      <c r="AE106" s="405"/>
      <c r="AF106" s="405"/>
      <c r="AG106" s="405"/>
      <c r="AH106" s="405"/>
      <c r="AI106" s="405"/>
      <c r="AJ106" s="405"/>
      <c r="AK106" s="405"/>
      <c r="AL106" s="405"/>
      <c r="AM106" s="406"/>
      <c r="AN106" s="406"/>
      <c r="AO106" s="406"/>
      <c r="AP106" s="406"/>
      <c r="AQ106" s="403"/>
      <c r="AR106" s="403"/>
      <c r="AS106" s="403"/>
      <c r="AT106" s="403"/>
      <c r="AU106" s="403"/>
      <c r="AV106" s="403"/>
      <c r="AW106" s="403"/>
      <c r="AX106" s="403"/>
      <c r="AY106" s="403"/>
    </row>
    <row r="107">
      <c r="A107" s="415"/>
      <c r="B107" s="415"/>
      <c r="C107" s="410"/>
      <c r="D107" s="429"/>
      <c r="E107" s="416"/>
      <c r="F107" s="413"/>
      <c r="G107" s="413"/>
      <c r="H107" s="415"/>
      <c r="I107" s="415"/>
      <c r="J107" s="415"/>
      <c r="K107" s="415"/>
      <c r="L107" s="417"/>
      <c r="M107" s="420"/>
      <c r="N107" s="420"/>
      <c r="O107" s="403"/>
      <c r="P107" s="403"/>
      <c r="Q107" s="403"/>
      <c r="R107" s="403"/>
      <c r="S107" s="403"/>
      <c r="T107" s="403"/>
      <c r="U107" s="403"/>
      <c r="V107" s="403"/>
      <c r="W107" s="404"/>
      <c r="X107" s="405"/>
      <c r="Y107" s="405"/>
      <c r="Z107" s="405"/>
      <c r="AA107" s="405"/>
      <c r="AB107" s="405"/>
      <c r="AC107" s="405"/>
      <c r="AD107" s="405"/>
      <c r="AE107" s="405"/>
      <c r="AF107" s="405"/>
      <c r="AG107" s="405"/>
      <c r="AH107" s="405"/>
      <c r="AI107" s="405"/>
      <c r="AJ107" s="405"/>
      <c r="AK107" s="405"/>
      <c r="AL107" s="405"/>
      <c r="AM107" s="406"/>
      <c r="AN107" s="406"/>
      <c r="AO107" s="406"/>
      <c r="AP107" s="406"/>
      <c r="AQ107" s="403"/>
      <c r="AR107" s="403"/>
      <c r="AS107" s="403"/>
      <c r="AT107" s="403"/>
      <c r="AU107" s="403"/>
      <c r="AV107" s="403"/>
      <c r="AW107" s="403"/>
      <c r="AX107" s="403"/>
      <c r="AY107" s="403"/>
    </row>
    <row r="108">
      <c r="A108" s="415"/>
      <c r="B108" s="415"/>
      <c r="C108" s="410"/>
      <c r="D108" s="429"/>
      <c r="E108" s="416"/>
      <c r="F108" s="413"/>
      <c r="G108" s="413"/>
      <c r="H108" s="415"/>
      <c r="I108" s="415"/>
      <c r="J108" s="415"/>
      <c r="K108" s="415"/>
      <c r="L108" s="417"/>
      <c r="M108" s="403"/>
      <c r="N108" s="403"/>
      <c r="O108" s="403"/>
      <c r="P108" s="403"/>
      <c r="Q108" s="403"/>
      <c r="R108" s="403"/>
      <c r="S108" s="403"/>
      <c r="T108" s="403"/>
      <c r="U108" s="403"/>
      <c r="V108" s="403"/>
      <c r="W108" s="404"/>
      <c r="X108" s="405"/>
      <c r="Y108" s="405"/>
      <c r="Z108" s="405"/>
      <c r="AA108" s="405"/>
      <c r="AB108" s="405"/>
      <c r="AC108" s="405"/>
      <c r="AD108" s="405"/>
      <c r="AE108" s="405"/>
      <c r="AF108" s="405"/>
      <c r="AG108" s="405"/>
      <c r="AH108" s="405"/>
      <c r="AI108" s="405"/>
      <c r="AJ108" s="405"/>
      <c r="AK108" s="405"/>
      <c r="AL108" s="405"/>
      <c r="AM108" s="406"/>
      <c r="AN108" s="406"/>
      <c r="AO108" s="406"/>
      <c r="AP108" s="406"/>
      <c r="AQ108" s="403"/>
      <c r="AR108" s="403"/>
      <c r="AS108" s="403"/>
      <c r="AT108" s="403"/>
      <c r="AU108" s="403"/>
      <c r="AV108" s="403"/>
      <c r="AW108" s="403"/>
      <c r="AX108" s="403"/>
      <c r="AY108" s="403"/>
    </row>
    <row r="109">
      <c r="A109" s="415"/>
      <c r="B109" s="415"/>
      <c r="C109" s="410"/>
      <c r="D109" s="429"/>
      <c r="E109" s="416"/>
      <c r="F109" s="413"/>
      <c r="G109" s="413"/>
      <c r="H109" s="415"/>
      <c r="I109" s="415"/>
      <c r="J109" s="415"/>
      <c r="K109" s="415"/>
      <c r="L109" s="417"/>
      <c r="M109" s="403"/>
      <c r="N109" s="403"/>
      <c r="O109" s="403"/>
      <c r="P109" s="403"/>
      <c r="Q109" s="403"/>
      <c r="R109" s="403"/>
      <c r="S109" s="403"/>
      <c r="T109" s="403"/>
      <c r="U109" s="403"/>
      <c r="V109" s="403"/>
      <c r="W109" s="404"/>
      <c r="X109" s="405"/>
      <c r="Y109" s="405"/>
      <c r="Z109" s="405"/>
      <c r="AA109" s="405"/>
      <c r="AB109" s="405"/>
      <c r="AC109" s="405"/>
      <c r="AD109" s="405"/>
      <c r="AE109" s="405"/>
      <c r="AF109" s="405"/>
      <c r="AG109" s="405"/>
      <c r="AH109" s="405"/>
      <c r="AI109" s="405"/>
      <c r="AJ109" s="405"/>
      <c r="AK109" s="405"/>
      <c r="AL109" s="405"/>
      <c r="AM109" s="406"/>
      <c r="AN109" s="406"/>
      <c r="AO109" s="406"/>
      <c r="AP109" s="406"/>
      <c r="AQ109" s="403"/>
      <c r="AR109" s="403"/>
      <c r="AS109" s="403"/>
      <c r="AT109" s="403"/>
      <c r="AU109" s="403"/>
      <c r="AV109" s="403"/>
      <c r="AW109" s="403"/>
      <c r="AX109" s="403"/>
      <c r="AY109" s="403"/>
    </row>
    <row r="110">
      <c r="A110" s="415"/>
      <c r="B110" s="415"/>
      <c r="C110" s="410"/>
      <c r="D110" s="429"/>
      <c r="E110" s="416"/>
      <c r="F110" s="413"/>
      <c r="G110" s="413"/>
      <c r="H110" s="415"/>
      <c r="I110" s="415"/>
      <c r="J110" s="415"/>
      <c r="K110" s="415"/>
      <c r="L110" s="417"/>
      <c r="M110" s="403"/>
      <c r="N110" s="403"/>
      <c r="O110" s="403"/>
      <c r="P110" s="403"/>
      <c r="Q110" s="403"/>
      <c r="R110" s="403"/>
      <c r="S110" s="403"/>
      <c r="T110" s="403"/>
      <c r="U110" s="403"/>
      <c r="V110" s="403"/>
      <c r="W110" s="404"/>
      <c r="X110" s="405"/>
      <c r="Y110" s="405"/>
      <c r="Z110" s="405"/>
      <c r="AA110" s="405"/>
      <c r="AB110" s="405"/>
      <c r="AC110" s="405"/>
      <c r="AD110" s="405"/>
      <c r="AE110" s="405"/>
      <c r="AF110" s="405"/>
      <c r="AG110" s="405"/>
      <c r="AH110" s="405"/>
      <c r="AI110" s="405"/>
      <c r="AJ110" s="405"/>
      <c r="AK110" s="405"/>
      <c r="AL110" s="405"/>
      <c r="AM110" s="406"/>
      <c r="AN110" s="406"/>
      <c r="AO110" s="406"/>
      <c r="AP110" s="406"/>
      <c r="AQ110" s="403"/>
      <c r="AR110" s="403"/>
      <c r="AS110" s="403"/>
      <c r="AT110" s="403"/>
      <c r="AU110" s="403"/>
      <c r="AV110" s="403"/>
      <c r="AW110" s="403"/>
      <c r="AX110" s="403"/>
      <c r="AY110" s="403"/>
    </row>
    <row r="111">
      <c r="A111" s="415"/>
      <c r="B111" s="415"/>
      <c r="C111" s="410"/>
      <c r="D111" s="429"/>
      <c r="E111" s="416"/>
      <c r="F111" s="413"/>
      <c r="G111" s="413"/>
      <c r="H111" s="415"/>
      <c r="I111" s="415"/>
      <c r="J111" s="415"/>
      <c r="K111" s="415"/>
      <c r="L111" s="417"/>
      <c r="M111" s="403"/>
      <c r="N111" s="403"/>
      <c r="O111" s="403"/>
      <c r="P111" s="403"/>
      <c r="Q111" s="403"/>
      <c r="R111" s="403"/>
      <c r="S111" s="403"/>
      <c r="T111" s="403"/>
      <c r="U111" s="403"/>
      <c r="V111" s="403"/>
      <c r="W111" s="404"/>
      <c r="X111" s="405"/>
      <c r="Y111" s="405"/>
      <c r="Z111" s="405"/>
      <c r="AA111" s="405"/>
      <c r="AB111" s="405"/>
      <c r="AC111" s="405"/>
      <c r="AD111" s="405"/>
      <c r="AE111" s="405"/>
      <c r="AF111" s="405"/>
      <c r="AG111" s="405"/>
      <c r="AH111" s="405"/>
      <c r="AI111" s="405"/>
      <c r="AJ111" s="405"/>
      <c r="AK111" s="405"/>
      <c r="AL111" s="405"/>
      <c r="AM111" s="406"/>
      <c r="AN111" s="406"/>
      <c r="AO111" s="406"/>
      <c r="AP111" s="406"/>
      <c r="AQ111" s="403"/>
      <c r="AR111" s="403"/>
      <c r="AS111" s="403"/>
      <c r="AT111" s="403"/>
      <c r="AU111" s="403"/>
      <c r="AV111" s="403"/>
      <c r="AW111" s="403"/>
      <c r="AX111" s="403"/>
      <c r="AY111" s="403"/>
    </row>
    <row r="112">
      <c r="A112" s="415"/>
      <c r="B112" s="415"/>
      <c r="C112" s="410"/>
      <c r="D112" s="429"/>
      <c r="E112" s="416"/>
      <c r="F112" s="413"/>
      <c r="G112" s="413"/>
      <c r="H112" s="415"/>
      <c r="I112" s="415"/>
      <c r="J112" s="415"/>
      <c r="K112" s="415"/>
      <c r="L112" s="417"/>
      <c r="M112" s="403"/>
      <c r="N112" s="403"/>
      <c r="O112" s="403"/>
      <c r="P112" s="403"/>
      <c r="Q112" s="403"/>
      <c r="R112" s="403"/>
      <c r="S112" s="403"/>
      <c r="T112" s="403"/>
      <c r="U112" s="403"/>
      <c r="V112" s="403"/>
      <c r="W112" s="404"/>
      <c r="X112" s="405"/>
      <c r="Y112" s="405"/>
      <c r="Z112" s="405"/>
      <c r="AA112" s="405"/>
      <c r="AB112" s="405"/>
      <c r="AC112" s="405"/>
      <c r="AD112" s="405"/>
      <c r="AE112" s="405"/>
      <c r="AF112" s="405"/>
      <c r="AG112" s="405"/>
      <c r="AH112" s="405"/>
      <c r="AI112" s="405"/>
      <c r="AJ112" s="405"/>
      <c r="AK112" s="405"/>
      <c r="AL112" s="405"/>
      <c r="AM112" s="406"/>
      <c r="AN112" s="406"/>
      <c r="AO112" s="406"/>
      <c r="AP112" s="406"/>
      <c r="AQ112" s="403"/>
      <c r="AR112" s="403"/>
      <c r="AS112" s="403"/>
      <c r="AT112" s="403"/>
      <c r="AU112" s="403"/>
      <c r="AV112" s="403"/>
      <c r="AW112" s="403"/>
      <c r="AX112" s="403"/>
      <c r="AY112" s="403"/>
    </row>
    <row r="113">
      <c r="A113" s="415"/>
      <c r="B113" s="415"/>
      <c r="C113" s="410"/>
      <c r="D113" s="429"/>
      <c r="E113" s="416"/>
      <c r="F113" s="413"/>
      <c r="G113" s="413"/>
      <c r="H113" s="415"/>
      <c r="I113" s="415"/>
      <c r="J113" s="415"/>
      <c r="K113" s="415"/>
      <c r="L113" s="417"/>
      <c r="M113" s="403"/>
      <c r="N113" s="403"/>
      <c r="O113" s="403"/>
      <c r="P113" s="403"/>
      <c r="Q113" s="403"/>
      <c r="R113" s="403"/>
      <c r="S113" s="403"/>
      <c r="T113" s="403"/>
      <c r="U113" s="403"/>
      <c r="V113" s="403"/>
      <c r="W113" s="404"/>
      <c r="X113" s="405"/>
      <c r="Y113" s="405"/>
      <c r="Z113" s="405"/>
      <c r="AA113" s="405"/>
      <c r="AB113" s="405"/>
      <c r="AC113" s="405"/>
      <c r="AD113" s="405"/>
      <c r="AE113" s="405"/>
      <c r="AF113" s="405"/>
      <c r="AG113" s="405"/>
      <c r="AH113" s="405"/>
      <c r="AI113" s="405"/>
      <c r="AJ113" s="405"/>
      <c r="AK113" s="405"/>
      <c r="AL113" s="405"/>
      <c r="AM113" s="406"/>
      <c r="AN113" s="406"/>
      <c r="AO113" s="406"/>
      <c r="AP113" s="406"/>
      <c r="AQ113" s="403"/>
      <c r="AR113" s="403"/>
      <c r="AS113" s="403"/>
      <c r="AT113" s="403"/>
      <c r="AU113" s="403"/>
      <c r="AV113" s="403"/>
      <c r="AW113" s="403"/>
      <c r="AX113" s="403"/>
      <c r="AY113" s="403"/>
    </row>
    <row r="114">
      <c r="A114" s="415"/>
      <c r="B114" s="415"/>
      <c r="C114" s="410"/>
      <c r="D114" s="429"/>
      <c r="E114" s="416"/>
      <c r="F114" s="413"/>
      <c r="G114" s="413"/>
      <c r="H114" s="415"/>
      <c r="I114" s="415"/>
      <c r="J114" s="415"/>
      <c r="K114" s="415"/>
      <c r="L114" s="417"/>
      <c r="M114" s="403"/>
      <c r="N114" s="403"/>
      <c r="O114" s="403"/>
      <c r="P114" s="403"/>
      <c r="Q114" s="403"/>
      <c r="R114" s="403"/>
      <c r="S114" s="403"/>
      <c r="T114" s="403"/>
      <c r="U114" s="403"/>
      <c r="V114" s="403"/>
      <c r="W114" s="404"/>
      <c r="X114" s="405"/>
      <c r="Y114" s="405"/>
      <c r="Z114" s="405"/>
      <c r="AA114" s="405"/>
      <c r="AB114" s="405"/>
      <c r="AC114" s="405"/>
      <c r="AD114" s="405"/>
      <c r="AE114" s="405"/>
      <c r="AF114" s="405"/>
      <c r="AG114" s="405"/>
      <c r="AH114" s="405"/>
      <c r="AI114" s="405"/>
      <c r="AJ114" s="405"/>
      <c r="AK114" s="405"/>
      <c r="AL114" s="405"/>
      <c r="AM114" s="406"/>
      <c r="AN114" s="406"/>
      <c r="AO114" s="406"/>
      <c r="AP114" s="406"/>
      <c r="AQ114" s="403"/>
      <c r="AR114" s="403"/>
      <c r="AS114" s="403"/>
      <c r="AT114" s="403"/>
      <c r="AU114" s="403"/>
      <c r="AV114" s="403"/>
      <c r="AW114" s="403"/>
      <c r="AX114" s="403"/>
      <c r="AY114" s="403"/>
    </row>
    <row r="115">
      <c r="A115" s="415"/>
      <c r="B115" s="415"/>
      <c r="C115" s="410"/>
      <c r="D115" s="429"/>
      <c r="E115" s="416"/>
      <c r="F115" s="413"/>
      <c r="G115" s="413"/>
      <c r="H115" s="415"/>
      <c r="I115" s="415"/>
      <c r="J115" s="415"/>
      <c r="K115" s="415"/>
      <c r="L115" s="417"/>
      <c r="M115" s="403"/>
      <c r="N115" s="403"/>
      <c r="O115" s="403"/>
      <c r="P115" s="403"/>
      <c r="Q115" s="403"/>
      <c r="R115" s="403"/>
      <c r="S115" s="403"/>
      <c r="T115" s="403"/>
      <c r="U115" s="403"/>
      <c r="V115" s="403"/>
      <c r="W115" s="404"/>
      <c r="X115" s="405"/>
      <c r="Y115" s="405"/>
      <c r="Z115" s="405"/>
      <c r="AA115" s="405"/>
      <c r="AB115" s="405"/>
      <c r="AC115" s="405"/>
      <c r="AD115" s="405"/>
      <c r="AE115" s="405"/>
      <c r="AF115" s="405"/>
      <c r="AG115" s="405"/>
      <c r="AH115" s="405"/>
      <c r="AI115" s="405"/>
      <c r="AJ115" s="405"/>
      <c r="AK115" s="405"/>
      <c r="AL115" s="405"/>
      <c r="AM115" s="406"/>
      <c r="AN115" s="406"/>
      <c r="AO115" s="406"/>
      <c r="AP115" s="406"/>
      <c r="AQ115" s="403"/>
      <c r="AR115" s="403"/>
      <c r="AS115" s="403"/>
      <c r="AT115" s="403"/>
      <c r="AU115" s="403"/>
      <c r="AV115" s="403"/>
      <c r="AW115" s="403"/>
      <c r="AX115" s="403"/>
      <c r="AY115" s="403"/>
    </row>
    <row r="116">
      <c r="A116" s="415"/>
      <c r="B116" s="415"/>
      <c r="C116" s="410"/>
      <c r="D116" s="429"/>
      <c r="E116" s="416"/>
      <c r="F116" s="413"/>
      <c r="G116" s="413"/>
      <c r="H116" s="415"/>
      <c r="I116" s="415"/>
      <c r="J116" s="415"/>
      <c r="K116" s="415"/>
      <c r="L116" s="417"/>
      <c r="M116" s="403"/>
      <c r="N116" s="403"/>
      <c r="O116" s="403"/>
      <c r="P116" s="403"/>
      <c r="Q116" s="403"/>
      <c r="R116" s="403"/>
      <c r="S116" s="403"/>
      <c r="T116" s="403"/>
      <c r="U116" s="403"/>
      <c r="V116" s="403"/>
      <c r="W116" s="404"/>
      <c r="X116" s="405"/>
      <c r="Y116" s="405"/>
      <c r="Z116" s="405"/>
      <c r="AA116" s="405"/>
      <c r="AB116" s="405"/>
      <c r="AC116" s="405"/>
      <c r="AD116" s="405"/>
      <c r="AE116" s="405"/>
      <c r="AF116" s="405"/>
      <c r="AG116" s="405"/>
      <c r="AH116" s="405"/>
      <c r="AI116" s="405"/>
      <c r="AJ116" s="405"/>
      <c r="AK116" s="405"/>
      <c r="AL116" s="405"/>
      <c r="AM116" s="406"/>
      <c r="AN116" s="406"/>
      <c r="AO116" s="406"/>
      <c r="AP116" s="406"/>
      <c r="AQ116" s="403"/>
      <c r="AR116" s="403"/>
      <c r="AS116" s="403"/>
      <c r="AT116" s="403"/>
      <c r="AU116" s="403"/>
      <c r="AV116" s="403"/>
      <c r="AW116" s="403"/>
      <c r="AX116" s="403"/>
      <c r="AY116" s="403"/>
    </row>
    <row r="117">
      <c r="A117" s="415"/>
      <c r="B117" s="415"/>
      <c r="C117" s="410"/>
      <c r="D117" s="429"/>
      <c r="E117" s="416"/>
      <c r="F117" s="413"/>
      <c r="G117" s="413"/>
      <c r="H117" s="415"/>
      <c r="I117" s="415"/>
      <c r="J117" s="415"/>
      <c r="K117" s="415"/>
      <c r="L117" s="417"/>
      <c r="M117" s="403"/>
      <c r="N117" s="403"/>
      <c r="O117" s="403"/>
      <c r="P117" s="403"/>
      <c r="Q117" s="403"/>
      <c r="R117" s="403"/>
      <c r="S117" s="403"/>
      <c r="T117" s="403"/>
      <c r="U117" s="403"/>
      <c r="V117" s="403"/>
      <c r="W117" s="404"/>
      <c r="X117" s="405"/>
      <c r="Y117" s="405"/>
      <c r="Z117" s="405"/>
      <c r="AA117" s="405"/>
      <c r="AB117" s="405"/>
      <c r="AC117" s="405"/>
      <c r="AD117" s="405"/>
      <c r="AE117" s="405"/>
      <c r="AF117" s="405"/>
      <c r="AG117" s="405"/>
      <c r="AH117" s="405"/>
      <c r="AI117" s="405"/>
      <c r="AJ117" s="405"/>
      <c r="AK117" s="405"/>
      <c r="AL117" s="405"/>
      <c r="AM117" s="406"/>
      <c r="AN117" s="406"/>
      <c r="AO117" s="406"/>
      <c r="AP117" s="406"/>
      <c r="AQ117" s="403"/>
      <c r="AR117" s="403"/>
      <c r="AS117" s="403"/>
      <c r="AT117" s="403"/>
      <c r="AU117" s="403"/>
      <c r="AV117" s="403"/>
      <c r="AW117" s="403"/>
      <c r="AX117" s="403"/>
      <c r="AY117" s="403"/>
    </row>
    <row r="118">
      <c r="A118" s="415"/>
      <c r="B118" s="415"/>
      <c r="C118" s="410"/>
      <c r="D118" s="429"/>
      <c r="E118" s="416"/>
      <c r="F118" s="413"/>
      <c r="G118" s="413"/>
      <c r="H118" s="415"/>
      <c r="I118" s="415"/>
      <c r="J118" s="415"/>
      <c r="K118" s="415"/>
      <c r="L118" s="417"/>
      <c r="M118" s="403"/>
      <c r="N118" s="403"/>
      <c r="O118" s="403"/>
      <c r="P118" s="403"/>
      <c r="Q118" s="403"/>
      <c r="R118" s="403"/>
      <c r="S118" s="403"/>
      <c r="T118" s="403"/>
      <c r="U118" s="403"/>
      <c r="V118" s="403"/>
      <c r="W118" s="404"/>
      <c r="X118" s="405"/>
      <c r="Y118" s="405"/>
      <c r="Z118" s="405"/>
      <c r="AA118" s="405"/>
      <c r="AB118" s="405"/>
      <c r="AC118" s="405"/>
      <c r="AD118" s="405"/>
      <c r="AE118" s="405"/>
      <c r="AF118" s="405"/>
      <c r="AG118" s="405"/>
      <c r="AH118" s="405"/>
      <c r="AI118" s="405"/>
      <c r="AJ118" s="405"/>
      <c r="AK118" s="405"/>
      <c r="AL118" s="405"/>
      <c r="AM118" s="406"/>
      <c r="AN118" s="406"/>
      <c r="AO118" s="406"/>
      <c r="AP118" s="406"/>
      <c r="AQ118" s="403"/>
      <c r="AR118" s="403"/>
      <c r="AS118" s="403"/>
      <c r="AT118" s="403"/>
      <c r="AU118" s="403"/>
      <c r="AV118" s="403"/>
      <c r="AW118" s="403"/>
      <c r="AX118" s="403"/>
      <c r="AY118" s="403"/>
    </row>
    <row r="119">
      <c r="A119" s="415"/>
      <c r="B119" s="415"/>
      <c r="C119" s="410"/>
      <c r="D119" s="429"/>
      <c r="E119" s="416"/>
      <c r="F119" s="413"/>
      <c r="G119" s="413"/>
      <c r="H119" s="415"/>
      <c r="I119" s="415"/>
      <c r="J119" s="415"/>
      <c r="K119" s="415"/>
      <c r="L119" s="417"/>
      <c r="M119" s="403"/>
      <c r="N119" s="403"/>
      <c r="O119" s="403"/>
      <c r="P119" s="403"/>
      <c r="Q119" s="403"/>
      <c r="R119" s="403"/>
      <c r="S119" s="403"/>
      <c r="T119" s="403"/>
      <c r="U119" s="403"/>
      <c r="V119" s="403"/>
      <c r="W119" s="404"/>
      <c r="X119" s="405"/>
      <c r="Y119" s="405"/>
      <c r="Z119" s="405"/>
      <c r="AA119" s="405"/>
      <c r="AB119" s="405"/>
      <c r="AC119" s="405"/>
      <c r="AD119" s="405"/>
      <c r="AE119" s="405"/>
      <c r="AF119" s="405"/>
      <c r="AG119" s="405"/>
      <c r="AH119" s="405"/>
      <c r="AI119" s="405"/>
      <c r="AJ119" s="405"/>
      <c r="AK119" s="405"/>
      <c r="AL119" s="405"/>
      <c r="AM119" s="406"/>
      <c r="AN119" s="406"/>
      <c r="AO119" s="406"/>
      <c r="AP119" s="406"/>
      <c r="AQ119" s="403"/>
      <c r="AR119" s="403"/>
      <c r="AS119" s="403"/>
      <c r="AT119" s="403"/>
      <c r="AU119" s="403"/>
      <c r="AV119" s="403"/>
      <c r="AW119" s="403"/>
      <c r="AX119" s="403"/>
      <c r="AY119" s="403"/>
    </row>
    <row r="120">
      <c r="A120" s="415"/>
      <c r="B120" s="415"/>
      <c r="C120" s="410"/>
      <c r="D120" s="429"/>
      <c r="E120" s="416"/>
      <c r="F120" s="413"/>
      <c r="G120" s="413"/>
      <c r="H120" s="415"/>
      <c r="I120" s="415"/>
      <c r="J120" s="415"/>
      <c r="K120" s="415"/>
      <c r="L120" s="417"/>
      <c r="M120" s="403"/>
      <c r="N120" s="403"/>
      <c r="O120" s="403"/>
      <c r="P120" s="403"/>
      <c r="Q120" s="403"/>
      <c r="R120" s="403"/>
      <c r="S120" s="403"/>
      <c r="T120" s="403"/>
      <c r="U120" s="403"/>
      <c r="V120" s="403"/>
      <c r="W120" s="404"/>
      <c r="X120" s="405"/>
      <c r="Y120" s="405"/>
      <c r="Z120" s="405"/>
      <c r="AA120" s="405"/>
      <c r="AB120" s="405"/>
      <c r="AC120" s="405"/>
      <c r="AD120" s="405"/>
      <c r="AE120" s="405"/>
      <c r="AF120" s="405"/>
      <c r="AG120" s="405"/>
      <c r="AH120" s="405"/>
      <c r="AI120" s="405"/>
      <c r="AJ120" s="405"/>
      <c r="AK120" s="405"/>
      <c r="AL120" s="405"/>
      <c r="AM120" s="406"/>
      <c r="AN120" s="406"/>
      <c r="AO120" s="406"/>
      <c r="AP120" s="406"/>
      <c r="AQ120" s="403"/>
      <c r="AR120" s="403"/>
      <c r="AS120" s="403"/>
      <c r="AT120" s="403"/>
      <c r="AU120" s="403"/>
      <c r="AV120" s="403"/>
      <c r="AW120" s="403"/>
      <c r="AX120" s="403"/>
      <c r="AY120" s="403"/>
    </row>
    <row r="121">
      <c r="A121" s="415"/>
      <c r="B121" s="415"/>
      <c r="C121" s="410"/>
      <c r="D121" s="429"/>
      <c r="E121" s="416"/>
      <c r="F121" s="413"/>
      <c r="G121" s="413"/>
      <c r="H121" s="415"/>
      <c r="I121" s="415"/>
      <c r="J121" s="415"/>
      <c r="K121" s="415"/>
      <c r="L121" s="417"/>
      <c r="M121" s="403"/>
      <c r="N121" s="403"/>
      <c r="O121" s="403"/>
      <c r="P121" s="403"/>
      <c r="Q121" s="403"/>
      <c r="R121" s="403"/>
      <c r="S121" s="403"/>
      <c r="T121" s="403"/>
      <c r="U121" s="403"/>
      <c r="V121" s="403"/>
      <c r="W121" s="404"/>
      <c r="X121" s="405"/>
      <c r="Y121" s="405"/>
      <c r="Z121" s="405"/>
      <c r="AA121" s="405"/>
      <c r="AB121" s="405"/>
      <c r="AC121" s="405"/>
      <c r="AD121" s="405"/>
      <c r="AE121" s="405"/>
      <c r="AF121" s="405"/>
      <c r="AG121" s="405"/>
      <c r="AH121" s="405"/>
      <c r="AI121" s="405"/>
      <c r="AJ121" s="405"/>
      <c r="AK121" s="405"/>
      <c r="AL121" s="405"/>
      <c r="AM121" s="406"/>
      <c r="AN121" s="406"/>
      <c r="AO121" s="406"/>
      <c r="AP121" s="406"/>
      <c r="AQ121" s="403"/>
      <c r="AR121" s="403"/>
      <c r="AS121" s="403"/>
      <c r="AT121" s="403"/>
      <c r="AU121" s="403"/>
      <c r="AV121" s="403"/>
      <c r="AW121" s="403"/>
      <c r="AX121" s="403"/>
      <c r="AY121" s="403"/>
    </row>
    <row r="122">
      <c r="A122" s="415"/>
      <c r="B122" s="415"/>
      <c r="C122" s="410"/>
      <c r="D122" s="429"/>
      <c r="E122" s="416"/>
      <c r="F122" s="413"/>
      <c r="G122" s="413"/>
      <c r="H122" s="415"/>
      <c r="I122" s="415"/>
      <c r="J122" s="415"/>
      <c r="K122" s="415"/>
      <c r="L122" s="417"/>
      <c r="M122" s="403"/>
      <c r="N122" s="403"/>
      <c r="O122" s="403"/>
      <c r="P122" s="403"/>
      <c r="Q122" s="403"/>
      <c r="R122" s="403"/>
      <c r="S122" s="403"/>
      <c r="T122" s="403"/>
      <c r="U122" s="403"/>
      <c r="V122" s="403"/>
      <c r="W122" s="404"/>
      <c r="X122" s="405"/>
      <c r="Y122" s="405"/>
      <c r="Z122" s="405"/>
      <c r="AA122" s="405"/>
      <c r="AB122" s="405"/>
      <c r="AC122" s="405"/>
      <c r="AD122" s="405"/>
      <c r="AE122" s="405"/>
      <c r="AF122" s="405"/>
      <c r="AG122" s="405"/>
      <c r="AH122" s="405"/>
      <c r="AI122" s="405"/>
      <c r="AJ122" s="405"/>
      <c r="AK122" s="405"/>
      <c r="AL122" s="405"/>
      <c r="AM122" s="406"/>
      <c r="AN122" s="406"/>
      <c r="AO122" s="406"/>
      <c r="AP122" s="406"/>
      <c r="AQ122" s="403"/>
      <c r="AR122" s="403"/>
      <c r="AS122" s="403"/>
      <c r="AT122" s="403"/>
      <c r="AU122" s="403"/>
      <c r="AV122" s="403"/>
      <c r="AW122" s="403"/>
      <c r="AX122" s="403"/>
      <c r="AY122" s="403"/>
    </row>
    <row r="123">
      <c r="A123" s="415"/>
      <c r="B123" s="415"/>
      <c r="C123" s="410"/>
      <c r="D123" s="429"/>
      <c r="E123" s="416"/>
      <c r="F123" s="413"/>
      <c r="G123" s="413"/>
      <c r="H123" s="415"/>
      <c r="I123" s="415"/>
      <c r="J123" s="415"/>
      <c r="K123" s="415"/>
      <c r="L123" s="417"/>
      <c r="M123" s="403"/>
      <c r="N123" s="403"/>
      <c r="O123" s="403"/>
      <c r="P123" s="403"/>
      <c r="Q123" s="403"/>
      <c r="R123" s="403"/>
      <c r="S123" s="403"/>
      <c r="T123" s="403"/>
      <c r="U123" s="403"/>
      <c r="V123" s="403"/>
      <c r="W123" s="404"/>
      <c r="X123" s="405"/>
      <c r="Y123" s="405"/>
      <c r="Z123" s="405"/>
      <c r="AA123" s="405"/>
      <c r="AB123" s="405"/>
      <c r="AC123" s="405"/>
      <c r="AD123" s="405"/>
      <c r="AE123" s="405"/>
      <c r="AF123" s="405"/>
      <c r="AG123" s="405"/>
      <c r="AH123" s="405"/>
      <c r="AI123" s="405"/>
      <c r="AJ123" s="405"/>
      <c r="AK123" s="405"/>
      <c r="AL123" s="405"/>
      <c r="AM123" s="406"/>
      <c r="AN123" s="406"/>
      <c r="AO123" s="406"/>
      <c r="AP123" s="406"/>
      <c r="AQ123" s="403"/>
      <c r="AR123" s="403"/>
      <c r="AS123" s="403"/>
      <c r="AT123" s="403"/>
      <c r="AU123" s="403"/>
      <c r="AV123" s="403"/>
      <c r="AW123" s="403"/>
      <c r="AX123" s="403"/>
      <c r="AY123" s="403"/>
    </row>
    <row r="124">
      <c r="A124" s="415"/>
      <c r="B124" s="415"/>
      <c r="C124" s="410"/>
      <c r="D124" s="429"/>
      <c r="E124" s="416"/>
      <c r="F124" s="413"/>
      <c r="G124" s="413"/>
      <c r="H124" s="415"/>
      <c r="I124" s="415"/>
      <c r="J124" s="415"/>
      <c r="K124" s="415"/>
      <c r="L124" s="417"/>
      <c r="M124" s="403"/>
      <c r="N124" s="403"/>
      <c r="O124" s="403"/>
      <c r="P124" s="403"/>
      <c r="Q124" s="403"/>
      <c r="R124" s="403"/>
      <c r="S124" s="403"/>
      <c r="T124" s="403"/>
      <c r="U124" s="403"/>
      <c r="V124" s="403"/>
      <c r="W124" s="404"/>
      <c r="X124" s="405"/>
      <c r="Y124" s="405"/>
      <c r="Z124" s="405"/>
      <c r="AA124" s="405"/>
      <c r="AB124" s="405"/>
      <c r="AC124" s="405"/>
      <c r="AD124" s="405"/>
      <c r="AE124" s="405"/>
      <c r="AF124" s="405"/>
      <c r="AG124" s="405"/>
      <c r="AH124" s="405"/>
      <c r="AI124" s="405"/>
      <c r="AJ124" s="405"/>
      <c r="AK124" s="405"/>
      <c r="AL124" s="405"/>
      <c r="AM124" s="406"/>
      <c r="AN124" s="406"/>
      <c r="AO124" s="406"/>
      <c r="AP124" s="406"/>
      <c r="AQ124" s="403"/>
      <c r="AR124" s="403"/>
      <c r="AS124" s="403"/>
      <c r="AT124" s="403"/>
      <c r="AU124" s="403"/>
      <c r="AV124" s="403"/>
      <c r="AW124" s="403"/>
      <c r="AX124" s="403"/>
      <c r="AY124" s="403"/>
    </row>
    <row r="125">
      <c r="A125" s="415"/>
      <c r="B125" s="415"/>
      <c r="C125" s="410"/>
      <c r="D125" s="429"/>
      <c r="E125" s="416"/>
      <c r="F125" s="413"/>
      <c r="G125" s="413"/>
      <c r="H125" s="415"/>
      <c r="I125" s="415"/>
      <c r="J125" s="415"/>
      <c r="K125" s="415"/>
      <c r="L125" s="417"/>
      <c r="M125" s="403"/>
      <c r="N125" s="403"/>
      <c r="O125" s="403"/>
      <c r="P125" s="403"/>
      <c r="Q125" s="403"/>
      <c r="R125" s="403"/>
      <c r="S125" s="403"/>
      <c r="T125" s="403"/>
      <c r="U125" s="403"/>
      <c r="V125" s="403"/>
      <c r="W125" s="404"/>
      <c r="X125" s="405"/>
      <c r="Y125" s="405"/>
      <c r="Z125" s="405"/>
      <c r="AA125" s="405"/>
      <c r="AB125" s="405"/>
      <c r="AC125" s="405"/>
      <c r="AD125" s="405"/>
      <c r="AE125" s="405"/>
      <c r="AF125" s="405"/>
      <c r="AG125" s="405"/>
      <c r="AH125" s="405"/>
      <c r="AI125" s="405"/>
      <c r="AJ125" s="405"/>
      <c r="AK125" s="405"/>
      <c r="AL125" s="405"/>
      <c r="AM125" s="406"/>
      <c r="AN125" s="406"/>
      <c r="AO125" s="406"/>
      <c r="AP125" s="406"/>
      <c r="AQ125" s="403"/>
      <c r="AR125" s="403"/>
      <c r="AS125" s="403"/>
      <c r="AT125" s="403"/>
      <c r="AU125" s="403"/>
      <c r="AV125" s="403"/>
      <c r="AW125" s="403"/>
      <c r="AX125" s="403"/>
      <c r="AY125" s="403"/>
    </row>
    <row r="126">
      <c r="A126" s="415"/>
      <c r="B126" s="415"/>
      <c r="C126" s="410"/>
      <c r="D126" s="429"/>
      <c r="E126" s="416"/>
      <c r="F126" s="413"/>
      <c r="G126" s="413"/>
      <c r="H126" s="415"/>
      <c r="I126" s="415"/>
      <c r="J126" s="415"/>
      <c r="K126" s="415"/>
      <c r="L126" s="417"/>
      <c r="M126" s="403"/>
      <c r="N126" s="403"/>
      <c r="O126" s="403"/>
      <c r="P126" s="403"/>
      <c r="Q126" s="403"/>
      <c r="R126" s="403"/>
      <c r="S126" s="403"/>
      <c r="T126" s="403"/>
      <c r="U126" s="403"/>
      <c r="V126" s="403"/>
      <c r="W126" s="404"/>
      <c r="X126" s="405"/>
      <c r="Y126" s="405"/>
      <c r="Z126" s="405"/>
      <c r="AA126" s="405"/>
      <c r="AB126" s="405"/>
      <c r="AC126" s="405"/>
      <c r="AD126" s="405"/>
      <c r="AE126" s="405"/>
      <c r="AF126" s="405"/>
      <c r="AG126" s="405"/>
      <c r="AH126" s="405"/>
      <c r="AI126" s="405"/>
      <c r="AJ126" s="405"/>
      <c r="AK126" s="405"/>
      <c r="AL126" s="405"/>
      <c r="AM126" s="406"/>
      <c r="AN126" s="406"/>
      <c r="AO126" s="406"/>
      <c r="AP126" s="406"/>
      <c r="AQ126" s="403"/>
      <c r="AR126" s="403"/>
      <c r="AS126" s="403"/>
      <c r="AT126" s="403"/>
      <c r="AU126" s="403"/>
      <c r="AV126" s="403"/>
      <c r="AW126" s="403"/>
      <c r="AX126" s="403"/>
      <c r="AY126" s="403"/>
    </row>
    <row r="127">
      <c r="A127" s="415"/>
      <c r="B127" s="415"/>
      <c r="C127" s="410"/>
      <c r="D127" s="429"/>
      <c r="E127" s="416"/>
      <c r="F127" s="413"/>
      <c r="G127" s="413"/>
      <c r="H127" s="415"/>
      <c r="I127" s="415"/>
      <c r="J127" s="415"/>
      <c r="K127" s="415"/>
      <c r="L127" s="417"/>
      <c r="M127" s="403"/>
      <c r="N127" s="403"/>
      <c r="O127" s="403"/>
      <c r="P127" s="403"/>
      <c r="Q127" s="403"/>
      <c r="R127" s="403"/>
      <c r="S127" s="403"/>
      <c r="T127" s="403"/>
      <c r="U127" s="403"/>
      <c r="V127" s="403"/>
      <c r="W127" s="404"/>
      <c r="X127" s="405"/>
      <c r="Y127" s="405"/>
      <c r="Z127" s="405"/>
      <c r="AA127" s="405"/>
      <c r="AB127" s="405"/>
      <c r="AC127" s="405"/>
      <c r="AD127" s="405"/>
      <c r="AE127" s="405"/>
      <c r="AF127" s="405"/>
      <c r="AG127" s="405"/>
      <c r="AH127" s="405"/>
      <c r="AI127" s="405"/>
      <c r="AJ127" s="405"/>
      <c r="AK127" s="405"/>
      <c r="AL127" s="405"/>
      <c r="AM127" s="406"/>
      <c r="AN127" s="406"/>
      <c r="AO127" s="406"/>
      <c r="AP127" s="406"/>
      <c r="AQ127" s="403"/>
      <c r="AR127" s="403"/>
      <c r="AS127" s="403"/>
      <c r="AT127" s="403"/>
      <c r="AU127" s="403"/>
      <c r="AV127" s="403"/>
      <c r="AW127" s="403"/>
      <c r="AX127" s="403"/>
      <c r="AY127" s="403"/>
    </row>
    <row r="128">
      <c r="A128" s="415"/>
      <c r="B128" s="415"/>
      <c r="C128" s="410"/>
      <c r="D128" s="429"/>
      <c r="E128" s="416"/>
      <c r="F128" s="413"/>
      <c r="G128" s="413"/>
      <c r="H128" s="415"/>
      <c r="I128" s="415"/>
      <c r="J128" s="415"/>
      <c r="K128" s="415"/>
      <c r="L128" s="417"/>
      <c r="M128" s="403"/>
      <c r="N128" s="403"/>
      <c r="O128" s="403"/>
      <c r="P128" s="403"/>
      <c r="Q128" s="403"/>
      <c r="R128" s="403"/>
      <c r="S128" s="403"/>
      <c r="T128" s="403"/>
      <c r="U128" s="403"/>
      <c r="V128" s="403"/>
      <c r="W128" s="404"/>
      <c r="X128" s="405"/>
      <c r="Y128" s="405"/>
      <c r="Z128" s="405"/>
      <c r="AA128" s="405"/>
      <c r="AB128" s="405"/>
      <c r="AC128" s="405"/>
      <c r="AD128" s="405"/>
      <c r="AE128" s="405"/>
      <c r="AF128" s="405"/>
      <c r="AG128" s="405"/>
      <c r="AH128" s="405"/>
      <c r="AI128" s="405"/>
      <c r="AJ128" s="405"/>
      <c r="AK128" s="405"/>
      <c r="AL128" s="405"/>
      <c r="AM128" s="406"/>
      <c r="AN128" s="406"/>
      <c r="AO128" s="406"/>
      <c r="AP128" s="406"/>
      <c r="AQ128" s="403"/>
      <c r="AR128" s="403"/>
      <c r="AS128" s="403"/>
      <c r="AT128" s="403"/>
      <c r="AU128" s="403"/>
      <c r="AV128" s="403"/>
      <c r="AW128" s="403"/>
      <c r="AX128" s="403"/>
      <c r="AY128" s="403"/>
    </row>
    <row r="129">
      <c r="A129" s="415"/>
      <c r="B129" s="415"/>
      <c r="C129" s="410"/>
      <c r="D129" s="429"/>
      <c r="E129" s="416"/>
      <c r="F129" s="413"/>
      <c r="G129" s="413"/>
      <c r="H129" s="415"/>
      <c r="I129" s="415"/>
      <c r="J129" s="415"/>
      <c r="K129" s="415"/>
      <c r="L129" s="417"/>
      <c r="M129" s="403"/>
      <c r="N129" s="403"/>
      <c r="O129" s="403"/>
      <c r="P129" s="403"/>
      <c r="Q129" s="403"/>
      <c r="R129" s="403"/>
      <c r="S129" s="403"/>
      <c r="T129" s="403"/>
      <c r="U129" s="403"/>
      <c r="V129" s="403"/>
      <c r="W129" s="404"/>
      <c r="X129" s="405"/>
      <c r="Y129" s="405"/>
      <c r="Z129" s="405"/>
      <c r="AA129" s="405"/>
      <c r="AB129" s="405"/>
      <c r="AC129" s="405"/>
      <c r="AD129" s="405"/>
      <c r="AE129" s="405"/>
      <c r="AF129" s="405"/>
      <c r="AG129" s="405"/>
      <c r="AH129" s="405"/>
      <c r="AI129" s="405"/>
      <c r="AJ129" s="405"/>
      <c r="AK129" s="405"/>
      <c r="AL129" s="405"/>
      <c r="AM129" s="406"/>
      <c r="AN129" s="406"/>
      <c r="AO129" s="406"/>
      <c r="AP129" s="406"/>
      <c r="AQ129" s="403"/>
      <c r="AR129" s="403"/>
      <c r="AS129" s="403"/>
      <c r="AT129" s="403"/>
      <c r="AU129" s="403"/>
      <c r="AV129" s="403"/>
      <c r="AW129" s="403"/>
      <c r="AX129" s="403"/>
      <c r="AY129" s="403"/>
    </row>
    <row r="130">
      <c r="A130" s="415"/>
      <c r="B130" s="415"/>
      <c r="C130" s="410"/>
      <c r="D130" s="429"/>
      <c r="E130" s="416"/>
      <c r="F130" s="413"/>
      <c r="G130" s="413"/>
      <c r="H130" s="415"/>
      <c r="I130" s="415"/>
      <c r="J130" s="415"/>
      <c r="K130" s="415"/>
      <c r="L130" s="417"/>
      <c r="M130" s="403"/>
      <c r="N130" s="403"/>
      <c r="O130" s="403"/>
      <c r="P130" s="403"/>
      <c r="Q130" s="403"/>
      <c r="R130" s="403"/>
      <c r="S130" s="403"/>
      <c r="T130" s="403"/>
      <c r="U130" s="403"/>
      <c r="V130" s="403"/>
      <c r="W130" s="404"/>
      <c r="X130" s="405"/>
      <c r="Y130" s="405"/>
      <c r="Z130" s="405"/>
      <c r="AA130" s="405"/>
      <c r="AB130" s="405"/>
      <c r="AC130" s="405"/>
      <c r="AD130" s="405"/>
      <c r="AE130" s="405"/>
      <c r="AF130" s="405"/>
      <c r="AG130" s="405"/>
      <c r="AH130" s="405"/>
      <c r="AI130" s="405"/>
      <c r="AJ130" s="405"/>
      <c r="AK130" s="405"/>
      <c r="AL130" s="405"/>
      <c r="AM130" s="406"/>
      <c r="AN130" s="406"/>
      <c r="AO130" s="406"/>
      <c r="AP130" s="406"/>
      <c r="AQ130" s="403"/>
      <c r="AR130" s="403"/>
      <c r="AS130" s="403"/>
      <c r="AT130" s="403"/>
      <c r="AU130" s="403"/>
      <c r="AV130" s="403"/>
      <c r="AW130" s="403"/>
      <c r="AX130" s="403"/>
      <c r="AY130" s="403"/>
    </row>
    <row r="131">
      <c r="A131" s="415"/>
      <c r="B131" s="415"/>
      <c r="C131" s="410"/>
      <c r="D131" s="429"/>
      <c r="E131" s="416"/>
      <c r="F131" s="413"/>
      <c r="G131" s="413"/>
      <c r="H131" s="415"/>
      <c r="I131" s="415"/>
      <c r="J131" s="415"/>
      <c r="K131" s="415"/>
      <c r="L131" s="417"/>
      <c r="M131" s="403"/>
      <c r="N131" s="403"/>
      <c r="O131" s="403"/>
      <c r="P131" s="403"/>
      <c r="Q131" s="403"/>
      <c r="R131" s="403"/>
      <c r="S131" s="403"/>
      <c r="T131" s="403"/>
      <c r="U131" s="403"/>
      <c r="V131" s="403"/>
      <c r="W131" s="404"/>
      <c r="X131" s="405"/>
      <c r="Y131" s="405"/>
      <c r="Z131" s="405"/>
      <c r="AA131" s="405"/>
      <c r="AB131" s="405"/>
      <c r="AC131" s="405"/>
      <c r="AD131" s="405"/>
      <c r="AE131" s="405"/>
      <c r="AF131" s="405"/>
      <c r="AG131" s="405"/>
      <c r="AH131" s="405"/>
      <c r="AI131" s="405"/>
      <c r="AJ131" s="405"/>
      <c r="AK131" s="405"/>
      <c r="AL131" s="405"/>
      <c r="AM131" s="406"/>
      <c r="AN131" s="406"/>
      <c r="AO131" s="406"/>
      <c r="AP131" s="406"/>
      <c r="AQ131" s="403"/>
      <c r="AR131" s="403"/>
      <c r="AS131" s="403"/>
      <c r="AT131" s="403"/>
      <c r="AU131" s="403"/>
      <c r="AV131" s="403"/>
      <c r="AW131" s="403"/>
      <c r="AX131" s="403"/>
      <c r="AY131" s="403"/>
    </row>
    <row r="132">
      <c r="A132" s="415"/>
      <c r="B132" s="415"/>
      <c r="C132" s="410"/>
      <c r="D132" s="429"/>
      <c r="E132" s="416"/>
      <c r="F132" s="413"/>
      <c r="G132" s="413"/>
      <c r="H132" s="415"/>
      <c r="I132" s="415"/>
      <c r="J132" s="415"/>
      <c r="K132" s="415"/>
      <c r="L132" s="417"/>
      <c r="M132" s="403"/>
      <c r="N132" s="403"/>
      <c r="O132" s="403"/>
      <c r="P132" s="403"/>
      <c r="Q132" s="403"/>
      <c r="R132" s="403"/>
      <c r="S132" s="403"/>
      <c r="T132" s="403"/>
      <c r="U132" s="403"/>
      <c r="V132" s="403"/>
      <c r="W132" s="404"/>
      <c r="X132" s="405"/>
      <c r="Y132" s="405"/>
      <c r="Z132" s="405"/>
      <c r="AA132" s="405"/>
      <c r="AB132" s="405"/>
      <c r="AC132" s="405"/>
      <c r="AD132" s="405"/>
      <c r="AE132" s="405"/>
      <c r="AF132" s="405"/>
      <c r="AG132" s="405"/>
      <c r="AH132" s="405"/>
      <c r="AI132" s="405"/>
      <c r="AJ132" s="405"/>
      <c r="AK132" s="405"/>
      <c r="AL132" s="405"/>
      <c r="AM132" s="406"/>
      <c r="AN132" s="406"/>
      <c r="AO132" s="406"/>
      <c r="AP132" s="406"/>
      <c r="AQ132" s="403"/>
      <c r="AR132" s="403"/>
      <c r="AS132" s="403"/>
      <c r="AT132" s="403"/>
      <c r="AU132" s="403"/>
      <c r="AV132" s="403"/>
      <c r="AW132" s="403"/>
      <c r="AX132" s="403"/>
      <c r="AY132" s="403"/>
    </row>
    <row r="133">
      <c r="A133" s="415"/>
      <c r="B133" s="415"/>
      <c r="C133" s="410"/>
      <c r="D133" s="429"/>
      <c r="E133" s="416"/>
      <c r="F133" s="413"/>
      <c r="G133" s="413"/>
      <c r="H133" s="415"/>
      <c r="I133" s="415"/>
      <c r="J133" s="415"/>
      <c r="K133" s="415"/>
      <c r="L133" s="417"/>
      <c r="M133" s="403"/>
      <c r="N133" s="403"/>
      <c r="O133" s="403"/>
      <c r="P133" s="403"/>
      <c r="Q133" s="403"/>
      <c r="R133" s="403"/>
      <c r="S133" s="403"/>
      <c r="T133" s="403"/>
      <c r="U133" s="403"/>
      <c r="V133" s="403"/>
      <c r="W133" s="404"/>
      <c r="X133" s="405"/>
      <c r="Y133" s="405"/>
      <c r="Z133" s="405"/>
      <c r="AA133" s="405"/>
      <c r="AB133" s="405"/>
      <c r="AC133" s="405"/>
      <c r="AD133" s="405"/>
      <c r="AE133" s="405"/>
      <c r="AF133" s="405"/>
      <c r="AG133" s="405"/>
      <c r="AH133" s="405"/>
      <c r="AI133" s="405"/>
      <c r="AJ133" s="405"/>
      <c r="AK133" s="405"/>
      <c r="AL133" s="405"/>
      <c r="AM133" s="406"/>
      <c r="AN133" s="406"/>
      <c r="AO133" s="406"/>
      <c r="AP133" s="406"/>
      <c r="AQ133" s="403"/>
      <c r="AR133" s="403"/>
      <c r="AS133" s="403"/>
      <c r="AT133" s="403"/>
      <c r="AU133" s="403"/>
      <c r="AV133" s="403"/>
      <c r="AW133" s="403"/>
      <c r="AX133" s="403"/>
      <c r="AY133" s="403"/>
    </row>
    <row r="134">
      <c r="A134" s="415"/>
      <c r="B134" s="415"/>
      <c r="C134" s="410"/>
      <c r="D134" s="429"/>
      <c r="E134" s="416"/>
      <c r="F134" s="413"/>
      <c r="G134" s="413"/>
      <c r="H134" s="415"/>
      <c r="I134" s="415"/>
      <c r="J134" s="415"/>
      <c r="K134" s="415"/>
      <c r="L134" s="417"/>
      <c r="M134" s="403"/>
      <c r="N134" s="403"/>
      <c r="O134" s="403"/>
      <c r="P134" s="403"/>
      <c r="Q134" s="403"/>
      <c r="R134" s="403"/>
      <c r="S134" s="403"/>
      <c r="T134" s="403"/>
      <c r="U134" s="403"/>
      <c r="V134" s="403"/>
      <c r="W134" s="404"/>
      <c r="X134" s="405"/>
      <c r="Y134" s="405"/>
      <c r="Z134" s="405"/>
      <c r="AA134" s="405"/>
      <c r="AB134" s="405"/>
      <c r="AC134" s="405"/>
      <c r="AD134" s="405"/>
      <c r="AE134" s="405"/>
      <c r="AF134" s="405"/>
      <c r="AG134" s="405"/>
      <c r="AH134" s="405"/>
      <c r="AI134" s="405"/>
      <c r="AJ134" s="405"/>
      <c r="AK134" s="405"/>
      <c r="AL134" s="405"/>
      <c r="AM134" s="406"/>
      <c r="AN134" s="406"/>
      <c r="AO134" s="406"/>
      <c r="AP134" s="406"/>
      <c r="AQ134" s="403"/>
      <c r="AR134" s="403"/>
      <c r="AS134" s="403"/>
      <c r="AT134" s="403"/>
      <c r="AU134" s="403"/>
      <c r="AV134" s="403"/>
      <c r="AW134" s="403"/>
      <c r="AX134" s="403"/>
      <c r="AY134" s="403"/>
    </row>
    <row r="135">
      <c r="A135" s="415"/>
      <c r="B135" s="415"/>
      <c r="C135" s="410"/>
      <c r="D135" s="429"/>
      <c r="E135" s="416"/>
      <c r="F135" s="413"/>
      <c r="G135" s="413"/>
      <c r="H135" s="415"/>
      <c r="I135" s="415"/>
      <c r="J135" s="415"/>
      <c r="K135" s="415"/>
      <c r="L135" s="417"/>
      <c r="M135" s="403"/>
      <c r="N135" s="403"/>
      <c r="O135" s="403"/>
      <c r="P135" s="403"/>
      <c r="Q135" s="403"/>
      <c r="R135" s="403"/>
      <c r="S135" s="403"/>
      <c r="T135" s="403"/>
      <c r="U135" s="403"/>
      <c r="V135" s="403"/>
      <c r="W135" s="404"/>
      <c r="X135" s="405"/>
      <c r="Y135" s="405"/>
      <c r="Z135" s="405"/>
      <c r="AA135" s="405"/>
      <c r="AB135" s="405"/>
      <c r="AC135" s="405"/>
      <c r="AD135" s="405"/>
      <c r="AE135" s="405"/>
      <c r="AF135" s="405"/>
      <c r="AG135" s="405"/>
      <c r="AH135" s="405"/>
      <c r="AI135" s="405"/>
      <c r="AJ135" s="405"/>
      <c r="AK135" s="405"/>
      <c r="AL135" s="405"/>
      <c r="AM135" s="406"/>
      <c r="AN135" s="406"/>
      <c r="AO135" s="406"/>
      <c r="AP135" s="406"/>
      <c r="AQ135" s="403"/>
      <c r="AR135" s="403"/>
      <c r="AS135" s="403"/>
      <c r="AT135" s="403"/>
      <c r="AU135" s="403"/>
      <c r="AV135" s="403"/>
      <c r="AW135" s="403"/>
      <c r="AX135" s="403"/>
      <c r="AY135" s="403"/>
    </row>
    <row r="136">
      <c r="A136" s="415"/>
      <c r="B136" s="415"/>
      <c r="C136" s="410"/>
      <c r="D136" s="429"/>
      <c r="E136" s="416"/>
      <c r="F136" s="413"/>
      <c r="G136" s="413"/>
      <c r="H136" s="415"/>
      <c r="I136" s="415"/>
      <c r="J136" s="415"/>
      <c r="K136" s="415"/>
      <c r="L136" s="417"/>
      <c r="M136" s="403"/>
      <c r="N136" s="403"/>
      <c r="O136" s="403"/>
      <c r="P136" s="403"/>
      <c r="Q136" s="403"/>
      <c r="R136" s="403"/>
      <c r="S136" s="403"/>
      <c r="T136" s="403"/>
      <c r="U136" s="403"/>
      <c r="V136" s="403"/>
      <c r="W136" s="404"/>
      <c r="X136" s="405"/>
      <c r="Y136" s="405"/>
      <c r="Z136" s="405"/>
      <c r="AA136" s="405"/>
      <c r="AB136" s="405"/>
      <c r="AC136" s="405"/>
      <c r="AD136" s="405"/>
      <c r="AE136" s="405"/>
      <c r="AF136" s="405"/>
      <c r="AG136" s="405"/>
      <c r="AH136" s="405"/>
      <c r="AI136" s="405"/>
      <c r="AJ136" s="405"/>
      <c r="AK136" s="405"/>
      <c r="AL136" s="405"/>
      <c r="AM136" s="406"/>
      <c r="AN136" s="406"/>
      <c r="AO136" s="406"/>
      <c r="AP136" s="406"/>
      <c r="AQ136" s="403"/>
      <c r="AR136" s="403"/>
      <c r="AS136" s="403"/>
      <c r="AT136" s="403"/>
      <c r="AU136" s="403"/>
      <c r="AV136" s="403"/>
      <c r="AW136" s="403"/>
      <c r="AX136" s="403"/>
      <c r="AY136" s="403"/>
    </row>
    <row r="137">
      <c r="A137" s="415"/>
      <c r="B137" s="415"/>
      <c r="C137" s="410"/>
      <c r="D137" s="429"/>
      <c r="E137" s="416"/>
      <c r="F137" s="413"/>
      <c r="G137" s="413"/>
      <c r="H137" s="415"/>
      <c r="I137" s="415"/>
      <c r="J137" s="415"/>
      <c r="K137" s="415"/>
      <c r="L137" s="417"/>
      <c r="M137" s="403"/>
      <c r="N137" s="403"/>
      <c r="O137" s="403"/>
      <c r="P137" s="403"/>
      <c r="Q137" s="403"/>
      <c r="R137" s="403"/>
      <c r="S137" s="403"/>
      <c r="T137" s="403"/>
      <c r="U137" s="403"/>
      <c r="V137" s="403"/>
      <c r="W137" s="404"/>
      <c r="X137" s="405"/>
      <c r="Y137" s="405"/>
      <c r="Z137" s="405"/>
      <c r="AA137" s="405"/>
      <c r="AB137" s="405"/>
      <c r="AC137" s="405"/>
      <c r="AD137" s="405"/>
      <c r="AE137" s="405"/>
      <c r="AF137" s="405"/>
      <c r="AG137" s="405"/>
      <c r="AH137" s="405"/>
      <c r="AI137" s="405"/>
      <c r="AJ137" s="405"/>
      <c r="AK137" s="405"/>
      <c r="AL137" s="405"/>
      <c r="AM137" s="406"/>
      <c r="AN137" s="406"/>
      <c r="AO137" s="406"/>
      <c r="AP137" s="406"/>
      <c r="AQ137" s="403"/>
      <c r="AR137" s="403"/>
      <c r="AS137" s="403"/>
      <c r="AT137" s="403"/>
      <c r="AU137" s="403"/>
      <c r="AV137" s="403"/>
      <c r="AW137" s="403"/>
      <c r="AX137" s="403"/>
      <c r="AY137" s="403"/>
    </row>
    <row r="138">
      <c r="A138" s="415"/>
      <c r="B138" s="415"/>
      <c r="C138" s="410"/>
      <c r="D138" s="429"/>
      <c r="E138" s="416"/>
      <c r="F138" s="413"/>
      <c r="G138" s="413"/>
      <c r="H138" s="415"/>
      <c r="I138" s="415"/>
      <c r="J138" s="415"/>
      <c r="K138" s="415"/>
      <c r="L138" s="417"/>
      <c r="M138" s="403"/>
      <c r="N138" s="403"/>
      <c r="O138" s="403"/>
      <c r="P138" s="403"/>
      <c r="Q138" s="403"/>
      <c r="R138" s="403"/>
      <c r="S138" s="403"/>
      <c r="T138" s="403"/>
      <c r="U138" s="403"/>
      <c r="V138" s="403"/>
      <c r="W138" s="404"/>
      <c r="X138" s="405"/>
      <c r="Y138" s="405"/>
      <c r="Z138" s="405"/>
      <c r="AA138" s="405"/>
      <c r="AB138" s="405"/>
      <c r="AC138" s="405"/>
      <c r="AD138" s="405"/>
      <c r="AE138" s="405"/>
      <c r="AF138" s="405"/>
      <c r="AG138" s="405"/>
      <c r="AH138" s="405"/>
      <c r="AI138" s="405"/>
      <c r="AJ138" s="405"/>
      <c r="AK138" s="405"/>
      <c r="AL138" s="405"/>
      <c r="AM138" s="406"/>
      <c r="AN138" s="406"/>
      <c r="AO138" s="406"/>
      <c r="AP138" s="406"/>
      <c r="AQ138" s="403"/>
      <c r="AR138" s="403"/>
      <c r="AS138" s="403"/>
      <c r="AT138" s="403"/>
      <c r="AU138" s="403"/>
      <c r="AV138" s="403"/>
      <c r="AW138" s="403"/>
      <c r="AX138" s="403"/>
      <c r="AY138" s="403"/>
    </row>
    <row r="139">
      <c r="A139" s="415"/>
      <c r="B139" s="415"/>
      <c r="C139" s="410"/>
      <c r="D139" s="429"/>
      <c r="E139" s="416"/>
      <c r="F139" s="413"/>
      <c r="G139" s="413"/>
      <c r="H139" s="415"/>
      <c r="I139" s="415"/>
      <c r="J139" s="415"/>
      <c r="K139" s="415"/>
      <c r="L139" s="417"/>
      <c r="M139" s="403"/>
      <c r="N139" s="403"/>
      <c r="O139" s="403"/>
      <c r="P139" s="403"/>
      <c r="Q139" s="403"/>
      <c r="R139" s="403"/>
      <c r="S139" s="403"/>
      <c r="T139" s="403"/>
      <c r="U139" s="403"/>
      <c r="V139" s="403"/>
      <c r="W139" s="404"/>
      <c r="X139" s="405"/>
      <c r="Y139" s="405"/>
      <c r="Z139" s="405"/>
      <c r="AA139" s="405"/>
      <c r="AB139" s="405"/>
      <c r="AC139" s="405"/>
      <c r="AD139" s="405"/>
      <c r="AE139" s="405"/>
      <c r="AF139" s="405"/>
      <c r="AG139" s="405"/>
      <c r="AH139" s="405"/>
      <c r="AI139" s="405"/>
      <c r="AJ139" s="405"/>
      <c r="AK139" s="405"/>
      <c r="AL139" s="405"/>
      <c r="AM139" s="406"/>
      <c r="AN139" s="406"/>
      <c r="AO139" s="406"/>
      <c r="AP139" s="406"/>
      <c r="AQ139" s="403"/>
      <c r="AR139" s="403"/>
      <c r="AS139" s="403"/>
      <c r="AT139" s="403"/>
      <c r="AU139" s="403"/>
      <c r="AV139" s="403"/>
      <c r="AW139" s="403"/>
      <c r="AX139" s="403"/>
      <c r="AY139" s="403"/>
    </row>
    <row r="140">
      <c r="A140" s="415"/>
      <c r="B140" s="415"/>
      <c r="C140" s="410"/>
      <c r="D140" s="429"/>
      <c r="E140" s="416"/>
      <c r="F140" s="413"/>
      <c r="G140" s="413"/>
      <c r="H140" s="415"/>
      <c r="I140" s="415"/>
      <c r="J140" s="415"/>
      <c r="K140" s="415"/>
      <c r="L140" s="417"/>
      <c r="M140" s="403"/>
      <c r="N140" s="403"/>
      <c r="O140" s="403"/>
      <c r="P140" s="403"/>
      <c r="Q140" s="403"/>
      <c r="R140" s="403"/>
      <c r="S140" s="403"/>
      <c r="T140" s="403"/>
      <c r="U140" s="403"/>
      <c r="V140" s="403"/>
      <c r="W140" s="404"/>
      <c r="X140" s="405"/>
      <c r="Y140" s="405"/>
      <c r="Z140" s="405"/>
      <c r="AA140" s="405"/>
      <c r="AB140" s="405"/>
      <c r="AC140" s="405"/>
      <c r="AD140" s="405"/>
      <c r="AE140" s="405"/>
      <c r="AF140" s="405"/>
      <c r="AG140" s="405"/>
      <c r="AH140" s="405"/>
      <c r="AI140" s="405"/>
      <c r="AJ140" s="405"/>
      <c r="AK140" s="405"/>
      <c r="AL140" s="405"/>
      <c r="AM140" s="406"/>
      <c r="AN140" s="406"/>
      <c r="AO140" s="406"/>
      <c r="AP140" s="406"/>
      <c r="AQ140" s="403"/>
      <c r="AR140" s="403"/>
      <c r="AS140" s="403"/>
      <c r="AT140" s="403"/>
      <c r="AU140" s="403"/>
      <c r="AV140" s="403"/>
      <c r="AW140" s="403"/>
      <c r="AX140" s="403"/>
      <c r="AY140" s="403"/>
    </row>
    <row r="141">
      <c r="A141" s="415"/>
      <c r="B141" s="415"/>
      <c r="C141" s="410"/>
      <c r="D141" s="429"/>
      <c r="E141" s="416"/>
      <c r="F141" s="413"/>
      <c r="G141" s="413"/>
      <c r="H141" s="415"/>
      <c r="I141" s="415"/>
      <c r="J141" s="415"/>
      <c r="K141" s="415"/>
      <c r="L141" s="417"/>
      <c r="M141" s="403"/>
      <c r="N141" s="403"/>
      <c r="O141" s="403"/>
      <c r="P141" s="403"/>
      <c r="Q141" s="403"/>
      <c r="R141" s="403"/>
      <c r="S141" s="403"/>
      <c r="T141" s="403"/>
      <c r="U141" s="403"/>
      <c r="V141" s="403"/>
      <c r="W141" s="404"/>
      <c r="X141" s="405"/>
      <c r="Y141" s="405"/>
      <c r="Z141" s="405"/>
      <c r="AA141" s="405"/>
      <c r="AB141" s="405"/>
      <c r="AC141" s="405"/>
      <c r="AD141" s="405"/>
      <c r="AE141" s="405"/>
      <c r="AF141" s="405"/>
      <c r="AG141" s="405"/>
      <c r="AH141" s="405"/>
      <c r="AI141" s="405"/>
      <c r="AJ141" s="405"/>
      <c r="AK141" s="405"/>
      <c r="AL141" s="405"/>
      <c r="AM141" s="406"/>
      <c r="AN141" s="406"/>
      <c r="AO141" s="406"/>
      <c r="AP141" s="406"/>
      <c r="AQ141" s="403"/>
      <c r="AR141" s="403"/>
      <c r="AS141" s="403"/>
      <c r="AT141" s="403"/>
      <c r="AU141" s="403"/>
      <c r="AV141" s="403"/>
      <c r="AW141" s="403"/>
      <c r="AX141" s="403"/>
      <c r="AY141" s="403"/>
    </row>
    <row r="142">
      <c r="A142" s="415"/>
      <c r="B142" s="415"/>
      <c r="C142" s="410"/>
      <c r="D142" s="429"/>
      <c r="E142" s="416"/>
      <c r="F142" s="413"/>
      <c r="G142" s="413"/>
      <c r="H142" s="415"/>
      <c r="I142" s="415"/>
      <c r="J142" s="415"/>
      <c r="K142" s="415"/>
      <c r="L142" s="417"/>
      <c r="M142" s="403"/>
      <c r="N142" s="403"/>
      <c r="O142" s="403"/>
      <c r="P142" s="403"/>
      <c r="Q142" s="403"/>
      <c r="R142" s="403"/>
      <c r="S142" s="403"/>
      <c r="T142" s="403"/>
      <c r="U142" s="403"/>
      <c r="V142" s="403"/>
      <c r="W142" s="404"/>
      <c r="X142" s="405"/>
      <c r="Y142" s="405"/>
      <c r="Z142" s="405"/>
      <c r="AA142" s="405"/>
      <c r="AB142" s="405"/>
      <c r="AC142" s="405"/>
      <c r="AD142" s="405"/>
      <c r="AE142" s="405"/>
      <c r="AF142" s="405"/>
      <c r="AG142" s="405"/>
      <c r="AH142" s="405"/>
      <c r="AI142" s="405"/>
      <c r="AJ142" s="405"/>
      <c r="AK142" s="405"/>
      <c r="AL142" s="405"/>
      <c r="AM142" s="406"/>
      <c r="AN142" s="406"/>
      <c r="AO142" s="406"/>
      <c r="AP142" s="406"/>
      <c r="AQ142" s="403"/>
      <c r="AR142" s="403"/>
      <c r="AS142" s="403"/>
      <c r="AT142" s="403"/>
      <c r="AU142" s="403"/>
      <c r="AV142" s="403"/>
      <c r="AW142" s="403"/>
      <c r="AX142" s="403"/>
      <c r="AY142" s="403"/>
    </row>
    <row r="143">
      <c r="A143" s="415"/>
      <c r="B143" s="415"/>
      <c r="C143" s="410"/>
      <c r="D143" s="429"/>
      <c r="E143" s="416"/>
      <c r="F143" s="413"/>
      <c r="G143" s="413"/>
      <c r="H143" s="415"/>
      <c r="I143" s="415"/>
      <c r="J143" s="415"/>
      <c r="K143" s="415"/>
      <c r="L143" s="417"/>
      <c r="M143" s="403"/>
      <c r="N143" s="403"/>
      <c r="O143" s="403"/>
      <c r="P143" s="403"/>
      <c r="Q143" s="403"/>
      <c r="R143" s="403"/>
      <c r="S143" s="403"/>
      <c r="T143" s="403"/>
      <c r="U143" s="403"/>
      <c r="V143" s="403"/>
      <c r="W143" s="404"/>
      <c r="X143" s="405"/>
      <c r="Y143" s="405"/>
      <c r="Z143" s="405"/>
      <c r="AA143" s="405"/>
      <c r="AB143" s="405"/>
      <c r="AC143" s="405"/>
      <c r="AD143" s="405"/>
      <c r="AE143" s="405"/>
      <c r="AF143" s="405"/>
      <c r="AG143" s="405"/>
      <c r="AH143" s="405"/>
      <c r="AI143" s="405"/>
      <c r="AJ143" s="405"/>
      <c r="AK143" s="405"/>
      <c r="AL143" s="405"/>
      <c r="AM143" s="406"/>
      <c r="AN143" s="406"/>
      <c r="AO143" s="406"/>
      <c r="AP143" s="406"/>
      <c r="AQ143" s="403"/>
      <c r="AR143" s="403"/>
      <c r="AS143" s="403"/>
      <c r="AT143" s="403"/>
      <c r="AU143" s="403"/>
      <c r="AV143" s="403"/>
      <c r="AW143" s="403"/>
      <c r="AX143" s="403"/>
      <c r="AY143" s="403"/>
    </row>
    <row r="144">
      <c r="A144" s="415"/>
      <c r="B144" s="415"/>
      <c r="C144" s="410"/>
      <c r="D144" s="429"/>
      <c r="E144" s="416"/>
      <c r="F144" s="413"/>
      <c r="G144" s="413"/>
      <c r="H144" s="415"/>
      <c r="I144" s="415"/>
      <c r="J144" s="415"/>
      <c r="K144" s="415"/>
      <c r="L144" s="417"/>
      <c r="M144" s="403"/>
      <c r="N144" s="403"/>
      <c r="O144" s="403"/>
      <c r="P144" s="403"/>
      <c r="Q144" s="403"/>
      <c r="R144" s="403"/>
      <c r="S144" s="403"/>
      <c r="T144" s="403"/>
      <c r="U144" s="403"/>
      <c r="V144" s="403"/>
      <c r="W144" s="404"/>
      <c r="X144" s="405"/>
      <c r="Y144" s="405"/>
      <c r="Z144" s="405"/>
      <c r="AA144" s="405"/>
      <c r="AB144" s="405"/>
      <c r="AC144" s="405"/>
      <c r="AD144" s="405"/>
      <c r="AE144" s="405"/>
      <c r="AF144" s="405"/>
      <c r="AG144" s="405"/>
      <c r="AH144" s="405"/>
      <c r="AI144" s="405"/>
      <c r="AJ144" s="405"/>
      <c r="AK144" s="405"/>
      <c r="AL144" s="405"/>
      <c r="AM144" s="406"/>
      <c r="AN144" s="406"/>
      <c r="AO144" s="406"/>
      <c r="AP144" s="406"/>
      <c r="AQ144" s="403"/>
      <c r="AR144" s="403"/>
      <c r="AS144" s="403"/>
      <c r="AT144" s="403"/>
      <c r="AU144" s="403"/>
      <c r="AV144" s="403"/>
      <c r="AW144" s="403"/>
      <c r="AX144" s="403"/>
      <c r="AY144" s="403"/>
    </row>
    <row r="145">
      <c r="A145" s="415"/>
      <c r="B145" s="415"/>
      <c r="C145" s="410"/>
      <c r="D145" s="429"/>
      <c r="E145" s="416"/>
      <c r="F145" s="413"/>
      <c r="G145" s="413"/>
      <c r="H145" s="415"/>
      <c r="I145" s="415"/>
      <c r="J145" s="415"/>
      <c r="K145" s="415"/>
      <c r="L145" s="417"/>
      <c r="M145" s="403"/>
      <c r="N145" s="403"/>
      <c r="O145" s="403"/>
      <c r="P145" s="403"/>
      <c r="Q145" s="403"/>
      <c r="R145" s="403"/>
      <c r="S145" s="403"/>
      <c r="T145" s="403"/>
      <c r="U145" s="403"/>
      <c r="V145" s="403"/>
      <c r="W145" s="404"/>
      <c r="X145" s="405"/>
      <c r="Y145" s="405"/>
      <c r="Z145" s="405"/>
      <c r="AA145" s="405"/>
      <c r="AB145" s="405"/>
      <c r="AC145" s="405"/>
      <c r="AD145" s="405"/>
      <c r="AE145" s="405"/>
      <c r="AF145" s="405"/>
      <c r="AG145" s="405"/>
      <c r="AH145" s="405"/>
      <c r="AI145" s="405"/>
      <c r="AJ145" s="405"/>
      <c r="AK145" s="405"/>
      <c r="AL145" s="405"/>
      <c r="AM145" s="406"/>
      <c r="AN145" s="406"/>
      <c r="AO145" s="406"/>
      <c r="AP145" s="406"/>
      <c r="AQ145" s="403"/>
      <c r="AR145" s="403"/>
      <c r="AS145" s="403"/>
      <c r="AT145" s="403"/>
      <c r="AU145" s="403"/>
      <c r="AV145" s="403"/>
      <c r="AW145" s="403"/>
      <c r="AX145" s="403"/>
      <c r="AY145" s="403"/>
    </row>
    <row r="146">
      <c r="A146" s="415"/>
      <c r="B146" s="415"/>
      <c r="C146" s="410"/>
      <c r="D146" s="429"/>
      <c r="E146" s="416"/>
      <c r="F146" s="413"/>
      <c r="G146" s="413"/>
      <c r="H146" s="415"/>
      <c r="I146" s="415"/>
      <c r="J146" s="415"/>
      <c r="K146" s="415"/>
      <c r="L146" s="417"/>
      <c r="M146" s="403"/>
      <c r="N146" s="403"/>
      <c r="O146" s="403"/>
      <c r="P146" s="403"/>
      <c r="Q146" s="403"/>
      <c r="R146" s="403"/>
      <c r="S146" s="403"/>
      <c r="T146" s="403"/>
      <c r="U146" s="403"/>
      <c r="V146" s="403"/>
      <c r="W146" s="404"/>
      <c r="X146" s="405"/>
      <c r="Y146" s="405"/>
      <c r="Z146" s="405"/>
      <c r="AA146" s="405"/>
      <c r="AB146" s="405"/>
      <c r="AC146" s="405"/>
      <c r="AD146" s="405"/>
      <c r="AE146" s="405"/>
      <c r="AF146" s="405"/>
      <c r="AG146" s="405"/>
      <c r="AH146" s="405"/>
      <c r="AI146" s="405"/>
      <c r="AJ146" s="405"/>
      <c r="AK146" s="405"/>
      <c r="AL146" s="405"/>
      <c r="AM146" s="406"/>
      <c r="AN146" s="406"/>
      <c r="AO146" s="406"/>
      <c r="AP146" s="406"/>
      <c r="AQ146" s="403"/>
      <c r="AR146" s="403"/>
      <c r="AS146" s="403"/>
      <c r="AT146" s="403"/>
      <c r="AU146" s="403"/>
      <c r="AV146" s="403"/>
      <c r="AW146" s="403"/>
      <c r="AX146" s="403"/>
      <c r="AY146" s="403"/>
    </row>
    <row r="147">
      <c r="A147" s="415"/>
      <c r="B147" s="415"/>
      <c r="C147" s="410"/>
      <c r="D147" s="429"/>
      <c r="E147" s="416"/>
      <c r="F147" s="413"/>
      <c r="G147" s="413"/>
      <c r="H147" s="415"/>
      <c r="I147" s="415"/>
      <c r="J147" s="415"/>
      <c r="K147" s="415"/>
      <c r="L147" s="417"/>
      <c r="M147" s="403"/>
      <c r="N147" s="403"/>
      <c r="O147" s="403"/>
      <c r="P147" s="403"/>
      <c r="Q147" s="403"/>
      <c r="R147" s="403"/>
      <c r="S147" s="403"/>
      <c r="T147" s="403"/>
      <c r="U147" s="403"/>
      <c r="V147" s="403"/>
      <c r="W147" s="404"/>
      <c r="X147" s="405"/>
      <c r="Y147" s="405"/>
      <c r="Z147" s="405"/>
      <c r="AA147" s="405"/>
      <c r="AB147" s="405"/>
      <c r="AC147" s="405"/>
      <c r="AD147" s="405"/>
      <c r="AE147" s="405"/>
      <c r="AF147" s="405"/>
      <c r="AG147" s="405"/>
      <c r="AH147" s="405"/>
      <c r="AI147" s="405"/>
      <c r="AJ147" s="405"/>
      <c r="AK147" s="405"/>
      <c r="AL147" s="405"/>
      <c r="AM147" s="406"/>
      <c r="AN147" s="406"/>
      <c r="AO147" s="406"/>
      <c r="AP147" s="406"/>
      <c r="AQ147" s="403"/>
      <c r="AR147" s="403"/>
      <c r="AS147" s="403"/>
      <c r="AT147" s="403"/>
      <c r="AU147" s="403"/>
      <c r="AV147" s="403"/>
      <c r="AW147" s="403"/>
      <c r="AX147" s="403"/>
      <c r="AY147" s="403"/>
    </row>
    <row r="148">
      <c r="A148" s="415"/>
      <c r="B148" s="415"/>
      <c r="C148" s="410"/>
      <c r="D148" s="429"/>
      <c r="E148" s="416"/>
      <c r="F148" s="413"/>
      <c r="G148" s="413"/>
      <c r="H148" s="415"/>
      <c r="I148" s="415"/>
      <c r="J148" s="415"/>
      <c r="K148" s="415"/>
      <c r="L148" s="417"/>
      <c r="M148" s="403"/>
      <c r="N148" s="403"/>
      <c r="O148" s="403"/>
      <c r="P148" s="403"/>
      <c r="Q148" s="403"/>
      <c r="R148" s="403"/>
      <c r="S148" s="403"/>
      <c r="T148" s="403"/>
      <c r="U148" s="403"/>
      <c r="V148" s="403"/>
      <c r="W148" s="404"/>
      <c r="X148" s="405"/>
      <c r="Y148" s="405"/>
      <c r="Z148" s="405"/>
      <c r="AA148" s="405"/>
      <c r="AB148" s="405"/>
      <c r="AC148" s="405"/>
      <c r="AD148" s="405"/>
      <c r="AE148" s="405"/>
      <c r="AF148" s="405"/>
      <c r="AG148" s="405"/>
      <c r="AH148" s="405"/>
      <c r="AI148" s="405"/>
      <c r="AJ148" s="405"/>
      <c r="AK148" s="405"/>
      <c r="AL148" s="405"/>
      <c r="AM148" s="406"/>
      <c r="AN148" s="406"/>
      <c r="AO148" s="406"/>
      <c r="AP148" s="406"/>
      <c r="AQ148" s="403"/>
      <c r="AR148" s="403"/>
      <c r="AS148" s="403"/>
      <c r="AT148" s="403"/>
      <c r="AU148" s="403"/>
      <c r="AV148" s="403"/>
      <c r="AW148" s="403"/>
      <c r="AX148" s="403"/>
      <c r="AY148" s="403"/>
    </row>
    <row r="149">
      <c r="A149" s="415"/>
      <c r="B149" s="415"/>
      <c r="C149" s="410"/>
      <c r="D149" s="429"/>
      <c r="E149" s="416"/>
      <c r="F149" s="413"/>
      <c r="G149" s="413"/>
      <c r="H149" s="415"/>
      <c r="I149" s="415"/>
      <c r="J149" s="415"/>
      <c r="K149" s="415"/>
      <c r="L149" s="417"/>
      <c r="M149" s="403"/>
      <c r="N149" s="403"/>
      <c r="O149" s="403"/>
      <c r="P149" s="403"/>
      <c r="Q149" s="403"/>
      <c r="R149" s="403"/>
      <c r="S149" s="403"/>
      <c r="T149" s="403"/>
      <c r="U149" s="403"/>
      <c r="V149" s="403"/>
      <c r="W149" s="404"/>
      <c r="X149" s="405"/>
      <c r="Y149" s="405"/>
      <c r="Z149" s="405"/>
      <c r="AA149" s="405"/>
      <c r="AB149" s="405"/>
      <c r="AC149" s="405"/>
      <c r="AD149" s="405"/>
      <c r="AE149" s="405"/>
      <c r="AF149" s="405"/>
      <c r="AG149" s="405"/>
      <c r="AH149" s="405"/>
      <c r="AI149" s="405"/>
      <c r="AJ149" s="405"/>
      <c r="AK149" s="405"/>
      <c r="AL149" s="405"/>
      <c r="AM149" s="406"/>
      <c r="AN149" s="406"/>
      <c r="AO149" s="406"/>
      <c r="AP149" s="406"/>
      <c r="AQ149" s="403"/>
      <c r="AR149" s="403"/>
      <c r="AS149" s="403"/>
      <c r="AT149" s="403"/>
      <c r="AU149" s="403"/>
      <c r="AV149" s="403"/>
      <c r="AW149" s="403"/>
      <c r="AX149" s="403"/>
      <c r="AY149" s="403"/>
    </row>
    <row r="150">
      <c r="A150" s="415"/>
      <c r="B150" s="415"/>
      <c r="C150" s="410"/>
      <c r="D150" s="429"/>
      <c r="E150" s="416"/>
      <c r="F150" s="413"/>
      <c r="G150" s="413"/>
      <c r="H150" s="415"/>
      <c r="I150" s="415"/>
      <c r="J150" s="415"/>
      <c r="K150" s="415"/>
      <c r="L150" s="417"/>
      <c r="M150" s="403"/>
      <c r="N150" s="403"/>
      <c r="O150" s="403"/>
      <c r="P150" s="403"/>
      <c r="Q150" s="403"/>
      <c r="R150" s="403"/>
      <c r="S150" s="403"/>
      <c r="T150" s="403"/>
      <c r="U150" s="403"/>
      <c r="V150" s="403"/>
      <c r="W150" s="404"/>
      <c r="X150" s="405"/>
      <c r="Y150" s="405"/>
      <c r="Z150" s="405"/>
      <c r="AA150" s="405"/>
      <c r="AB150" s="405"/>
      <c r="AC150" s="405"/>
      <c r="AD150" s="405"/>
      <c r="AE150" s="405"/>
      <c r="AF150" s="405"/>
      <c r="AG150" s="405"/>
      <c r="AH150" s="405"/>
      <c r="AI150" s="405"/>
      <c r="AJ150" s="405"/>
      <c r="AK150" s="405"/>
      <c r="AL150" s="405"/>
      <c r="AM150" s="406"/>
      <c r="AN150" s="406"/>
      <c r="AO150" s="406"/>
      <c r="AP150" s="406"/>
      <c r="AQ150" s="403"/>
      <c r="AR150" s="403"/>
      <c r="AS150" s="403"/>
      <c r="AT150" s="403"/>
      <c r="AU150" s="403"/>
      <c r="AV150" s="403"/>
      <c r="AW150" s="403"/>
      <c r="AX150" s="403"/>
      <c r="AY150" s="403"/>
    </row>
    <row r="151">
      <c r="A151" s="415"/>
      <c r="B151" s="415"/>
      <c r="C151" s="410"/>
      <c r="D151" s="429"/>
      <c r="E151" s="416"/>
      <c r="F151" s="413"/>
      <c r="G151" s="413"/>
      <c r="H151" s="415"/>
      <c r="I151" s="415"/>
      <c r="J151" s="415"/>
      <c r="K151" s="415"/>
      <c r="L151" s="417"/>
      <c r="M151" s="403"/>
      <c r="N151" s="403"/>
      <c r="O151" s="403"/>
      <c r="P151" s="403"/>
      <c r="Q151" s="403"/>
      <c r="R151" s="403"/>
      <c r="S151" s="403"/>
      <c r="T151" s="403"/>
      <c r="U151" s="403"/>
      <c r="V151" s="403"/>
      <c r="W151" s="404"/>
      <c r="X151" s="405"/>
      <c r="Y151" s="405"/>
      <c r="Z151" s="405"/>
      <c r="AA151" s="405"/>
      <c r="AB151" s="405"/>
      <c r="AC151" s="405"/>
      <c r="AD151" s="405"/>
      <c r="AE151" s="405"/>
      <c r="AF151" s="405"/>
      <c r="AG151" s="405"/>
      <c r="AH151" s="405"/>
      <c r="AI151" s="405"/>
      <c r="AJ151" s="405"/>
      <c r="AK151" s="405"/>
      <c r="AL151" s="405"/>
      <c r="AM151" s="406"/>
      <c r="AN151" s="406"/>
      <c r="AO151" s="406"/>
      <c r="AP151" s="406"/>
      <c r="AQ151" s="403"/>
      <c r="AR151" s="403"/>
      <c r="AS151" s="403"/>
      <c r="AT151" s="403"/>
      <c r="AU151" s="403"/>
      <c r="AV151" s="403"/>
      <c r="AW151" s="403"/>
      <c r="AX151" s="403"/>
      <c r="AY151" s="403"/>
    </row>
    <row r="152">
      <c r="A152" s="415"/>
      <c r="B152" s="415"/>
      <c r="C152" s="410"/>
      <c r="D152" s="429"/>
      <c r="E152" s="416"/>
      <c r="F152" s="413"/>
      <c r="G152" s="413"/>
      <c r="H152" s="415"/>
      <c r="I152" s="415"/>
      <c r="J152" s="415"/>
      <c r="K152" s="415"/>
      <c r="L152" s="417"/>
      <c r="M152" s="403"/>
      <c r="N152" s="403"/>
      <c r="O152" s="403"/>
      <c r="P152" s="403"/>
      <c r="Q152" s="403"/>
      <c r="R152" s="403"/>
      <c r="S152" s="403"/>
      <c r="T152" s="403"/>
      <c r="U152" s="403"/>
      <c r="V152" s="403"/>
      <c r="W152" s="404"/>
      <c r="X152" s="405"/>
      <c r="Y152" s="405"/>
      <c r="Z152" s="405"/>
      <c r="AA152" s="405"/>
      <c r="AB152" s="405"/>
      <c r="AC152" s="405"/>
      <c r="AD152" s="405"/>
      <c r="AE152" s="405"/>
      <c r="AF152" s="405"/>
      <c r="AG152" s="405"/>
      <c r="AH152" s="405"/>
      <c r="AI152" s="405"/>
      <c r="AJ152" s="405"/>
      <c r="AK152" s="405"/>
      <c r="AL152" s="405"/>
      <c r="AM152" s="406"/>
      <c r="AN152" s="406"/>
      <c r="AO152" s="406"/>
      <c r="AP152" s="406"/>
      <c r="AQ152" s="403"/>
      <c r="AR152" s="403"/>
      <c r="AS152" s="403"/>
      <c r="AT152" s="403"/>
      <c r="AU152" s="403"/>
      <c r="AV152" s="403"/>
      <c r="AW152" s="403"/>
      <c r="AX152" s="403"/>
      <c r="AY152" s="403"/>
    </row>
    <row r="153">
      <c r="A153" s="415"/>
      <c r="B153" s="415"/>
      <c r="C153" s="410"/>
      <c r="D153" s="429"/>
      <c r="E153" s="416"/>
      <c r="F153" s="413"/>
      <c r="G153" s="413"/>
      <c r="H153" s="415"/>
      <c r="I153" s="415"/>
      <c r="J153" s="415"/>
      <c r="K153" s="415"/>
      <c r="L153" s="417"/>
      <c r="M153" s="403"/>
      <c r="N153" s="403"/>
      <c r="O153" s="403"/>
      <c r="P153" s="403"/>
      <c r="Q153" s="403"/>
      <c r="R153" s="403"/>
      <c r="S153" s="403"/>
      <c r="T153" s="403"/>
      <c r="U153" s="403"/>
      <c r="V153" s="403"/>
      <c r="W153" s="404"/>
      <c r="X153" s="405"/>
      <c r="Y153" s="405"/>
      <c r="Z153" s="405"/>
      <c r="AA153" s="405"/>
      <c r="AB153" s="405"/>
      <c r="AC153" s="405"/>
      <c r="AD153" s="405"/>
      <c r="AE153" s="405"/>
      <c r="AF153" s="405"/>
      <c r="AG153" s="405"/>
      <c r="AH153" s="405"/>
      <c r="AI153" s="405"/>
      <c r="AJ153" s="405"/>
      <c r="AK153" s="405"/>
      <c r="AL153" s="405"/>
      <c r="AM153" s="406"/>
      <c r="AN153" s="406"/>
      <c r="AO153" s="406"/>
      <c r="AP153" s="406"/>
      <c r="AQ153" s="403"/>
      <c r="AR153" s="403"/>
      <c r="AS153" s="403"/>
      <c r="AT153" s="403"/>
      <c r="AU153" s="403"/>
      <c r="AV153" s="403"/>
      <c r="AW153" s="403"/>
      <c r="AX153" s="403"/>
      <c r="AY153" s="403"/>
    </row>
    <row r="154">
      <c r="A154" s="415"/>
      <c r="B154" s="415"/>
      <c r="C154" s="410"/>
      <c r="D154" s="429"/>
      <c r="E154" s="416"/>
      <c r="F154" s="413"/>
      <c r="G154" s="413"/>
      <c r="H154" s="415"/>
      <c r="I154" s="415"/>
      <c r="J154" s="415"/>
      <c r="K154" s="415"/>
      <c r="L154" s="417"/>
      <c r="M154" s="403"/>
      <c r="N154" s="403"/>
      <c r="O154" s="403"/>
      <c r="P154" s="403"/>
      <c r="Q154" s="403"/>
      <c r="R154" s="403"/>
      <c r="S154" s="403"/>
      <c r="T154" s="403"/>
      <c r="U154" s="403"/>
      <c r="V154" s="403"/>
      <c r="W154" s="404"/>
      <c r="X154" s="405"/>
      <c r="Y154" s="405"/>
      <c r="Z154" s="405"/>
      <c r="AA154" s="405"/>
      <c r="AB154" s="405"/>
      <c r="AC154" s="405"/>
      <c r="AD154" s="405"/>
      <c r="AE154" s="405"/>
      <c r="AF154" s="405"/>
      <c r="AG154" s="405"/>
      <c r="AH154" s="405"/>
      <c r="AI154" s="405"/>
      <c r="AJ154" s="405"/>
      <c r="AK154" s="405"/>
      <c r="AL154" s="405"/>
      <c r="AM154" s="406"/>
      <c r="AN154" s="406"/>
      <c r="AO154" s="406"/>
      <c r="AP154" s="406"/>
      <c r="AQ154" s="403"/>
      <c r="AR154" s="403"/>
      <c r="AS154" s="403"/>
      <c r="AT154" s="403"/>
      <c r="AU154" s="403"/>
      <c r="AV154" s="403"/>
      <c r="AW154" s="403"/>
      <c r="AX154" s="403"/>
      <c r="AY154" s="403"/>
    </row>
    <row r="155">
      <c r="A155" s="415"/>
      <c r="B155" s="415"/>
      <c r="C155" s="410"/>
      <c r="D155" s="429"/>
      <c r="E155" s="416"/>
      <c r="F155" s="413"/>
      <c r="G155" s="413"/>
      <c r="H155" s="415"/>
      <c r="I155" s="415"/>
      <c r="J155" s="415"/>
      <c r="K155" s="415"/>
      <c r="L155" s="417"/>
      <c r="M155" s="403"/>
      <c r="N155" s="403"/>
      <c r="O155" s="403"/>
      <c r="P155" s="403"/>
      <c r="Q155" s="403"/>
      <c r="R155" s="403"/>
      <c r="S155" s="403"/>
      <c r="T155" s="403"/>
      <c r="U155" s="403"/>
      <c r="V155" s="403"/>
      <c r="W155" s="404"/>
      <c r="X155" s="405"/>
      <c r="Y155" s="405"/>
      <c r="Z155" s="405"/>
      <c r="AA155" s="405"/>
      <c r="AB155" s="405"/>
      <c r="AC155" s="405"/>
      <c r="AD155" s="405"/>
      <c r="AE155" s="405"/>
      <c r="AF155" s="405"/>
      <c r="AG155" s="405"/>
      <c r="AH155" s="405"/>
      <c r="AI155" s="405"/>
      <c r="AJ155" s="405"/>
      <c r="AK155" s="405"/>
      <c r="AL155" s="405"/>
      <c r="AM155" s="406"/>
      <c r="AN155" s="406"/>
      <c r="AO155" s="406"/>
      <c r="AP155" s="406"/>
      <c r="AQ155" s="403"/>
      <c r="AR155" s="403"/>
      <c r="AS155" s="403"/>
      <c r="AT155" s="403"/>
      <c r="AU155" s="403"/>
      <c r="AV155" s="403"/>
      <c r="AW155" s="403"/>
      <c r="AX155" s="403"/>
      <c r="AY155" s="403"/>
    </row>
    <row r="156">
      <c r="A156" s="415"/>
      <c r="B156" s="415"/>
      <c r="C156" s="410"/>
      <c r="D156" s="429"/>
      <c r="E156" s="416"/>
      <c r="F156" s="413"/>
      <c r="G156" s="413"/>
      <c r="H156" s="415"/>
      <c r="I156" s="415"/>
      <c r="J156" s="415"/>
      <c r="K156" s="415"/>
      <c r="L156" s="417"/>
      <c r="M156" s="403"/>
      <c r="N156" s="403"/>
      <c r="O156" s="403"/>
      <c r="P156" s="403"/>
      <c r="Q156" s="403"/>
      <c r="R156" s="403"/>
      <c r="S156" s="403"/>
      <c r="T156" s="403"/>
      <c r="U156" s="403"/>
      <c r="V156" s="403"/>
      <c r="W156" s="404"/>
      <c r="X156" s="405"/>
      <c r="Y156" s="405"/>
      <c r="Z156" s="405"/>
      <c r="AA156" s="405"/>
      <c r="AB156" s="405"/>
      <c r="AC156" s="405"/>
      <c r="AD156" s="405"/>
      <c r="AE156" s="405"/>
      <c r="AF156" s="405"/>
      <c r="AG156" s="405"/>
      <c r="AH156" s="405"/>
      <c r="AI156" s="405"/>
      <c r="AJ156" s="405"/>
      <c r="AK156" s="405"/>
      <c r="AL156" s="405"/>
      <c r="AM156" s="406"/>
      <c r="AN156" s="406"/>
      <c r="AO156" s="406"/>
      <c r="AP156" s="406"/>
      <c r="AQ156" s="403"/>
      <c r="AR156" s="403"/>
      <c r="AS156" s="403"/>
      <c r="AT156" s="403"/>
      <c r="AU156" s="403"/>
      <c r="AV156" s="403"/>
      <c r="AW156" s="403"/>
      <c r="AX156" s="403"/>
      <c r="AY156" s="403"/>
    </row>
    <row r="157">
      <c r="A157" s="415"/>
      <c r="B157" s="415"/>
      <c r="C157" s="410"/>
      <c r="D157" s="429"/>
      <c r="E157" s="416"/>
      <c r="F157" s="413"/>
      <c r="G157" s="413"/>
      <c r="H157" s="415"/>
      <c r="I157" s="415"/>
      <c r="J157" s="415"/>
      <c r="K157" s="415"/>
      <c r="L157" s="417"/>
      <c r="M157" s="403"/>
      <c r="N157" s="403"/>
      <c r="O157" s="403"/>
      <c r="P157" s="403"/>
      <c r="Q157" s="403"/>
      <c r="R157" s="403"/>
      <c r="S157" s="403"/>
      <c r="T157" s="403"/>
      <c r="U157" s="403"/>
      <c r="V157" s="403"/>
      <c r="W157" s="404"/>
      <c r="X157" s="405"/>
      <c r="Y157" s="405"/>
      <c r="Z157" s="405"/>
      <c r="AA157" s="405"/>
      <c r="AB157" s="405"/>
      <c r="AC157" s="405"/>
      <c r="AD157" s="405"/>
      <c r="AE157" s="405"/>
      <c r="AF157" s="405"/>
      <c r="AG157" s="405"/>
      <c r="AH157" s="405"/>
      <c r="AI157" s="405"/>
      <c r="AJ157" s="405"/>
      <c r="AK157" s="405"/>
      <c r="AL157" s="405"/>
      <c r="AM157" s="406"/>
      <c r="AN157" s="406"/>
      <c r="AO157" s="406"/>
      <c r="AP157" s="406"/>
      <c r="AQ157" s="403"/>
      <c r="AR157" s="403"/>
      <c r="AS157" s="403"/>
      <c r="AT157" s="403"/>
      <c r="AU157" s="403"/>
      <c r="AV157" s="403"/>
      <c r="AW157" s="403"/>
      <c r="AX157" s="403"/>
      <c r="AY157" s="403"/>
    </row>
    <row r="158">
      <c r="A158" s="415"/>
      <c r="B158" s="415"/>
      <c r="C158" s="410"/>
      <c r="D158" s="429"/>
      <c r="E158" s="416"/>
      <c r="F158" s="413"/>
      <c r="G158" s="413"/>
      <c r="H158" s="415"/>
      <c r="I158" s="415"/>
      <c r="J158" s="415"/>
      <c r="K158" s="415"/>
      <c r="L158" s="417"/>
      <c r="M158" s="403"/>
      <c r="N158" s="403"/>
      <c r="O158" s="403"/>
      <c r="P158" s="403"/>
      <c r="Q158" s="403"/>
      <c r="R158" s="403"/>
      <c r="S158" s="403"/>
      <c r="T158" s="403"/>
      <c r="U158" s="403"/>
      <c r="V158" s="403"/>
      <c r="W158" s="404"/>
      <c r="X158" s="405"/>
      <c r="Y158" s="405"/>
      <c r="Z158" s="405"/>
      <c r="AA158" s="405"/>
      <c r="AB158" s="405"/>
      <c r="AC158" s="405"/>
      <c r="AD158" s="405"/>
      <c r="AE158" s="405"/>
      <c r="AF158" s="405"/>
      <c r="AG158" s="405"/>
      <c r="AH158" s="405"/>
      <c r="AI158" s="405"/>
      <c r="AJ158" s="405"/>
      <c r="AK158" s="405"/>
      <c r="AL158" s="405"/>
      <c r="AM158" s="406"/>
      <c r="AN158" s="406"/>
      <c r="AO158" s="406"/>
      <c r="AP158" s="406"/>
      <c r="AQ158" s="403"/>
      <c r="AR158" s="403"/>
      <c r="AS158" s="403"/>
      <c r="AT158" s="403"/>
      <c r="AU158" s="403"/>
      <c r="AV158" s="403"/>
      <c r="AW158" s="403"/>
      <c r="AX158" s="403"/>
      <c r="AY158" s="403"/>
    </row>
    <row r="159">
      <c r="A159" s="415"/>
      <c r="B159" s="415"/>
      <c r="C159" s="410"/>
      <c r="D159" s="429"/>
      <c r="E159" s="416"/>
      <c r="F159" s="413"/>
      <c r="G159" s="413"/>
      <c r="H159" s="415"/>
      <c r="I159" s="415"/>
      <c r="J159" s="415"/>
      <c r="K159" s="415"/>
      <c r="L159" s="417"/>
      <c r="M159" s="403"/>
      <c r="N159" s="403"/>
      <c r="O159" s="403"/>
      <c r="P159" s="403"/>
      <c r="Q159" s="403"/>
      <c r="R159" s="403"/>
      <c r="S159" s="403"/>
      <c r="T159" s="403"/>
      <c r="U159" s="403"/>
      <c r="V159" s="403"/>
      <c r="W159" s="404"/>
      <c r="X159" s="405"/>
      <c r="Y159" s="405"/>
      <c r="Z159" s="405"/>
      <c r="AA159" s="405"/>
      <c r="AB159" s="405"/>
      <c r="AC159" s="405"/>
      <c r="AD159" s="405"/>
      <c r="AE159" s="405"/>
      <c r="AF159" s="405"/>
      <c r="AG159" s="405"/>
      <c r="AH159" s="405"/>
      <c r="AI159" s="405"/>
      <c r="AJ159" s="405"/>
      <c r="AK159" s="405"/>
      <c r="AL159" s="405"/>
      <c r="AM159" s="406"/>
      <c r="AN159" s="406"/>
      <c r="AO159" s="406"/>
      <c r="AP159" s="406"/>
      <c r="AQ159" s="403"/>
      <c r="AR159" s="403"/>
      <c r="AS159" s="403"/>
      <c r="AT159" s="403"/>
      <c r="AU159" s="403"/>
      <c r="AV159" s="403"/>
      <c r="AW159" s="403"/>
      <c r="AX159" s="403"/>
      <c r="AY159" s="403"/>
    </row>
    <row r="160">
      <c r="A160" s="415"/>
      <c r="B160" s="415"/>
      <c r="C160" s="410"/>
      <c r="D160" s="429"/>
      <c r="E160" s="416"/>
      <c r="F160" s="413"/>
      <c r="G160" s="413"/>
      <c r="H160" s="415"/>
      <c r="I160" s="415"/>
      <c r="J160" s="415"/>
      <c r="K160" s="415"/>
      <c r="L160" s="417"/>
      <c r="M160" s="403"/>
      <c r="N160" s="403"/>
      <c r="O160" s="403"/>
      <c r="P160" s="403"/>
      <c r="Q160" s="403"/>
      <c r="R160" s="403"/>
      <c r="S160" s="403"/>
      <c r="T160" s="403"/>
      <c r="U160" s="403"/>
      <c r="V160" s="403"/>
      <c r="W160" s="404"/>
      <c r="X160" s="405"/>
      <c r="Y160" s="405"/>
      <c r="Z160" s="405"/>
      <c r="AA160" s="405"/>
      <c r="AB160" s="405"/>
      <c r="AC160" s="405"/>
      <c r="AD160" s="405"/>
      <c r="AE160" s="405"/>
      <c r="AF160" s="405"/>
      <c r="AG160" s="405"/>
      <c r="AH160" s="405"/>
      <c r="AI160" s="405"/>
      <c r="AJ160" s="405"/>
      <c r="AK160" s="405"/>
      <c r="AL160" s="405"/>
      <c r="AM160" s="406"/>
      <c r="AN160" s="406"/>
      <c r="AO160" s="406"/>
      <c r="AP160" s="406"/>
      <c r="AQ160" s="403"/>
      <c r="AR160" s="403"/>
      <c r="AS160" s="403"/>
      <c r="AT160" s="403"/>
      <c r="AU160" s="403"/>
      <c r="AV160" s="403"/>
      <c r="AW160" s="403"/>
      <c r="AX160" s="403"/>
      <c r="AY160" s="403"/>
    </row>
    <row r="161">
      <c r="A161" s="415"/>
      <c r="B161" s="415"/>
      <c r="C161" s="410"/>
      <c r="D161" s="429"/>
      <c r="E161" s="416"/>
      <c r="F161" s="413"/>
      <c r="G161" s="413"/>
      <c r="H161" s="415"/>
      <c r="I161" s="415"/>
      <c r="J161" s="415"/>
      <c r="K161" s="415"/>
      <c r="L161" s="417"/>
      <c r="M161" s="403"/>
      <c r="N161" s="403"/>
      <c r="O161" s="403"/>
      <c r="P161" s="403"/>
      <c r="Q161" s="403"/>
      <c r="R161" s="403"/>
      <c r="S161" s="403"/>
      <c r="T161" s="403"/>
      <c r="U161" s="403"/>
      <c r="V161" s="403"/>
      <c r="W161" s="404"/>
      <c r="X161" s="405"/>
      <c r="Y161" s="405"/>
      <c r="Z161" s="405"/>
      <c r="AA161" s="405"/>
      <c r="AB161" s="405"/>
      <c r="AC161" s="405"/>
      <c r="AD161" s="405"/>
      <c r="AE161" s="405"/>
      <c r="AF161" s="405"/>
      <c r="AG161" s="405"/>
      <c r="AH161" s="405"/>
      <c r="AI161" s="405"/>
      <c r="AJ161" s="405"/>
      <c r="AK161" s="405"/>
      <c r="AL161" s="405"/>
      <c r="AM161" s="406"/>
      <c r="AN161" s="406"/>
      <c r="AO161" s="406"/>
      <c r="AP161" s="406"/>
      <c r="AQ161" s="403"/>
      <c r="AR161" s="403"/>
      <c r="AS161" s="403"/>
      <c r="AT161" s="403"/>
      <c r="AU161" s="403"/>
      <c r="AV161" s="403"/>
      <c r="AW161" s="403"/>
      <c r="AX161" s="403"/>
      <c r="AY161" s="403"/>
    </row>
    <row r="162">
      <c r="A162" s="415"/>
      <c r="B162" s="415"/>
      <c r="C162" s="410"/>
      <c r="D162" s="429"/>
      <c r="E162" s="416"/>
      <c r="F162" s="413"/>
      <c r="G162" s="413"/>
      <c r="H162" s="415"/>
      <c r="I162" s="415"/>
      <c r="J162" s="415"/>
      <c r="K162" s="415"/>
      <c r="L162" s="417"/>
      <c r="M162" s="403"/>
      <c r="N162" s="403"/>
      <c r="O162" s="403"/>
      <c r="P162" s="403"/>
      <c r="Q162" s="403"/>
      <c r="R162" s="403"/>
      <c r="S162" s="403"/>
      <c r="T162" s="403"/>
      <c r="U162" s="403"/>
      <c r="V162" s="403"/>
      <c r="W162" s="404"/>
      <c r="X162" s="405"/>
      <c r="Y162" s="405"/>
      <c r="Z162" s="405"/>
      <c r="AA162" s="405"/>
      <c r="AB162" s="405"/>
      <c r="AC162" s="405"/>
      <c r="AD162" s="405"/>
      <c r="AE162" s="405"/>
      <c r="AF162" s="405"/>
      <c r="AG162" s="405"/>
      <c r="AH162" s="405"/>
      <c r="AI162" s="405"/>
      <c r="AJ162" s="405"/>
      <c r="AK162" s="405"/>
      <c r="AL162" s="405"/>
      <c r="AM162" s="406"/>
      <c r="AN162" s="406"/>
      <c r="AO162" s="406"/>
      <c r="AP162" s="406"/>
      <c r="AQ162" s="403"/>
      <c r="AR162" s="403"/>
      <c r="AS162" s="403"/>
      <c r="AT162" s="403"/>
      <c r="AU162" s="403"/>
      <c r="AV162" s="403"/>
      <c r="AW162" s="403"/>
      <c r="AX162" s="403"/>
      <c r="AY162" s="403"/>
    </row>
    <row r="163">
      <c r="A163" s="415"/>
      <c r="B163" s="415"/>
      <c r="C163" s="410"/>
      <c r="D163" s="429"/>
      <c r="E163" s="416"/>
      <c r="F163" s="413"/>
      <c r="G163" s="413"/>
      <c r="H163" s="415"/>
      <c r="I163" s="415"/>
      <c r="J163" s="415"/>
      <c r="K163" s="415"/>
      <c r="L163" s="417"/>
      <c r="M163" s="403"/>
      <c r="N163" s="403"/>
      <c r="O163" s="403"/>
      <c r="P163" s="403"/>
      <c r="Q163" s="403"/>
      <c r="R163" s="403"/>
      <c r="S163" s="403"/>
      <c r="T163" s="403"/>
      <c r="U163" s="403"/>
      <c r="V163" s="403"/>
      <c r="W163" s="404"/>
      <c r="X163" s="405"/>
      <c r="Y163" s="405"/>
      <c r="Z163" s="405"/>
      <c r="AA163" s="405"/>
      <c r="AB163" s="405"/>
      <c r="AC163" s="405"/>
      <c r="AD163" s="405"/>
      <c r="AE163" s="405"/>
      <c r="AF163" s="405"/>
      <c r="AG163" s="405"/>
      <c r="AH163" s="405"/>
      <c r="AI163" s="405"/>
      <c r="AJ163" s="405"/>
      <c r="AK163" s="405"/>
      <c r="AL163" s="405"/>
      <c r="AM163" s="406"/>
      <c r="AN163" s="406"/>
      <c r="AO163" s="406"/>
      <c r="AP163" s="406"/>
      <c r="AQ163" s="403"/>
      <c r="AR163" s="403"/>
      <c r="AS163" s="403"/>
      <c r="AT163" s="403"/>
      <c r="AU163" s="403"/>
      <c r="AV163" s="403"/>
      <c r="AW163" s="403"/>
      <c r="AX163" s="403"/>
      <c r="AY163" s="403"/>
    </row>
    <row r="164">
      <c r="A164" s="415"/>
      <c r="B164" s="415"/>
      <c r="C164" s="410"/>
      <c r="D164" s="429"/>
      <c r="E164" s="416"/>
      <c r="F164" s="413"/>
      <c r="G164" s="413"/>
      <c r="H164" s="415"/>
      <c r="I164" s="415"/>
      <c r="J164" s="415"/>
      <c r="K164" s="415"/>
      <c r="L164" s="417"/>
      <c r="M164" s="403"/>
      <c r="N164" s="403"/>
      <c r="O164" s="403"/>
      <c r="P164" s="403"/>
      <c r="Q164" s="403"/>
      <c r="R164" s="403"/>
      <c r="S164" s="403"/>
      <c r="T164" s="403"/>
      <c r="U164" s="403"/>
      <c r="V164" s="403"/>
      <c r="W164" s="404"/>
      <c r="X164" s="405"/>
      <c r="Y164" s="405"/>
      <c r="Z164" s="405"/>
      <c r="AA164" s="405"/>
      <c r="AB164" s="405"/>
      <c r="AC164" s="405"/>
      <c r="AD164" s="405"/>
      <c r="AE164" s="405"/>
      <c r="AF164" s="405"/>
      <c r="AG164" s="405"/>
      <c r="AH164" s="405"/>
      <c r="AI164" s="405"/>
      <c r="AJ164" s="405"/>
      <c r="AK164" s="405"/>
      <c r="AL164" s="405"/>
      <c r="AM164" s="406"/>
      <c r="AN164" s="406"/>
      <c r="AO164" s="406"/>
      <c r="AP164" s="406"/>
      <c r="AQ164" s="403"/>
      <c r="AR164" s="403"/>
      <c r="AS164" s="403"/>
      <c r="AT164" s="403"/>
      <c r="AU164" s="403"/>
      <c r="AV164" s="403"/>
      <c r="AW164" s="403"/>
      <c r="AX164" s="403"/>
      <c r="AY164" s="403"/>
    </row>
    <row r="165">
      <c r="A165" s="415"/>
      <c r="B165" s="415"/>
      <c r="C165" s="410"/>
      <c r="D165" s="429"/>
      <c r="E165" s="416"/>
      <c r="F165" s="413"/>
      <c r="G165" s="413"/>
      <c r="H165" s="415"/>
      <c r="I165" s="415"/>
      <c r="J165" s="415"/>
      <c r="K165" s="415"/>
      <c r="L165" s="417"/>
      <c r="M165" s="403"/>
      <c r="N165" s="403"/>
      <c r="O165" s="403"/>
      <c r="P165" s="403"/>
      <c r="Q165" s="403"/>
      <c r="R165" s="403"/>
      <c r="S165" s="403"/>
      <c r="T165" s="403"/>
      <c r="U165" s="403"/>
      <c r="V165" s="403"/>
      <c r="W165" s="404"/>
      <c r="X165" s="405"/>
      <c r="Y165" s="405"/>
      <c r="Z165" s="405"/>
      <c r="AA165" s="405"/>
      <c r="AB165" s="405"/>
      <c r="AC165" s="405"/>
      <c r="AD165" s="405"/>
      <c r="AE165" s="405"/>
      <c r="AF165" s="405"/>
      <c r="AG165" s="405"/>
      <c r="AH165" s="405"/>
      <c r="AI165" s="405"/>
      <c r="AJ165" s="405"/>
      <c r="AK165" s="405"/>
      <c r="AL165" s="405"/>
      <c r="AM165" s="406"/>
      <c r="AN165" s="406"/>
      <c r="AO165" s="406"/>
      <c r="AP165" s="406"/>
      <c r="AQ165" s="403"/>
      <c r="AR165" s="403"/>
      <c r="AS165" s="403"/>
      <c r="AT165" s="403"/>
      <c r="AU165" s="403"/>
      <c r="AV165" s="403"/>
      <c r="AW165" s="403"/>
      <c r="AX165" s="403"/>
      <c r="AY165" s="403"/>
    </row>
    <row r="166">
      <c r="A166" s="415"/>
      <c r="B166" s="415"/>
      <c r="C166" s="410"/>
      <c r="D166" s="429"/>
      <c r="E166" s="416"/>
      <c r="F166" s="413"/>
      <c r="G166" s="413"/>
      <c r="H166" s="415"/>
      <c r="I166" s="415"/>
      <c r="J166" s="415"/>
      <c r="K166" s="415"/>
      <c r="L166" s="417"/>
      <c r="M166" s="403"/>
      <c r="N166" s="403"/>
      <c r="O166" s="403"/>
      <c r="P166" s="403"/>
      <c r="Q166" s="403"/>
      <c r="R166" s="403"/>
      <c r="S166" s="403"/>
      <c r="T166" s="403"/>
      <c r="U166" s="403"/>
      <c r="V166" s="403"/>
      <c r="W166" s="404"/>
      <c r="X166" s="405"/>
      <c r="Y166" s="405"/>
      <c r="Z166" s="405"/>
      <c r="AA166" s="405"/>
      <c r="AB166" s="405"/>
      <c r="AC166" s="405"/>
      <c r="AD166" s="405"/>
      <c r="AE166" s="405"/>
      <c r="AF166" s="405"/>
      <c r="AG166" s="405"/>
      <c r="AH166" s="405"/>
      <c r="AI166" s="405"/>
      <c r="AJ166" s="405"/>
      <c r="AK166" s="405"/>
      <c r="AL166" s="405"/>
      <c r="AM166" s="406"/>
      <c r="AN166" s="406"/>
      <c r="AO166" s="406"/>
      <c r="AP166" s="406"/>
      <c r="AQ166" s="403"/>
      <c r="AR166" s="403"/>
      <c r="AS166" s="403"/>
      <c r="AT166" s="403"/>
      <c r="AU166" s="403"/>
      <c r="AV166" s="403"/>
      <c r="AW166" s="403"/>
      <c r="AX166" s="403"/>
      <c r="AY166" s="403"/>
    </row>
    <row r="167">
      <c r="A167" s="415"/>
      <c r="B167" s="415"/>
      <c r="C167" s="410"/>
      <c r="D167" s="429"/>
      <c r="E167" s="416"/>
      <c r="F167" s="413"/>
      <c r="G167" s="413"/>
      <c r="H167" s="415"/>
      <c r="I167" s="415"/>
      <c r="J167" s="415"/>
      <c r="K167" s="415"/>
      <c r="L167" s="417"/>
      <c r="M167" s="403"/>
      <c r="N167" s="403"/>
      <c r="O167" s="403"/>
      <c r="P167" s="403"/>
      <c r="Q167" s="403"/>
      <c r="R167" s="403"/>
      <c r="S167" s="403"/>
      <c r="T167" s="403"/>
      <c r="U167" s="403"/>
      <c r="V167" s="403"/>
      <c r="W167" s="404"/>
      <c r="X167" s="405"/>
      <c r="Y167" s="405"/>
      <c r="Z167" s="405"/>
      <c r="AA167" s="405"/>
      <c r="AB167" s="405"/>
      <c r="AC167" s="405"/>
      <c r="AD167" s="405"/>
      <c r="AE167" s="405"/>
      <c r="AF167" s="405"/>
      <c r="AG167" s="405"/>
      <c r="AH167" s="405"/>
      <c r="AI167" s="405"/>
      <c r="AJ167" s="405"/>
      <c r="AK167" s="405"/>
      <c r="AL167" s="405"/>
      <c r="AM167" s="406"/>
      <c r="AN167" s="406"/>
      <c r="AO167" s="406"/>
      <c r="AP167" s="406"/>
      <c r="AQ167" s="403"/>
      <c r="AR167" s="403"/>
      <c r="AS167" s="403"/>
      <c r="AT167" s="403"/>
      <c r="AU167" s="403"/>
      <c r="AV167" s="403"/>
      <c r="AW167" s="403"/>
      <c r="AX167" s="403"/>
      <c r="AY167" s="403"/>
    </row>
    <row r="168">
      <c r="A168" s="415"/>
      <c r="B168" s="415"/>
      <c r="C168" s="410"/>
      <c r="D168" s="429"/>
      <c r="E168" s="416"/>
      <c r="F168" s="413"/>
      <c r="G168" s="413"/>
      <c r="H168" s="415"/>
      <c r="I168" s="415"/>
      <c r="J168" s="415"/>
      <c r="K168" s="415"/>
      <c r="L168" s="417"/>
      <c r="M168" s="403"/>
      <c r="N168" s="403"/>
      <c r="O168" s="403"/>
      <c r="P168" s="403"/>
      <c r="Q168" s="403"/>
      <c r="R168" s="403"/>
      <c r="S168" s="403"/>
      <c r="T168" s="403"/>
      <c r="U168" s="403"/>
      <c r="V168" s="403"/>
      <c r="W168" s="404"/>
      <c r="X168" s="405"/>
      <c r="Y168" s="405"/>
      <c r="Z168" s="405"/>
      <c r="AA168" s="405"/>
      <c r="AB168" s="405"/>
      <c r="AC168" s="405"/>
      <c r="AD168" s="405"/>
      <c r="AE168" s="405"/>
      <c r="AF168" s="405"/>
      <c r="AG168" s="405"/>
      <c r="AH168" s="405"/>
      <c r="AI168" s="405"/>
      <c r="AJ168" s="405"/>
      <c r="AK168" s="405"/>
      <c r="AL168" s="405"/>
      <c r="AM168" s="406"/>
      <c r="AN168" s="406"/>
      <c r="AO168" s="406"/>
      <c r="AP168" s="406"/>
      <c r="AQ168" s="403"/>
      <c r="AR168" s="403"/>
      <c r="AS168" s="403"/>
      <c r="AT168" s="403"/>
      <c r="AU168" s="403"/>
      <c r="AV168" s="403"/>
      <c r="AW168" s="403"/>
      <c r="AX168" s="403"/>
      <c r="AY168" s="403"/>
    </row>
    <row r="169">
      <c r="A169" s="415"/>
      <c r="B169" s="415"/>
      <c r="C169" s="410"/>
      <c r="D169" s="429"/>
      <c r="E169" s="416"/>
      <c r="F169" s="413"/>
      <c r="G169" s="413"/>
      <c r="H169" s="415"/>
      <c r="I169" s="415"/>
      <c r="J169" s="415"/>
      <c r="K169" s="415"/>
      <c r="L169" s="417"/>
      <c r="M169" s="403"/>
      <c r="N169" s="403"/>
      <c r="O169" s="403"/>
      <c r="P169" s="403"/>
      <c r="Q169" s="403"/>
      <c r="R169" s="403"/>
      <c r="S169" s="403"/>
      <c r="T169" s="403"/>
      <c r="U169" s="403"/>
      <c r="V169" s="403"/>
      <c r="W169" s="404"/>
      <c r="X169" s="405"/>
      <c r="Y169" s="405"/>
      <c r="Z169" s="405"/>
      <c r="AA169" s="405"/>
      <c r="AB169" s="405"/>
      <c r="AC169" s="405"/>
      <c r="AD169" s="405"/>
      <c r="AE169" s="405"/>
      <c r="AF169" s="405"/>
      <c r="AG169" s="405"/>
      <c r="AH169" s="405"/>
      <c r="AI169" s="405"/>
      <c r="AJ169" s="405"/>
      <c r="AK169" s="405"/>
      <c r="AL169" s="405"/>
      <c r="AM169" s="406"/>
      <c r="AN169" s="406"/>
      <c r="AO169" s="406"/>
      <c r="AP169" s="406"/>
      <c r="AQ169" s="403"/>
      <c r="AR169" s="403"/>
      <c r="AS169" s="403"/>
      <c r="AT169" s="403"/>
      <c r="AU169" s="403"/>
      <c r="AV169" s="403"/>
      <c r="AW169" s="403"/>
      <c r="AX169" s="403"/>
      <c r="AY169" s="403"/>
    </row>
    <row r="170">
      <c r="A170" s="415"/>
      <c r="B170" s="415"/>
      <c r="C170" s="410"/>
      <c r="D170" s="429"/>
      <c r="E170" s="416"/>
      <c r="F170" s="413"/>
      <c r="G170" s="413"/>
      <c r="H170" s="415"/>
      <c r="I170" s="415"/>
      <c r="J170" s="415"/>
      <c r="K170" s="415"/>
      <c r="L170" s="417"/>
      <c r="M170" s="403"/>
      <c r="N170" s="403"/>
      <c r="O170" s="403"/>
      <c r="P170" s="403"/>
      <c r="Q170" s="403"/>
      <c r="R170" s="403"/>
      <c r="S170" s="403"/>
      <c r="T170" s="403"/>
      <c r="U170" s="403"/>
      <c r="V170" s="403"/>
      <c r="W170" s="404"/>
      <c r="X170" s="405"/>
      <c r="Y170" s="405"/>
      <c r="Z170" s="405"/>
      <c r="AA170" s="405"/>
      <c r="AB170" s="405"/>
      <c r="AC170" s="405"/>
      <c r="AD170" s="405"/>
      <c r="AE170" s="405"/>
      <c r="AF170" s="405"/>
      <c r="AG170" s="405"/>
      <c r="AH170" s="405"/>
      <c r="AI170" s="405"/>
      <c r="AJ170" s="405"/>
      <c r="AK170" s="405"/>
      <c r="AL170" s="405"/>
      <c r="AM170" s="406"/>
      <c r="AN170" s="406"/>
      <c r="AO170" s="406"/>
      <c r="AP170" s="406"/>
      <c r="AQ170" s="403"/>
      <c r="AR170" s="403"/>
      <c r="AS170" s="403"/>
      <c r="AT170" s="403"/>
      <c r="AU170" s="403"/>
      <c r="AV170" s="403"/>
      <c r="AW170" s="403"/>
      <c r="AX170" s="403"/>
      <c r="AY170" s="403"/>
    </row>
    <row r="171">
      <c r="A171" s="415"/>
      <c r="B171" s="415"/>
      <c r="C171" s="410"/>
      <c r="D171" s="429"/>
      <c r="E171" s="416"/>
      <c r="F171" s="413"/>
      <c r="G171" s="413"/>
      <c r="H171" s="415"/>
      <c r="I171" s="415"/>
      <c r="J171" s="415"/>
      <c r="K171" s="415"/>
      <c r="L171" s="417"/>
      <c r="M171" s="403"/>
      <c r="N171" s="403"/>
      <c r="O171" s="403"/>
      <c r="P171" s="403"/>
      <c r="Q171" s="403"/>
      <c r="R171" s="403"/>
      <c r="S171" s="403"/>
      <c r="T171" s="403"/>
      <c r="U171" s="403"/>
      <c r="V171" s="403"/>
      <c r="W171" s="404"/>
      <c r="X171" s="405"/>
      <c r="Y171" s="405"/>
      <c r="Z171" s="405"/>
      <c r="AA171" s="405"/>
      <c r="AB171" s="405"/>
      <c r="AC171" s="405"/>
      <c r="AD171" s="405"/>
      <c r="AE171" s="405"/>
      <c r="AF171" s="405"/>
      <c r="AG171" s="405"/>
      <c r="AH171" s="405"/>
      <c r="AI171" s="405"/>
      <c r="AJ171" s="405"/>
      <c r="AK171" s="405"/>
      <c r="AL171" s="405"/>
      <c r="AM171" s="406"/>
      <c r="AN171" s="406"/>
      <c r="AO171" s="406"/>
      <c r="AP171" s="406"/>
      <c r="AQ171" s="403"/>
      <c r="AR171" s="403"/>
      <c r="AS171" s="403"/>
      <c r="AT171" s="403"/>
      <c r="AU171" s="403"/>
      <c r="AV171" s="403"/>
      <c r="AW171" s="403"/>
      <c r="AX171" s="403"/>
      <c r="AY171" s="403"/>
    </row>
    <row r="172">
      <c r="A172" s="415"/>
      <c r="B172" s="415"/>
      <c r="C172" s="410"/>
      <c r="D172" s="429"/>
      <c r="E172" s="416"/>
      <c r="F172" s="413"/>
      <c r="G172" s="413"/>
      <c r="H172" s="415"/>
      <c r="I172" s="415"/>
      <c r="J172" s="415"/>
      <c r="K172" s="415"/>
      <c r="L172" s="417"/>
      <c r="M172" s="403"/>
      <c r="N172" s="403"/>
      <c r="O172" s="403"/>
      <c r="P172" s="403"/>
      <c r="Q172" s="403"/>
      <c r="R172" s="403"/>
      <c r="S172" s="403"/>
      <c r="T172" s="403"/>
      <c r="U172" s="403"/>
      <c r="V172" s="403"/>
      <c r="W172" s="404"/>
      <c r="X172" s="405"/>
      <c r="Y172" s="405"/>
      <c r="Z172" s="405"/>
      <c r="AA172" s="405"/>
      <c r="AB172" s="405"/>
      <c r="AC172" s="405"/>
      <c r="AD172" s="405"/>
      <c r="AE172" s="405"/>
      <c r="AF172" s="405"/>
      <c r="AG172" s="405"/>
      <c r="AH172" s="405"/>
      <c r="AI172" s="405"/>
      <c r="AJ172" s="405"/>
      <c r="AK172" s="405"/>
      <c r="AL172" s="405"/>
      <c r="AM172" s="406"/>
      <c r="AN172" s="406"/>
      <c r="AO172" s="406"/>
      <c r="AP172" s="406"/>
      <c r="AQ172" s="403"/>
      <c r="AR172" s="403"/>
      <c r="AS172" s="403"/>
      <c r="AT172" s="403"/>
      <c r="AU172" s="403"/>
      <c r="AV172" s="403"/>
      <c r="AW172" s="403"/>
      <c r="AX172" s="403"/>
      <c r="AY172" s="403"/>
    </row>
    <row r="173">
      <c r="A173" s="415"/>
      <c r="B173" s="415"/>
      <c r="C173" s="410"/>
      <c r="D173" s="429"/>
      <c r="E173" s="416"/>
      <c r="F173" s="413"/>
      <c r="G173" s="413"/>
      <c r="H173" s="415"/>
      <c r="I173" s="415"/>
      <c r="J173" s="415"/>
      <c r="K173" s="415"/>
      <c r="L173" s="417"/>
      <c r="M173" s="403"/>
      <c r="N173" s="403"/>
      <c r="O173" s="403"/>
      <c r="P173" s="403"/>
      <c r="Q173" s="403"/>
      <c r="R173" s="403"/>
      <c r="S173" s="403"/>
      <c r="T173" s="403"/>
      <c r="U173" s="403"/>
      <c r="V173" s="403"/>
      <c r="W173" s="404"/>
      <c r="X173" s="405"/>
      <c r="Y173" s="405"/>
      <c r="Z173" s="405"/>
      <c r="AA173" s="405"/>
      <c r="AB173" s="405"/>
      <c r="AC173" s="405"/>
      <c r="AD173" s="405"/>
      <c r="AE173" s="405"/>
      <c r="AF173" s="405"/>
      <c r="AG173" s="405"/>
      <c r="AH173" s="405"/>
      <c r="AI173" s="405"/>
      <c r="AJ173" s="405"/>
      <c r="AK173" s="405"/>
      <c r="AL173" s="405"/>
      <c r="AM173" s="406"/>
      <c r="AN173" s="406"/>
      <c r="AO173" s="406"/>
      <c r="AP173" s="406"/>
      <c r="AQ173" s="403"/>
      <c r="AR173" s="403"/>
      <c r="AS173" s="403"/>
      <c r="AT173" s="403"/>
      <c r="AU173" s="403"/>
      <c r="AV173" s="403"/>
      <c r="AW173" s="403"/>
      <c r="AX173" s="403"/>
      <c r="AY173" s="403"/>
    </row>
    <row r="174">
      <c r="A174" s="415"/>
      <c r="B174" s="415"/>
      <c r="C174" s="410"/>
      <c r="D174" s="429"/>
      <c r="E174" s="416"/>
      <c r="F174" s="413"/>
      <c r="G174" s="413"/>
      <c r="H174" s="415"/>
      <c r="I174" s="415"/>
      <c r="J174" s="415"/>
      <c r="K174" s="415"/>
      <c r="L174" s="417"/>
      <c r="M174" s="403"/>
      <c r="N174" s="403"/>
      <c r="O174" s="403"/>
      <c r="P174" s="403"/>
      <c r="Q174" s="403"/>
      <c r="R174" s="403"/>
      <c r="S174" s="403"/>
      <c r="T174" s="403"/>
      <c r="U174" s="403"/>
      <c r="V174" s="403"/>
      <c r="W174" s="404"/>
      <c r="X174" s="405"/>
      <c r="Y174" s="405"/>
      <c r="Z174" s="405"/>
      <c r="AA174" s="405"/>
      <c r="AB174" s="405"/>
      <c r="AC174" s="405"/>
      <c r="AD174" s="405"/>
      <c r="AE174" s="405"/>
      <c r="AF174" s="405"/>
      <c r="AG174" s="405"/>
      <c r="AH174" s="405"/>
      <c r="AI174" s="405"/>
      <c r="AJ174" s="405"/>
      <c r="AK174" s="405"/>
      <c r="AL174" s="405"/>
      <c r="AM174" s="406"/>
      <c r="AN174" s="406"/>
      <c r="AO174" s="406"/>
      <c r="AP174" s="406"/>
      <c r="AQ174" s="403"/>
      <c r="AR174" s="403"/>
      <c r="AS174" s="403"/>
      <c r="AT174" s="403"/>
      <c r="AU174" s="403"/>
      <c r="AV174" s="403"/>
      <c r="AW174" s="403"/>
      <c r="AX174" s="403"/>
      <c r="AY174" s="403"/>
    </row>
    <row r="175">
      <c r="A175" s="415"/>
      <c r="B175" s="415"/>
      <c r="C175" s="410"/>
      <c r="D175" s="429"/>
      <c r="E175" s="416"/>
      <c r="F175" s="413"/>
      <c r="G175" s="413"/>
      <c r="H175" s="415"/>
      <c r="I175" s="415"/>
      <c r="J175" s="415"/>
      <c r="K175" s="415"/>
      <c r="L175" s="417"/>
      <c r="M175" s="403"/>
      <c r="N175" s="403"/>
      <c r="O175" s="403"/>
      <c r="P175" s="403"/>
      <c r="Q175" s="403"/>
      <c r="R175" s="403"/>
      <c r="S175" s="403"/>
      <c r="T175" s="403"/>
      <c r="U175" s="403"/>
      <c r="V175" s="403"/>
      <c r="W175" s="404"/>
      <c r="X175" s="405"/>
      <c r="Y175" s="405"/>
      <c r="Z175" s="405"/>
      <c r="AA175" s="405"/>
      <c r="AB175" s="405"/>
      <c r="AC175" s="405"/>
      <c r="AD175" s="405"/>
      <c r="AE175" s="405"/>
      <c r="AF175" s="405"/>
      <c r="AG175" s="405"/>
      <c r="AH175" s="405"/>
      <c r="AI175" s="405"/>
      <c r="AJ175" s="405"/>
      <c r="AK175" s="405"/>
      <c r="AL175" s="405"/>
      <c r="AM175" s="406"/>
      <c r="AN175" s="406"/>
      <c r="AO175" s="406"/>
      <c r="AP175" s="406"/>
      <c r="AQ175" s="403"/>
      <c r="AR175" s="403"/>
      <c r="AS175" s="403"/>
      <c r="AT175" s="403"/>
      <c r="AU175" s="403"/>
      <c r="AV175" s="403"/>
      <c r="AW175" s="403"/>
      <c r="AX175" s="403"/>
      <c r="AY175" s="403"/>
    </row>
    <row r="176">
      <c r="A176" s="415"/>
      <c r="B176" s="415"/>
      <c r="C176" s="410"/>
      <c r="D176" s="429"/>
      <c r="E176" s="416"/>
      <c r="F176" s="413"/>
      <c r="G176" s="413"/>
      <c r="H176" s="415"/>
      <c r="I176" s="415"/>
      <c r="J176" s="415"/>
      <c r="K176" s="415"/>
      <c r="L176" s="417"/>
      <c r="M176" s="403"/>
      <c r="N176" s="403"/>
      <c r="O176" s="403"/>
      <c r="P176" s="403"/>
      <c r="Q176" s="403"/>
      <c r="R176" s="403"/>
      <c r="S176" s="403"/>
      <c r="T176" s="403"/>
      <c r="U176" s="403"/>
      <c r="V176" s="403"/>
      <c r="W176" s="404"/>
      <c r="X176" s="405"/>
      <c r="Y176" s="405"/>
      <c r="Z176" s="405"/>
      <c r="AA176" s="405"/>
      <c r="AB176" s="405"/>
      <c r="AC176" s="405"/>
      <c r="AD176" s="405"/>
      <c r="AE176" s="405"/>
      <c r="AF176" s="405"/>
      <c r="AG176" s="405"/>
      <c r="AH176" s="405"/>
      <c r="AI176" s="405"/>
      <c r="AJ176" s="405"/>
      <c r="AK176" s="405"/>
      <c r="AL176" s="405"/>
      <c r="AM176" s="406"/>
      <c r="AN176" s="406"/>
      <c r="AO176" s="406"/>
      <c r="AP176" s="406"/>
      <c r="AQ176" s="403"/>
      <c r="AR176" s="403"/>
      <c r="AS176" s="403"/>
      <c r="AT176" s="403"/>
      <c r="AU176" s="403"/>
      <c r="AV176" s="403"/>
      <c r="AW176" s="403"/>
      <c r="AX176" s="403"/>
      <c r="AY176" s="403"/>
    </row>
    <row r="177">
      <c r="A177" s="415"/>
      <c r="B177" s="415"/>
      <c r="C177" s="410"/>
      <c r="D177" s="429"/>
      <c r="E177" s="416"/>
      <c r="F177" s="413"/>
      <c r="G177" s="413"/>
      <c r="H177" s="415"/>
      <c r="I177" s="415"/>
      <c r="J177" s="415"/>
      <c r="K177" s="415"/>
      <c r="L177" s="417"/>
      <c r="M177" s="403"/>
      <c r="N177" s="403"/>
      <c r="O177" s="403"/>
      <c r="P177" s="403"/>
      <c r="Q177" s="403"/>
      <c r="R177" s="403"/>
      <c r="S177" s="403"/>
      <c r="T177" s="403"/>
      <c r="U177" s="403"/>
      <c r="V177" s="403"/>
      <c r="W177" s="404"/>
      <c r="X177" s="405"/>
      <c r="Y177" s="405"/>
      <c r="Z177" s="405"/>
      <c r="AA177" s="405"/>
      <c r="AB177" s="405"/>
      <c r="AC177" s="405"/>
      <c r="AD177" s="405"/>
      <c r="AE177" s="405"/>
      <c r="AF177" s="405"/>
      <c r="AG177" s="405"/>
      <c r="AH177" s="405"/>
      <c r="AI177" s="405"/>
      <c r="AJ177" s="405"/>
      <c r="AK177" s="405"/>
      <c r="AL177" s="405"/>
      <c r="AM177" s="406"/>
      <c r="AN177" s="406"/>
      <c r="AO177" s="406"/>
      <c r="AP177" s="406"/>
      <c r="AQ177" s="403"/>
      <c r="AR177" s="403"/>
      <c r="AS177" s="403"/>
      <c r="AT177" s="403"/>
      <c r="AU177" s="403"/>
      <c r="AV177" s="403"/>
      <c r="AW177" s="403"/>
      <c r="AX177" s="403"/>
      <c r="AY177" s="403"/>
    </row>
    <row r="178">
      <c r="A178" s="415"/>
      <c r="B178" s="415"/>
      <c r="C178" s="410"/>
      <c r="D178" s="429"/>
      <c r="E178" s="416"/>
      <c r="F178" s="413"/>
      <c r="G178" s="413"/>
      <c r="H178" s="415"/>
      <c r="I178" s="415"/>
      <c r="J178" s="415"/>
      <c r="K178" s="415"/>
      <c r="L178" s="417"/>
      <c r="M178" s="403"/>
      <c r="N178" s="403"/>
      <c r="O178" s="403"/>
      <c r="P178" s="403"/>
      <c r="Q178" s="403"/>
      <c r="R178" s="403"/>
      <c r="S178" s="403"/>
      <c r="T178" s="403"/>
      <c r="U178" s="403"/>
      <c r="V178" s="403"/>
      <c r="W178" s="404"/>
      <c r="X178" s="405"/>
      <c r="Y178" s="405"/>
      <c r="Z178" s="405"/>
      <c r="AA178" s="405"/>
      <c r="AB178" s="405"/>
      <c r="AC178" s="405"/>
      <c r="AD178" s="405"/>
      <c r="AE178" s="405"/>
      <c r="AF178" s="405"/>
      <c r="AG178" s="405"/>
      <c r="AH178" s="405"/>
      <c r="AI178" s="405"/>
      <c r="AJ178" s="405"/>
      <c r="AK178" s="405"/>
      <c r="AL178" s="405"/>
      <c r="AM178" s="406"/>
      <c r="AN178" s="406"/>
      <c r="AO178" s="406"/>
      <c r="AP178" s="406"/>
      <c r="AQ178" s="403"/>
      <c r="AR178" s="403"/>
      <c r="AS178" s="403"/>
      <c r="AT178" s="403"/>
      <c r="AU178" s="403"/>
      <c r="AV178" s="403"/>
      <c r="AW178" s="403"/>
      <c r="AX178" s="403"/>
      <c r="AY178" s="403"/>
    </row>
    <row r="179">
      <c r="A179" s="415"/>
      <c r="B179" s="415"/>
      <c r="C179" s="410"/>
      <c r="D179" s="429"/>
      <c r="E179" s="416"/>
      <c r="F179" s="413"/>
      <c r="G179" s="413"/>
      <c r="H179" s="415"/>
      <c r="I179" s="415"/>
      <c r="J179" s="415"/>
      <c r="K179" s="415"/>
      <c r="L179" s="417"/>
      <c r="M179" s="403"/>
      <c r="N179" s="403"/>
      <c r="O179" s="403"/>
      <c r="P179" s="403"/>
      <c r="Q179" s="403"/>
      <c r="R179" s="403"/>
      <c r="S179" s="403"/>
      <c r="T179" s="403"/>
      <c r="U179" s="403"/>
      <c r="V179" s="403"/>
      <c r="W179" s="404"/>
      <c r="X179" s="405"/>
      <c r="Y179" s="405"/>
      <c r="Z179" s="405"/>
      <c r="AA179" s="405"/>
      <c r="AB179" s="405"/>
      <c r="AC179" s="405"/>
      <c r="AD179" s="405"/>
      <c r="AE179" s="405"/>
      <c r="AF179" s="405"/>
      <c r="AG179" s="405"/>
      <c r="AH179" s="405"/>
      <c r="AI179" s="405"/>
      <c r="AJ179" s="405"/>
      <c r="AK179" s="405"/>
      <c r="AL179" s="405"/>
      <c r="AM179" s="406"/>
      <c r="AN179" s="406"/>
      <c r="AO179" s="406"/>
      <c r="AP179" s="406"/>
      <c r="AQ179" s="403"/>
      <c r="AR179" s="403"/>
      <c r="AS179" s="403"/>
      <c r="AT179" s="403"/>
      <c r="AU179" s="403"/>
      <c r="AV179" s="403"/>
      <c r="AW179" s="403"/>
      <c r="AX179" s="403"/>
      <c r="AY179" s="403"/>
    </row>
    <row r="180">
      <c r="A180" s="415"/>
      <c r="B180" s="415"/>
      <c r="C180" s="410"/>
      <c r="D180" s="429"/>
      <c r="E180" s="416"/>
      <c r="F180" s="413"/>
      <c r="G180" s="413"/>
      <c r="H180" s="415"/>
      <c r="I180" s="415"/>
      <c r="J180" s="415"/>
      <c r="K180" s="415"/>
      <c r="L180" s="417"/>
      <c r="M180" s="403"/>
      <c r="N180" s="403"/>
      <c r="O180" s="403"/>
      <c r="P180" s="403"/>
      <c r="Q180" s="403"/>
      <c r="R180" s="403"/>
      <c r="S180" s="403"/>
      <c r="T180" s="403"/>
      <c r="U180" s="403"/>
      <c r="V180" s="403"/>
      <c r="W180" s="404"/>
      <c r="X180" s="405"/>
      <c r="Y180" s="405"/>
      <c r="Z180" s="405"/>
      <c r="AA180" s="405"/>
      <c r="AB180" s="405"/>
      <c r="AC180" s="405"/>
      <c r="AD180" s="405"/>
      <c r="AE180" s="405"/>
      <c r="AF180" s="405"/>
      <c r="AG180" s="405"/>
      <c r="AH180" s="405"/>
      <c r="AI180" s="405"/>
      <c r="AJ180" s="405"/>
      <c r="AK180" s="405"/>
      <c r="AL180" s="405"/>
      <c r="AM180" s="406"/>
      <c r="AN180" s="406"/>
      <c r="AO180" s="406"/>
      <c r="AP180" s="406"/>
      <c r="AQ180" s="403"/>
      <c r="AR180" s="403"/>
      <c r="AS180" s="403"/>
      <c r="AT180" s="403"/>
      <c r="AU180" s="403"/>
      <c r="AV180" s="403"/>
      <c r="AW180" s="403"/>
      <c r="AX180" s="403"/>
      <c r="AY180" s="403"/>
    </row>
    <row r="181">
      <c r="A181" s="415"/>
      <c r="B181" s="415"/>
      <c r="C181" s="410"/>
      <c r="D181" s="429"/>
      <c r="E181" s="416"/>
      <c r="F181" s="413"/>
      <c r="G181" s="413"/>
      <c r="H181" s="415"/>
      <c r="I181" s="415"/>
      <c r="J181" s="415"/>
      <c r="K181" s="415"/>
      <c r="L181" s="417"/>
      <c r="M181" s="403"/>
      <c r="N181" s="403"/>
      <c r="O181" s="403"/>
      <c r="P181" s="403"/>
      <c r="Q181" s="403"/>
      <c r="R181" s="403"/>
      <c r="S181" s="403"/>
      <c r="T181" s="403"/>
      <c r="U181" s="403"/>
      <c r="V181" s="403"/>
      <c r="W181" s="404"/>
      <c r="X181" s="405"/>
      <c r="Y181" s="405"/>
      <c r="Z181" s="405"/>
      <c r="AA181" s="405"/>
      <c r="AB181" s="405"/>
      <c r="AC181" s="405"/>
      <c r="AD181" s="405"/>
      <c r="AE181" s="405"/>
      <c r="AF181" s="405"/>
      <c r="AG181" s="405"/>
      <c r="AH181" s="405"/>
      <c r="AI181" s="405"/>
      <c r="AJ181" s="405"/>
      <c r="AK181" s="405"/>
      <c r="AL181" s="405"/>
      <c r="AM181" s="406"/>
      <c r="AN181" s="406"/>
      <c r="AO181" s="406"/>
      <c r="AP181" s="406"/>
      <c r="AQ181" s="403"/>
      <c r="AR181" s="403"/>
      <c r="AS181" s="403"/>
      <c r="AT181" s="403"/>
      <c r="AU181" s="403"/>
      <c r="AV181" s="403"/>
      <c r="AW181" s="403"/>
      <c r="AX181" s="403"/>
      <c r="AY181" s="403"/>
    </row>
    <row r="182">
      <c r="A182" s="415"/>
      <c r="B182" s="415"/>
      <c r="C182" s="410"/>
      <c r="D182" s="429"/>
      <c r="E182" s="416"/>
      <c r="F182" s="413"/>
      <c r="G182" s="413"/>
      <c r="H182" s="415"/>
      <c r="I182" s="415"/>
      <c r="J182" s="415"/>
      <c r="K182" s="415"/>
      <c r="L182" s="417"/>
      <c r="M182" s="403"/>
      <c r="N182" s="403"/>
      <c r="O182" s="403"/>
      <c r="P182" s="403"/>
      <c r="Q182" s="403"/>
      <c r="R182" s="403"/>
      <c r="S182" s="403"/>
      <c r="T182" s="403"/>
      <c r="U182" s="403"/>
      <c r="V182" s="403"/>
      <c r="W182" s="404"/>
      <c r="X182" s="405"/>
      <c r="Y182" s="405"/>
      <c r="Z182" s="405"/>
      <c r="AA182" s="405"/>
      <c r="AB182" s="405"/>
      <c r="AC182" s="405"/>
      <c r="AD182" s="405"/>
      <c r="AE182" s="405"/>
      <c r="AF182" s="405"/>
      <c r="AG182" s="405"/>
      <c r="AH182" s="405"/>
      <c r="AI182" s="405"/>
      <c r="AJ182" s="405"/>
      <c r="AK182" s="405"/>
      <c r="AL182" s="405"/>
      <c r="AM182" s="406"/>
      <c r="AN182" s="406"/>
      <c r="AO182" s="406"/>
      <c r="AP182" s="406"/>
      <c r="AQ182" s="403"/>
      <c r="AR182" s="403"/>
      <c r="AS182" s="403"/>
      <c r="AT182" s="403"/>
      <c r="AU182" s="403"/>
      <c r="AV182" s="403"/>
      <c r="AW182" s="403"/>
      <c r="AX182" s="403"/>
      <c r="AY182" s="403"/>
    </row>
    <row r="183">
      <c r="A183" s="415"/>
      <c r="B183" s="415"/>
      <c r="C183" s="410"/>
      <c r="D183" s="429"/>
      <c r="E183" s="416"/>
      <c r="F183" s="413"/>
      <c r="G183" s="413"/>
      <c r="H183" s="415"/>
      <c r="I183" s="415"/>
      <c r="J183" s="415"/>
      <c r="K183" s="415"/>
      <c r="L183" s="417"/>
      <c r="M183" s="403"/>
      <c r="N183" s="403"/>
      <c r="O183" s="403"/>
      <c r="P183" s="403"/>
      <c r="Q183" s="403"/>
      <c r="R183" s="403"/>
      <c r="S183" s="403"/>
      <c r="T183" s="403"/>
      <c r="U183" s="403"/>
      <c r="V183" s="403"/>
      <c r="W183" s="404"/>
      <c r="X183" s="405"/>
      <c r="Y183" s="405"/>
      <c r="Z183" s="405"/>
      <c r="AA183" s="405"/>
      <c r="AB183" s="405"/>
      <c r="AC183" s="405"/>
      <c r="AD183" s="405"/>
      <c r="AE183" s="405"/>
      <c r="AF183" s="405"/>
      <c r="AG183" s="405"/>
      <c r="AH183" s="405"/>
      <c r="AI183" s="405"/>
      <c r="AJ183" s="405"/>
      <c r="AK183" s="405"/>
      <c r="AL183" s="405"/>
      <c r="AM183" s="406"/>
      <c r="AN183" s="406"/>
      <c r="AO183" s="406"/>
      <c r="AP183" s="406"/>
      <c r="AQ183" s="403"/>
      <c r="AR183" s="403"/>
      <c r="AS183" s="403"/>
      <c r="AT183" s="403"/>
      <c r="AU183" s="403"/>
      <c r="AV183" s="403"/>
      <c r="AW183" s="403"/>
      <c r="AX183" s="403"/>
      <c r="AY183" s="403"/>
    </row>
    <row r="184">
      <c r="A184" s="415"/>
      <c r="B184" s="415"/>
      <c r="C184" s="410"/>
      <c r="D184" s="429"/>
      <c r="E184" s="416"/>
      <c r="F184" s="413"/>
      <c r="G184" s="413"/>
      <c r="H184" s="415"/>
      <c r="I184" s="415"/>
      <c r="J184" s="415"/>
      <c r="K184" s="415"/>
      <c r="L184" s="417"/>
      <c r="M184" s="403"/>
      <c r="N184" s="403"/>
      <c r="O184" s="403"/>
      <c r="P184" s="403"/>
      <c r="Q184" s="403"/>
      <c r="R184" s="403"/>
      <c r="S184" s="403"/>
      <c r="T184" s="403"/>
      <c r="U184" s="403"/>
      <c r="V184" s="403"/>
      <c r="W184" s="404"/>
      <c r="X184" s="405"/>
      <c r="Y184" s="405"/>
      <c r="Z184" s="405"/>
      <c r="AA184" s="405"/>
      <c r="AB184" s="405"/>
      <c r="AC184" s="405"/>
      <c r="AD184" s="405"/>
      <c r="AE184" s="405"/>
      <c r="AF184" s="405"/>
      <c r="AG184" s="405"/>
      <c r="AH184" s="405"/>
      <c r="AI184" s="405"/>
      <c r="AJ184" s="405"/>
      <c r="AK184" s="405"/>
      <c r="AL184" s="405"/>
      <c r="AM184" s="406"/>
      <c r="AN184" s="406"/>
      <c r="AO184" s="406"/>
      <c r="AP184" s="406"/>
      <c r="AQ184" s="403"/>
      <c r="AR184" s="403"/>
      <c r="AS184" s="403"/>
      <c r="AT184" s="403"/>
      <c r="AU184" s="403"/>
      <c r="AV184" s="403"/>
      <c r="AW184" s="403"/>
      <c r="AX184" s="403"/>
      <c r="AY184" s="403"/>
    </row>
    <row r="185">
      <c r="A185" s="415"/>
      <c r="B185" s="415"/>
      <c r="C185" s="410"/>
      <c r="D185" s="429"/>
      <c r="E185" s="416"/>
      <c r="F185" s="413"/>
      <c r="G185" s="413"/>
      <c r="H185" s="415"/>
      <c r="I185" s="415"/>
      <c r="J185" s="415"/>
      <c r="K185" s="415"/>
      <c r="L185" s="417"/>
      <c r="M185" s="403"/>
      <c r="N185" s="403"/>
      <c r="O185" s="403"/>
      <c r="P185" s="403"/>
      <c r="Q185" s="403"/>
      <c r="R185" s="403"/>
      <c r="S185" s="403"/>
      <c r="T185" s="403"/>
      <c r="U185" s="403"/>
      <c r="V185" s="403"/>
      <c r="W185" s="404"/>
      <c r="X185" s="405"/>
      <c r="Y185" s="405"/>
      <c r="Z185" s="405"/>
      <c r="AA185" s="405"/>
      <c r="AB185" s="405"/>
      <c r="AC185" s="405"/>
      <c r="AD185" s="405"/>
      <c r="AE185" s="405"/>
      <c r="AF185" s="405"/>
      <c r="AG185" s="405"/>
      <c r="AH185" s="405"/>
      <c r="AI185" s="405"/>
      <c r="AJ185" s="405"/>
      <c r="AK185" s="405"/>
      <c r="AL185" s="405"/>
      <c r="AM185" s="406"/>
      <c r="AN185" s="406"/>
      <c r="AO185" s="406"/>
      <c r="AP185" s="406"/>
      <c r="AQ185" s="403"/>
      <c r="AR185" s="403"/>
      <c r="AS185" s="403"/>
      <c r="AT185" s="403"/>
      <c r="AU185" s="403"/>
      <c r="AV185" s="403"/>
      <c r="AW185" s="403"/>
      <c r="AX185" s="403"/>
      <c r="AY185" s="403"/>
    </row>
    <row r="186">
      <c r="A186" s="415"/>
      <c r="B186" s="415"/>
      <c r="C186" s="410"/>
      <c r="D186" s="429"/>
      <c r="E186" s="416"/>
      <c r="F186" s="413"/>
      <c r="G186" s="413"/>
      <c r="H186" s="415"/>
      <c r="I186" s="415"/>
      <c r="J186" s="415"/>
      <c r="K186" s="415"/>
      <c r="L186" s="417"/>
      <c r="M186" s="403"/>
      <c r="N186" s="403"/>
      <c r="O186" s="403"/>
      <c r="P186" s="403"/>
      <c r="Q186" s="403"/>
      <c r="R186" s="403"/>
      <c r="S186" s="403"/>
      <c r="T186" s="403"/>
      <c r="U186" s="403"/>
      <c r="V186" s="403"/>
      <c r="W186" s="404"/>
      <c r="X186" s="405"/>
      <c r="Y186" s="405"/>
      <c r="Z186" s="405"/>
      <c r="AA186" s="405"/>
      <c r="AB186" s="405"/>
      <c r="AC186" s="405"/>
      <c r="AD186" s="405"/>
      <c r="AE186" s="405"/>
      <c r="AF186" s="405"/>
      <c r="AG186" s="405"/>
      <c r="AH186" s="405"/>
      <c r="AI186" s="405"/>
      <c r="AJ186" s="405"/>
      <c r="AK186" s="405"/>
      <c r="AL186" s="405"/>
      <c r="AM186" s="406"/>
      <c r="AN186" s="406"/>
      <c r="AO186" s="406"/>
      <c r="AP186" s="406"/>
      <c r="AQ186" s="403"/>
      <c r="AR186" s="403"/>
      <c r="AS186" s="403"/>
      <c r="AT186" s="403"/>
      <c r="AU186" s="403"/>
      <c r="AV186" s="403"/>
      <c r="AW186" s="403"/>
      <c r="AX186" s="403"/>
      <c r="AY186" s="403"/>
    </row>
    <row r="187">
      <c r="A187" s="415"/>
      <c r="B187" s="415"/>
      <c r="C187" s="410"/>
      <c r="D187" s="429"/>
      <c r="E187" s="416"/>
      <c r="F187" s="413"/>
      <c r="G187" s="413"/>
      <c r="H187" s="415"/>
      <c r="I187" s="415"/>
      <c r="J187" s="415"/>
      <c r="K187" s="415"/>
      <c r="L187" s="417"/>
      <c r="M187" s="403"/>
      <c r="N187" s="403"/>
      <c r="O187" s="403"/>
      <c r="P187" s="403"/>
      <c r="Q187" s="403"/>
      <c r="R187" s="403"/>
      <c r="S187" s="403"/>
      <c r="T187" s="403"/>
      <c r="U187" s="403"/>
      <c r="V187" s="403"/>
      <c r="W187" s="404"/>
      <c r="X187" s="405"/>
      <c r="Y187" s="405"/>
      <c r="Z187" s="405"/>
      <c r="AA187" s="405"/>
      <c r="AB187" s="405"/>
      <c r="AC187" s="405"/>
      <c r="AD187" s="405"/>
      <c r="AE187" s="405"/>
      <c r="AF187" s="405"/>
      <c r="AG187" s="405"/>
      <c r="AH187" s="405"/>
      <c r="AI187" s="405"/>
      <c r="AJ187" s="405"/>
      <c r="AK187" s="405"/>
      <c r="AL187" s="405"/>
      <c r="AM187" s="406"/>
      <c r="AN187" s="406"/>
      <c r="AO187" s="406"/>
      <c r="AP187" s="406"/>
      <c r="AQ187" s="403"/>
      <c r="AR187" s="403"/>
      <c r="AS187" s="403"/>
      <c r="AT187" s="403"/>
      <c r="AU187" s="403"/>
      <c r="AV187" s="403"/>
      <c r="AW187" s="403"/>
      <c r="AX187" s="403"/>
      <c r="AY187" s="403"/>
    </row>
    <row r="188">
      <c r="A188" s="415"/>
      <c r="B188" s="415"/>
      <c r="C188" s="410"/>
      <c r="D188" s="429"/>
      <c r="E188" s="416"/>
      <c r="F188" s="413"/>
      <c r="G188" s="413"/>
      <c r="H188" s="415"/>
      <c r="I188" s="415"/>
      <c r="J188" s="415"/>
      <c r="K188" s="415"/>
      <c r="L188" s="417"/>
      <c r="M188" s="403"/>
      <c r="N188" s="403"/>
      <c r="O188" s="403"/>
      <c r="P188" s="403"/>
      <c r="Q188" s="403"/>
      <c r="R188" s="403"/>
      <c r="S188" s="403"/>
      <c r="T188" s="403"/>
      <c r="U188" s="403"/>
      <c r="V188" s="403"/>
      <c r="W188" s="404"/>
      <c r="X188" s="405"/>
      <c r="Y188" s="405"/>
      <c r="Z188" s="405"/>
      <c r="AA188" s="405"/>
      <c r="AB188" s="405"/>
      <c r="AC188" s="405"/>
      <c r="AD188" s="405"/>
      <c r="AE188" s="405"/>
      <c r="AF188" s="405"/>
      <c r="AG188" s="405"/>
      <c r="AH188" s="405"/>
      <c r="AI188" s="405"/>
      <c r="AJ188" s="405"/>
      <c r="AK188" s="405"/>
      <c r="AL188" s="405"/>
      <c r="AM188" s="406"/>
      <c r="AN188" s="406"/>
      <c r="AO188" s="406"/>
      <c r="AP188" s="406"/>
      <c r="AQ188" s="403"/>
      <c r="AR188" s="403"/>
      <c r="AS188" s="403"/>
      <c r="AT188" s="403"/>
      <c r="AU188" s="403"/>
      <c r="AV188" s="403"/>
      <c r="AW188" s="403"/>
      <c r="AX188" s="403"/>
      <c r="AY188" s="403"/>
    </row>
    <row r="189">
      <c r="A189" s="415"/>
      <c r="B189" s="415"/>
      <c r="C189" s="410"/>
      <c r="D189" s="429"/>
      <c r="E189" s="416"/>
      <c r="F189" s="413"/>
      <c r="G189" s="413"/>
      <c r="H189" s="415"/>
      <c r="I189" s="415"/>
      <c r="J189" s="415"/>
      <c r="K189" s="415"/>
      <c r="L189" s="417"/>
      <c r="M189" s="403"/>
      <c r="N189" s="403"/>
      <c r="O189" s="403"/>
      <c r="P189" s="403"/>
      <c r="Q189" s="403"/>
      <c r="R189" s="403"/>
      <c r="S189" s="403"/>
      <c r="T189" s="403"/>
      <c r="U189" s="403"/>
      <c r="V189" s="403"/>
      <c r="W189" s="404"/>
      <c r="X189" s="405"/>
      <c r="Y189" s="405"/>
      <c r="Z189" s="405"/>
      <c r="AA189" s="405"/>
      <c r="AB189" s="405"/>
      <c r="AC189" s="405"/>
      <c r="AD189" s="405"/>
      <c r="AE189" s="405"/>
      <c r="AF189" s="405"/>
      <c r="AG189" s="405"/>
      <c r="AH189" s="405"/>
      <c r="AI189" s="405"/>
      <c r="AJ189" s="405"/>
      <c r="AK189" s="405"/>
      <c r="AL189" s="405"/>
      <c r="AM189" s="406"/>
      <c r="AN189" s="406"/>
      <c r="AO189" s="406"/>
      <c r="AP189" s="406"/>
      <c r="AQ189" s="403"/>
      <c r="AR189" s="403"/>
      <c r="AS189" s="403"/>
      <c r="AT189" s="403"/>
      <c r="AU189" s="403"/>
      <c r="AV189" s="403"/>
      <c r="AW189" s="403"/>
      <c r="AX189" s="403"/>
      <c r="AY189" s="403"/>
    </row>
    <row r="190">
      <c r="A190" s="415"/>
      <c r="B190" s="415"/>
      <c r="C190" s="410"/>
      <c r="D190" s="429"/>
      <c r="E190" s="416"/>
      <c r="F190" s="413"/>
      <c r="G190" s="413"/>
      <c r="H190" s="415"/>
      <c r="I190" s="415"/>
      <c r="J190" s="415"/>
      <c r="K190" s="415"/>
      <c r="L190" s="417"/>
      <c r="M190" s="403"/>
      <c r="N190" s="403"/>
      <c r="O190" s="403"/>
      <c r="P190" s="403"/>
      <c r="Q190" s="403"/>
      <c r="R190" s="403"/>
      <c r="S190" s="403"/>
      <c r="T190" s="403"/>
      <c r="U190" s="403"/>
      <c r="V190" s="403"/>
      <c r="W190" s="404"/>
      <c r="X190" s="405"/>
      <c r="Y190" s="405"/>
      <c r="Z190" s="405"/>
      <c r="AA190" s="405"/>
      <c r="AB190" s="405"/>
      <c r="AC190" s="405"/>
      <c r="AD190" s="405"/>
      <c r="AE190" s="405"/>
      <c r="AF190" s="405"/>
      <c r="AG190" s="405"/>
      <c r="AH190" s="405"/>
      <c r="AI190" s="405"/>
      <c r="AJ190" s="405"/>
      <c r="AK190" s="405"/>
      <c r="AL190" s="405"/>
      <c r="AM190" s="406"/>
      <c r="AN190" s="406"/>
      <c r="AO190" s="406"/>
      <c r="AP190" s="406"/>
      <c r="AQ190" s="403"/>
      <c r="AR190" s="403"/>
      <c r="AS190" s="403"/>
      <c r="AT190" s="403"/>
      <c r="AU190" s="403"/>
      <c r="AV190" s="403"/>
      <c r="AW190" s="403"/>
      <c r="AX190" s="403"/>
      <c r="AY190" s="403"/>
    </row>
    <row r="191">
      <c r="A191" s="415"/>
      <c r="B191" s="415"/>
      <c r="C191" s="410"/>
      <c r="D191" s="429"/>
      <c r="E191" s="416"/>
      <c r="F191" s="413"/>
      <c r="G191" s="413"/>
      <c r="H191" s="415"/>
      <c r="I191" s="415"/>
      <c r="J191" s="415"/>
      <c r="K191" s="415"/>
      <c r="L191" s="417"/>
      <c r="M191" s="403"/>
      <c r="N191" s="403"/>
      <c r="O191" s="403"/>
      <c r="P191" s="403"/>
      <c r="Q191" s="403"/>
      <c r="R191" s="403"/>
      <c r="S191" s="403"/>
      <c r="T191" s="403"/>
      <c r="U191" s="403"/>
      <c r="V191" s="403"/>
      <c r="W191" s="404"/>
      <c r="X191" s="405"/>
      <c r="Y191" s="405"/>
      <c r="Z191" s="405"/>
      <c r="AA191" s="405"/>
      <c r="AB191" s="405"/>
      <c r="AC191" s="405"/>
      <c r="AD191" s="405"/>
      <c r="AE191" s="405"/>
      <c r="AF191" s="405"/>
      <c r="AG191" s="405"/>
      <c r="AH191" s="405"/>
      <c r="AI191" s="405"/>
      <c r="AJ191" s="405"/>
      <c r="AK191" s="405"/>
      <c r="AL191" s="405"/>
      <c r="AM191" s="406"/>
      <c r="AN191" s="406"/>
      <c r="AO191" s="406"/>
      <c r="AP191" s="406"/>
      <c r="AQ191" s="403"/>
      <c r="AR191" s="403"/>
      <c r="AS191" s="403"/>
      <c r="AT191" s="403"/>
      <c r="AU191" s="403"/>
      <c r="AV191" s="403"/>
      <c r="AW191" s="403"/>
      <c r="AX191" s="403"/>
      <c r="AY191" s="403"/>
    </row>
    <row r="192">
      <c r="A192" s="415"/>
      <c r="B192" s="415"/>
      <c r="C192" s="410"/>
      <c r="D192" s="429"/>
      <c r="E192" s="416"/>
      <c r="F192" s="413"/>
      <c r="G192" s="413"/>
      <c r="H192" s="415"/>
      <c r="I192" s="415"/>
      <c r="J192" s="415"/>
      <c r="K192" s="415"/>
      <c r="L192" s="417"/>
      <c r="M192" s="403"/>
      <c r="N192" s="403"/>
      <c r="O192" s="403"/>
      <c r="P192" s="403"/>
      <c r="Q192" s="403"/>
      <c r="R192" s="403"/>
      <c r="S192" s="403"/>
      <c r="T192" s="403"/>
      <c r="U192" s="403"/>
      <c r="V192" s="403"/>
      <c r="W192" s="404"/>
      <c r="X192" s="405"/>
      <c r="Y192" s="405"/>
      <c r="Z192" s="405"/>
      <c r="AA192" s="405"/>
      <c r="AB192" s="405"/>
      <c r="AC192" s="405"/>
      <c r="AD192" s="405"/>
      <c r="AE192" s="405"/>
      <c r="AF192" s="405"/>
      <c r="AG192" s="405"/>
      <c r="AH192" s="405"/>
      <c r="AI192" s="405"/>
      <c r="AJ192" s="405"/>
      <c r="AK192" s="405"/>
      <c r="AL192" s="405"/>
      <c r="AM192" s="406"/>
      <c r="AN192" s="406"/>
      <c r="AO192" s="406"/>
      <c r="AP192" s="406"/>
      <c r="AQ192" s="403"/>
      <c r="AR192" s="403"/>
      <c r="AS192" s="403"/>
      <c r="AT192" s="403"/>
      <c r="AU192" s="403"/>
      <c r="AV192" s="403"/>
      <c r="AW192" s="403"/>
      <c r="AX192" s="403"/>
      <c r="AY192" s="403"/>
    </row>
    <row r="193">
      <c r="A193" s="415"/>
      <c r="B193" s="415"/>
      <c r="C193" s="410"/>
      <c r="D193" s="429"/>
      <c r="E193" s="416"/>
      <c r="F193" s="413"/>
      <c r="G193" s="413"/>
      <c r="H193" s="415"/>
      <c r="I193" s="415"/>
      <c r="J193" s="415"/>
      <c r="K193" s="415"/>
      <c r="L193" s="417"/>
      <c r="M193" s="403"/>
      <c r="N193" s="403"/>
      <c r="O193" s="403"/>
      <c r="P193" s="403"/>
      <c r="Q193" s="403"/>
      <c r="R193" s="403"/>
      <c r="S193" s="403"/>
      <c r="T193" s="403"/>
      <c r="U193" s="403"/>
      <c r="V193" s="403"/>
      <c r="W193" s="404"/>
      <c r="X193" s="405"/>
      <c r="Y193" s="405"/>
      <c r="Z193" s="405"/>
      <c r="AA193" s="405"/>
      <c r="AB193" s="405"/>
      <c r="AC193" s="405"/>
      <c r="AD193" s="405"/>
      <c r="AE193" s="405"/>
      <c r="AF193" s="405"/>
      <c r="AG193" s="405"/>
      <c r="AH193" s="405"/>
      <c r="AI193" s="405"/>
      <c r="AJ193" s="405"/>
      <c r="AK193" s="405"/>
      <c r="AL193" s="405"/>
      <c r="AM193" s="406"/>
      <c r="AN193" s="406"/>
      <c r="AO193" s="406"/>
      <c r="AP193" s="406"/>
      <c r="AQ193" s="403"/>
      <c r="AR193" s="403"/>
      <c r="AS193" s="403"/>
      <c r="AT193" s="403"/>
      <c r="AU193" s="403"/>
      <c r="AV193" s="403"/>
      <c r="AW193" s="403"/>
      <c r="AX193" s="403"/>
      <c r="AY193" s="403"/>
    </row>
    <row r="194">
      <c r="A194" s="415"/>
      <c r="B194" s="415"/>
      <c r="C194" s="410"/>
      <c r="D194" s="429"/>
      <c r="E194" s="416"/>
      <c r="F194" s="413"/>
      <c r="G194" s="413"/>
      <c r="H194" s="415"/>
      <c r="I194" s="415"/>
      <c r="J194" s="415"/>
      <c r="K194" s="415"/>
      <c r="L194" s="417"/>
      <c r="M194" s="403"/>
      <c r="N194" s="403"/>
      <c r="O194" s="403"/>
      <c r="P194" s="403"/>
      <c r="Q194" s="403"/>
      <c r="R194" s="403"/>
      <c r="S194" s="403"/>
      <c r="T194" s="403"/>
      <c r="U194" s="403"/>
      <c r="V194" s="403"/>
      <c r="W194" s="404"/>
      <c r="X194" s="405"/>
      <c r="Y194" s="405"/>
      <c r="Z194" s="405"/>
      <c r="AA194" s="405"/>
      <c r="AB194" s="405"/>
      <c r="AC194" s="405"/>
      <c r="AD194" s="405"/>
      <c r="AE194" s="405"/>
      <c r="AF194" s="405"/>
      <c r="AG194" s="405"/>
      <c r="AH194" s="405"/>
      <c r="AI194" s="405"/>
      <c r="AJ194" s="405"/>
      <c r="AK194" s="405"/>
      <c r="AL194" s="405"/>
      <c r="AM194" s="406"/>
      <c r="AN194" s="406"/>
      <c r="AO194" s="406"/>
      <c r="AP194" s="406"/>
      <c r="AQ194" s="403"/>
      <c r="AR194" s="403"/>
      <c r="AS194" s="403"/>
      <c r="AT194" s="403"/>
      <c r="AU194" s="403"/>
      <c r="AV194" s="403"/>
      <c r="AW194" s="403"/>
      <c r="AX194" s="403"/>
      <c r="AY194" s="403"/>
    </row>
    <row r="195">
      <c r="A195" s="415"/>
      <c r="B195" s="415"/>
      <c r="C195" s="410"/>
      <c r="D195" s="429"/>
      <c r="E195" s="416"/>
      <c r="F195" s="413"/>
      <c r="G195" s="413"/>
      <c r="H195" s="415"/>
      <c r="I195" s="415"/>
      <c r="J195" s="415"/>
      <c r="K195" s="415"/>
      <c r="L195" s="417"/>
      <c r="M195" s="403"/>
      <c r="N195" s="403"/>
      <c r="O195" s="403"/>
      <c r="P195" s="403"/>
      <c r="Q195" s="403"/>
      <c r="R195" s="403"/>
      <c r="S195" s="403"/>
      <c r="T195" s="403"/>
      <c r="U195" s="403"/>
      <c r="V195" s="403"/>
      <c r="W195" s="404"/>
      <c r="X195" s="405"/>
      <c r="Y195" s="405"/>
      <c r="Z195" s="405"/>
      <c r="AA195" s="405"/>
      <c r="AB195" s="405"/>
      <c r="AC195" s="405"/>
      <c r="AD195" s="405"/>
      <c r="AE195" s="405"/>
      <c r="AF195" s="405"/>
      <c r="AG195" s="405"/>
      <c r="AH195" s="405"/>
      <c r="AI195" s="405"/>
      <c r="AJ195" s="405"/>
      <c r="AK195" s="405"/>
      <c r="AL195" s="405"/>
      <c r="AM195" s="406"/>
      <c r="AN195" s="406"/>
      <c r="AO195" s="406"/>
      <c r="AP195" s="406"/>
      <c r="AQ195" s="403"/>
      <c r="AR195" s="403"/>
      <c r="AS195" s="403"/>
      <c r="AT195" s="403"/>
      <c r="AU195" s="403"/>
      <c r="AV195" s="403"/>
      <c r="AW195" s="403"/>
      <c r="AX195" s="403"/>
      <c r="AY195" s="403"/>
    </row>
    <row r="196">
      <c r="A196" s="415"/>
      <c r="B196" s="415"/>
      <c r="C196" s="410"/>
      <c r="D196" s="429"/>
      <c r="E196" s="416"/>
      <c r="F196" s="413"/>
      <c r="G196" s="413"/>
      <c r="H196" s="415"/>
      <c r="I196" s="415"/>
      <c r="J196" s="415"/>
      <c r="K196" s="415"/>
      <c r="L196" s="417"/>
      <c r="M196" s="403"/>
      <c r="N196" s="403"/>
      <c r="O196" s="403"/>
      <c r="P196" s="403"/>
      <c r="Q196" s="403"/>
      <c r="R196" s="403"/>
      <c r="S196" s="403"/>
      <c r="T196" s="403"/>
      <c r="U196" s="403"/>
      <c r="V196" s="403"/>
      <c r="W196" s="404"/>
      <c r="X196" s="405"/>
      <c r="Y196" s="405"/>
      <c r="Z196" s="405"/>
      <c r="AA196" s="405"/>
      <c r="AB196" s="405"/>
      <c r="AC196" s="405"/>
      <c r="AD196" s="405"/>
      <c r="AE196" s="405"/>
      <c r="AF196" s="405"/>
      <c r="AG196" s="405"/>
      <c r="AH196" s="405"/>
      <c r="AI196" s="405"/>
      <c r="AJ196" s="405"/>
      <c r="AK196" s="405"/>
      <c r="AL196" s="405"/>
      <c r="AM196" s="406"/>
      <c r="AN196" s="406"/>
      <c r="AO196" s="406"/>
      <c r="AP196" s="406"/>
      <c r="AQ196" s="403"/>
      <c r="AR196" s="403"/>
      <c r="AS196" s="403"/>
      <c r="AT196" s="403"/>
      <c r="AU196" s="403"/>
      <c r="AV196" s="403"/>
      <c r="AW196" s="403"/>
      <c r="AX196" s="403"/>
      <c r="AY196" s="403"/>
    </row>
    <row r="197">
      <c r="A197" s="415"/>
      <c r="B197" s="415"/>
      <c r="C197" s="410"/>
      <c r="D197" s="429"/>
      <c r="E197" s="416"/>
      <c r="F197" s="413"/>
      <c r="G197" s="413"/>
      <c r="H197" s="415"/>
      <c r="I197" s="415"/>
      <c r="J197" s="415"/>
      <c r="K197" s="415"/>
      <c r="L197" s="417"/>
      <c r="M197" s="403"/>
      <c r="N197" s="403"/>
      <c r="O197" s="403"/>
      <c r="P197" s="403"/>
      <c r="Q197" s="403"/>
      <c r="R197" s="403"/>
      <c r="S197" s="403"/>
      <c r="T197" s="403"/>
      <c r="U197" s="403"/>
      <c r="V197" s="403"/>
      <c r="W197" s="404"/>
      <c r="X197" s="405"/>
      <c r="Y197" s="405"/>
      <c r="Z197" s="405"/>
      <c r="AA197" s="405"/>
      <c r="AB197" s="405"/>
      <c r="AC197" s="405"/>
      <c r="AD197" s="405"/>
      <c r="AE197" s="405"/>
      <c r="AF197" s="405"/>
      <c r="AG197" s="405"/>
      <c r="AH197" s="405"/>
      <c r="AI197" s="405"/>
      <c r="AJ197" s="405"/>
      <c r="AK197" s="405"/>
      <c r="AL197" s="405"/>
      <c r="AM197" s="406"/>
      <c r="AN197" s="406"/>
      <c r="AO197" s="406"/>
      <c r="AP197" s="406"/>
      <c r="AQ197" s="403"/>
      <c r="AR197" s="403"/>
      <c r="AS197" s="403"/>
      <c r="AT197" s="403"/>
      <c r="AU197" s="403"/>
      <c r="AV197" s="403"/>
      <c r="AW197" s="403"/>
      <c r="AX197" s="403"/>
      <c r="AY197" s="403"/>
    </row>
    <row r="198">
      <c r="A198" s="415"/>
      <c r="B198" s="415"/>
      <c r="C198" s="410"/>
      <c r="D198" s="429"/>
      <c r="E198" s="416"/>
      <c r="F198" s="413"/>
      <c r="G198" s="413"/>
      <c r="H198" s="415"/>
      <c r="I198" s="415"/>
      <c r="J198" s="415"/>
      <c r="K198" s="415"/>
      <c r="L198" s="417"/>
      <c r="M198" s="403"/>
      <c r="N198" s="403"/>
      <c r="O198" s="403"/>
      <c r="P198" s="403"/>
      <c r="Q198" s="403"/>
      <c r="R198" s="403"/>
      <c r="S198" s="403"/>
      <c r="T198" s="403"/>
      <c r="U198" s="403"/>
      <c r="V198" s="403"/>
      <c r="W198" s="404"/>
      <c r="X198" s="405"/>
      <c r="Y198" s="405"/>
      <c r="Z198" s="405"/>
      <c r="AA198" s="405"/>
      <c r="AB198" s="405"/>
      <c r="AC198" s="405"/>
      <c r="AD198" s="405"/>
      <c r="AE198" s="405"/>
      <c r="AF198" s="405"/>
      <c r="AG198" s="405"/>
      <c r="AH198" s="405"/>
      <c r="AI198" s="405"/>
      <c r="AJ198" s="405"/>
      <c r="AK198" s="405"/>
      <c r="AL198" s="405"/>
      <c r="AM198" s="406"/>
      <c r="AN198" s="406"/>
      <c r="AO198" s="406"/>
      <c r="AP198" s="406"/>
      <c r="AQ198" s="403"/>
      <c r="AR198" s="403"/>
      <c r="AS198" s="403"/>
      <c r="AT198" s="403"/>
      <c r="AU198" s="403"/>
      <c r="AV198" s="403"/>
      <c r="AW198" s="403"/>
      <c r="AX198" s="403"/>
      <c r="AY198" s="403"/>
    </row>
    <row r="199">
      <c r="A199" s="415"/>
      <c r="B199" s="415"/>
      <c r="C199" s="410"/>
      <c r="D199" s="429"/>
      <c r="E199" s="416"/>
      <c r="F199" s="413"/>
      <c r="G199" s="413"/>
      <c r="H199" s="415"/>
      <c r="I199" s="415"/>
      <c r="J199" s="415"/>
      <c r="K199" s="415"/>
      <c r="L199" s="417"/>
      <c r="M199" s="403"/>
      <c r="N199" s="403"/>
      <c r="O199" s="403"/>
      <c r="P199" s="403"/>
      <c r="Q199" s="403"/>
      <c r="R199" s="403"/>
      <c r="S199" s="403"/>
      <c r="T199" s="403"/>
      <c r="U199" s="403"/>
      <c r="V199" s="403"/>
      <c r="W199" s="404"/>
      <c r="X199" s="405"/>
      <c r="Y199" s="405"/>
      <c r="Z199" s="405"/>
      <c r="AA199" s="405"/>
      <c r="AB199" s="405"/>
      <c r="AC199" s="405"/>
      <c r="AD199" s="405"/>
      <c r="AE199" s="405"/>
      <c r="AF199" s="405"/>
      <c r="AG199" s="405"/>
      <c r="AH199" s="405"/>
      <c r="AI199" s="405"/>
      <c r="AJ199" s="405"/>
      <c r="AK199" s="405"/>
      <c r="AL199" s="405"/>
      <c r="AM199" s="406"/>
      <c r="AN199" s="406"/>
      <c r="AO199" s="406"/>
      <c r="AP199" s="406"/>
      <c r="AQ199" s="403"/>
      <c r="AR199" s="403"/>
      <c r="AS199" s="403"/>
      <c r="AT199" s="403"/>
      <c r="AU199" s="403"/>
      <c r="AV199" s="403"/>
      <c r="AW199" s="403"/>
      <c r="AX199" s="403"/>
      <c r="AY199" s="403"/>
    </row>
    <row r="200">
      <c r="A200" s="415"/>
      <c r="B200" s="415"/>
      <c r="C200" s="410"/>
      <c r="D200" s="429"/>
      <c r="E200" s="416"/>
      <c r="F200" s="413"/>
      <c r="G200" s="413"/>
      <c r="H200" s="415"/>
      <c r="I200" s="415"/>
      <c r="J200" s="415"/>
      <c r="K200" s="415"/>
      <c r="L200" s="417"/>
      <c r="M200" s="403"/>
      <c r="N200" s="403"/>
      <c r="O200" s="403"/>
      <c r="P200" s="403"/>
      <c r="Q200" s="403"/>
      <c r="R200" s="403"/>
      <c r="S200" s="403"/>
      <c r="T200" s="403"/>
      <c r="U200" s="403"/>
      <c r="V200" s="403"/>
      <c r="W200" s="404"/>
      <c r="X200" s="405"/>
      <c r="Y200" s="405"/>
      <c r="Z200" s="405"/>
      <c r="AA200" s="405"/>
      <c r="AB200" s="405"/>
      <c r="AC200" s="405"/>
      <c r="AD200" s="405"/>
      <c r="AE200" s="405"/>
      <c r="AF200" s="405"/>
      <c r="AG200" s="405"/>
      <c r="AH200" s="405"/>
      <c r="AI200" s="405"/>
      <c r="AJ200" s="405"/>
      <c r="AK200" s="405"/>
      <c r="AL200" s="405"/>
      <c r="AM200" s="406"/>
      <c r="AN200" s="406"/>
      <c r="AO200" s="406"/>
      <c r="AP200" s="406"/>
      <c r="AQ200" s="403"/>
      <c r="AR200" s="403"/>
      <c r="AS200" s="403"/>
      <c r="AT200" s="403"/>
      <c r="AU200" s="403"/>
      <c r="AV200" s="403"/>
      <c r="AW200" s="403"/>
      <c r="AX200" s="403"/>
      <c r="AY200" s="403"/>
    </row>
    <row r="201">
      <c r="A201" s="415"/>
      <c r="B201" s="415"/>
      <c r="C201" s="410"/>
      <c r="D201" s="429"/>
      <c r="E201" s="416"/>
      <c r="F201" s="413"/>
      <c r="G201" s="413"/>
      <c r="H201" s="415"/>
      <c r="I201" s="415"/>
      <c r="J201" s="415"/>
      <c r="K201" s="415"/>
      <c r="L201" s="417"/>
      <c r="M201" s="403"/>
      <c r="N201" s="403"/>
      <c r="O201" s="403"/>
      <c r="P201" s="403"/>
      <c r="Q201" s="403"/>
      <c r="R201" s="403"/>
      <c r="S201" s="403"/>
      <c r="T201" s="403"/>
      <c r="U201" s="403"/>
      <c r="V201" s="403"/>
      <c r="W201" s="404"/>
      <c r="X201" s="405"/>
      <c r="Y201" s="405"/>
      <c r="Z201" s="405"/>
      <c r="AA201" s="405"/>
      <c r="AB201" s="405"/>
      <c r="AC201" s="405"/>
      <c r="AD201" s="405"/>
      <c r="AE201" s="405"/>
      <c r="AF201" s="405"/>
      <c r="AG201" s="405"/>
      <c r="AH201" s="405"/>
      <c r="AI201" s="405"/>
      <c r="AJ201" s="405"/>
      <c r="AK201" s="405"/>
      <c r="AL201" s="405"/>
      <c r="AM201" s="406"/>
      <c r="AN201" s="406"/>
      <c r="AO201" s="406"/>
      <c r="AP201" s="406"/>
      <c r="AQ201" s="403"/>
      <c r="AR201" s="403"/>
      <c r="AS201" s="403"/>
      <c r="AT201" s="403"/>
      <c r="AU201" s="403"/>
      <c r="AV201" s="403"/>
      <c r="AW201" s="403"/>
      <c r="AX201" s="403"/>
      <c r="AY201" s="403"/>
    </row>
    <row r="202">
      <c r="A202" s="415"/>
      <c r="B202" s="415"/>
      <c r="C202" s="410"/>
      <c r="D202" s="429"/>
      <c r="E202" s="416"/>
      <c r="F202" s="413"/>
      <c r="G202" s="413"/>
      <c r="H202" s="415"/>
      <c r="I202" s="415"/>
      <c r="J202" s="415"/>
      <c r="K202" s="415"/>
      <c r="L202" s="417"/>
      <c r="M202" s="403"/>
      <c r="N202" s="403"/>
      <c r="O202" s="403"/>
      <c r="P202" s="403"/>
      <c r="Q202" s="403"/>
      <c r="R202" s="403"/>
      <c r="S202" s="403"/>
      <c r="T202" s="403"/>
      <c r="U202" s="403"/>
      <c r="V202" s="403"/>
      <c r="W202" s="404"/>
      <c r="X202" s="405"/>
      <c r="Y202" s="405"/>
      <c r="Z202" s="405"/>
      <c r="AA202" s="405"/>
      <c r="AB202" s="405"/>
      <c r="AC202" s="405"/>
      <c r="AD202" s="405"/>
      <c r="AE202" s="405"/>
      <c r="AF202" s="405"/>
      <c r="AG202" s="405"/>
      <c r="AH202" s="405"/>
      <c r="AI202" s="405"/>
      <c r="AJ202" s="405"/>
      <c r="AK202" s="405"/>
      <c r="AL202" s="405"/>
      <c r="AM202" s="406"/>
      <c r="AN202" s="406"/>
      <c r="AO202" s="406"/>
      <c r="AP202" s="406"/>
      <c r="AQ202" s="403"/>
      <c r="AR202" s="403"/>
      <c r="AS202" s="403"/>
      <c r="AT202" s="403"/>
      <c r="AU202" s="403"/>
      <c r="AV202" s="403"/>
      <c r="AW202" s="403"/>
      <c r="AX202" s="403"/>
      <c r="AY202" s="403"/>
    </row>
    <row r="203">
      <c r="A203" s="415"/>
      <c r="B203" s="415"/>
      <c r="C203" s="410"/>
      <c r="D203" s="429"/>
      <c r="E203" s="416"/>
      <c r="F203" s="413"/>
      <c r="G203" s="413"/>
      <c r="H203" s="415"/>
      <c r="I203" s="415"/>
      <c r="J203" s="415"/>
      <c r="K203" s="415"/>
      <c r="L203" s="417"/>
      <c r="M203" s="403"/>
      <c r="N203" s="403"/>
      <c r="O203" s="403"/>
      <c r="P203" s="403"/>
      <c r="Q203" s="403"/>
      <c r="R203" s="403"/>
      <c r="S203" s="403"/>
      <c r="T203" s="403"/>
      <c r="U203" s="403"/>
      <c r="V203" s="403"/>
      <c r="W203" s="404"/>
      <c r="X203" s="405"/>
      <c r="Y203" s="405"/>
      <c r="Z203" s="405"/>
      <c r="AA203" s="405"/>
      <c r="AB203" s="405"/>
      <c r="AC203" s="405"/>
      <c r="AD203" s="405"/>
      <c r="AE203" s="405"/>
      <c r="AF203" s="405"/>
      <c r="AG203" s="405"/>
      <c r="AH203" s="405"/>
      <c r="AI203" s="405"/>
      <c r="AJ203" s="405"/>
      <c r="AK203" s="405"/>
      <c r="AL203" s="405"/>
      <c r="AM203" s="406"/>
      <c r="AN203" s="406"/>
      <c r="AO203" s="406"/>
      <c r="AP203" s="406"/>
      <c r="AQ203" s="403"/>
      <c r="AR203" s="403"/>
      <c r="AS203" s="403"/>
      <c r="AT203" s="403"/>
      <c r="AU203" s="403"/>
      <c r="AV203" s="403"/>
      <c r="AW203" s="403"/>
      <c r="AX203" s="403"/>
      <c r="AY203" s="403"/>
    </row>
    <row r="204">
      <c r="A204" s="415"/>
      <c r="B204" s="415"/>
      <c r="C204" s="410"/>
      <c r="D204" s="429"/>
      <c r="E204" s="416"/>
      <c r="F204" s="413"/>
      <c r="G204" s="413"/>
      <c r="H204" s="415"/>
      <c r="I204" s="415"/>
      <c r="J204" s="415"/>
      <c r="K204" s="415"/>
      <c r="L204" s="417"/>
      <c r="M204" s="403"/>
      <c r="N204" s="403"/>
      <c r="O204" s="403"/>
      <c r="P204" s="403"/>
      <c r="Q204" s="403"/>
      <c r="R204" s="403"/>
      <c r="S204" s="403"/>
      <c r="T204" s="403"/>
      <c r="U204" s="403"/>
      <c r="V204" s="403"/>
      <c r="W204" s="404"/>
      <c r="X204" s="405"/>
      <c r="Y204" s="405"/>
      <c r="Z204" s="405"/>
      <c r="AA204" s="405"/>
      <c r="AB204" s="405"/>
      <c r="AC204" s="405"/>
      <c r="AD204" s="405"/>
      <c r="AE204" s="405"/>
      <c r="AF204" s="405"/>
      <c r="AG204" s="405"/>
      <c r="AH204" s="405"/>
      <c r="AI204" s="405"/>
      <c r="AJ204" s="405"/>
      <c r="AK204" s="405"/>
      <c r="AL204" s="405"/>
      <c r="AM204" s="406"/>
      <c r="AN204" s="406"/>
      <c r="AO204" s="406"/>
      <c r="AP204" s="406"/>
      <c r="AQ204" s="403"/>
      <c r="AR204" s="403"/>
      <c r="AS204" s="403"/>
      <c r="AT204" s="403"/>
      <c r="AU204" s="403"/>
      <c r="AV204" s="403"/>
      <c r="AW204" s="403"/>
      <c r="AX204" s="403"/>
      <c r="AY204" s="403"/>
    </row>
    <row r="205">
      <c r="A205" s="415"/>
      <c r="B205" s="415"/>
      <c r="C205" s="410"/>
      <c r="D205" s="429"/>
      <c r="E205" s="416"/>
      <c r="F205" s="413"/>
      <c r="G205" s="413"/>
      <c r="H205" s="415"/>
      <c r="I205" s="415"/>
      <c r="J205" s="415"/>
      <c r="K205" s="415"/>
      <c r="L205" s="417"/>
      <c r="M205" s="403"/>
      <c r="N205" s="403"/>
      <c r="O205" s="403"/>
      <c r="P205" s="403"/>
      <c r="Q205" s="403"/>
      <c r="R205" s="403"/>
      <c r="S205" s="403"/>
      <c r="T205" s="403"/>
      <c r="U205" s="403"/>
      <c r="V205" s="403"/>
      <c r="W205" s="404"/>
      <c r="X205" s="405"/>
      <c r="Y205" s="405"/>
      <c r="Z205" s="405"/>
      <c r="AA205" s="405"/>
      <c r="AB205" s="405"/>
      <c r="AC205" s="405"/>
      <c r="AD205" s="405"/>
      <c r="AE205" s="405"/>
      <c r="AF205" s="405"/>
      <c r="AG205" s="405"/>
      <c r="AH205" s="405"/>
      <c r="AI205" s="405"/>
      <c r="AJ205" s="405"/>
      <c r="AK205" s="405"/>
      <c r="AL205" s="405"/>
      <c r="AM205" s="406"/>
      <c r="AN205" s="406"/>
      <c r="AO205" s="406"/>
      <c r="AP205" s="406"/>
      <c r="AQ205" s="403"/>
      <c r="AR205" s="403"/>
      <c r="AS205" s="403"/>
      <c r="AT205" s="403"/>
      <c r="AU205" s="403"/>
      <c r="AV205" s="403"/>
      <c r="AW205" s="403"/>
      <c r="AX205" s="403"/>
      <c r="AY205" s="403"/>
    </row>
    <row r="206">
      <c r="A206" s="415"/>
      <c r="B206" s="415"/>
      <c r="C206" s="410"/>
      <c r="D206" s="429"/>
      <c r="E206" s="416"/>
      <c r="F206" s="413"/>
      <c r="G206" s="413"/>
      <c r="H206" s="415"/>
      <c r="I206" s="415"/>
      <c r="J206" s="415"/>
      <c r="K206" s="415"/>
      <c r="L206" s="417"/>
      <c r="M206" s="403"/>
      <c r="N206" s="403"/>
      <c r="O206" s="403"/>
      <c r="P206" s="403"/>
      <c r="Q206" s="403"/>
      <c r="R206" s="403"/>
      <c r="S206" s="403"/>
      <c r="T206" s="403"/>
      <c r="U206" s="403"/>
      <c r="V206" s="403"/>
      <c r="W206" s="404"/>
      <c r="X206" s="405"/>
      <c r="Y206" s="405"/>
      <c r="Z206" s="405"/>
      <c r="AA206" s="405"/>
      <c r="AB206" s="405"/>
      <c r="AC206" s="405"/>
      <c r="AD206" s="405"/>
      <c r="AE206" s="405"/>
      <c r="AF206" s="405"/>
      <c r="AG206" s="405"/>
      <c r="AH206" s="405"/>
      <c r="AI206" s="405"/>
      <c r="AJ206" s="405"/>
      <c r="AK206" s="405"/>
      <c r="AL206" s="405"/>
      <c r="AM206" s="406"/>
      <c r="AN206" s="406"/>
      <c r="AO206" s="406"/>
      <c r="AP206" s="406"/>
      <c r="AQ206" s="403"/>
      <c r="AR206" s="403"/>
      <c r="AS206" s="403"/>
      <c r="AT206" s="403"/>
      <c r="AU206" s="403"/>
      <c r="AV206" s="403"/>
      <c r="AW206" s="403"/>
      <c r="AX206" s="403"/>
      <c r="AY206" s="403"/>
    </row>
    <row r="207">
      <c r="A207" s="415"/>
      <c r="B207" s="415"/>
      <c r="C207" s="410"/>
      <c r="D207" s="429"/>
      <c r="E207" s="416"/>
      <c r="F207" s="413"/>
      <c r="G207" s="413"/>
      <c r="H207" s="415"/>
      <c r="I207" s="415"/>
      <c r="J207" s="415"/>
      <c r="K207" s="415"/>
      <c r="L207" s="417"/>
      <c r="M207" s="403"/>
      <c r="N207" s="403"/>
      <c r="O207" s="403"/>
      <c r="P207" s="403"/>
      <c r="Q207" s="403"/>
      <c r="R207" s="403"/>
      <c r="S207" s="403"/>
      <c r="T207" s="403"/>
      <c r="U207" s="403"/>
      <c r="V207" s="403"/>
      <c r="W207" s="404"/>
      <c r="X207" s="405"/>
      <c r="Y207" s="405"/>
      <c r="Z207" s="405"/>
      <c r="AA207" s="405"/>
      <c r="AB207" s="405"/>
      <c r="AC207" s="405"/>
      <c r="AD207" s="405"/>
      <c r="AE207" s="405"/>
      <c r="AF207" s="405"/>
      <c r="AG207" s="405"/>
      <c r="AH207" s="405"/>
      <c r="AI207" s="405"/>
      <c r="AJ207" s="405"/>
      <c r="AK207" s="405"/>
      <c r="AL207" s="405"/>
      <c r="AM207" s="406"/>
      <c r="AN207" s="406"/>
      <c r="AO207" s="406"/>
      <c r="AP207" s="406"/>
      <c r="AQ207" s="403"/>
      <c r="AR207" s="403"/>
      <c r="AS207" s="403"/>
      <c r="AT207" s="403"/>
      <c r="AU207" s="403"/>
      <c r="AV207" s="403"/>
      <c r="AW207" s="403"/>
      <c r="AX207" s="403"/>
      <c r="AY207" s="403"/>
    </row>
    <row r="208">
      <c r="A208" s="415"/>
      <c r="B208" s="415"/>
      <c r="C208" s="410"/>
      <c r="D208" s="429"/>
      <c r="E208" s="416"/>
      <c r="F208" s="413"/>
      <c r="G208" s="413"/>
      <c r="H208" s="415"/>
      <c r="I208" s="415"/>
      <c r="J208" s="415"/>
      <c r="K208" s="415"/>
      <c r="L208" s="417"/>
      <c r="M208" s="403"/>
      <c r="N208" s="403"/>
      <c r="O208" s="403"/>
      <c r="P208" s="403"/>
      <c r="Q208" s="403"/>
      <c r="R208" s="403"/>
      <c r="S208" s="403"/>
      <c r="T208" s="403"/>
      <c r="U208" s="403"/>
      <c r="V208" s="403"/>
      <c r="W208" s="404"/>
      <c r="X208" s="405"/>
      <c r="Y208" s="405"/>
      <c r="Z208" s="405"/>
      <c r="AA208" s="405"/>
      <c r="AB208" s="405"/>
      <c r="AC208" s="405"/>
      <c r="AD208" s="405"/>
      <c r="AE208" s="405"/>
      <c r="AF208" s="405"/>
      <c r="AG208" s="405"/>
      <c r="AH208" s="405"/>
      <c r="AI208" s="405"/>
      <c r="AJ208" s="405"/>
      <c r="AK208" s="405"/>
      <c r="AL208" s="405"/>
      <c r="AM208" s="406"/>
      <c r="AN208" s="406"/>
      <c r="AO208" s="406"/>
      <c r="AP208" s="406"/>
      <c r="AQ208" s="403"/>
      <c r="AR208" s="403"/>
      <c r="AS208" s="403"/>
      <c r="AT208" s="403"/>
      <c r="AU208" s="403"/>
      <c r="AV208" s="403"/>
      <c r="AW208" s="403"/>
      <c r="AX208" s="403"/>
      <c r="AY208" s="403"/>
    </row>
    <row r="209">
      <c r="A209" s="415"/>
      <c r="B209" s="415"/>
      <c r="C209" s="410"/>
      <c r="D209" s="429"/>
      <c r="E209" s="416"/>
      <c r="F209" s="413"/>
      <c r="G209" s="413"/>
      <c r="H209" s="415"/>
      <c r="I209" s="415"/>
      <c r="J209" s="415"/>
      <c r="K209" s="415"/>
      <c r="L209" s="417"/>
      <c r="M209" s="403"/>
      <c r="N209" s="403"/>
      <c r="O209" s="403"/>
      <c r="P209" s="403"/>
      <c r="Q209" s="403"/>
      <c r="R209" s="403"/>
      <c r="S209" s="403"/>
      <c r="T209" s="403"/>
      <c r="U209" s="403"/>
      <c r="V209" s="403"/>
      <c r="W209" s="404"/>
      <c r="X209" s="405"/>
      <c r="Y209" s="405"/>
      <c r="Z209" s="405"/>
      <c r="AA209" s="405"/>
      <c r="AB209" s="405"/>
      <c r="AC209" s="405"/>
      <c r="AD209" s="405"/>
      <c r="AE209" s="405"/>
      <c r="AF209" s="405"/>
      <c r="AG209" s="405"/>
      <c r="AH209" s="405"/>
      <c r="AI209" s="405"/>
      <c r="AJ209" s="405"/>
      <c r="AK209" s="405"/>
      <c r="AL209" s="405"/>
      <c r="AM209" s="406"/>
      <c r="AN209" s="406"/>
      <c r="AO209" s="406"/>
      <c r="AP209" s="406"/>
      <c r="AQ209" s="403"/>
      <c r="AR209" s="403"/>
      <c r="AS209" s="403"/>
      <c r="AT209" s="403"/>
      <c r="AU209" s="403"/>
      <c r="AV209" s="403"/>
      <c r="AW209" s="403"/>
      <c r="AX209" s="403"/>
      <c r="AY209" s="403"/>
    </row>
    <row r="210">
      <c r="A210" s="415"/>
      <c r="B210" s="415"/>
      <c r="C210" s="410"/>
      <c r="D210" s="429"/>
      <c r="E210" s="416"/>
      <c r="F210" s="413"/>
      <c r="G210" s="413"/>
      <c r="H210" s="415"/>
      <c r="I210" s="415"/>
      <c r="J210" s="415"/>
      <c r="K210" s="415"/>
      <c r="L210" s="417"/>
      <c r="M210" s="403"/>
      <c r="N210" s="403"/>
      <c r="O210" s="403"/>
      <c r="P210" s="403"/>
      <c r="Q210" s="403"/>
      <c r="R210" s="403"/>
      <c r="S210" s="403"/>
      <c r="T210" s="403"/>
      <c r="U210" s="403"/>
      <c r="V210" s="403"/>
      <c r="W210" s="404"/>
      <c r="X210" s="405"/>
      <c r="Y210" s="405"/>
      <c r="Z210" s="405"/>
      <c r="AA210" s="405"/>
      <c r="AB210" s="405"/>
      <c r="AC210" s="405"/>
      <c r="AD210" s="405"/>
      <c r="AE210" s="405"/>
      <c r="AF210" s="405"/>
      <c r="AG210" s="405"/>
      <c r="AH210" s="405"/>
      <c r="AI210" s="405"/>
      <c r="AJ210" s="405"/>
      <c r="AK210" s="405"/>
      <c r="AL210" s="405"/>
      <c r="AM210" s="406"/>
      <c r="AN210" s="406"/>
      <c r="AO210" s="406"/>
      <c r="AP210" s="406"/>
      <c r="AQ210" s="403"/>
      <c r="AR210" s="403"/>
      <c r="AS210" s="403"/>
      <c r="AT210" s="403"/>
      <c r="AU210" s="403"/>
      <c r="AV210" s="403"/>
      <c r="AW210" s="403"/>
      <c r="AX210" s="403"/>
      <c r="AY210" s="403"/>
    </row>
    <row r="211">
      <c r="A211" s="415"/>
      <c r="B211" s="415"/>
      <c r="C211" s="410"/>
      <c r="D211" s="429"/>
      <c r="E211" s="416"/>
      <c r="F211" s="413"/>
      <c r="G211" s="413"/>
      <c r="H211" s="415"/>
      <c r="I211" s="415"/>
      <c r="J211" s="415"/>
      <c r="K211" s="415"/>
      <c r="L211" s="417"/>
      <c r="M211" s="403"/>
      <c r="N211" s="403"/>
      <c r="O211" s="403"/>
      <c r="P211" s="403"/>
      <c r="Q211" s="403"/>
      <c r="R211" s="403"/>
      <c r="S211" s="403"/>
      <c r="T211" s="403"/>
      <c r="U211" s="403"/>
      <c r="V211" s="403"/>
      <c r="W211" s="404"/>
      <c r="X211" s="405"/>
      <c r="Y211" s="405"/>
      <c r="Z211" s="405"/>
      <c r="AA211" s="405"/>
      <c r="AB211" s="405"/>
      <c r="AC211" s="405"/>
      <c r="AD211" s="405"/>
      <c r="AE211" s="405"/>
      <c r="AF211" s="405"/>
      <c r="AG211" s="405"/>
      <c r="AH211" s="405"/>
      <c r="AI211" s="405"/>
      <c r="AJ211" s="405"/>
      <c r="AK211" s="405"/>
      <c r="AL211" s="405"/>
      <c r="AM211" s="406"/>
      <c r="AN211" s="406"/>
      <c r="AO211" s="406"/>
      <c r="AP211" s="406"/>
      <c r="AQ211" s="403"/>
      <c r="AR211" s="403"/>
      <c r="AS211" s="403"/>
      <c r="AT211" s="403"/>
      <c r="AU211" s="403"/>
      <c r="AV211" s="403"/>
      <c r="AW211" s="403"/>
      <c r="AX211" s="403"/>
      <c r="AY211" s="403"/>
    </row>
    <row r="212">
      <c r="A212" s="415"/>
      <c r="B212" s="415"/>
      <c r="C212" s="410"/>
      <c r="D212" s="429"/>
      <c r="E212" s="416"/>
      <c r="F212" s="413"/>
      <c r="G212" s="413"/>
      <c r="H212" s="415"/>
      <c r="I212" s="415"/>
      <c r="J212" s="415"/>
      <c r="K212" s="415"/>
      <c r="L212" s="417"/>
      <c r="M212" s="403"/>
      <c r="N212" s="403"/>
      <c r="O212" s="403"/>
      <c r="P212" s="403"/>
      <c r="Q212" s="403"/>
      <c r="R212" s="403"/>
      <c r="S212" s="403"/>
      <c r="T212" s="403"/>
      <c r="U212" s="403"/>
      <c r="V212" s="403"/>
      <c r="W212" s="404"/>
      <c r="X212" s="405"/>
      <c r="Y212" s="405"/>
      <c r="Z212" s="405"/>
      <c r="AA212" s="405"/>
      <c r="AB212" s="405"/>
      <c r="AC212" s="405"/>
      <c r="AD212" s="405"/>
      <c r="AE212" s="405"/>
      <c r="AF212" s="405"/>
      <c r="AG212" s="405"/>
      <c r="AH212" s="405"/>
      <c r="AI212" s="405"/>
      <c r="AJ212" s="405"/>
      <c r="AK212" s="405"/>
      <c r="AL212" s="405"/>
      <c r="AM212" s="406"/>
      <c r="AN212" s="406"/>
      <c r="AO212" s="406"/>
      <c r="AP212" s="406"/>
      <c r="AQ212" s="403"/>
      <c r="AR212" s="403"/>
      <c r="AS212" s="403"/>
      <c r="AT212" s="403"/>
      <c r="AU212" s="403"/>
      <c r="AV212" s="403"/>
      <c r="AW212" s="403"/>
      <c r="AX212" s="403"/>
      <c r="AY212" s="403"/>
    </row>
    <row r="213">
      <c r="A213" s="415"/>
      <c r="B213" s="415"/>
      <c r="C213" s="410"/>
      <c r="D213" s="429"/>
      <c r="E213" s="416"/>
      <c r="F213" s="413"/>
      <c r="G213" s="413"/>
      <c r="H213" s="415"/>
      <c r="I213" s="415"/>
      <c r="J213" s="415"/>
      <c r="K213" s="415"/>
      <c r="L213" s="417"/>
      <c r="M213" s="403"/>
      <c r="N213" s="403"/>
      <c r="O213" s="403"/>
      <c r="P213" s="403"/>
      <c r="Q213" s="403"/>
      <c r="R213" s="403"/>
      <c r="S213" s="403"/>
      <c r="T213" s="403"/>
      <c r="U213" s="403"/>
      <c r="V213" s="403"/>
      <c r="W213" s="404"/>
      <c r="X213" s="405"/>
      <c r="Y213" s="405"/>
      <c r="Z213" s="405"/>
      <c r="AA213" s="405"/>
      <c r="AB213" s="405"/>
      <c r="AC213" s="405"/>
      <c r="AD213" s="405"/>
      <c r="AE213" s="405"/>
      <c r="AF213" s="405"/>
      <c r="AG213" s="405"/>
      <c r="AH213" s="405"/>
      <c r="AI213" s="405"/>
      <c r="AJ213" s="405"/>
      <c r="AK213" s="405"/>
      <c r="AL213" s="405"/>
      <c r="AM213" s="406"/>
      <c r="AN213" s="406"/>
      <c r="AO213" s="406"/>
      <c r="AP213" s="406"/>
      <c r="AQ213" s="403"/>
      <c r="AR213" s="403"/>
      <c r="AS213" s="403"/>
      <c r="AT213" s="403"/>
      <c r="AU213" s="403"/>
      <c r="AV213" s="403"/>
      <c r="AW213" s="403"/>
      <c r="AX213" s="403"/>
      <c r="AY213" s="403"/>
    </row>
    <row r="214">
      <c r="A214" s="415"/>
      <c r="B214" s="415"/>
      <c r="C214" s="410"/>
      <c r="D214" s="429"/>
      <c r="E214" s="416"/>
      <c r="F214" s="413"/>
      <c r="G214" s="413"/>
      <c r="H214" s="415"/>
      <c r="I214" s="415"/>
      <c r="J214" s="415"/>
      <c r="K214" s="415"/>
      <c r="L214" s="417"/>
      <c r="M214" s="403"/>
      <c r="N214" s="403"/>
      <c r="O214" s="403"/>
      <c r="P214" s="403"/>
      <c r="Q214" s="403"/>
      <c r="R214" s="403"/>
      <c r="S214" s="403"/>
      <c r="T214" s="403"/>
      <c r="U214" s="403"/>
      <c r="V214" s="403"/>
      <c r="W214" s="404"/>
      <c r="X214" s="405"/>
      <c r="Y214" s="405"/>
      <c r="Z214" s="405"/>
      <c r="AA214" s="405"/>
      <c r="AB214" s="405"/>
      <c r="AC214" s="405"/>
      <c r="AD214" s="405"/>
      <c r="AE214" s="405"/>
      <c r="AF214" s="405"/>
      <c r="AG214" s="405"/>
      <c r="AH214" s="405"/>
      <c r="AI214" s="405"/>
      <c r="AJ214" s="405"/>
      <c r="AK214" s="405"/>
      <c r="AL214" s="405"/>
      <c r="AM214" s="406"/>
      <c r="AN214" s="406"/>
      <c r="AO214" s="406"/>
      <c r="AP214" s="406"/>
      <c r="AQ214" s="403"/>
      <c r="AR214" s="403"/>
      <c r="AS214" s="403"/>
      <c r="AT214" s="403"/>
      <c r="AU214" s="403"/>
      <c r="AV214" s="403"/>
      <c r="AW214" s="403"/>
      <c r="AX214" s="403"/>
      <c r="AY214" s="403"/>
    </row>
    <row r="215">
      <c r="A215" s="415"/>
      <c r="B215" s="415"/>
      <c r="C215" s="410"/>
      <c r="D215" s="429"/>
      <c r="E215" s="416"/>
      <c r="F215" s="413"/>
      <c r="G215" s="413"/>
      <c r="H215" s="415"/>
      <c r="I215" s="415"/>
      <c r="J215" s="415"/>
      <c r="K215" s="415"/>
      <c r="L215" s="417"/>
      <c r="M215" s="403"/>
      <c r="N215" s="403"/>
      <c r="O215" s="403"/>
      <c r="P215" s="403"/>
      <c r="Q215" s="403"/>
      <c r="R215" s="403"/>
      <c r="S215" s="403"/>
      <c r="T215" s="403"/>
      <c r="U215" s="403"/>
      <c r="V215" s="403"/>
      <c r="W215" s="404"/>
      <c r="X215" s="405"/>
      <c r="Y215" s="405"/>
      <c r="Z215" s="405"/>
      <c r="AA215" s="405"/>
      <c r="AB215" s="405"/>
      <c r="AC215" s="405"/>
      <c r="AD215" s="405"/>
      <c r="AE215" s="405"/>
      <c r="AF215" s="405"/>
      <c r="AG215" s="405"/>
      <c r="AH215" s="405"/>
      <c r="AI215" s="405"/>
      <c r="AJ215" s="405"/>
      <c r="AK215" s="405"/>
      <c r="AL215" s="405"/>
      <c r="AM215" s="406"/>
      <c r="AN215" s="406"/>
      <c r="AO215" s="406"/>
      <c r="AP215" s="406"/>
      <c r="AQ215" s="403"/>
      <c r="AR215" s="403"/>
      <c r="AS215" s="403"/>
      <c r="AT215" s="403"/>
      <c r="AU215" s="403"/>
      <c r="AV215" s="403"/>
      <c r="AW215" s="403"/>
      <c r="AX215" s="403"/>
      <c r="AY215" s="403"/>
    </row>
    <row r="216">
      <c r="A216" s="415"/>
      <c r="B216" s="415"/>
      <c r="C216" s="410"/>
      <c r="D216" s="429"/>
      <c r="E216" s="416"/>
      <c r="F216" s="413"/>
      <c r="G216" s="413"/>
      <c r="H216" s="415"/>
      <c r="I216" s="415"/>
      <c r="J216" s="415"/>
      <c r="K216" s="415"/>
      <c r="L216" s="417"/>
      <c r="M216" s="403"/>
      <c r="N216" s="403"/>
      <c r="O216" s="403"/>
      <c r="P216" s="403"/>
      <c r="Q216" s="403"/>
      <c r="R216" s="403"/>
      <c r="S216" s="403"/>
      <c r="T216" s="403"/>
      <c r="U216" s="403"/>
      <c r="V216" s="403"/>
      <c r="W216" s="404"/>
      <c r="X216" s="405"/>
      <c r="Y216" s="405"/>
      <c r="Z216" s="405"/>
      <c r="AA216" s="405"/>
      <c r="AB216" s="405"/>
      <c r="AC216" s="405"/>
      <c r="AD216" s="405"/>
      <c r="AE216" s="405"/>
      <c r="AF216" s="405"/>
      <c r="AG216" s="405"/>
      <c r="AH216" s="405"/>
      <c r="AI216" s="405"/>
      <c r="AJ216" s="405"/>
      <c r="AK216" s="405"/>
      <c r="AL216" s="405"/>
      <c r="AM216" s="406"/>
      <c r="AN216" s="406"/>
      <c r="AO216" s="406"/>
      <c r="AP216" s="406"/>
      <c r="AQ216" s="403"/>
      <c r="AR216" s="403"/>
      <c r="AS216" s="403"/>
      <c r="AT216" s="403"/>
      <c r="AU216" s="403"/>
      <c r="AV216" s="403"/>
      <c r="AW216" s="403"/>
      <c r="AX216" s="403"/>
      <c r="AY216" s="403"/>
    </row>
    <row r="217">
      <c r="A217" s="415"/>
      <c r="B217" s="415"/>
      <c r="C217" s="410"/>
      <c r="D217" s="429"/>
      <c r="E217" s="416"/>
      <c r="F217" s="413"/>
      <c r="G217" s="413"/>
      <c r="H217" s="415"/>
      <c r="I217" s="415"/>
      <c r="J217" s="415"/>
      <c r="K217" s="415"/>
      <c r="L217" s="417"/>
      <c r="M217" s="403"/>
      <c r="N217" s="403"/>
      <c r="O217" s="403"/>
      <c r="P217" s="403"/>
      <c r="Q217" s="403"/>
      <c r="R217" s="403"/>
      <c r="S217" s="403"/>
      <c r="T217" s="403"/>
      <c r="U217" s="403"/>
      <c r="V217" s="403"/>
      <c r="W217" s="404"/>
      <c r="X217" s="405"/>
      <c r="Y217" s="405"/>
      <c r="Z217" s="405"/>
      <c r="AA217" s="405"/>
      <c r="AB217" s="405"/>
      <c r="AC217" s="405"/>
      <c r="AD217" s="405"/>
      <c r="AE217" s="405"/>
      <c r="AF217" s="405"/>
      <c r="AG217" s="405"/>
      <c r="AH217" s="405"/>
      <c r="AI217" s="405"/>
      <c r="AJ217" s="405"/>
      <c r="AK217" s="405"/>
      <c r="AL217" s="405"/>
      <c r="AM217" s="406"/>
      <c r="AN217" s="406"/>
      <c r="AO217" s="406"/>
      <c r="AP217" s="406"/>
      <c r="AQ217" s="403"/>
      <c r="AR217" s="403"/>
      <c r="AS217" s="403"/>
      <c r="AT217" s="403"/>
      <c r="AU217" s="403"/>
      <c r="AV217" s="403"/>
      <c r="AW217" s="403"/>
      <c r="AX217" s="403"/>
      <c r="AY217" s="403"/>
    </row>
    <row r="218">
      <c r="A218" s="415"/>
      <c r="B218" s="415"/>
      <c r="C218" s="410"/>
      <c r="D218" s="429"/>
      <c r="E218" s="416"/>
      <c r="F218" s="413"/>
      <c r="G218" s="413"/>
      <c r="H218" s="415"/>
      <c r="I218" s="415"/>
      <c r="J218" s="415"/>
      <c r="K218" s="415"/>
      <c r="L218" s="417"/>
      <c r="M218" s="403"/>
      <c r="N218" s="403"/>
      <c r="O218" s="403"/>
      <c r="P218" s="403"/>
      <c r="Q218" s="403"/>
      <c r="R218" s="403"/>
      <c r="S218" s="403"/>
      <c r="T218" s="403"/>
      <c r="U218" s="403"/>
      <c r="V218" s="403"/>
      <c r="W218" s="404"/>
      <c r="X218" s="405"/>
      <c r="Y218" s="405"/>
      <c r="Z218" s="405"/>
      <c r="AA218" s="405"/>
      <c r="AB218" s="405"/>
      <c r="AC218" s="405"/>
      <c r="AD218" s="405"/>
      <c r="AE218" s="405"/>
      <c r="AF218" s="405"/>
      <c r="AG218" s="405"/>
      <c r="AH218" s="405"/>
      <c r="AI218" s="405"/>
      <c r="AJ218" s="405"/>
      <c r="AK218" s="405"/>
      <c r="AL218" s="405"/>
      <c r="AM218" s="406"/>
      <c r="AN218" s="406"/>
      <c r="AO218" s="406"/>
      <c r="AP218" s="406"/>
      <c r="AQ218" s="403"/>
      <c r="AR218" s="403"/>
      <c r="AS218" s="403"/>
      <c r="AT218" s="403"/>
      <c r="AU218" s="403"/>
      <c r="AV218" s="403"/>
      <c r="AW218" s="403"/>
      <c r="AX218" s="403"/>
      <c r="AY218" s="403"/>
    </row>
    <row r="219">
      <c r="A219" s="415"/>
      <c r="B219" s="415"/>
      <c r="C219" s="410"/>
      <c r="D219" s="429"/>
      <c r="E219" s="416"/>
      <c r="F219" s="413"/>
      <c r="G219" s="413"/>
      <c r="H219" s="415"/>
      <c r="I219" s="415"/>
      <c r="J219" s="415"/>
      <c r="K219" s="415"/>
      <c r="L219" s="417"/>
      <c r="M219" s="403"/>
      <c r="N219" s="403"/>
      <c r="O219" s="403"/>
      <c r="P219" s="403"/>
      <c r="Q219" s="403"/>
      <c r="R219" s="403"/>
      <c r="S219" s="403"/>
      <c r="T219" s="403"/>
      <c r="U219" s="403"/>
      <c r="V219" s="403"/>
      <c r="W219" s="404"/>
      <c r="X219" s="405"/>
      <c r="Y219" s="405"/>
      <c r="Z219" s="405"/>
      <c r="AA219" s="405"/>
      <c r="AB219" s="405"/>
      <c r="AC219" s="405"/>
      <c r="AD219" s="405"/>
      <c r="AE219" s="405"/>
      <c r="AF219" s="405"/>
      <c r="AG219" s="405"/>
      <c r="AH219" s="405"/>
      <c r="AI219" s="405"/>
      <c r="AJ219" s="405"/>
      <c r="AK219" s="405"/>
      <c r="AL219" s="405"/>
      <c r="AM219" s="406"/>
      <c r="AN219" s="406"/>
      <c r="AO219" s="406"/>
      <c r="AP219" s="406"/>
      <c r="AQ219" s="403"/>
      <c r="AR219" s="403"/>
      <c r="AS219" s="403"/>
      <c r="AT219" s="403"/>
      <c r="AU219" s="403"/>
      <c r="AV219" s="403"/>
      <c r="AW219" s="403"/>
      <c r="AX219" s="403"/>
      <c r="AY219" s="403"/>
    </row>
    <row r="220">
      <c r="A220" s="415"/>
      <c r="B220" s="415"/>
      <c r="C220" s="410"/>
      <c r="D220" s="429"/>
      <c r="E220" s="416"/>
      <c r="F220" s="413"/>
      <c r="G220" s="413"/>
      <c r="H220" s="415"/>
      <c r="I220" s="415"/>
      <c r="J220" s="415"/>
      <c r="K220" s="415"/>
      <c r="L220" s="417"/>
      <c r="M220" s="403"/>
      <c r="N220" s="403"/>
      <c r="O220" s="403"/>
      <c r="P220" s="403"/>
      <c r="Q220" s="403"/>
      <c r="R220" s="403"/>
      <c r="S220" s="403"/>
      <c r="T220" s="403"/>
      <c r="U220" s="403"/>
      <c r="V220" s="403"/>
      <c r="W220" s="404"/>
      <c r="X220" s="405"/>
      <c r="Y220" s="405"/>
      <c r="Z220" s="405"/>
      <c r="AA220" s="405"/>
      <c r="AB220" s="405"/>
      <c r="AC220" s="405"/>
      <c r="AD220" s="405"/>
      <c r="AE220" s="405"/>
      <c r="AF220" s="405"/>
      <c r="AG220" s="405"/>
      <c r="AH220" s="405"/>
      <c r="AI220" s="405"/>
      <c r="AJ220" s="405"/>
      <c r="AK220" s="405"/>
      <c r="AL220" s="405"/>
      <c r="AM220" s="406"/>
      <c r="AN220" s="406"/>
      <c r="AO220" s="406"/>
      <c r="AP220" s="406"/>
      <c r="AQ220" s="403"/>
      <c r="AR220" s="403"/>
      <c r="AS220" s="403"/>
      <c r="AT220" s="403"/>
      <c r="AU220" s="403"/>
      <c r="AV220" s="403"/>
      <c r="AW220" s="403"/>
      <c r="AX220" s="403"/>
      <c r="AY220" s="403"/>
    </row>
    <row r="221">
      <c r="A221" s="415"/>
      <c r="B221" s="415"/>
      <c r="C221" s="410"/>
      <c r="D221" s="429"/>
      <c r="E221" s="416"/>
      <c r="F221" s="413"/>
      <c r="G221" s="413"/>
      <c r="H221" s="415"/>
      <c r="I221" s="415"/>
      <c r="J221" s="415"/>
      <c r="K221" s="415"/>
      <c r="L221" s="417"/>
      <c r="M221" s="403"/>
      <c r="N221" s="403"/>
      <c r="O221" s="403"/>
      <c r="P221" s="403"/>
      <c r="Q221" s="403"/>
      <c r="R221" s="403"/>
      <c r="S221" s="403"/>
      <c r="T221" s="403"/>
      <c r="U221" s="403"/>
      <c r="V221" s="403"/>
      <c r="W221" s="404"/>
      <c r="X221" s="405"/>
      <c r="Y221" s="405"/>
      <c r="Z221" s="405"/>
      <c r="AA221" s="405"/>
      <c r="AB221" s="405"/>
      <c r="AC221" s="405"/>
      <c r="AD221" s="405"/>
      <c r="AE221" s="405"/>
      <c r="AF221" s="405"/>
      <c r="AG221" s="405"/>
      <c r="AH221" s="405"/>
      <c r="AI221" s="405"/>
      <c r="AJ221" s="405"/>
      <c r="AK221" s="405"/>
      <c r="AL221" s="405"/>
      <c r="AM221" s="406"/>
      <c r="AN221" s="406"/>
      <c r="AO221" s="406"/>
      <c r="AP221" s="406"/>
      <c r="AQ221" s="403"/>
      <c r="AR221" s="403"/>
      <c r="AS221" s="403"/>
      <c r="AT221" s="403"/>
      <c r="AU221" s="403"/>
      <c r="AV221" s="403"/>
      <c r="AW221" s="403"/>
      <c r="AX221" s="403"/>
      <c r="AY221" s="403"/>
    </row>
    <row r="222">
      <c r="A222" s="415"/>
      <c r="B222" s="415"/>
      <c r="C222" s="410"/>
      <c r="D222" s="429"/>
      <c r="E222" s="416"/>
      <c r="F222" s="413"/>
      <c r="G222" s="413"/>
      <c r="H222" s="415"/>
      <c r="I222" s="415"/>
      <c r="J222" s="415"/>
      <c r="K222" s="415"/>
      <c r="L222" s="417"/>
      <c r="M222" s="403"/>
      <c r="N222" s="403"/>
      <c r="O222" s="403"/>
      <c r="P222" s="403"/>
      <c r="Q222" s="403"/>
      <c r="R222" s="403"/>
      <c r="S222" s="403"/>
      <c r="T222" s="403"/>
      <c r="U222" s="403"/>
      <c r="V222" s="403"/>
      <c r="W222" s="404"/>
      <c r="X222" s="405"/>
      <c r="Y222" s="405"/>
      <c r="Z222" s="405"/>
      <c r="AA222" s="405"/>
      <c r="AB222" s="405"/>
      <c r="AC222" s="405"/>
      <c r="AD222" s="405"/>
      <c r="AE222" s="405"/>
      <c r="AF222" s="405"/>
      <c r="AG222" s="405"/>
      <c r="AH222" s="405"/>
      <c r="AI222" s="405"/>
      <c r="AJ222" s="405"/>
      <c r="AK222" s="405"/>
      <c r="AL222" s="405"/>
      <c r="AM222" s="406"/>
      <c r="AN222" s="406"/>
      <c r="AO222" s="406"/>
      <c r="AP222" s="406"/>
      <c r="AQ222" s="403"/>
      <c r="AR222" s="403"/>
      <c r="AS222" s="403"/>
      <c r="AT222" s="403"/>
      <c r="AU222" s="403"/>
      <c r="AV222" s="403"/>
      <c r="AW222" s="403"/>
      <c r="AX222" s="403"/>
      <c r="AY222" s="403"/>
    </row>
    <row r="223">
      <c r="A223" s="415"/>
      <c r="B223" s="415"/>
      <c r="C223" s="410"/>
      <c r="D223" s="429"/>
      <c r="E223" s="416"/>
      <c r="F223" s="413"/>
      <c r="G223" s="413"/>
      <c r="H223" s="415"/>
      <c r="I223" s="415"/>
      <c r="J223" s="415"/>
      <c r="K223" s="415"/>
      <c r="L223" s="417"/>
      <c r="M223" s="403"/>
      <c r="N223" s="403"/>
      <c r="O223" s="403"/>
      <c r="P223" s="403"/>
      <c r="Q223" s="403"/>
      <c r="R223" s="403"/>
      <c r="S223" s="403"/>
      <c r="T223" s="403"/>
      <c r="U223" s="403"/>
      <c r="V223" s="403"/>
      <c r="W223" s="404"/>
      <c r="X223" s="405"/>
      <c r="Y223" s="405"/>
      <c r="Z223" s="405"/>
      <c r="AA223" s="405"/>
      <c r="AB223" s="405"/>
      <c r="AC223" s="405"/>
      <c r="AD223" s="405"/>
      <c r="AE223" s="405"/>
      <c r="AF223" s="405"/>
      <c r="AG223" s="405"/>
      <c r="AH223" s="405"/>
      <c r="AI223" s="405"/>
      <c r="AJ223" s="405"/>
      <c r="AK223" s="405"/>
      <c r="AL223" s="405"/>
      <c r="AM223" s="406"/>
      <c r="AN223" s="406"/>
      <c r="AO223" s="406"/>
      <c r="AP223" s="406"/>
      <c r="AQ223" s="403"/>
      <c r="AR223" s="403"/>
      <c r="AS223" s="403"/>
      <c r="AT223" s="403"/>
      <c r="AU223" s="403"/>
      <c r="AV223" s="403"/>
      <c r="AW223" s="403"/>
      <c r="AX223" s="403"/>
      <c r="AY223" s="403"/>
    </row>
    <row r="224">
      <c r="A224" s="415"/>
      <c r="B224" s="415"/>
      <c r="C224" s="410"/>
      <c r="D224" s="429"/>
      <c r="E224" s="416"/>
      <c r="F224" s="413"/>
      <c r="G224" s="413"/>
      <c r="H224" s="415"/>
      <c r="I224" s="415"/>
      <c r="J224" s="415"/>
      <c r="K224" s="415"/>
      <c r="L224" s="417"/>
      <c r="M224" s="403"/>
      <c r="N224" s="403"/>
      <c r="O224" s="403"/>
      <c r="P224" s="403"/>
      <c r="Q224" s="403"/>
      <c r="R224" s="403"/>
      <c r="S224" s="403"/>
      <c r="T224" s="403"/>
      <c r="U224" s="403"/>
      <c r="V224" s="403"/>
      <c r="W224" s="404"/>
      <c r="X224" s="405"/>
      <c r="Y224" s="405"/>
      <c r="Z224" s="405"/>
      <c r="AA224" s="405"/>
      <c r="AB224" s="405"/>
      <c r="AC224" s="405"/>
      <c r="AD224" s="405"/>
      <c r="AE224" s="405"/>
      <c r="AF224" s="405"/>
      <c r="AG224" s="405"/>
      <c r="AH224" s="405"/>
      <c r="AI224" s="405"/>
      <c r="AJ224" s="405"/>
      <c r="AK224" s="405"/>
      <c r="AL224" s="405"/>
      <c r="AM224" s="406"/>
      <c r="AN224" s="406"/>
      <c r="AO224" s="406"/>
      <c r="AP224" s="406"/>
      <c r="AQ224" s="403"/>
      <c r="AR224" s="403"/>
      <c r="AS224" s="403"/>
      <c r="AT224" s="403"/>
      <c r="AU224" s="403"/>
      <c r="AV224" s="403"/>
      <c r="AW224" s="403"/>
      <c r="AX224" s="403"/>
      <c r="AY224" s="403"/>
    </row>
    <row r="225">
      <c r="A225" s="415"/>
      <c r="B225" s="415"/>
      <c r="C225" s="410"/>
      <c r="D225" s="429"/>
      <c r="E225" s="416"/>
      <c r="F225" s="413"/>
      <c r="G225" s="413"/>
      <c r="H225" s="415"/>
      <c r="I225" s="415"/>
      <c r="J225" s="415"/>
      <c r="K225" s="415"/>
      <c r="L225" s="417"/>
      <c r="M225" s="403"/>
      <c r="N225" s="403"/>
      <c r="O225" s="403"/>
      <c r="P225" s="403"/>
      <c r="Q225" s="403"/>
      <c r="R225" s="403"/>
      <c r="S225" s="403"/>
      <c r="T225" s="403"/>
      <c r="U225" s="403"/>
      <c r="V225" s="403"/>
      <c r="W225" s="404"/>
      <c r="X225" s="405"/>
      <c r="Y225" s="405"/>
      <c r="Z225" s="405"/>
      <c r="AA225" s="405"/>
      <c r="AB225" s="405"/>
      <c r="AC225" s="405"/>
      <c r="AD225" s="405"/>
      <c r="AE225" s="405"/>
      <c r="AF225" s="405"/>
      <c r="AG225" s="405"/>
      <c r="AH225" s="405"/>
      <c r="AI225" s="405"/>
      <c r="AJ225" s="405"/>
      <c r="AK225" s="405"/>
      <c r="AL225" s="405"/>
      <c r="AM225" s="406"/>
      <c r="AN225" s="406"/>
      <c r="AO225" s="406"/>
      <c r="AP225" s="406"/>
      <c r="AQ225" s="403"/>
      <c r="AR225" s="403"/>
      <c r="AS225" s="403"/>
      <c r="AT225" s="403"/>
      <c r="AU225" s="403"/>
      <c r="AV225" s="403"/>
      <c r="AW225" s="403"/>
      <c r="AX225" s="403"/>
      <c r="AY225" s="403"/>
    </row>
    <row r="226">
      <c r="A226" s="415"/>
      <c r="B226" s="415"/>
      <c r="C226" s="410"/>
      <c r="D226" s="429"/>
      <c r="E226" s="416"/>
      <c r="F226" s="413"/>
      <c r="G226" s="413"/>
      <c r="H226" s="415"/>
      <c r="I226" s="415"/>
      <c r="J226" s="415"/>
      <c r="K226" s="415"/>
      <c r="L226" s="417"/>
      <c r="M226" s="403"/>
      <c r="N226" s="403"/>
      <c r="O226" s="403"/>
      <c r="P226" s="403"/>
      <c r="Q226" s="403"/>
      <c r="R226" s="403"/>
      <c r="S226" s="403"/>
      <c r="T226" s="403"/>
      <c r="U226" s="403"/>
      <c r="V226" s="403"/>
      <c r="W226" s="404"/>
      <c r="X226" s="405"/>
      <c r="Y226" s="405"/>
      <c r="Z226" s="405"/>
      <c r="AA226" s="405"/>
      <c r="AB226" s="405"/>
      <c r="AC226" s="405"/>
      <c r="AD226" s="405"/>
      <c r="AE226" s="405"/>
      <c r="AF226" s="405"/>
      <c r="AG226" s="405"/>
      <c r="AH226" s="405"/>
      <c r="AI226" s="405"/>
      <c r="AJ226" s="405"/>
      <c r="AK226" s="405"/>
      <c r="AL226" s="405"/>
      <c r="AM226" s="406"/>
      <c r="AN226" s="406"/>
      <c r="AO226" s="406"/>
      <c r="AP226" s="406"/>
      <c r="AQ226" s="403"/>
      <c r="AR226" s="403"/>
      <c r="AS226" s="403"/>
      <c r="AT226" s="403"/>
      <c r="AU226" s="403"/>
      <c r="AV226" s="403"/>
      <c r="AW226" s="403"/>
      <c r="AX226" s="403"/>
      <c r="AY226" s="403"/>
    </row>
    <row r="227">
      <c r="A227" s="415"/>
      <c r="B227" s="415"/>
      <c r="C227" s="410"/>
      <c r="D227" s="429"/>
      <c r="E227" s="416"/>
      <c r="F227" s="413"/>
      <c r="G227" s="413"/>
      <c r="H227" s="415"/>
      <c r="I227" s="415"/>
      <c r="J227" s="415"/>
      <c r="K227" s="415"/>
      <c r="L227" s="417"/>
      <c r="M227" s="403"/>
      <c r="N227" s="403"/>
      <c r="O227" s="403"/>
      <c r="P227" s="403"/>
      <c r="Q227" s="403"/>
      <c r="R227" s="403"/>
      <c r="S227" s="403"/>
      <c r="T227" s="403"/>
      <c r="U227" s="403"/>
      <c r="V227" s="403"/>
      <c r="W227" s="404"/>
      <c r="X227" s="405"/>
      <c r="Y227" s="405"/>
      <c r="Z227" s="405"/>
      <c r="AA227" s="405"/>
      <c r="AB227" s="405"/>
      <c r="AC227" s="405"/>
      <c r="AD227" s="405"/>
      <c r="AE227" s="405"/>
      <c r="AF227" s="405"/>
      <c r="AG227" s="405"/>
      <c r="AH227" s="405"/>
      <c r="AI227" s="405"/>
      <c r="AJ227" s="405"/>
      <c r="AK227" s="405"/>
      <c r="AL227" s="405"/>
      <c r="AM227" s="406"/>
      <c r="AN227" s="406"/>
      <c r="AO227" s="406"/>
      <c r="AP227" s="406"/>
      <c r="AQ227" s="403"/>
      <c r="AR227" s="403"/>
      <c r="AS227" s="403"/>
      <c r="AT227" s="403"/>
      <c r="AU227" s="403"/>
      <c r="AV227" s="403"/>
      <c r="AW227" s="403"/>
      <c r="AX227" s="403"/>
      <c r="AY227" s="403"/>
    </row>
    <row r="228">
      <c r="A228" s="415"/>
      <c r="B228" s="415"/>
      <c r="C228" s="410"/>
      <c r="D228" s="429"/>
      <c r="E228" s="416"/>
      <c r="F228" s="413"/>
      <c r="G228" s="413"/>
      <c r="H228" s="415"/>
      <c r="I228" s="415"/>
      <c r="J228" s="415"/>
      <c r="K228" s="415"/>
      <c r="L228" s="417"/>
      <c r="M228" s="403"/>
      <c r="N228" s="403"/>
      <c r="O228" s="403"/>
      <c r="P228" s="403"/>
      <c r="Q228" s="403"/>
      <c r="R228" s="403"/>
      <c r="S228" s="403"/>
      <c r="T228" s="403"/>
      <c r="U228" s="403"/>
      <c r="V228" s="403"/>
      <c r="W228" s="404"/>
      <c r="X228" s="405"/>
      <c r="Y228" s="405"/>
      <c r="Z228" s="405"/>
      <c r="AA228" s="405"/>
      <c r="AB228" s="405"/>
      <c r="AC228" s="405"/>
      <c r="AD228" s="405"/>
      <c r="AE228" s="405"/>
      <c r="AF228" s="405"/>
      <c r="AG228" s="405"/>
      <c r="AH228" s="405"/>
      <c r="AI228" s="405"/>
      <c r="AJ228" s="405"/>
      <c r="AK228" s="405"/>
      <c r="AL228" s="405"/>
      <c r="AM228" s="406"/>
      <c r="AN228" s="406"/>
      <c r="AO228" s="406"/>
      <c r="AP228" s="406"/>
      <c r="AQ228" s="403"/>
      <c r="AR228" s="403"/>
      <c r="AS228" s="403"/>
      <c r="AT228" s="403"/>
      <c r="AU228" s="403"/>
      <c r="AV228" s="403"/>
      <c r="AW228" s="403"/>
      <c r="AX228" s="403"/>
      <c r="AY228" s="403"/>
    </row>
    <row r="229">
      <c r="A229" s="415"/>
      <c r="B229" s="415"/>
      <c r="C229" s="410"/>
      <c r="D229" s="429"/>
      <c r="E229" s="416"/>
      <c r="F229" s="413"/>
      <c r="G229" s="413"/>
      <c r="H229" s="415"/>
      <c r="I229" s="415"/>
      <c r="J229" s="415"/>
      <c r="K229" s="415"/>
      <c r="L229" s="417"/>
      <c r="M229" s="403"/>
      <c r="N229" s="403"/>
      <c r="O229" s="403"/>
      <c r="P229" s="403"/>
      <c r="Q229" s="403"/>
      <c r="R229" s="403"/>
      <c r="S229" s="403"/>
      <c r="T229" s="403"/>
      <c r="U229" s="403"/>
      <c r="V229" s="403"/>
      <c r="W229" s="404"/>
      <c r="X229" s="405"/>
      <c r="Y229" s="405"/>
      <c r="Z229" s="405"/>
      <c r="AA229" s="405"/>
      <c r="AB229" s="405"/>
      <c r="AC229" s="405"/>
      <c r="AD229" s="405"/>
      <c r="AE229" s="405"/>
      <c r="AF229" s="405"/>
      <c r="AG229" s="405"/>
      <c r="AH229" s="405"/>
      <c r="AI229" s="405"/>
      <c r="AJ229" s="405"/>
      <c r="AK229" s="405"/>
      <c r="AL229" s="405"/>
      <c r="AM229" s="406"/>
      <c r="AN229" s="406"/>
      <c r="AO229" s="406"/>
      <c r="AP229" s="406"/>
      <c r="AQ229" s="403"/>
      <c r="AR229" s="403"/>
      <c r="AS229" s="403"/>
      <c r="AT229" s="403"/>
      <c r="AU229" s="403"/>
      <c r="AV229" s="403"/>
      <c r="AW229" s="403"/>
      <c r="AX229" s="403"/>
      <c r="AY229" s="403"/>
    </row>
    <row r="230">
      <c r="A230" s="415"/>
      <c r="B230" s="415"/>
      <c r="C230" s="410"/>
      <c r="D230" s="429"/>
      <c r="E230" s="416"/>
      <c r="F230" s="413"/>
      <c r="G230" s="413"/>
      <c r="H230" s="415"/>
      <c r="I230" s="415"/>
      <c r="J230" s="415"/>
      <c r="K230" s="415"/>
      <c r="L230" s="417"/>
      <c r="M230" s="403"/>
      <c r="N230" s="403"/>
      <c r="O230" s="403"/>
      <c r="P230" s="403"/>
      <c r="Q230" s="403"/>
      <c r="R230" s="403"/>
      <c r="S230" s="403"/>
      <c r="T230" s="403"/>
      <c r="U230" s="403"/>
      <c r="V230" s="403"/>
      <c r="W230" s="404"/>
      <c r="X230" s="405"/>
      <c r="Y230" s="405"/>
      <c r="Z230" s="405"/>
      <c r="AA230" s="405"/>
      <c r="AB230" s="405"/>
      <c r="AC230" s="405"/>
      <c r="AD230" s="405"/>
      <c r="AE230" s="405"/>
      <c r="AF230" s="405"/>
      <c r="AG230" s="405"/>
      <c r="AH230" s="405"/>
      <c r="AI230" s="405"/>
      <c r="AJ230" s="405"/>
      <c r="AK230" s="405"/>
      <c r="AL230" s="405"/>
      <c r="AM230" s="406"/>
      <c r="AN230" s="406"/>
      <c r="AO230" s="406"/>
      <c r="AP230" s="406"/>
      <c r="AQ230" s="403"/>
      <c r="AR230" s="403"/>
      <c r="AS230" s="403"/>
      <c r="AT230" s="403"/>
      <c r="AU230" s="403"/>
      <c r="AV230" s="403"/>
      <c r="AW230" s="403"/>
      <c r="AX230" s="403"/>
      <c r="AY230" s="403"/>
    </row>
    <row r="231">
      <c r="A231" s="415"/>
      <c r="B231" s="415"/>
      <c r="C231" s="410"/>
      <c r="D231" s="429"/>
      <c r="E231" s="416"/>
      <c r="F231" s="413"/>
      <c r="G231" s="413"/>
      <c r="H231" s="415"/>
      <c r="I231" s="415"/>
      <c r="J231" s="415"/>
      <c r="K231" s="415"/>
      <c r="L231" s="417"/>
      <c r="M231" s="403"/>
      <c r="N231" s="403"/>
      <c r="O231" s="403"/>
      <c r="P231" s="403"/>
      <c r="Q231" s="403"/>
      <c r="R231" s="403"/>
      <c r="S231" s="403"/>
      <c r="T231" s="403"/>
      <c r="U231" s="403"/>
      <c r="V231" s="403"/>
      <c r="W231" s="404"/>
      <c r="X231" s="405"/>
      <c r="Y231" s="405"/>
      <c r="Z231" s="405"/>
      <c r="AA231" s="405"/>
      <c r="AB231" s="405"/>
      <c r="AC231" s="405"/>
      <c r="AD231" s="405"/>
      <c r="AE231" s="405"/>
      <c r="AF231" s="405"/>
      <c r="AG231" s="405"/>
      <c r="AH231" s="405"/>
      <c r="AI231" s="405"/>
      <c r="AJ231" s="405"/>
      <c r="AK231" s="405"/>
      <c r="AL231" s="405"/>
      <c r="AM231" s="406"/>
      <c r="AN231" s="406"/>
      <c r="AO231" s="406"/>
      <c r="AP231" s="406"/>
      <c r="AQ231" s="403"/>
      <c r="AR231" s="403"/>
      <c r="AS231" s="403"/>
      <c r="AT231" s="403"/>
      <c r="AU231" s="403"/>
      <c r="AV231" s="403"/>
      <c r="AW231" s="403"/>
      <c r="AX231" s="403"/>
      <c r="AY231" s="403"/>
    </row>
    <row r="232">
      <c r="A232" s="415"/>
      <c r="B232" s="415"/>
      <c r="C232" s="410"/>
      <c r="D232" s="429"/>
      <c r="E232" s="416"/>
      <c r="F232" s="413"/>
      <c r="G232" s="413"/>
      <c r="H232" s="415"/>
      <c r="I232" s="415"/>
      <c r="J232" s="415"/>
      <c r="K232" s="415"/>
      <c r="L232" s="417"/>
      <c r="M232" s="403"/>
      <c r="N232" s="403"/>
      <c r="O232" s="403"/>
      <c r="P232" s="403"/>
      <c r="Q232" s="403"/>
      <c r="R232" s="403"/>
      <c r="S232" s="403"/>
      <c r="T232" s="403"/>
      <c r="U232" s="403"/>
      <c r="V232" s="403"/>
      <c r="W232" s="404"/>
      <c r="X232" s="405"/>
      <c r="Y232" s="405"/>
      <c r="Z232" s="405"/>
      <c r="AA232" s="405"/>
      <c r="AB232" s="405"/>
      <c r="AC232" s="405"/>
      <c r="AD232" s="405"/>
      <c r="AE232" s="405"/>
      <c r="AF232" s="405"/>
      <c r="AG232" s="405"/>
      <c r="AH232" s="405"/>
      <c r="AI232" s="405"/>
      <c r="AJ232" s="405"/>
      <c r="AK232" s="405"/>
      <c r="AL232" s="405"/>
      <c r="AM232" s="406"/>
      <c r="AN232" s="406"/>
      <c r="AO232" s="406"/>
      <c r="AP232" s="406"/>
      <c r="AQ232" s="403"/>
      <c r="AR232" s="403"/>
      <c r="AS232" s="403"/>
      <c r="AT232" s="403"/>
      <c r="AU232" s="403"/>
      <c r="AV232" s="403"/>
      <c r="AW232" s="403"/>
      <c r="AX232" s="403"/>
      <c r="AY232" s="403"/>
    </row>
    <row r="233">
      <c r="A233" s="415"/>
      <c r="B233" s="415"/>
      <c r="C233" s="410"/>
      <c r="D233" s="429"/>
      <c r="E233" s="416"/>
      <c r="F233" s="413"/>
      <c r="G233" s="413"/>
      <c r="H233" s="415"/>
      <c r="I233" s="415"/>
      <c r="J233" s="415"/>
      <c r="K233" s="415"/>
      <c r="L233" s="417"/>
      <c r="M233" s="403"/>
      <c r="N233" s="403"/>
      <c r="O233" s="403"/>
      <c r="P233" s="403"/>
      <c r="Q233" s="403"/>
      <c r="R233" s="403"/>
      <c r="S233" s="403"/>
      <c r="T233" s="403"/>
      <c r="U233" s="403"/>
      <c r="V233" s="403"/>
      <c r="W233" s="404"/>
      <c r="X233" s="405"/>
      <c r="Y233" s="405"/>
      <c r="Z233" s="405"/>
      <c r="AA233" s="405"/>
      <c r="AB233" s="405"/>
      <c r="AC233" s="405"/>
      <c r="AD233" s="405"/>
      <c r="AE233" s="405"/>
      <c r="AF233" s="405"/>
      <c r="AG233" s="405"/>
      <c r="AH233" s="405"/>
      <c r="AI233" s="405"/>
      <c r="AJ233" s="405"/>
      <c r="AK233" s="405"/>
      <c r="AL233" s="405"/>
      <c r="AM233" s="406"/>
      <c r="AN233" s="406"/>
      <c r="AO233" s="406"/>
      <c r="AP233" s="406"/>
      <c r="AQ233" s="403"/>
      <c r="AR233" s="403"/>
      <c r="AS233" s="403"/>
      <c r="AT233" s="403"/>
      <c r="AU233" s="403"/>
      <c r="AV233" s="403"/>
      <c r="AW233" s="403"/>
      <c r="AX233" s="403"/>
      <c r="AY233" s="403"/>
    </row>
    <row r="234">
      <c r="A234" s="415"/>
      <c r="B234" s="415"/>
      <c r="C234" s="410"/>
      <c r="D234" s="429"/>
      <c r="E234" s="416"/>
      <c r="F234" s="413"/>
      <c r="G234" s="413"/>
      <c r="H234" s="415"/>
      <c r="I234" s="415"/>
      <c r="J234" s="415"/>
      <c r="K234" s="415"/>
      <c r="L234" s="417"/>
      <c r="M234" s="403"/>
      <c r="N234" s="403"/>
      <c r="O234" s="403"/>
      <c r="P234" s="403"/>
      <c r="Q234" s="403"/>
      <c r="R234" s="403"/>
      <c r="S234" s="403"/>
      <c r="T234" s="403"/>
      <c r="U234" s="403"/>
      <c r="V234" s="403"/>
      <c r="W234" s="404"/>
      <c r="X234" s="405"/>
      <c r="Y234" s="405"/>
      <c r="Z234" s="405"/>
      <c r="AA234" s="405"/>
      <c r="AB234" s="405"/>
      <c r="AC234" s="405"/>
      <c r="AD234" s="405"/>
      <c r="AE234" s="405"/>
      <c r="AF234" s="405"/>
      <c r="AG234" s="405"/>
      <c r="AH234" s="405"/>
      <c r="AI234" s="405"/>
      <c r="AJ234" s="405"/>
      <c r="AK234" s="405"/>
      <c r="AL234" s="405"/>
      <c r="AM234" s="406"/>
      <c r="AN234" s="406"/>
      <c r="AO234" s="406"/>
      <c r="AP234" s="406"/>
      <c r="AQ234" s="403"/>
      <c r="AR234" s="403"/>
      <c r="AS234" s="403"/>
      <c r="AT234" s="403"/>
      <c r="AU234" s="403"/>
      <c r="AV234" s="403"/>
      <c r="AW234" s="403"/>
      <c r="AX234" s="403"/>
      <c r="AY234" s="403"/>
    </row>
    <row r="235">
      <c r="A235" s="415"/>
      <c r="B235" s="415"/>
      <c r="C235" s="410"/>
      <c r="D235" s="429"/>
      <c r="E235" s="416"/>
      <c r="F235" s="413"/>
      <c r="G235" s="413"/>
      <c r="H235" s="415"/>
      <c r="I235" s="415"/>
      <c r="J235" s="415"/>
      <c r="K235" s="415"/>
      <c r="L235" s="417"/>
      <c r="M235" s="403"/>
      <c r="N235" s="403"/>
      <c r="O235" s="403"/>
      <c r="P235" s="403"/>
      <c r="Q235" s="403"/>
      <c r="R235" s="403"/>
      <c r="S235" s="403"/>
      <c r="T235" s="403"/>
      <c r="U235" s="403"/>
      <c r="V235" s="403"/>
      <c r="W235" s="404"/>
      <c r="X235" s="405"/>
      <c r="Y235" s="405"/>
      <c r="Z235" s="405"/>
      <c r="AA235" s="405"/>
      <c r="AB235" s="405"/>
      <c r="AC235" s="405"/>
      <c r="AD235" s="405"/>
      <c r="AE235" s="405"/>
      <c r="AF235" s="405"/>
      <c r="AG235" s="405"/>
      <c r="AH235" s="405"/>
      <c r="AI235" s="405"/>
      <c r="AJ235" s="405"/>
      <c r="AK235" s="405"/>
      <c r="AL235" s="405"/>
      <c r="AM235" s="406"/>
      <c r="AN235" s="406"/>
      <c r="AO235" s="406"/>
      <c r="AP235" s="406"/>
      <c r="AQ235" s="403"/>
      <c r="AR235" s="403"/>
      <c r="AS235" s="403"/>
      <c r="AT235" s="403"/>
      <c r="AU235" s="403"/>
      <c r="AV235" s="403"/>
      <c r="AW235" s="403"/>
      <c r="AX235" s="403"/>
      <c r="AY235" s="403"/>
    </row>
    <row r="236">
      <c r="A236" s="415"/>
      <c r="B236" s="415"/>
      <c r="C236" s="410"/>
      <c r="D236" s="429"/>
      <c r="E236" s="416"/>
      <c r="F236" s="413"/>
      <c r="G236" s="413"/>
      <c r="H236" s="415"/>
      <c r="I236" s="415"/>
      <c r="J236" s="415"/>
      <c r="K236" s="415"/>
      <c r="L236" s="417"/>
      <c r="M236" s="403"/>
      <c r="N236" s="403"/>
      <c r="O236" s="403"/>
      <c r="P236" s="403"/>
      <c r="Q236" s="403"/>
      <c r="R236" s="403"/>
      <c r="S236" s="403"/>
      <c r="T236" s="403"/>
      <c r="U236" s="403"/>
      <c r="V236" s="403"/>
      <c r="W236" s="404"/>
      <c r="X236" s="405"/>
      <c r="Y236" s="405"/>
      <c r="Z236" s="405"/>
      <c r="AA236" s="405"/>
      <c r="AB236" s="405"/>
      <c r="AC236" s="405"/>
      <c r="AD236" s="405"/>
      <c r="AE236" s="405"/>
      <c r="AF236" s="405"/>
      <c r="AG236" s="405"/>
      <c r="AH236" s="405"/>
      <c r="AI236" s="405"/>
      <c r="AJ236" s="405"/>
      <c r="AK236" s="405"/>
      <c r="AL236" s="405"/>
      <c r="AM236" s="406"/>
      <c r="AN236" s="406"/>
      <c r="AO236" s="406"/>
      <c r="AP236" s="406"/>
      <c r="AQ236" s="403"/>
      <c r="AR236" s="403"/>
      <c r="AS236" s="403"/>
      <c r="AT236" s="403"/>
      <c r="AU236" s="403"/>
      <c r="AV236" s="403"/>
      <c r="AW236" s="403"/>
      <c r="AX236" s="403"/>
      <c r="AY236" s="403"/>
    </row>
    <row r="237">
      <c r="A237" s="415"/>
      <c r="B237" s="415"/>
      <c r="C237" s="410"/>
      <c r="D237" s="429"/>
      <c r="E237" s="416"/>
      <c r="F237" s="413"/>
      <c r="G237" s="413"/>
      <c r="H237" s="415"/>
      <c r="I237" s="415"/>
      <c r="J237" s="415"/>
      <c r="K237" s="415"/>
      <c r="L237" s="417"/>
      <c r="M237" s="403"/>
      <c r="N237" s="403"/>
      <c r="O237" s="403"/>
      <c r="P237" s="403"/>
      <c r="Q237" s="403"/>
      <c r="R237" s="403"/>
      <c r="S237" s="403"/>
      <c r="T237" s="403"/>
      <c r="U237" s="403"/>
      <c r="V237" s="403"/>
      <c r="W237" s="404"/>
      <c r="X237" s="405"/>
      <c r="Y237" s="405"/>
      <c r="Z237" s="405"/>
      <c r="AA237" s="405"/>
      <c r="AB237" s="405"/>
      <c r="AC237" s="405"/>
      <c r="AD237" s="405"/>
      <c r="AE237" s="405"/>
      <c r="AF237" s="405"/>
      <c r="AG237" s="405"/>
      <c r="AH237" s="405"/>
      <c r="AI237" s="405"/>
      <c r="AJ237" s="405"/>
      <c r="AK237" s="405"/>
      <c r="AL237" s="405"/>
      <c r="AM237" s="406"/>
      <c r="AN237" s="406"/>
      <c r="AO237" s="406"/>
      <c r="AP237" s="406"/>
      <c r="AQ237" s="403"/>
      <c r="AR237" s="403"/>
      <c r="AS237" s="403"/>
      <c r="AT237" s="403"/>
      <c r="AU237" s="403"/>
      <c r="AV237" s="403"/>
      <c r="AW237" s="403"/>
      <c r="AX237" s="403"/>
      <c r="AY237" s="403"/>
    </row>
    <row r="238">
      <c r="A238" s="415"/>
      <c r="B238" s="415"/>
      <c r="C238" s="410"/>
      <c r="D238" s="429"/>
      <c r="E238" s="416"/>
      <c r="F238" s="413"/>
      <c r="G238" s="413"/>
      <c r="H238" s="415"/>
      <c r="I238" s="415"/>
      <c r="J238" s="415"/>
      <c r="K238" s="415"/>
      <c r="L238" s="417"/>
      <c r="M238" s="403"/>
      <c r="N238" s="403"/>
      <c r="O238" s="403"/>
      <c r="P238" s="403"/>
      <c r="Q238" s="403"/>
      <c r="R238" s="403"/>
      <c r="S238" s="403"/>
      <c r="T238" s="403"/>
      <c r="U238" s="403"/>
      <c r="V238" s="403"/>
      <c r="W238" s="404"/>
      <c r="X238" s="405"/>
      <c r="Y238" s="405"/>
      <c r="Z238" s="405"/>
      <c r="AA238" s="405"/>
      <c r="AB238" s="405"/>
      <c r="AC238" s="405"/>
      <c r="AD238" s="405"/>
      <c r="AE238" s="405"/>
      <c r="AF238" s="405"/>
      <c r="AG238" s="405"/>
      <c r="AH238" s="405"/>
      <c r="AI238" s="405"/>
      <c r="AJ238" s="405"/>
      <c r="AK238" s="405"/>
      <c r="AL238" s="405"/>
      <c r="AM238" s="406"/>
      <c r="AN238" s="406"/>
      <c r="AO238" s="406"/>
      <c r="AP238" s="406"/>
      <c r="AQ238" s="403"/>
      <c r="AR238" s="403"/>
      <c r="AS238" s="403"/>
      <c r="AT238" s="403"/>
      <c r="AU238" s="403"/>
      <c r="AV238" s="403"/>
      <c r="AW238" s="403"/>
      <c r="AX238" s="403"/>
      <c r="AY238" s="403"/>
    </row>
    <row r="239">
      <c r="A239" s="415"/>
      <c r="B239" s="415"/>
      <c r="C239" s="410"/>
      <c r="D239" s="429"/>
      <c r="E239" s="416"/>
      <c r="F239" s="413"/>
      <c r="G239" s="413"/>
      <c r="H239" s="415"/>
      <c r="I239" s="415"/>
      <c r="J239" s="415"/>
      <c r="K239" s="415"/>
      <c r="L239" s="417"/>
      <c r="M239" s="403"/>
      <c r="N239" s="403"/>
      <c r="O239" s="403"/>
      <c r="P239" s="403"/>
      <c r="Q239" s="403"/>
      <c r="R239" s="403"/>
      <c r="S239" s="403"/>
      <c r="T239" s="403"/>
      <c r="U239" s="403"/>
      <c r="V239" s="403"/>
      <c r="W239" s="404"/>
      <c r="X239" s="405"/>
      <c r="Y239" s="405"/>
      <c r="Z239" s="405"/>
      <c r="AA239" s="405"/>
      <c r="AB239" s="405"/>
      <c r="AC239" s="405"/>
      <c r="AD239" s="405"/>
      <c r="AE239" s="405"/>
      <c r="AF239" s="405"/>
      <c r="AG239" s="405"/>
      <c r="AH239" s="405"/>
      <c r="AI239" s="405"/>
      <c r="AJ239" s="405"/>
      <c r="AK239" s="405"/>
      <c r="AL239" s="405"/>
      <c r="AM239" s="406"/>
      <c r="AN239" s="406"/>
      <c r="AO239" s="406"/>
      <c r="AP239" s="406"/>
      <c r="AQ239" s="403"/>
      <c r="AR239" s="403"/>
      <c r="AS239" s="403"/>
      <c r="AT239" s="403"/>
      <c r="AU239" s="403"/>
      <c r="AV239" s="403"/>
      <c r="AW239" s="403"/>
      <c r="AX239" s="403"/>
      <c r="AY239" s="403"/>
    </row>
    <row r="240">
      <c r="A240" s="415"/>
      <c r="B240" s="415"/>
      <c r="C240" s="410"/>
      <c r="D240" s="429"/>
      <c r="E240" s="416"/>
      <c r="F240" s="413"/>
      <c r="G240" s="413"/>
      <c r="H240" s="415"/>
      <c r="I240" s="415"/>
      <c r="J240" s="415"/>
      <c r="K240" s="415"/>
      <c r="L240" s="417"/>
      <c r="M240" s="403"/>
      <c r="N240" s="403"/>
      <c r="O240" s="403"/>
      <c r="P240" s="403"/>
      <c r="Q240" s="403"/>
      <c r="R240" s="403"/>
      <c r="S240" s="403"/>
      <c r="T240" s="403"/>
      <c r="U240" s="403"/>
      <c r="V240" s="403"/>
      <c r="W240" s="404"/>
      <c r="X240" s="405"/>
      <c r="Y240" s="405"/>
      <c r="Z240" s="405"/>
      <c r="AA240" s="405"/>
      <c r="AB240" s="405"/>
      <c r="AC240" s="405"/>
      <c r="AD240" s="405"/>
      <c r="AE240" s="405"/>
      <c r="AF240" s="405"/>
      <c r="AG240" s="405"/>
      <c r="AH240" s="405"/>
      <c r="AI240" s="405"/>
      <c r="AJ240" s="405"/>
      <c r="AK240" s="405"/>
      <c r="AL240" s="405"/>
      <c r="AM240" s="406"/>
      <c r="AN240" s="406"/>
      <c r="AO240" s="406"/>
      <c r="AP240" s="406"/>
      <c r="AQ240" s="403"/>
      <c r="AR240" s="403"/>
      <c r="AS240" s="403"/>
      <c r="AT240" s="403"/>
      <c r="AU240" s="403"/>
      <c r="AV240" s="403"/>
      <c r="AW240" s="403"/>
      <c r="AX240" s="403"/>
      <c r="AY240" s="403"/>
    </row>
    <row r="241">
      <c r="A241" s="415"/>
      <c r="B241" s="415"/>
      <c r="C241" s="410"/>
      <c r="D241" s="429"/>
      <c r="E241" s="416"/>
      <c r="F241" s="413"/>
      <c r="G241" s="413"/>
      <c r="H241" s="415"/>
      <c r="I241" s="415"/>
      <c r="J241" s="415"/>
      <c r="K241" s="415"/>
      <c r="L241" s="417"/>
      <c r="M241" s="403"/>
      <c r="N241" s="403"/>
      <c r="O241" s="403"/>
      <c r="P241" s="403"/>
      <c r="Q241" s="403"/>
      <c r="R241" s="403"/>
      <c r="S241" s="403"/>
      <c r="T241" s="403"/>
      <c r="U241" s="403"/>
      <c r="V241" s="403"/>
      <c r="W241" s="404"/>
      <c r="X241" s="405"/>
      <c r="Y241" s="405"/>
      <c r="Z241" s="405"/>
      <c r="AA241" s="405"/>
      <c r="AB241" s="405"/>
      <c r="AC241" s="405"/>
      <c r="AD241" s="405"/>
      <c r="AE241" s="405"/>
      <c r="AF241" s="405"/>
      <c r="AG241" s="405"/>
      <c r="AH241" s="405"/>
      <c r="AI241" s="405"/>
      <c r="AJ241" s="405"/>
      <c r="AK241" s="405"/>
      <c r="AL241" s="405"/>
      <c r="AM241" s="406"/>
      <c r="AN241" s="406"/>
      <c r="AO241" s="406"/>
      <c r="AP241" s="406"/>
      <c r="AQ241" s="403"/>
      <c r="AR241" s="403"/>
      <c r="AS241" s="403"/>
      <c r="AT241" s="403"/>
      <c r="AU241" s="403"/>
      <c r="AV241" s="403"/>
      <c r="AW241" s="403"/>
      <c r="AX241" s="403"/>
      <c r="AY241" s="403"/>
    </row>
    <row r="242">
      <c r="A242" s="415"/>
      <c r="B242" s="415"/>
      <c r="C242" s="410"/>
      <c r="D242" s="429"/>
      <c r="E242" s="416"/>
      <c r="F242" s="413"/>
      <c r="G242" s="413"/>
      <c r="H242" s="415"/>
      <c r="I242" s="415"/>
      <c r="J242" s="415"/>
      <c r="K242" s="415"/>
      <c r="L242" s="417"/>
      <c r="M242" s="403"/>
      <c r="N242" s="403"/>
      <c r="O242" s="403"/>
      <c r="P242" s="403"/>
      <c r="Q242" s="403"/>
      <c r="R242" s="403"/>
      <c r="S242" s="403"/>
      <c r="T242" s="403"/>
      <c r="U242" s="403"/>
      <c r="V242" s="403"/>
      <c r="W242" s="404"/>
      <c r="X242" s="405"/>
      <c r="Y242" s="405"/>
      <c r="Z242" s="405"/>
      <c r="AA242" s="405"/>
      <c r="AB242" s="405"/>
      <c r="AC242" s="405"/>
      <c r="AD242" s="405"/>
      <c r="AE242" s="405"/>
      <c r="AF242" s="405"/>
      <c r="AG242" s="405"/>
      <c r="AH242" s="405"/>
      <c r="AI242" s="405"/>
      <c r="AJ242" s="405"/>
      <c r="AK242" s="405"/>
      <c r="AL242" s="405"/>
      <c r="AM242" s="406"/>
      <c r="AN242" s="406"/>
      <c r="AO242" s="406"/>
      <c r="AP242" s="406"/>
      <c r="AQ242" s="403"/>
      <c r="AR242" s="403"/>
      <c r="AS242" s="403"/>
      <c r="AT242" s="403"/>
      <c r="AU242" s="403"/>
      <c r="AV242" s="403"/>
      <c r="AW242" s="403"/>
      <c r="AX242" s="403"/>
      <c r="AY242" s="403"/>
    </row>
    <row r="243">
      <c r="A243" s="415"/>
      <c r="B243" s="415"/>
      <c r="C243" s="410"/>
      <c r="D243" s="429"/>
      <c r="E243" s="416"/>
      <c r="F243" s="413"/>
      <c r="G243" s="413"/>
      <c r="H243" s="415"/>
      <c r="I243" s="415"/>
      <c r="J243" s="415"/>
      <c r="K243" s="415"/>
      <c r="L243" s="417"/>
      <c r="M243" s="403"/>
      <c r="N243" s="403"/>
      <c r="O243" s="403"/>
      <c r="P243" s="403"/>
      <c r="Q243" s="403"/>
      <c r="R243" s="403"/>
      <c r="S243" s="403"/>
      <c r="T243" s="403"/>
      <c r="U243" s="403"/>
      <c r="V243" s="403"/>
      <c r="W243" s="404"/>
      <c r="X243" s="405"/>
      <c r="Y243" s="405"/>
      <c r="Z243" s="405"/>
      <c r="AA243" s="405"/>
      <c r="AB243" s="405"/>
      <c r="AC243" s="405"/>
      <c r="AD243" s="405"/>
      <c r="AE243" s="405"/>
      <c r="AF243" s="405"/>
      <c r="AG243" s="405"/>
      <c r="AH243" s="405"/>
      <c r="AI243" s="405"/>
      <c r="AJ243" s="405"/>
      <c r="AK243" s="405"/>
      <c r="AL243" s="405"/>
      <c r="AM243" s="406"/>
      <c r="AN243" s="406"/>
      <c r="AO243" s="406"/>
      <c r="AP243" s="406"/>
      <c r="AQ243" s="403"/>
      <c r="AR243" s="403"/>
      <c r="AS243" s="403"/>
      <c r="AT243" s="403"/>
      <c r="AU243" s="403"/>
      <c r="AV243" s="403"/>
      <c r="AW243" s="403"/>
      <c r="AX243" s="403"/>
      <c r="AY243" s="403"/>
    </row>
    <row r="244">
      <c r="A244" s="415"/>
      <c r="B244" s="415"/>
      <c r="C244" s="410"/>
      <c r="D244" s="429"/>
      <c r="E244" s="416"/>
      <c r="F244" s="413"/>
      <c r="G244" s="413"/>
      <c r="H244" s="415"/>
      <c r="I244" s="415"/>
      <c r="J244" s="415"/>
      <c r="K244" s="415"/>
      <c r="L244" s="417"/>
      <c r="M244" s="403"/>
      <c r="N244" s="403"/>
      <c r="O244" s="403"/>
      <c r="P244" s="403"/>
      <c r="Q244" s="403"/>
      <c r="R244" s="403"/>
      <c r="S244" s="403"/>
      <c r="T244" s="403"/>
      <c r="U244" s="403"/>
      <c r="V244" s="403"/>
      <c r="W244" s="404"/>
      <c r="X244" s="405"/>
      <c r="Y244" s="405"/>
      <c r="Z244" s="405"/>
      <c r="AA244" s="405"/>
      <c r="AB244" s="405"/>
      <c r="AC244" s="405"/>
      <c r="AD244" s="405"/>
      <c r="AE244" s="405"/>
      <c r="AF244" s="405"/>
      <c r="AG244" s="405"/>
      <c r="AH244" s="405"/>
      <c r="AI244" s="405"/>
      <c r="AJ244" s="405"/>
      <c r="AK244" s="405"/>
      <c r="AL244" s="405"/>
      <c r="AM244" s="406"/>
      <c r="AN244" s="406"/>
      <c r="AO244" s="406"/>
      <c r="AP244" s="406"/>
      <c r="AQ244" s="403"/>
      <c r="AR244" s="403"/>
      <c r="AS244" s="403"/>
      <c r="AT244" s="403"/>
      <c r="AU244" s="403"/>
      <c r="AV244" s="403"/>
      <c r="AW244" s="403"/>
      <c r="AX244" s="403"/>
      <c r="AY244" s="403"/>
    </row>
    <row r="245">
      <c r="A245" s="415"/>
      <c r="B245" s="415"/>
      <c r="C245" s="410"/>
      <c r="D245" s="429"/>
      <c r="E245" s="416"/>
      <c r="F245" s="413"/>
      <c r="G245" s="413"/>
      <c r="H245" s="415"/>
      <c r="I245" s="415"/>
      <c r="J245" s="415"/>
      <c r="K245" s="415"/>
      <c r="L245" s="417"/>
      <c r="M245" s="403"/>
      <c r="N245" s="403"/>
      <c r="O245" s="403"/>
      <c r="P245" s="403"/>
      <c r="Q245" s="403"/>
      <c r="R245" s="403"/>
      <c r="S245" s="403"/>
      <c r="T245" s="403"/>
      <c r="U245" s="403"/>
      <c r="V245" s="403"/>
      <c r="W245" s="404"/>
      <c r="X245" s="405"/>
      <c r="Y245" s="405"/>
      <c r="Z245" s="405"/>
      <c r="AA245" s="405"/>
      <c r="AB245" s="405"/>
      <c r="AC245" s="405"/>
      <c r="AD245" s="405"/>
      <c r="AE245" s="405"/>
      <c r="AF245" s="405"/>
      <c r="AG245" s="405"/>
      <c r="AH245" s="405"/>
      <c r="AI245" s="405"/>
      <c r="AJ245" s="405"/>
      <c r="AK245" s="405"/>
      <c r="AL245" s="405"/>
      <c r="AM245" s="406"/>
      <c r="AN245" s="406"/>
      <c r="AO245" s="406"/>
      <c r="AP245" s="406"/>
      <c r="AQ245" s="403"/>
      <c r="AR245" s="403"/>
      <c r="AS245" s="403"/>
      <c r="AT245" s="403"/>
      <c r="AU245" s="403"/>
      <c r="AV245" s="403"/>
      <c r="AW245" s="403"/>
      <c r="AX245" s="403"/>
      <c r="AY245" s="403"/>
    </row>
    <row r="246">
      <c r="A246" s="415"/>
      <c r="B246" s="415"/>
      <c r="C246" s="410"/>
      <c r="D246" s="429"/>
      <c r="E246" s="416"/>
      <c r="F246" s="413"/>
      <c r="G246" s="413"/>
      <c r="H246" s="415"/>
      <c r="I246" s="415"/>
      <c r="J246" s="415"/>
      <c r="K246" s="415"/>
      <c r="L246" s="417"/>
      <c r="M246" s="403"/>
      <c r="N246" s="403"/>
      <c r="O246" s="403"/>
      <c r="P246" s="403"/>
      <c r="Q246" s="403"/>
      <c r="R246" s="403"/>
      <c r="S246" s="403"/>
      <c r="T246" s="403"/>
      <c r="U246" s="403"/>
      <c r="V246" s="403"/>
      <c r="W246" s="404"/>
      <c r="X246" s="405"/>
      <c r="Y246" s="405"/>
      <c r="Z246" s="405"/>
      <c r="AA246" s="405"/>
      <c r="AB246" s="405"/>
      <c r="AC246" s="405"/>
      <c r="AD246" s="405"/>
      <c r="AE246" s="405"/>
      <c r="AF246" s="405"/>
      <c r="AG246" s="405"/>
      <c r="AH246" s="405"/>
      <c r="AI246" s="405"/>
      <c r="AJ246" s="405"/>
      <c r="AK246" s="405"/>
      <c r="AL246" s="405"/>
      <c r="AM246" s="406"/>
      <c r="AN246" s="406"/>
      <c r="AO246" s="406"/>
      <c r="AP246" s="406"/>
      <c r="AQ246" s="403"/>
      <c r="AR246" s="403"/>
      <c r="AS246" s="403"/>
      <c r="AT246" s="403"/>
      <c r="AU246" s="403"/>
      <c r="AV246" s="403"/>
      <c r="AW246" s="403"/>
      <c r="AX246" s="403"/>
      <c r="AY246" s="403"/>
    </row>
    <row r="247">
      <c r="A247" s="415"/>
      <c r="B247" s="415"/>
      <c r="C247" s="410"/>
      <c r="D247" s="429"/>
      <c r="E247" s="416"/>
      <c r="F247" s="413"/>
      <c r="G247" s="413"/>
      <c r="H247" s="415"/>
      <c r="I247" s="415"/>
      <c r="J247" s="415"/>
      <c r="K247" s="415"/>
      <c r="L247" s="417"/>
      <c r="M247" s="403"/>
      <c r="N247" s="403"/>
      <c r="O247" s="403"/>
      <c r="P247" s="403"/>
      <c r="Q247" s="403"/>
      <c r="R247" s="403"/>
      <c r="S247" s="403"/>
      <c r="T247" s="403"/>
      <c r="U247" s="403"/>
      <c r="V247" s="403"/>
      <c r="W247" s="404"/>
      <c r="X247" s="405"/>
      <c r="Y247" s="405"/>
      <c r="Z247" s="405"/>
      <c r="AA247" s="405"/>
      <c r="AB247" s="405"/>
      <c r="AC247" s="405"/>
      <c r="AD247" s="405"/>
      <c r="AE247" s="405"/>
      <c r="AF247" s="405"/>
      <c r="AG247" s="405"/>
      <c r="AH247" s="405"/>
      <c r="AI247" s="405"/>
      <c r="AJ247" s="405"/>
      <c r="AK247" s="405"/>
      <c r="AL247" s="405"/>
      <c r="AM247" s="406"/>
      <c r="AN247" s="406"/>
      <c r="AO247" s="406"/>
      <c r="AP247" s="406"/>
      <c r="AQ247" s="403"/>
      <c r="AR247" s="403"/>
      <c r="AS247" s="403"/>
      <c r="AT247" s="403"/>
      <c r="AU247" s="403"/>
      <c r="AV247" s="403"/>
      <c r="AW247" s="403"/>
      <c r="AX247" s="403"/>
      <c r="AY247" s="403"/>
    </row>
    <row r="248">
      <c r="A248" s="415"/>
      <c r="B248" s="415"/>
      <c r="C248" s="410"/>
      <c r="D248" s="429"/>
      <c r="E248" s="416"/>
      <c r="F248" s="413"/>
      <c r="G248" s="413"/>
      <c r="H248" s="415"/>
      <c r="I248" s="415"/>
      <c r="J248" s="415"/>
      <c r="K248" s="415"/>
      <c r="L248" s="417"/>
      <c r="M248" s="403"/>
      <c r="N248" s="403"/>
      <c r="O248" s="403"/>
      <c r="P248" s="403"/>
      <c r="Q248" s="403"/>
      <c r="R248" s="403"/>
      <c r="S248" s="403"/>
      <c r="T248" s="403"/>
      <c r="U248" s="403"/>
      <c r="V248" s="403"/>
      <c r="W248" s="404"/>
      <c r="X248" s="405"/>
      <c r="Y248" s="405"/>
      <c r="Z248" s="405"/>
      <c r="AA248" s="405"/>
      <c r="AB248" s="405"/>
      <c r="AC248" s="405"/>
      <c r="AD248" s="405"/>
      <c r="AE248" s="405"/>
      <c r="AF248" s="405"/>
      <c r="AG248" s="405"/>
      <c r="AH248" s="405"/>
      <c r="AI248" s="405"/>
      <c r="AJ248" s="405"/>
      <c r="AK248" s="405"/>
      <c r="AL248" s="405"/>
      <c r="AM248" s="406"/>
      <c r="AN248" s="406"/>
      <c r="AO248" s="406"/>
      <c r="AP248" s="406"/>
      <c r="AQ248" s="403"/>
      <c r="AR248" s="403"/>
      <c r="AS248" s="403"/>
      <c r="AT248" s="403"/>
      <c r="AU248" s="403"/>
      <c r="AV248" s="403"/>
      <c r="AW248" s="403"/>
      <c r="AX248" s="403"/>
      <c r="AY248" s="403"/>
    </row>
    <row r="249">
      <c r="A249" s="415"/>
      <c r="B249" s="415"/>
      <c r="C249" s="410"/>
      <c r="D249" s="429"/>
      <c r="E249" s="416"/>
      <c r="F249" s="413"/>
      <c r="G249" s="413"/>
      <c r="H249" s="415"/>
      <c r="I249" s="415"/>
      <c r="J249" s="415"/>
      <c r="K249" s="415"/>
      <c r="L249" s="417"/>
      <c r="M249" s="403"/>
      <c r="N249" s="403"/>
      <c r="O249" s="403"/>
      <c r="P249" s="403"/>
      <c r="Q249" s="403"/>
      <c r="R249" s="403"/>
      <c r="S249" s="403"/>
      <c r="T249" s="403"/>
      <c r="U249" s="403"/>
      <c r="V249" s="403"/>
      <c r="W249" s="404"/>
      <c r="X249" s="405"/>
      <c r="Y249" s="405"/>
      <c r="Z249" s="405"/>
      <c r="AA249" s="405"/>
      <c r="AB249" s="405"/>
      <c r="AC249" s="405"/>
      <c r="AD249" s="405"/>
      <c r="AE249" s="405"/>
      <c r="AF249" s="405"/>
      <c r="AG249" s="405"/>
      <c r="AH249" s="405"/>
      <c r="AI249" s="405"/>
      <c r="AJ249" s="405"/>
      <c r="AK249" s="405"/>
      <c r="AL249" s="405"/>
      <c r="AM249" s="406"/>
      <c r="AN249" s="406"/>
      <c r="AO249" s="406"/>
      <c r="AP249" s="406"/>
      <c r="AQ249" s="403"/>
      <c r="AR249" s="403"/>
      <c r="AS249" s="403"/>
      <c r="AT249" s="403"/>
      <c r="AU249" s="403"/>
      <c r="AV249" s="403"/>
      <c r="AW249" s="403"/>
      <c r="AX249" s="403"/>
      <c r="AY249" s="403"/>
    </row>
    <row r="250">
      <c r="A250" s="415"/>
      <c r="B250" s="415"/>
      <c r="C250" s="410"/>
      <c r="D250" s="429"/>
      <c r="E250" s="416"/>
      <c r="F250" s="413"/>
      <c r="G250" s="413"/>
      <c r="H250" s="415"/>
      <c r="I250" s="415"/>
      <c r="J250" s="415"/>
      <c r="K250" s="415"/>
      <c r="L250" s="417"/>
      <c r="M250" s="403"/>
      <c r="N250" s="403"/>
      <c r="O250" s="403"/>
      <c r="P250" s="403"/>
      <c r="Q250" s="403"/>
      <c r="R250" s="403"/>
      <c r="S250" s="403"/>
      <c r="T250" s="403"/>
      <c r="U250" s="403"/>
      <c r="V250" s="403"/>
      <c r="W250" s="404"/>
      <c r="X250" s="405"/>
      <c r="Y250" s="405"/>
      <c r="Z250" s="405"/>
      <c r="AA250" s="405"/>
      <c r="AB250" s="405"/>
      <c r="AC250" s="405"/>
      <c r="AD250" s="405"/>
      <c r="AE250" s="405"/>
      <c r="AF250" s="405"/>
      <c r="AG250" s="405"/>
      <c r="AH250" s="405"/>
      <c r="AI250" s="405"/>
      <c r="AJ250" s="405"/>
      <c r="AK250" s="405"/>
      <c r="AL250" s="405"/>
      <c r="AM250" s="406"/>
      <c r="AN250" s="406"/>
      <c r="AO250" s="406"/>
      <c r="AP250" s="406"/>
      <c r="AQ250" s="403"/>
      <c r="AR250" s="403"/>
      <c r="AS250" s="403"/>
      <c r="AT250" s="403"/>
      <c r="AU250" s="403"/>
      <c r="AV250" s="403"/>
      <c r="AW250" s="403"/>
      <c r="AX250" s="403"/>
      <c r="AY250" s="403"/>
    </row>
    <row r="251">
      <c r="A251" s="415"/>
      <c r="B251" s="415"/>
      <c r="C251" s="410"/>
      <c r="D251" s="429"/>
      <c r="E251" s="416"/>
      <c r="F251" s="413"/>
      <c r="G251" s="413"/>
      <c r="H251" s="415"/>
      <c r="I251" s="415"/>
      <c r="J251" s="415"/>
      <c r="K251" s="415"/>
      <c r="L251" s="417"/>
      <c r="M251" s="403"/>
      <c r="N251" s="403"/>
      <c r="O251" s="403"/>
      <c r="P251" s="403"/>
      <c r="Q251" s="403"/>
      <c r="R251" s="403"/>
      <c r="S251" s="403"/>
      <c r="T251" s="403"/>
      <c r="U251" s="403"/>
      <c r="V251" s="403"/>
      <c r="W251" s="404"/>
      <c r="X251" s="405"/>
      <c r="Y251" s="405"/>
      <c r="Z251" s="405"/>
      <c r="AA251" s="405"/>
      <c r="AB251" s="405"/>
      <c r="AC251" s="405"/>
      <c r="AD251" s="405"/>
      <c r="AE251" s="405"/>
      <c r="AF251" s="405"/>
      <c r="AG251" s="405"/>
      <c r="AH251" s="405"/>
      <c r="AI251" s="405"/>
      <c r="AJ251" s="405"/>
      <c r="AK251" s="405"/>
      <c r="AL251" s="405"/>
      <c r="AM251" s="406"/>
      <c r="AN251" s="406"/>
      <c r="AO251" s="406"/>
      <c r="AP251" s="406"/>
      <c r="AQ251" s="403"/>
      <c r="AR251" s="403"/>
      <c r="AS251" s="403"/>
      <c r="AT251" s="403"/>
      <c r="AU251" s="403"/>
      <c r="AV251" s="403"/>
      <c r="AW251" s="403"/>
      <c r="AX251" s="403"/>
      <c r="AY251" s="403"/>
    </row>
    <row r="252">
      <c r="A252" s="415"/>
      <c r="B252" s="415"/>
      <c r="C252" s="410"/>
      <c r="D252" s="429"/>
      <c r="E252" s="416"/>
      <c r="F252" s="413"/>
      <c r="G252" s="413"/>
      <c r="H252" s="415"/>
      <c r="I252" s="415"/>
      <c r="J252" s="415"/>
      <c r="K252" s="415"/>
      <c r="L252" s="417"/>
      <c r="M252" s="403"/>
      <c r="N252" s="403"/>
      <c r="O252" s="403"/>
      <c r="P252" s="403"/>
      <c r="Q252" s="403"/>
      <c r="R252" s="403"/>
      <c r="S252" s="403"/>
      <c r="T252" s="403"/>
      <c r="U252" s="403"/>
      <c r="V252" s="403"/>
      <c r="W252" s="404"/>
      <c r="X252" s="405"/>
      <c r="Y252" s="405"/>
      <c r="Z252" s="405"/>
      <c r="AA252" s="405"/>
      <c r="AB252" s="405"/>
      <c r="AC252" s="405"/>
      <c r="AD252" s="405"/>
      <c r="AE252" s="405"/>
      <c r="AF252" s="405"/>
      <c r="AG252" s="405"/>
      <c r="AH252" s="405"/>
      <c r="AI252" s="405"/>
      <c r="AJ252" s="405"/>
      <c r="AK252" s="405"/>
      <c r="AL252" s="405"/>
      <c r="AM252" s="406"/>
      <c r="AN252" s="406"/>
      <c r="AO252" s="406"/>
      <c r="AP252" s="406"/>
      <c r="AQ252" s="403"/>
      <c r="AR252" s="403"/>
      <c r="AS252" s="403"/>
      <c r="AT252" s="403"/>
      <c r="AU252" s="403"/>
      <c r="AV252" s="403"/>
      <c r="AW252" s="403"/>
      <c r="AX252" s="403"/>
      <c r="AY252" s="403"/>
    </row>
    <row r="253">
      <c r="A253" s="415"/>
      <c r="B253" s="415"/>
      <c r="C253" s="410"/>
      <c r="D253" s="429"/>
      <c r="E253" s="416"/>
      <c r="F253" s="413"/>
      <c r="G253" s="413"/>
      <c r="H253" s="415"/>
      <c r="I253" s="415"/>
      <c r="J253" s="415"/>
      <c r="K253" s="415"/>
      <c r="L253" s="417"/>
      <c r="M253" s="403"/>
      <c r="N253" s="403"/>
      <c r="O253" s="403"/>
      <c r="P253" s="403"/>
      <c r="Q253" s="403"/>
      <c r="R253" s="403"/>
      <c r="S253" s="403"/>
      <c r="T253" s="403"/>
      <c r="U253" s="403"/>
      <c r="V253" s="403"/>
      <c r="W253" s="404"/>
      <c r="X253" s="405"/>
      <c r="Y253" s="405"/>
      <c r="Z253" s="405"/>
      <c r="AA253" s="405"/>
      <c r="AB253" s="405"/>
      <c r="AC253" s="405"/>
      <c r="AD253" s="405"/>
      <c r="AE253" s="405"/>
      <c r="AF253" s="405"/>
      <c r="AG253" s="405"/>
      <c r="AH253" s="405"/>
      <c r="AI253" s="405"/>
      <c r="AJ253" s="405"/>
      <c r="AK253" s="405"/>
      <c r="AL253" s="405"/>
      <c r="AM253" s="406"/>
      <c r="AN253" s="406"/>
      <c r="AO253" s="406"/>
      <c r="AP253" s="406"/>
      <c r="AQ253" s="403"/>
      <c r="AR253" s="403"/>
      <c r="AS253" s="403"/>
      <c r="AT253" s="403"/>
      <c r="AU253" s="403"/>
      <c r="AV253" s="403"/>
      <c r="AW253" s="403"/>
      <c r="AX253" s="403"/>
      <c r="AY253" s="403"/>
    </row>
    <row r="254">
      <c r="A254" s="415"/>
      <c r="B254" s="415"/>
      <c r="C254" s="410"/>
      <c r="D254" s="429"/>
      <c r="E254" s="416"/>
      <c r="F254" s="413"/>
      <c r="G254" s="413"/>
      <c r="H254" s="415"/>
      <c r="I254" s="415"/>
      <c r="J254" s="415"/>
      <c r="K254" s="415"/>
      <c r="L254" s="417"/>
      <c r="M254" s="403"/>
      <c r="N254" s="403"/>
      <c r="O254" s="403"/>
      <c r="P254" s="403"/>
      <c r="Q254" s="403"/>
      <c r="R254" s="403"/>
      <c r="S254" s="403"/>
      <c r="T254" s="403"/>
      <c r="U254" s="403"/>
      <c r="V254" s="403"/>
      <c r="W254" s="404"/>
      <c r="X254" s="405"/>
      <c r="Y254" s="405"/>
      <c r="Z254" s="405"/>
      <c r="AA254" s="405"/>
      <c r="AB254" s="405"/>
      <c r="AC254" s="405"/>
      <c r="AD254" s="405"/>
      <c r="AE254" s="405"/>
      <c r="AF254" s="405"/>
      <c r="AG254" s="405"/>
      <c r="AH254" s="405"/>
      <c r="AI254" s="405"/>
      <c r="AJ254" s="405"/>
      <c r="AK254" s="405"/>
      <c r="AL254" s="405"/>
      <c r="AM254" s="406"/>
      <c r="AN254" s="406"/>
      <c r="AO254" s="406"/>
      <c r="AP254" s="406"/>
      <c r="AQ254" s="403"/>
      <c r="AR254" s="403"/>
      <c r="AS254" s="403"/>
      <c r="AT254" s="403"/>
      <c r="AU254" s="403"/>
      <c r="AV254" s="403"/>
      <c r="AW254" s="403"/>
      <c r="AX254" s="403"/>
      <c r="AY254" s="403"/>
    </row>
    <row r="255">
      <c r="A255" s="415"/>
      <c r="B255" s="415"/>
      <c r="C255" s="410"/>
      <c r="D255" s="429"/>
      <c r="E255" s="416"/>
      <c r="F255" s="413"/>
      <c r="G255" s="413"/>
      <c r="H255" s="415"/>
      <c r="I255" s="415"/>
      <c r="J255" s="415"/>
      <c r="K255" s="415"/>
      <c r="L255" s="417"/>
      <c r="M255" s="403"/>
      <c r="N255" s="403"/>
      <c r="O255" s="403"/>
      <c r="P255" s="403"/>
      <c r="Q255" s="403"/>
      <c r="R255" s="403"/>
      <c r="S255" s="403"/>
      <c r="T255" s="403"/>
      <c r="U255" s="403"/>
      <c r="V255" s="403"/>
      <c r="W255" s="404"/>
      <c r="X255" s="405"/>
      <c r="Y255" s="405"/>
      <c r="Z255" s="405"/>
      <c r="AA255" s="405"/>
      <c r="AB255" s="405"/>
      <c r="AC255" s="405"/>
      <c r="AD255" s="405"/>
      <c r="AE255" s="405"/>
      <c r="AF255" s="405"/>
      <c r="AG255" s="405"/>
      <c r="AH255" s="405"/>
      <c r="AI255" s="405"/>
      <c r="AJ255" s="405"/>
      <c r="AK255" s="405"/>
      <c r="AL255" s="405"/>
      <c r="AM255" s="406"/>
      <c r="AN255" s="406"/>
      <c r="AO255" s="406"/>
      <c r="AP255" s="406"/>
      <c r="AQ255" s="403"/>
      <c r="AR255" s="403"/>
      <c r="AS255" s="403"/>
      <c r="AT255" s="403"/>
      <c r="AU255" s="403"/>
      <c r="AV255" s="403"/>
      <c r="AW255" s="403"/>
      <c r="AX255" s="403"/>
      <c r="AY255" s="403"/>
    </row>
    <row r="256">
      <c r="A256" s="415"/>
      <c r="B256" s="415"/>
      <c r="C256" s="410"/>
      <c r="D256" s="429"/>
      <c r="E256" s="416"/>
      <c r="F256" s="413"/>
      <c r="G256" s="413"/>
      <c r="H256" s="415"/>
      <c r="I256" s="415"/>
      <c r="J256" s="415"/>
      <c r="K256" s="415"/>
      <c r="L256" s="417"/>
      <c r="M256" s="403"/>
      <c r="N256" s="403"/>
      <c r="O256" s="403"/>
      <c r="P256" s="403"/>
      <c r="Q256" s="403"/>
      <c r="R256" s="403"/>
      <c r="S256" s="403"/>
      <c r="T256" s="403"/>
      <c r="U256" s="403"/>
      <c r="V256" s="403"/>
      <c r="W256" s="404"/>
      <c r="X256" s="405"/>
      <c r="Y256" s="405"/>
      <c r="Z256" s="405"/>
      <c r="AA256" s="405"/>
      <c r="AB256" s="405"/>
      <c r="AC256" s="405"/>
      <c r="AD256" s="405"/>
      <c r="AE256" s="405"/>
      <c r="AF256" s="405"/>
      <c r="AG256" s="405"/>
      <c r="AH256" s="405"/>
      <c r="AI256" s="405"/>
      <c r="AJ256" s="405"/>
      <c r="AK256" s="405"/>
      <c r="AL256" s="405"/>
      <c r="AM256" s="406"/>
      <c r="AN256" s="406"/>
      <c r="AO256" s="406"/>
      <c r="AP256" s="406"/>
      <c r="AQ256" s="403"/>
      <c r="AR256" s="403"/>
      <c r="AS256" s="403"/>
      <c r="AT256" s="403"/>
      <c r="AU256" s="403"/>
      <c r="AV256" s="403"/>
      <c r="AW256" s="403"/>
      <c r="AX256" s="403"/>
      <c r="AY256" s="403"/>
    </row>
    <row r="257">
      <c r="A257" s="415"/>
      <c r="B257" s="415"/>
      <c r="C257" s="410"/>
      <c r="D257" s="429"/>
      <c r="E257" s="416"/>
      <c r="F257" s="413"/>
      <c r="G257" s="413"/>
      <c r="H257" s="415"/>
      <c r="I257" s="415"/>
      <c r="J257" s="415"/>
      <c r="K257" s="415"/>
      <c r="L257" s="417"/>
      <c r="M257" s="403"/>
      <c r="N257" s="403"/>
      <c r="O257" s="403"/>
      <c r="P257" s="403"/>
      <c r="Q257" s="403"/>
      <c r="R257" s="403"/>
      <c r="S257" s="403"/>
      <c r="T257" s="403"/>
      <c r="U257" s="403"/>
      <c r="V257" s="403"/>
      <c r="W257" s="404"/>
      <c r="X257" s="405"/>
      <c r="Y257" s="405"/>
      <c r="Z257" s="405"/>
      <c r="AA257" s="405"/>
      <c r="AB257" s="405"/>
      <c r="AC257" s="405"/>
      <c r="AD257" s="405"/>
      <c r="AE257" s="405"/>
      <c r="AF257" s="405"/>
      <c r="AG257" s="405"/>
      <c r="AH257" s="405"/>
      <c r="AI257" s="405"/>
      <c r="AJ257" s="405"/>
      <c r="AK257" s="405"/>
      <c r="AL257" s="405"/>
      <c r="AM257" s="406"/>
      <c r="AN257" s="406"/>
      <c r="AO257" s="406"/>
      <c r="AP257" s="406"/>
      <c r="AQ257" s="403"/>
      <c r="AR257" s="403"/>
      <c r="AS257" s="403"/>
      <c r="AT257" s="403"/>
      <c r="AU257" s="403"/>
      <c r="AV257" s="403"/>
      <c r="AW257" s="403"/>
      <c r="AX257" s="403"/>
      <c r="AY257" s="403"/>
    </row>
    <row r="258">
      <c r="A258" s="415"/>
      <c r="B258" s="415"/>
      <c r="C258" s="410"/>
      <c r="D258" s="429"/>
      <c r="E258" s="416"/>
      <c r="F258" s="413"/>
      <c r="G258" s="413"/>
      <c r="H258" s="415"/>
      <c r="I258" s="415"/>
      <c r="J258" s="415"/>
      <c r="K258" s="415"/>
      <c r="L258" s="417"/>
      <c r="M258" s="403"/>
      <c r="N258" s="403"/>
      <c r="O258" s="403"/>
      <c r="P258" s="403"/>
      <c r="Q258" s="403"/>
      <c r="R258" s="403"/>
      <c r="S258" s="403"/>
      <c r="T258" s="403"/>
      <c r="U258" s="403"/>
      <c r="V258" s="403"/>
      <c r="W258" s="404"/>
      <c r="X258" s="405"/>
      <c r="Y258" s="405"/>
      <c r="Z258" s="405"/>
      <c r="AA258" s="405"/>
      <c r="AB258" s="405"/>
      <c r="AC258" s="405"/>
      <c r="AD258" s="405"/>
      <c r="AE258" s="405"/>
      <c r="AF258" s="405"/>
      <c r="AG258" s="405"/>
      <c r="AH258" s="405"/>
      <c r="AI258" s="405"/>
      <c r="AJ258" s="405"/>
      <c r="AK258" s="405"/>
      <c r="AL258" s="405"/>
      <c r="AM258" s="406"/>
      <c r="AN258" s="406"/>
      <c r="AO258" s="406"/>
      <c r="AP258" s="406"/>
      <c r="AQ258" s="403"/>
      <c r="AR258" s="403"/>
      <c r="AS258" s="403"/>
      <c r="AT258" s="403"/>
      <c r="AU258" s="403"/>
      <c r="AV258" s="403"/>
      <c r="AW258" s="403"/>
      <c r="AX258" s="403"/>
      <c r="AY258" s="403"/>
    </row>
    <row r="259">
      <c r="A259" s="415"/>
      <c r="B259" s="415"/>
      <c r="C259" s="410"/>
      <c r="D259" s="429"/>
      <c r="E259" s="416"/>
      <c r="F259" s="413"/>
      <c r="G259" s="413"/>
      <c r="H259" s="415"/>
      <c r="I259" s="415"/>
      <c r="J259" s="415"/>
      <c r="K259" s="415"/>
      <c r="L259" s="417"/>
      <c r="M259" s="403"/>
      <c r="N259" s="403"/>
      <c r="O259" s="403"/>
      <c r="P259" s="403"/>
      <c r="Q259" s="403"/>
      <c r="R259" s="403"/>
      <c r="S259" s="403"/>
      <c r="T259" s="403"/>
      <c r="U259" s="403"/>
      <c r="V259" s="403"/>
      <c r="W259" s="404"/>
      <c r="X259" s="405"/>
      <c r="Y259" s="405"/>
      <c r="Z259" s="405"/>
      <c r="AA259" s="405"/>
      <c r="AB259" s="405"/>
      <c r="AC259" s="405"/>
      <c r="AD259" s="405"/>
      <c r="AE259" s="405"/>
      <c r="AF259" s="405"/>
      <c r="AG259" s="405"/>
      <c r="AH259" s="405"/>
      <c r="AI259" s="405"/>
      <c r="AJ259" s="405"/>
      <c r="AK259" s="405"/>
      <c r="AL259" s="405"/>
      <c r="AM259" s="406"/>
      <c r="AN259" s="406"/>
      <c r="AO259" s="406"/>
      <c r="AP259" s="406"/>
      <c r="AQ259" s="403"/>
      <c r="AR259" s="403"/>
      <c r="AS259" s="403"/>
      <c r="AT259" s="403"/>
      <c r="AU259" s="403"/>
      <c r="AV259" s="403"/>
      <c r="AW259" s="403"/>
      <c r="AX259" s="403"/>
      <c r="AY259" s="403"/>
    </row>
    <row r="260">
      <c r="A260" s="415"/>
      <c r="B260" s="415"/>
      <c r="C260" s="410"/>
      <c r="D260" s="429"/>
      <c r="E260" s="416"/>
      <c r="F260" s="413"/>
      <c r="G260" s="413"/>
      <c r="H260" s="415"/>
      <c r="I260" s="415"/>
      <c r="J260" s="415"/>
      <c r="K260" s="415"/>
      <c r="L260" s="417"/>
      <c r="M260" s="403"/>
      <c r="N260" s="403"/>
      <c r="O260" s="403"/>
      <c r="P260" s="403"/>
      <c r="Q260" s="403"/>
      <c r="R260" s="403"/>
      <c r="S260" s="403"/>
      <c r="T260" s="403"/>
      <c r="U260" s="403"/>
      <c r="V260" s="403"/>
      <c r="W260" s="404"/>
      <c r="X260" s="405"/>
      <c r="Y260" s="405"/>
      <c r="Z260" s="405"/>
      <c r="AA260" s="405"/>
      <c r="AB260" s="405"/>
      <c r="AC260" s="405"/>
      <c r="AD260" s="405"/>
      <c r="AE260" s="405"/>
      <c r="AF260" s="405"/>
      <c r="AG260" s="405"/>
      <c r="AH260" s="405"/>
      <c r="AI260" s="405"/>
      <c r="AJ260" s="405"/>
      <c r="AK260" s="405"/>
      <c r="AL260" s="405"/>
      <c r="AM260" s="406"/>
      <c r="AN260" s="406"/>
      <c r="AO260" s="406"/>
      <c r="AP260" s="406"/>
      <c r="AQ260" s="403"/>
      <c r="AR260" s="403"/>
      <c r="AS260" s="403"/>
      <c r="AT260" s="403"/>
      <c r="AU260" s="403"/>
      <c r="AV260" s="403"/>
      <c r="AW260" s="403"/>
      <c r="AX260" s="403"/>
      <c r="AY260" s="403"/>
    </row>
    <row r="261">
      <c r="A261" s="415"/>
      <c r="B261" s="415"/>
      <c r="C261" s="410"/>
      <c r="D261" s="429"/>
      <c r="E261" s="416"/>
      <c r="F261" s="413"/>
      <c r="G261" s="413"/>
      <c r="H261" s="415"/>
      <c r="I261" s="415"/>
      <c r="J261" s="415"/>
      <c r="K261" s="415"/>
      <c r="L261" s="417"/>
      <c r="M261" s="403"/>
      <c r="N261" s="403"/>
      <c r="O261" s="403"/>
      <c r="P261" s="403"/>
      <c r="Q261" s="403"/>
      <c r="R261" s="403"/>
      <c r="S261" s="403"/>
      <c r="T261" s="403"/>
      <c r="U261" s="403"/>
      <c r="V261" s="403"/>
      <c r="W261" s="404"/>
      <c r="X261" s="405"/>
      <c r="Y261" s="405"/>
      <c r="Z261" s="405"/>
      <c r="AA261" s="405"/>
      <c r="AB261" s="405"/>
      <c r="AC261" s="405"/>
      <c r="AD261" s="405"/>
      <c r="AE261" s="405"/>
      <c r="AF261" s="405"/>
      <c r="AG261" s="405"/>
      <c r="AH261" s="405"/>
      <c r="AI261" s="405"/>
      <c r="AJ261" s="405"/>
      <c r="AK261" s="405"/>
      <c r="AL261" s="405"/>
      <c r="AM261" s="406"/>
      <c r="AN261" s="406"/>
      <c r="AO261" s="406"/>
      <c r="AP261" s="406"/>
      <c r="AQ261" s="403"/>
      <c r="AR261" s="403"/>
      <c r="AS261" s="403"/>
      <c r="AT261" s="403"/>
      <c r="AU261" s="403"/>
      <c r="AV261" s="403"/>
      <c r="AW261" s="403"/>
      <c r="AX261" s="403"/>
      <c r="AY261" s="403"/>
    </row>
    <row r="262">
      <c r="A262" s="415"/>
      <c r="B262" s="415"/>
      <c r="C262" s="410"/>
      <c r="D262" s="429"/>
      <c r="E262" s="416"/>
      <c r="F262" s="413"/>
      <c r="G262" s="413"/>
      <c r="H262" s="415"/>
      <c r="I262" s="415"/>
      <c r="J262" s="415"/>
      <c r="K262" s="415"/>
      <c r="L262" s="417"/>
      <c r="M262" s="403"/>
      <c r="N262" s="403"/>
      <c r="O262" s="403"/>
      <c r="P262" s="403"/>
      <c r="Q262" s="403"/>
      <c r="R262" s="403"/>
      <c r="S262" s="403"/>
      <c r="T262" s="403"/>
      <c r="U262" s="403"/>
      <c r="V262" s="403"/>
      <c r="W262" s="404"/>
      <c r="X262" s="405"/>
      <c r="Y262" s="405"/>
      <c r="Z262" s="405"/>
      <c r="AA262" s="405"/>
      <c r="AB262" s="405"/>
      <c r="AC262" s="405"/>
      <c r="AD262" s="405"/>
      <c r="AE262" s="405"/>
      <c r="AF262" s="405"/>
      <c r="AG262" s="405"/>
      <c r="AH262" s="405"/>
      <c r="AI262" s="405"/>
      <c r="AJ262" s="405"/>
      <c r="AK262" s="405"/>
      <c r="AL262" s="405"/>
      <c r="AM262" s="406"/>
      <c r="AN262" s="406"/>
      <c r="AO262" s="406"/>
      <c r="AP262" s="406"/>
      <c r="AQ262" s="403"/>
      <c r="AR262" s="403"/>
      <c r="AS262" s="403"/>
      <c r="AT262" s="403"/>
      <c r="AU262" s="403"/>
      <c r="AV262" s="403"/>
      <c r="AW262" s="403"/>
      <c r="AX262" s="403"/>
      <c r="AY262" s="403"/>
    </row>
    <row r="263">
      <c r="A263" s="415"/>
      <c r="B263" s="415"/>
      <c r="C263" s="410"/>
      <c r="D263" s="429"/>
      <c r="E263" s="416"/>
      <c r="F263" s="413"/>
      <c r="G263" s="413"/>
      <c r="H263" s="415"/>
      <c r="I263" s="415"/>
      <c r="J263" s="415"/>
      <c r="K263" s="415"/>
      <c r="L263" s="417"/>
      <c r="M263" s="403"/>
      <c r="N263" s="403"/>
      <c r="O263" s="403"/>
      <c r="P263" s="403"/>
      <c r="Q263" s="403"/>
      <c r="R263" s="403"/>
      <c r="S263" s="403"/>
      <c r="T263" s="403"/>
      <c r="U263" s="403"/>
      <c r="V263" s="403"/>
      <c r="W263" s="404"/>
      <c r="X263" s="405"/>
      <c r="Y263" s="405"/>
      <c r="Z263" s="405"/>
      <c r="AA263" s="405"/>
      <c r="AB263" s="405"/>
      <c r="AC263" s="405"/>
      <c r="AD263" s="405"/>
      <c r="AE263" s="405"/>
      <c r="AF263" s="405"/>
      <c r="AG263" s="405"/>
      <c r="AH263" s="405"/>
      <c r="AI263" s="405"/>
      <c r="AJ263" s="405"/>
      <c r="AK263" s="405"/>
      <c r="AL263" s="405"/>
      <c r="AM263" s="406"/>
      <c r="AN263" s="406"/>
      <c r="AO263" s="406"/>
      <c r="AP263" s="406"/>
      <c r="AQ263" s="403"/>
      <c r="AR263" s="403"/>
      <c r="AS263" s="403"/>
      <c r="AT263" s="403"/>
      <c r="AU263" s="403"/>
      <c r="AV263" s="403"/>
      <c r="AW263" s="403"/>
      <c r="AX263" s="403"/>
      <c r="AY263" s="403"/>
    </row>
    <row r="264">
      <c r="A264" s="415"/>
      <c r="B264" s="415"/>
      <c r="C264" s="410"/>
      <c r="D264" s="429"/>
      <c r="E264" s="416"/>
      <c r="F264" s="413"/>
      <c r="G264" s="413"/>
      <c r="H264" s="415"/>
      <c r="I264" s="415"/>
      <c r="J264" s="415"/>
      <c r="K264" s="415"/>
      <c r="L264" s="417"/>
      <c r="M264" s="403"/>
      <c r="N264" s="403"/>
      <c r="O264" s="403"/>
      <c r="P264" s="403"/>
      <c r="Q264" s="403"/>
      <c r="R264" s="403"/>
      <c r="S264" s="403"/>
      <c r="T264" s="403"/>
      <c r="U264" s="403"/>
      <c r="V264" s="403"/>
      <c r="W264" s="404"/>
      <c r="X264" s="405"/>
      <c r="Y264" s="405"/>
      <c r="Z264" s="405"/>
      <c r="AA264" s="405"/>
      <c r="AB264" s="405"/>
      <c r="AC264" s="405"/>
      <c r="AD264" s="405"/>
      <c r="AE264" s="405"/>
      <c r="AF264" s="405"/>
      <c r="AG264" s="405"/>
      <c r="AH264" s="405"/>
      <c r="AI264" s="405"/>
      <c r="AJ264" s="405"/>
      <c r="AK264" s="405"/>
      <c r="AL264" s="405"/>
      <c r="AM264" s="406"/>
      <c r="AN264" s="406"/>
      <c r="AO264" s="406"/>
      <c r="AP264" s="406"/>
      <c r="AQ264" s="403"/>
      <c r="AR264" s="403"/>
      <c r="AS264" s="403"/>
      <c r="AT264" s="403"/>
      <c r="AU264" s="403"/>
      <c r="AV264" s="403"/>
      <c r="AW264" s="403"/>
      <c r="AX264" s="403"/>
      <c r="AY264" s="403"/>
    </row>
    <row r="265">
      <c r="A265" s="415"/>
      <c r="B265" s="415"/>
      <c r="C265" s="410"/>
      <c r="D265" s="429"/>
      <c r="E265" s="416"/>
      <c r="F265" s="413"/>
      <c r="G265" s="413"/>
      <c r="H265" s="415"/>
      <c r="I265" s="415"/>
      <c r="J265" s="415"/>
      <c r="K265" s="415"/>
      <c r="L265" s="417"/>
      <c r="M265" s="403"/>
      <c r="N265" s="403"/>
      <c r="O265" s="403"/>
      <c r="P265" s="403"/>
      <c r="Q265" s="403"/>
      <c r="R265" s="403"/>
      <c r="S265" s="403"/>
      <c r="T265" s="403"/>
      <c r="U265" s="403"/>
      <c r="V265" s="403"/>
      <c r="W265" s="404"/>
      <c r="X265" s="405"/>
      <c r="Y265" s="405"/>
      <c r="Z265" s="405"/>
      <c r="AA265" s="405"/>
      <c r="AB265" s="405"/>
      <c r="AC265" s="405"/>
      <c r="AD265" s="405"/>
      <c r="AE265" s="405"/>
      <c r="AF265" s="405"/>
      <c r="AG265" s="405"/>
      <c r="AH265" s="405"/>
      <c r="AI265" s="405"/>
      <c r="AJ265" s="405"/>
      <c r="AK265" s="405"/>
      <c r="AL265" s="405"/>
      <c r="AM265" s="406"/>
      <c r="AN265" s="406"/>
      <c r="AO265" s="406"/>
      <c r="AP265" s="406"/>
      <c r="AQ265" s="403"/>
      <c r="AR265" s="403"/>
      <c r="AS265" s="403"/>
      <c r="AT265" s="403"/>
      <c r="AU265" s="403"/>
      <c r="AV265" s="403"/>
      <c r="AW265" s="403"/>
      <c r="AX265" s="403"/>
      <c r="AY265" s="403"/>
    </row>
    <row r="266">
      <c r="A266" s="415"/>
      <c r="B266" s="415"/>
      <c r="C266" s="410"/>
      <c r="D266" s="429"/>
      <c r="E266" s="416"/>
      <c r="F266" s="413"/>
      <c r="G266" s="413"/>
      <c r="H266" s="415"/>
      <c r="I266" s="415"/>
      <c r="J266" s="415"/>
      <c r="K266" s="415"/>
      <c r="L266" s="417"/>
      <c r="M266" s="403"/>
      <c r="N266" s="403"/>
      <c r="O266" s="403"/>
      <c r="P266" s="403"/>
      <c r="Q266" s="403"/>
      <c r="R266" s="403"/>
      <c r="S266" s="403"/>
      <c r="T266" s="403"/>
      <c r="U266" s="403"/>
      <c r="V266" s="403"/>
      <c r="W266" s="404"/>
      <c r="X266" s="405"/>
      <c r="Y266" s="405"/>
      <c r="Z266" s="405"/>
      <c r="AA266" s="405"/>
      <c r="AB266" s="405"/>
      <c r="AC266" s="405"/>
      <c r="AD266" s="405"/>
      <c r="AE266" s="405"/>
      <c r="AF266" s="405"/>
      <c r="AG266" s="405"/>
      <c r="AH266" s="405"/>
      <c r="AI266" s="405"/>
      <c r="AJ266" s="405"/>
      <c r="AK266" s="405"/>
      <c r="AL266" s="405"/>
      <c r="AM266" s="406"/>
      <c r="AN266" s="406"/>
      <c r="AO266" s="406"/>
      <c r="AP266" s="406"/>
      <c r="AQ266" s="403"/>
      <c r="AR266" s="403"/>
      <c r="AS266" s="403"/>
      <c r="AT266" s="403"/>
      <c r="AU266" s="403"/>
      <c r="AV266" s="403"/>
      <c r="AW266" s="403"/>
      <c r="AX266" s="403"/>
      <c r="AY266" s="403"/>
    </row>
    <row r="267">
      <c r="A267" s="415"/>
      <c r="B267" s="415"/>
      <c r="C267" s="410"/>
      <c r="D267" s="429"/>
      <c r="E267" s="416"/>
      <c r="F267" s="413"/>
      <c r="G267" s="413"/>
      <c r="H267" s="415"/>
      <c r="I267" s="415"/>
      <c r="J267" s="415"/>
      <c r="K267" s="415"/>
      <c r="L267" s="417"/>
      <c r="M267" s="403"/>
      <c r="N267" s="403"/>
      <c r="O267" s="403"/>
      <c r="P267" s="403"/>
      <c r="Q267" s="403"/>
      <c r="R267" s="403"/>
      <c r="S267" s="403"/>
      <c r="T267" s="403"/>
      <c r="U267" s="403"/>
      <c r="V267" s="403"/>
      <c r="W267" s="404"/>
      <c r="X267" s="405"/>
      <c r="Y267" s="405"/>
      <c r="Z267" s="405"/>
      <c r="AA267" s="405"/>
      <c r="AB267" s="405"/>
      <c r="AC267" s="405"/>
      <c r="AD267" s="405"/>
      <c r="AE267" s="405"/>
      <c r="AF267" s="405"/>
      <c r="AG267" s="405"/>
      <c r="AH267" s="405"/>
      <c r="AI267" s="405"/>
      <c r="AJ267" s="405"/>
      <c r="AK267" s="405"/>
      <c r="AL267" s="405"/>
      <c r="AM267" s="406"/>
      <c r="AN267" s="406"/>
      <c r="AO267" s="406"/>
      <c r="AP267" s="406"/>
      <c r="AQ267" s="403"/>
      <c r="AR267" s="403"/>
      <c r="AS267" s="403"/>
      <c r="AT267" s="403"/>
      <c r="AU267" s="403"/>
      <c r="AV267" s="403"/>
      <c r="AW267" s="403"/>
      <c r="AX267" s="403"/>
      <c r="AY267" s="403"/>
    </row>
    <row r="268">
      <c r="A268" s="415"/>
      <c r="B268" s="415"/>
      <c r="C268" s="410"/>
      <c r="D268" s="429"/>
      <c r="E268" s="416"/>
      <c r="F268" s="413"/>
      <c r="G268" s="413"/>
      <c r="H268" s="415"/>
      <c r="I268" s="415"/>
      <c r="J268" s="415"/>
      <c r="K268" s="415"/>
      <c r="L268" s="417"/>
      <c r="M268" s="403"/>
      <c r="N268" s="403"/>
      <c r="O268" s="403"/>
      <c r="P268" s="403"/>
      <c r="Q268" s="403"/>
      <c r="R268" s="403"/>
      <c r="S268" s="403"/>
      <c r="T268" s="403"/>
      <c r="U268" s="403"/>
      <c r="V268" s="403"/>
      <c r="W268" s="404"/>
      <c r="X268" s="405"/>
      <c r="Y268" s="405"/>
      <c r="Z268" s="405"/>
      <c r="AA268" s="405"/>
      <c r="AB268" s="405"/>
      <c r="AC268" s="405"/>
      <c r="AD268" s="405"/>
      <c r="AE268" s="405"/>
      <c r="AF268" s="405"/>
      <c r="AG268" s="405"/>
      <c r="AH268" s="405"/>
      <c r="AI268" s="405"/>
      <c r="AJ268" s="405"/>
      <c r="AK268" s="405"/>
      <c r="AL268" s="405"/>
      <c r="AM268" s="406"/>
      <c r="AN268" s="406"/>
      <c r="AO268" s="406"/>
      <c r="AP268" s="406"/>
      <c r="AQ268" s="403"/>
      <c r="AR268" s="403"/>
      <c r="AS268" s="403"/>
      <c r="AT268" s="403"/>
      <c r="AU268" s="403"/>
      <c r="AV268" s="403"/>
      <c r="AW268" s="403"/>
      <c r="AX268" s="403"/>
      <c r="AY268" s="403"/>
    </row>
    <row r="269">
      <c r="A269" s="415"/>
      <c r="B269" s="415"/>
      <c r="C269" s="410"/>
      <c r="D269" s="429"/>
      <c r="E269" s="416"/>
      <c r="F269" s="413"/>
      <c r="G269" s="413"/>
      <c r="H269" s="415"/>
      <c r="I269" s="415"/>
      <c r="J269" s="415"/>
      <c r="K269" s="415"/>
      <c r="L269" s="417"/>
      <c r="M269" s="403"/>
      <c r="N269" s="403"/>
      <c r="O269" s="403"/>
      <c r="P269" s="403"/>
      <c r="Q269" s="403"/>
      <c r="R269" s="403"/>
      <c r="S269" s="403"/>
      <c r="T269" s="403"/>
      <c r="U269" s="403"/>
      <c r="V269" s="403"/>
      <c r="W269" s="404"/>
      <c r="X269" s="405"/>
      <c r="Y269" s="405"/>
      <c r="Z269" s="405"/>
      <c r="AA269" s="405"/>
      <c r="AB269" s="405"/>
      <c r="AC269" s="405"/>
      <c r="AD269" s="405"/>
      <c r="AE269" s="405"/>
      <c r="AF269" s="405"/>
      <c r="AG269" s="405"/>
      <c r="AH269" s="405"/>
      <c r="AI269" s="405"/>
      <c r="AJ269" s="405"/>
      <c r="AK269" s="405"/>
      <c r="AL269" s="405"/>
      <c r="AM269" s="406"/>
      <c r="AN269" s="406"/>
      <c r="AO269" s="406"/>
      <c r="AP269" s="406"/>
      <c r="AQ269" s="403"/>
      <c r="AR269" s="403"/>
      <c r="AS269" s="403"/>
      <c r="AT269" s="403"/>
      <c r="AU269" s="403"/>
      <c r="AV269" s="403"/>
      <c r="AW269" s="403"/>
      <c r="AX269" s="403"/>
      <c r="AY269" s="403"/>
    </row>
    <row r="270">
      <c r="A270" s="415"/>
      <c r="B270" s="415"/>
      <c r="C270" s="410"/>
      <c r="D270" s="429"/>
      <c r="E270" s="416"/>
      <c r="F270" s="413"/>
      <c r="G270" s="413"/>
      <c r="H270" s="415"/>
      <c r="I270" s="415"/>
      <c r="J270" s="415"/>
      <c r="K270" s="415"/>
      <c r="L270" s="417"/>
      <c r="M270" s="403"/>
      <c r="N270" s="403"/>
      <c r="O270" s="403"/>
      <c r="P270" s="403"/>
      <c r="Q270" s="403"/>
      <c r="R270" s="403"/>
      <c r="S270" s="403"/>
      <c r="T270" s="403"/>
      <c r="U270" s="403"/>
      <c r="V270" s="403"/>
      <c r="W270" s="404"/>
      <c r="X270" s="405"/>
      <c r="Y270" s="405"/>
      <c r="Z270" s="405"/>
      <c r="AA270" s="405"/>
      <c r="AB270" s="405"/>
      <c r="AC270" s="405"/>
      <c r="AD270" s="405"/>
      <c r="AE270" s="405"/>
      <c r="AF270" s="405"/>
      <c r="AG270" s="405"/>
      <c r="AH270" s="405"/>
      <c r="AI270" s="405"/>
      <c r="AJ270" s="405"/>
      <c r="AK270" s="405"/>
      <c r="AL270" s="405"/>
      <c r="AM270" s="406"/>
      <c r="AN270" s="406"/>
      <c r="AO270" s="406"/>
      <c r="AP270" s="406"/>
      <c r="AQ270" s="403"/>
      <c r="AR270" s="403"/>
      <c r="AS270" s="403"/>
      <c r="AT270" s="403"/>
      <c r="AU270" s="403"/>
      <c r="AV270" s="403"/>
      <c r="AW270" s="403"/>
      <c r="AX270" s="403"/>
      <c r="AY270" s="403"/>
    </row>
    <row r="271">
      <c r="A271" s="415"/>
      <c r="B271" s="415"/>
      <c r="C271" s="410"/>
      <c r="D271" s="429"/>
      <c r="E271" s="416"/>
      <c r="F271" s="413"/>
      <c r="G271" s="413"/>
      <c r="H271" s="415"/>
      <c r="I271" s="415"/>
      <c r="J271" s="415"/>
      <c r="K271" s="415"/>
      <c r="L271" s="417"/>
      <c r="M271" s="403"/>
      <c r="N271" s="403"/>
      <c r="O271" s="403"/>
      <c r="P271" s="403"/>
      <c r="Q271" s="403"/>
      <c r="R271" s="403"/>
      <c r="S271" s="403"/>
      <c r="T271" s="403"/>
      <c r="U271" s="403"/>
      <c r="V271" s="403"/>
      <c r="W271" s="404"/>
      <c r="X271" s="405"/>
      <c r="Y271" s="405"/>
      <c r="Z271" s="405"/>
      <c r="AA271" s="405"/>
      <c r="AB271" s="405"/>
      <c r="AC271" s="405"/>
      <c r="AD271" s="405"/>
      <c r="AE271" s="405"/>
      <c r="AF271" s="405"/>
      <c r="AG271" s="405"/>
      <c r="AH271" s="405"/>
      <c r="AI271" s="405"/>
      <c r="AJ271" s="405"/>
      <c r="AK271" s="405"/>
      <c r="AL271" s="405"/>
      <c r="AM271" s="406"/>
      <c r="AN271" s="406"/>
      <c r="AO271" s="406"/>
      <c r="AP271" s="406"/>
      <c r="AQ271" s="403"/>
      <c r="AR271" s="403"/>
      <c r="AS271" s="403"/>
      <c r="AT271" s="403"/>
      <c r="AU271" s="403"/>
      <c r="AV271" s="403"/>
      <c r="AW271" s="403"/>
      <c r="AX271" s="403"/>
      <c r="AY271" s="403"/>
    </row>
    <row r="272">
      <c r="A272" s="415"/>
      <c r="B272" s="415"/>
      <c r="C272" s="410"/>
      <c r="D272" s="429"/>
      <c r="E272" s="416"/>
      <c r="F272" s="413"/>
      <c r="G272" s="413"/>
      <c r="H272" s="415"/>
      <c r="I272" s="415"/>
      <c r="J272" s="415"/>
      <c r="K272" s="415"/>
      <c r="L272" s="417"/>
      <c r="M272" s="403"/>
      <c r="N272" s="403"/>
      <c r="O272" s="403"/>
      <c r="P272" s="403"/>
      <c r="Q272" s="403"/>
      <c r="R272" s="403"/>
      <c r="S272" s="403"/>
      <c r="T272" s="403"/>
      <c r="U272" s="403"/>
      <c r="V272" s="403"/>
      <c r="W272" s="404"/>
      <c r="X272" s="405"/>
      <c r="Y272" s="405"/>
      <c r="Z272" s="405"/>
      <c r="AA272" s="405"/>
      <c r="AB272" s="405"/>
      <c r="AC272" s="405"/>
      <c r="AD272" s="405"/>
      <c r="AE272" s="405"/>
      <c r="AF272" s="405"/>
      <c r="AG272" s="405"/>
      <c r="AH272" s="405"/>
      <c r="AI272" s="405"/>
      <c r="AJ272" s="405"/>
      <c r="AK272" s="405"/>
      <c r="AL272" s="405"/>
      <c r="AM272" s="406"/>
      <c r="AN272" s="406"/>
      <c r="AO272" s="406"/>
      <c r="AP272" s="406"/>
      <c r="AQ272" s="403"/>
      <c r="AR272" s="403"/>
      <c r="AS272" s="403"/>
      <c r="AT272" s="403"/>
      <c r="AU272" s="403"/>
      <c r="AV272" s="403"/>
      <c r="AW272" s="403"/>
      <c r="AX272" s="403"/>
      <c r="AY272" s="403"/>
    </row>
    <row r="273">
      <c r="A273" s="415"/>
      <c r="B273" s="415"/>
      <c r="C273" s="410"/>
      <c r="D273" s="429"/>
      <c r="E273" s="416"/>
      <c r="F273" s="413"/>
      <c r="G273" s="413"/>
      <c r="H273" s="415"/>
      <c r="I273" s="415"/>
      <c r="J273" s="415"/>
      <c r="K273" s="415"/>
      <c r="L273" s="417"/>
      <c r="M273" s="403"/>
      <c r="N273" s="403"/>
      <c r="O273" s="403"/>
      <c r="P273" s="403"/>
      <c r="Q273" s="403"/>
      <c r="R273" s="403"/>
      <c r="S273" s="403"/>
      <c r="T273" s="403"/>
      <c r="U273" s="403"/>
      <c r="V273" s="403"/>
      <c r="W273" s="404"/>
      <c r="X273" s="405"/>
      <c r="Y273" s="405"/>
      <c r="Z273" s="405"/>
      <c r="AA273" s="405"/>
      <c r="AB273" s="405"/>
      <c r="AC273" s="405"/>
      <c r="AD273" s="405"/>
      <c r="AE273" s="405"/>
      <c r="AF273" s="405"/>
      <c r="AG273" s="405"/>
      <c r="AH273" s="405"/>
      <c r="AI273" s="405"/>
      <c r="AJ273" s="405"/>
      <c r="AK273" s="405"/>
      <c r="AL273" s="405"/>
      <c r="AM273" s="406"/>
      <c r="AN273" s="406"/>
      <c r="AO273" s="406"/>
      <c r="AP273" s="406"/>
      <c r="AQ273" s="403"/>
      <c r="AR273" s="403"/>
      <c r="AS273" s="403"/>
      <c r="AT273" s="403"/>
      <c r="AU273" s="403"/>
      <c r="AV273" s="403"/>
      <c r="AW273" s="403"/>
      <c r="AX273" s="403"/>
      <c r="AY273" s="403"/>
    </row>
    <row r="274">
      <c r="A274" s="415"/>
      <c r="B274" s="415"/>
      <c r="C274" s="410"/>
      <c r="D274" s="429"/>
      <c r="E274" s="416"/>
      <c r="F274" s="413"/>
      <c r="G274" s="413"/>
      <c r="H274" s="415"/>
      <c r="I274" s="415"/>
      <c r="J274" s="415"/>
      <c r="K274" s="415"/>
      <c r="L274" s="417"/>
      <c r="M274" s="403"/>
      <c r="N274" s="403"/>
      <c r="O274" s="403"/>
      <c r="P274" s="403"/>
      <c r="Q274" s="403"/>
      <c r="R274" s="403"/>
      <c r="S274" s="403"/>
      <c r="T274" s="403"/>
      <c r="U274" s="403"/>
      <c r="V274" s="403"/>
      <c r="W274" s="404"/>
      <c r="X274" s="405"/>
      <c r="Y274" s="405"/>
      <c r="Z274" s="405"/>
      <c r="AA274" s="405"/>
      <c r="AB274" s="405"/>
      <c r="AC274" s="405"/>
      <c r="AD274" s="405"/>
      <c r="AE274" s="405"/>
      <c r="AF274" s="405"/>
      <c r="AG274" s="405"/>
      <c r="AH274" s="405"/>
      <c r="AI274" s="405"/>
      <c r="AJ274" s="405"/>
      <c r="AK274" s="405"/>
      <c r="AL274" s="405"/>
      <c r="AM274" s="406"/>
      <c r="AN274" s="406"/>
      <c r="AO274" s="406"/>
      <c r="AP274" s="406"/>
      <c r="AQ274" s="403"/>
      <c r="AR274" s="403"/>
      <c r="AS274" s="403"/>
      <c r="AT274" s="403"/>
      <c r="AU274" s="403"/>
      <c r="AV274" s="403"/>
      <c r="AW274" s="403"/>
      <c r="AX274" s="403"/>
      <c r="AY274" s="403"/>
    </row>
    <row r="275">
      <c r="A275" s="415"/>
      <c r="B275" s="415"/>
      <c r="C275" s="410"/>
      <c r="D275" s="429"/>
      <c r="E275" s="416"/>
      <c r="F275" s="413"/>
      <c r="G275" s="413"/>
      <c r="H275" s="415"/>
      <c r="I275" s="415"/>
      <c r="J275" s="415"/>
      <c r="K275" s="415"/>
      <c r="L275" s="417"/>
      <c r="M275" s="403"/>
      <c r="N275" s="403"/>
      <c r="O275" s="403"/>
      <c r="P275" s="403"/>
      <c r="Q275" s="403"/>
      <c r="R275" s="403"/>
      <c r="S275" s="403"/>
      <c r="T275" s="403"/>
      <c r="U275" s="403"/>
      <c r="V275" s="403"/>
      <c r="W275" s="404"/>
      <c r="X275" s="405"/>
      <c r="Y275" s="405"/>
      <c r="Z275" s="405"/>
      <c r="AA275" s="405"/>
      <c r="AB275" s="405"/>
      <c r="AC275" s="405"/>
      <c r="AD275" s="405"/>
      <c r="AE275" s="405"/>
      <c r="AF275" s="405"/>
      <c r="AG275" s="405"/>
      <c r="AH275" s="405"/>
      <c r="AI275" s="405"/>
      <c r="AJ275" s="405"/>
      <c r="AK275" s="405"/>
      <c r="AL275" s="405"/>
      <c r="AM275" s="406"/>
      <c r="AN275" s="406"/>
      <c r="AO275" s="406"/>
      <c r="AP275" s="406"/>
      <c r="AQ275" s="403"/>
      <c r="AR275" s="403"/>
      <c r="AS275" s="403"/>
      <c r="AT275" s="403"/>
      <c r="AU275" s="403"/>
      <c r="AV275" s="403"/>
      <c r="AW275" s="403"/>
      <c r="AX275" s="403"/>
      <c r="AY275" s="403"/>
    </row>
    <row r="276">
      <c r="A276" s="415"/>
      <c r="B276" s="415"/>
      <c r="C276" s="410"/>
      <c r="D276" s="429"/>
      <c r="E276" s="416"/>
      <c r="F276" s="413"/>
      <c r="G276" s="413"/>
      <c r="H276" s="415"/>
      <c r="I276" s="415"/>
      <c r="J276" s="415"/>
      <c r="K276" s="415"/>
      <c r="L276" s="417"/>
      <c r="M276" s="403"/>
      <c r="N276" s="403"/>
      <c r="O276" s="403"/>
      <c r="P276" s="403"/>
      <c r="Q276" s="403"/>
      <c r="R276" s="403"/>
      <c r="S276" s="403"/>
      <c r="T276" s="403"/>
      <c r="U276" s="403"/>
      <c r="V276" s="403"/>
      <c r="W276" s="404"/>
      <c r="X276" s="405"/>
      <c r="Y276" s="405"/>
      <c r="Z276" s="405"/>
      <c r="AA276" s="405"/>
      <c r="AB276" s="405"/>
      <c r="AC276" s="405"/>
      <c r="AD276" s="405"/>
      <c r="AE276" s="405"/>
      <c r="AF276" s="405"/>
      <c r="AG276" s="405"/>
      <c r="AH276" s="405"/>
      <c r="AI276" s="405"/>
      <c r="AJ276" s="405"/>
      <c r="AK276" s="405"/>
      <c r="AL276" s="405"/>
      <c r="AM276" s="406"/>
      <c r="AN276" s="406"/>
      <c r="AO276" s="406"/>
      <c r="AP276" s="406"/>
      <c r="AQ276" s="403"/>
      <c r="AR276" s="403"/>
      <c r="AS276" s="403"/>
      <c r="AT276" s="403"/>
      <c r="AU276" s="403"/>
      <c r="AV276" s="403"/>
      <c r="AW276" s="403"/>
      <c r="AX276" s="403"/>
      <c r="AY276" s="403"/>
    </row>
    <row r="277">
      <c r="A277" s="415"/>
      <c r="B277" s="415"/>
      <c r="C277" s="410"/>
      <c r="D277" s="429"/>
      <c r="E277" s="416"/>
      <c r="F277" s="413"/>
      <c r="G277" s="413"/>
      <c r="H277" s="415"/>
      <c r="I277" s="415"/>
      <c r="J277" s="415"/>
      <c r="K277" s="415"/>
      <c r="L277" s="417"/>
      <c r="M277" s="403"/>
      <c r="N277" s="403"/>
      <c r="O277" s="403"/>
      <c r="P277" s="403"/>
      <c r="Q277" s="403"/>
      <c r="R277" s="403"/>
      <c r="S277" s="403"/>
      <c r="T277" s="403"/>
      <c r="U277" s="403"/>
      <c r="V277" s="403"/>
      <c r="W277" s="404"/>
      <c r="X277" s="405"/>
      <c r="Y277" s="405"/>
      <c r="Z277" s="405"/>
      <c r="AA277" s="405"/>
      <c r="AB277" s="405"/>
      <c r="AC277" s="405"/>
      <c r="AD277" s="405"/>
      <c r="AE277" s="405"/>
      <c r="AF277" s="405"/>
      <c r="AG277" s="405"/>
      <c r="AH277" s="405"/>
      <c r="AI277" s="405"/>
      <c r="AJ277" s="405"/>
      <c r="AK277" s="405"/>
      <c r="AL277" s="405"/>
      <c r="AM277" s="406"/>
      <c r="AN277" s="406"/>
      <c r="AO277" s="406"/>
      <c r="AP277" s="406"/>
      <c r="AQ277" s="403"/>
      <c r="AR277" s="403"/>
      <c r="AS277" s="403"/>
      <c r="AT277" s="403"/>
      <c r="AU277" s="403"/>
      <c r="AV277" s="403"/>
      <c r="AW277" s="403"/>
      <c r="AX277" s="403"/>
      <c r="AY277" s="403"/>
    </row>
    <row r="278">
      <c r="A278" s="415"/>
      <c r="B278" s="415"/>
      <c r="C278" s="410"/>
      <c r="D278" s="429"/>
      <c r="E278" s="416"/>
      <c r="F278" s="413"/>
      <c r="G278" s="413"/>
      <c r="H278" s="415"/>
      <c r="I278" s="415"/>
      <c r="J278" s="415"/>
      <c r="K278" s="415"/>
      <c r="L278" s="417"/>
      <c r="M278" s="403"/>
      <c r="N278" s="403"/>
      <c r="O278" s="403"/>
      <c r="P278" s="403"/>
      <c r="Q278" s="403"/>
      <c r="R278" s="403"/>
      <c r="S278" s="403"/>
      <c r="T278" s="403"/>
      <c r="U278" s="403"/>
      <c r="V278" s="403"/>
      <c r="W278" s="404"/>
      <c r="X278" s="405"/>
      <c r="Y278" s="405"/>
      <c r="Z278" s="405"/>
      <c r="AA278" s="405"/>
      <c r="AB278" s="405"/>
      <c r="AC278" s="405"/>
      <c r="AD278" s="405"/>
      <c r="AE278" s="405"/>
      <c r="AF278" s="405"/>
      <c r="AG278" s="405"/>
      <c r="AH278" s="405"/>
      <c r="AI278" s="405"/>
      <c r="AJ278" s="405"/>
      <c r="AK278" s="405"/>
      <c r="AL278" s="405"/>
      <c r="AM278" s="406"/>
      <c r="AN278" s="406"/>
      <c r="AO278" s="406"/>
      <c r="AP278" s="406"/>
      <c r="AQ278" s="403"/>
      <c r="AR278" s="403"/>
      <c r="AS278" s="403"/>
      <c r="AT278" s="403"/>
      <c r="AU278" s="403"/>
      <c r="AV278" s="403"/>
      <c r="AW278" s="403"/>
      <c r="AX278" s="403"/>
      <c r="AY278" s="403"/>
    </row>
    <row r="279">
      <c r="A279" s="415"/>
      <c r="B279" s="415"/>
      <c r="C279" s="410"/>
      <c r="D279" s="429"/>
      <c r="E279" s="416"/>
      <c r="F279" s="413"/>
      <c r="G279" s="413"/>
      <c r="H279" s="415"/>
      <c r="I279" s="415"/>
      <c r="J279" s="415"/>
      <c r="K279" s="415"/>
      <c r="L279" s="417"/>
      <c r="M279" s="403"/>
      <c r="N279" s="403"/>
      <c r="O279" s="403"/>
      <c r="P279" s="403"/>
      <c r="Q279" s="403"/>
      <c r="R279" s="403"/>
      <c r="S279" s="403"/>
      <c r="T279" s="403"/>
      <c r="U279" s="403"/>
      <c r="V279" s="403"/>
      <c r="W279" s="404"/>
      <c r="X279" s="405"/>
      <c r="Y279" s="405"/>
      <c r="Z279" s="405"/>
      <c r="AA279" s="405"/>
      <c r="AB279" s="405"/>
      <c r="AC279" s="405"/>
      <c r="AD279" s="405"/>
      <c r="AE279" s="405"/>
      <c r="AF279" s="405"/>
      <c r="AG279" s="405"/>
      <c r="AH279" s="405"/>
      <c r="AI279" s="405"/>
      <c r="AJ279" s="405"/>
      <c r="AK279" s="405"/>
      <c r="AL279" s="405"/>
      <c r="AM279" s="406"/>
      <c r="AN279" s="406"/>
      <c r="AO279" s="406"/>
      <c r="AP279" s="406"/>
      <c r="AQ279" s="403"/>
      <c r="AR279" s="403"/>
      <c r="AS279" s="403"/>
      <c r="AT279" s="403"/>
      <c r="AU279" s="403"/>
      <c r="AV279" s="403"/>
      <c r="AW279" s="403"/>
      <c r="AX279" s="403"/>
      <c r="AY279" s="403"/>
    </row>
    <row r="280">
      <c r="A280" s="415"/>
      <c r="B280" s="415"/>
      <c r="C280" s="410"/>
      <c r="D280" s="429"/>
      <c r="E280" s="416"/>
      <c r="F280" s="413"/>
      <c r="G280" s="413"/>
      <c r="H280" s="415"/>
      <c r="I280" s="415"/>
      <c r="J280" s="415"/>
      <c r="K280" s="415"/>
      <c r="L280" s="417"/>
      <c r="M280" s="403"/>
      <c r="N280" s="403"/>
      <c r="O280" s="403"/>
      <c r="P280" s="403"/>
      <c r="Q280" s="403"/>
      <c r="R280" s="403"/>
      <c r="S280" s="403"/>
      <c r="T280" s="403"/>
      <c r="U280" s="403"/>
      <c r="V280" s="403"/>
      <c r="W280" s="404"/>
      <c r="X280" s="405"/>
      <c r="Y280" s="405"/>
      <c r="Z280" s="405"/>
      <c r="AA280" s="405"/>
      <c r="AB280" s="405"/>
      <c r="AC280" s="405"/>
      <c r="AD280" s="405"/>
      <c r="AE280" s="405"/>
      <c r="AF280" s="405"/>
      <c r="AG280" s="405"/>
      <c r="AH280" s="405"/>
      <c r="AI280" s="405"/>
      <c r="AJ280" s="405"/>
      <c r="AK280" s="405"/>
      <c r="AL280" s="405"/>
      <c r="AM280" s="406"/>
      <c r="AN280" s="406"/>
      <c r="AO280" s="406"/>
      <c r="AP280" s="406"/>
      <c r="AQ280" s="403"/>
      <c r="AR280" s="403"/>
      <c r="AS280" s="403"/>
      <c r="AT280" s="403"/>
      <c r="AU280" s="403"/>
      <c r="AV280" s="403"/>
      <c r="AW280" s="403"/>
      <c r="AX280" s="403"/>
      <c r="AY280" s="403"/>
    </row>
    <row r="281">
      <c r="A281" s="415"/>
      <c r="B281" s="415"/>
      <c r="C281" s="410"/>
      <c r="D281" s="429"/>
      <c r="E281" s="416"/>
      <c r="F281" s="413"/>
      <c r="G281" s="413"/>
      <c r="H281" s="415"/>
      <c r="I281" s="415"/>
      <c r="J281" s="415"/>
      <c r="K281" s="415"/>
      <c r="L281" s="417"/>
      <c r="M281" s="403"/>
      <c r="N281" s="403"/>
      <c r="O281" s="403"/>
      <c r="P281" s="403"/>
      <c r="Q281" s="403"/>
      <c r="R281" s="403"/>
      <c r="S281" s="403"/>
      <c r="T281" s="403"/>
      <c r="U281" s="403"/>
      <c r="V281" s="403"/>
      <c r="W281" s="404"/>
      <c r="X281" s="405"/>
      <c r="Y281" s="405"/>
      <c r="Z281" s="405"/>
      <c r="AA281" s="405"/>
      <c r="AB281" s="405"/>
      <c r="AC281" s="405"/>
      <c r="AD281" s="405"/>
      <c r="AE281" s="405"/>
      <c r="AF281" s="405"/>
      <c r="AG281" s="405"/>
      <c r="AH281" s="405"/>
      <c r="AI281" s="405"/>
      <c r="AJ281" s="405"/>
      <c r="AK281" s="405"/>
      <c r="AL281" s="405"/>
      <c r="AM281" s="406"/>
      <c r="AN281" s="406"/>
      <c r="AO281" s="406"/>
      <c r="AP281" s="406"/>
      <c r="AQ281" s="403"/>
      <c r="AR281" s="403"/>
      <c r="AS281" s="403"/>
      <c r="AT281" s="403"/>
      <c r="AU281" s="403"/>
      <c r="AV281" s="403"/>
      <c r="AW281" s="403"/>
      <c r="AX281" s="403"/>
      <c r="AY281" s="403"/>
    </row>
    <row r="282">
      <c r="A282" s="415"/>
      <c r="B282" s="415"/>
      <c r="C282" s="410"/>
      <c r="D282" s="429"/>
      <c r="E282" s="416"/>
      <c r="F282" s="413"/>
      <c r="G282" s="413"/>
      <c r="H282" s="415"/>
      <c r="I282" s="415"/>
      <c r="J282" s="415"/>
      <c r="K282" s="415"/>
      <c r="L282" s="417"/>
      <c r="M282" s="403"/>
      <c r="N282" s="403"/>
      <c r="O282" s="403"/>
      <c r="P282" s="403"/>
      <c r="Q282" s="403"/>
      <c r="R282" s="403"/>
      <c r="S282" s="403"/>
      <c r="T282" s="403"/>
      <c r="U282" s="403"/>
      <c r="V282" s="403"/>
      <c r="W282" s="404"/>
      <c r="X282" s="405"/>
      <c r="Y282" s="405"/>
      <c r="Z282" s="405"/>
      <c r="AA282" s="405"/>
      <c r="AB282" s="405"/>
      <c r="AC282" s="405"/>
      <c r="AD282" s="405"/>
      <c r="AE282" s="405"/>
      <c r="AF282" s="405"/>
      <c r="AG282" s="405"/>
      <c r="AH282" s="405"/>
      <c r="AI282" s="405"/>
      <c r="AJ282" s="405"/>
      <c r="AK282" s="405"/>
      <c r="AL282" s="405"/>
      <c r="AM282" s="406"/>
      <c r="AN282" s="406"/>
      <c r="AO282" s="406"/>
      <c r="AP282" s="406"/>
      <c r="AQ282" s="403"/>
      <c r="AR282" s="403"/>
      <c r="AS282" s="403"/>
      <c r="AT282" s="403"/>
      <c r="AU282" s="403"/>
      <c r="AV282" s="403"/>
      <c r="AW282" s="403"/>
      <c r="AX282" s="403"/>
      <c r="AY282" s="403"/>
    </row>
    <row r="283">
      <c r="A283" s="415"/>
      <c r="B283" s="415"/>
      <c r="C283" s="410"/>
      <c r="D283" s="429"/>
      <c r="E283" s="416"/>
      <c r="F283" s="413"/>
      <c r="G283" s="413"/>
      <c r="H283" s="415"/>
      <c r="I283" s="415"/>
      <c r="J283" s="415"/>
      <c r="K283" s="415"/>
      <c r="L283" s="417"/>
      <c r="M283" s="403"/>
      <c r="N283" s="403"/>
      <c r="O283" s="403"/>
      <c r="P283" s="403"/>
      <c r="Q283" s="403"/>
      <c r="R283" s="403"/>
      <c r="S283" s="403"/>
      <c r="T283" s="403"/>
      <c r="U283" s="403"/>
      <c r="V283" s="403"/>
      <c r="W283" s="404"/>
      <c r="X283" s="405"/>
      <c r="Y283" s="405"/>
      <c r="Z283" s="405"/>
      <c r="AA283" s="405"/>
      <c r="AB283" s="405"/>
      <c r="AC283" s="405"/>
      <c r="AD283" s="405"/>
      <c r="AE283" s="405"/>
      <c r="AF283" s="405"/>
      <c r="AG283" s="405"/>
      <c r="AH283" s="405"/>
      <c r="AI283" s="405"/>
      <c r="AJ283" s="405"/>
      <c r="AK283" s="405"/>
      <c r="AL283" s="405"/>
      <c r="AM283" s="406"/>
      <c r="AN283" s="406"/>
      <c r="AO283" s="406"/>
      <c r="AP283" s="406"/>
      <c r="AQ283" s="403"/>
      <c r="AR283" s="403"/>
      <c r="AS283" s="403"/>
      <c r="AT283" s="403"/>
      <c r="AU283" s="403"/>
      <c r="AV283" s="403"/>
      <c r="AW283" s="403"/>
      <c r="AX283" s="403"/>
      <c r="AY283" s="403"/>
    </row>
    <row r="284">
      <c r="A284" s="415"/>
      <c r="B284" s="415"/>
      <c r="C284" s="410"/>
      <c r="D284" s="429"/>
      <c r="E284" s="416"/>
      <c r="F284" s="413"/>
      <c r="G284" s="413"/>
      <c r="H284" s="415"/>
      <c r="I284" s="415"/>
      <c r="J284" s="415"/>
      <c r="K284" s="415"/>
      <c r="L284" s="417"/>
      <c r="M284" s="403"/>
      <c r="N284" s="403"/>
      <c r="O284" s="403"/>
      <c r="P284" s="403"/>
      <c r="Q284" s="403"/>
      <c r="R284" s="403"/>
      <c r="S284" s="403"/>
      <c r="T284" s="403"/>
      <c r="U284" s="403"/>
      <c r="V284" s="403"/>
      <c r="W284" s="404"/>
      <c r="X284" s="405"/>
      <c r="Y284" s="405"/>
      <c r="Z284" s="405"/>
      <c r="AA284" s="405"/>
      <c r="AB284" s="405"/>
      <c r="AC284" s="405"/>
      <c r="AD284" s="405"/>
      <c r="AE284" s="405"/>
      <c r="AF284" s="405"/>
      <c r="AG284" s="405"/>
      <c r="AH284" s="405"/>
      <c r="AI284" s="405"/>
      <c r="AJ284" s="405"/>
      <c r="AK284" s="405"/>
      <c r="AL284" s="405"/>
      <c r="AM284" s="406"/>
      <c r="AN284" s="406"/>
      <c r="AO284" s="406"/>
      <c r="AP284" s="406"/>
      <c r="AQ284" s="403"/>
      <c r="AR284" s="403"/>
      <c r="AS284" s="403"/>
      <c r="AT284" s="403"/>
      <c r="AU284" s="403"/>
      <c r="AV284" s="403"/>
      <c r="AW284" s="403"/>
      <c r="AX284" s="403"/>
      <c r="AY284" s="403"/>
    </row>
    <row r="285">
      <c r="A285" s="415"/>
      <c r="B285" s="415"/>
      <c r="C285" s="410"/>
      <c r="D285" s="429"/>
      <c r="E285" s="416"/>
      <c r="F285" s="413"/>
      <c r="G285" s="413"/>
      <c r="H285" s="415"/>
      <c r="I285" s="415"/>
      <c r="J285" s="415"/>
      <c r="K285" s="415"/>
      <c r="L285" s="417"/>
      <c r="M285" s="403"/>
      <c r="N285" s="403"/>
      <c r="O285" s="403"/>
      <c r="P285" s="403"/>
      <c r="Q285" s="403"/>
      <c r="R285" s="403"/>
      <c r="S285" s="403"/>
      <c r="T285" s="403"/>
      <c r="U285" s="403"/>
      <c r="V285" s="403"/>
      <c r="W285" s="404"/>
      <c r="X285" s="405"/>
      <c r="Y285" s="405"/>
      <c r="Z285" s="405"/>
      <c r="AA285" s="405"/>
      <c r="AB285" s="405"/>
      <c r="AC285" s="405"/>
      <c r="AD285" s="405"/>
      <c r="AE285" s="405"/>
      <c r="AF285" s="405"/>
      <c r="AG285" s="405"/>
      <c r="AH285" s="405"/>
      <c r="AI285" s="405"/>
      <c r="AJ285" s="405"/>
      <c r="AK285" s="405"/>
      <c r="AL285" s="405"/>
      <c r="AM285" s="406"/>
      <c r="AN285" s="406"/>
      <c r="AO285" s="406"/>
      <c r="AP285" s="406"/>
      <c r="AQ285" s="403"/>
      <c r="AR285" s="403"/>
      <c r="AS285" s="403"/>
      <c r="AT285" s="403"/>
      <c r="AU285" s="403"/>
      <c r="AV285" s="403"/>
      <c r="AW285" s="403"/>
      <c r="AX285" s="403"/>
      <c r="AY285" s="403"/>
    </row>
    <row r="286">
      <c r="A286" s="415"/>
      <c r="B286" s="415"/>
      <c r="C286" s="410"/>
      <c r="D286" s="429"/>
      <c r="E286" s="416"/>
      <c r="F286" s="413"/>
      <c r="G286" s="413"/>
      <c r="H286" s="415"/>
      <c r="I286" s="415"/>
      <c r="J286" s="415"/>
      <c r="K286" s="415"/>
      <c r="L286" s="417"/>
      <c r="M286" s="403"/>
      <c r="N286" s="403"/>
      <c r="O286" s="403"/>
      <c r="P286" s="403"/>
      <c r="Q286" s="403"/>
      <c r="R286" s="403"/>
      <c r="S286" s="403"/>
      <c r="T286" s="403"/>
      <c r="U286" s="403"/>
      <c r="V286" s="403"/>
      <c r="W286" s="404"/>
      <c r="X286" s="405"/>
      <c r="Y286" s="405"/>
      <c r="Z286" s="405"/>
      <c r="AA286" s="405"/>
      <c r="AB286" s="405"/>
      <c r="AC286" s="405"/>
      <c r="AD286" s="405"/>
      <c r="AE286" s="405"/>
      <c r="AF286" s="405"/>
      <c r="AG286" s="405"/>
      <c r="AH286" s="405"/>
      <c r="AI286" s="405"/>
      <c r="AJ286" s="405"/>
      <c r="AK286" s="405"/>
      <c r="AL286" s="405"/>
      <c r="AM286" s="406"/>
      <c r="AN286" s="406"/>
      <c r="AO286" s="406"/>
      <c r="AP286" s="406"/>
      <c r="AQ286" s="403"/>
      <c r="AR286" s="403"/>
      <c r="AS286" s="403"/>
      <c r="AT286" s="403"/>
      <c r="AU286" s="403"/>
      <c r="AV286" s="403"/>
      <c r="AW286" s="403"/>
      <c r="AX286" s="403"/>
      <c r="AY286" s="403"/>
    </row>
    <row r="287">
      <c r="A287" s="415"/>
      <c r="B287" s="415"/>
      <c r="C287" s="410"/>
      <c r="D287" s="429"/>
      <c r="E287" s="416"/>
      <c r="F287" s="413"/>
      <c r="G287" s="413"/>
      <c r="H287" s="415"/>
      <c r="I287" s="415"/>
      <c r="J287" s="415"/>
      <c r="K287" s="415"/>
      <c r="L287" s="417"/>
      <c r="M287" s="403"/>
      <c r="N287" s="403"/>
      <c r="O287" s="403"/>
      <c r="P287" s="403"/>
      <c r="Q287" s="403"/>
      <c r="R287" s="403"/>
      <c r="S287" s="403"/>
      <c r="T287" s="403"/>
      <c r="U287" s="403"/>
      <c r="V287" s="403"/>
      <c r="W287" s="404"/>
      <c r="X287" s="405"/>
      <c r="Y287" s="405"/>
      <c r="Z287" s="405"/>
      <c r="AA287" s="405"/>
      <c r="AB287" s="405"/>
      <c r="AC287" s="405"/>
      <c r="AD287" s="405"/>
      <c r="AE287" s="405"/>
      <c r="AF287" s="405"/>
      <c r="AG287" s="405"/>
      <c r="AH287" s="405"/>
      <c r="AI287" s="405"/>
      <c r="AJ287" s="405"/>
      <c r="AK287" s="405"/>
      <c r="AL287" s="405"/>
      <c r="AM287" s="406"/>
      <c r="AN287" s="406"/>
      <c r="AO287" s="406"/>
      <c r="AP287" s="406"/>
      <c r="AQ287" s="403"/>
      <c r="AR287" s="403"/>
      <c r="AS287" s="403"/>
      <c r="AT287" s="403"/>
      <c r="AU287" s="403"/>
      <c r="AV287" s="403"/>
      <c r="AW287" s="403"/>
      <c r="AX287" s="403"/>
      <c r="AY287" s="403"/>
    </row>
    <row r="288">
      <c r="A288" s="415"/>
      <c r="B288" s="415"/>
      <c r="C288" s="410"/>
      <c r="D288" s="429"/>
      <c r="E288" s="416"/>
      <c r="F288" s="413"/>
      <c r="G288" s="413"/>
      <c r="H288" s="415"/>
      <c r="I288" s="415"/>
      <c r="J288" s="415"/>
      <c r="K288" s="415"/>
      <c r="L288" s="417"/>
      <c r="M288" s="403"/>
      <c r="N288" s="403"/>
      <c r="O288" s="403"/>
      <c r="P288" s="403"/>
      <c r="Q288" s="403"/>
      <c r="R288" s="403"/>
      <c r="S288" s="403"/>
      <c r="T288" s="403"/>
      <c r="U288" s="403"/>
      <c r="V288" s="403"/>
      <c r="W288" s="404"/>
      <c r="X288" s="405"/>
      <c r="Y288" s="405"/>
      <c r="Z288" s="405"/>
      <c r="AA288" s="405"/>
      <c r="AB288" s="405"/>
      <c r="AC288" s="405"/>
      <c r="AD288" s="405"/>
      <c r="AE288" s="405"/>
      <c r="AF288" s="405"/>
      <c r="AG288" s="405"/>
      <c r="AH288" s="405"/>
      <c r="AI288" s="405"/>
      <c r="AJ288" s="405"/>
      <c r="AK288" s="405"/>
      <c r="AL288" s="405"/>
      <c r="AM288" s="406"/>
      <c r="AN288" s="406"/>
      <c r="AO288" s="406"/>
      <c r="AP288" s="406"/>
      <c r="AQ288" s="403"/>
      <c r="AR288" s="403"/>
      <c r="AS288" s="403"/>
      <c r="AT288" s="403"/>
      <c r="AU288" s="403"/>
      <c r="AV288" s="403"/>
      <c r="AW288" s="403"/>
      <c r="AX288" s="403"/>
      <c r="AY288" s="403"/>
    </row>
    <row r="289">
      <c r="A289" s="415"/>
      <c r="B289" s="415"/>
      <c r="C289" s="410"/>
      <c r="D289" s="429"/>
      <c r="E289" s="416"/>
      <c r="F289" s="413"/>
      <c r="G289" s="413"/>
      <c r="H289" s="415"/>
      <c r="I289" s="415"/>
      <c r="J289" s="415"/>
      <c r="K289" s="415"/>
      <c r="L289" s="417"/>
      <c r="M289" s="403"/>
      <c r="N289" s="403"/>
      <c r="O289" s="403"/>
      <c r="P289" s="403"/>
      <c r="Q289" s="403"/>
      <c r="R289" s="403"/>
      <c r="S289" s="403"/>
      <c r="T289" s="403"/>
      <c r="U289" s="403"/>
      <c r="V289" s="403"/>
      <c r="W289" s="404"/>
      <c r="X289" s="405"/>
      <c r="Y289" s="405"/>
      <c r="Z289" s="405"/>
      <c r="AA289" s="405"/>
      <c r="AB289" s="405"/>
      <c r="AC289" s="405"/>
      <c r="AD289" s="405"/>
      <c r="AE289" s="405"/>
      <c r="AF289" s="405"/>
      <c r="AG289" s="405"/>
      <c r="AH289" s="405"/>
      <c r="AI289" s="405"/>
      <c r="AJ289" s="405"/>
      <c r="AK289" s="405"/>
      <c r="AL289" s="405"/>
      <c r="AM289" s="406"/>
      <c r="AN289" s="406"/>
      <c r="AO289" s="406"/>
      <c r="AP289" s="406"/>
      <c r="AQ289" s="403"/>
      <c r="AR289" s="403"/>
      <c r="AS289" s="403"/>
      <c r="AT289" s="403"/>
      <c r="AU289" s="403"/>
      <c r="AV289" s="403"/>
      <c r="AW289" s="403"/>
      <c r="AX289" s="403"/>
      <c r="AY289" s="403"/>
    </row>
    <row r="290">
      <c r="A290" s="415"/>
      <c r="B290" s="415"/>
      <c r="C290" s="410"/>
      <c r="D290" s="429"/>
      <c r="E290" s="416"/>
      <c r="F290" s="413"/>
      <c r="G290" s="413"/>
      <c r="H290" s="415"/>
      <c r="I290" s="415"/>
      <c r="J290" s="415"/>
      <c r="K290" s="415"/>
      <c r="L290" s="417"/>
      <c r="M290" s="403"/>
      <c r="N290" s="403"/>
      <c r="O290" s="403"/>
      <c r="P290" s="403"/>
      <c r="Q290" s="403"/>
      <c r="R290" s="403"/>
      <c r="S290" s="403"/>
      <c r="T290" s="403"/>
      <c r="U290" s="403"/>
      <c r="V290" s="403"/>
      <c r="W290" s="404"/>
      <c r="X290" s="405"/>
      <c r="Y290" s="405"/>
      <c r="Z290" s="405"/>
      <c r="AA290" s="405"/>
      <c r="AB290" s="405"/>
      <c r="AC290" s="405"/>
      <c r="AD290" s="405"/>
      <c r="AE290" s="405"/>
      <c r="AF290" s="405"/>
      <c r="AG290" s="405"/>
      <c r="AH290" s="405"/>
      <c r="AI290" s="405"/>
      <c r="AJ290" s="405"/>
      <c r="AK290" s="405"/>
      <c r="AL290" s="405"/>
      <c r="AM290" s="406"/>
      <c r="AN290" s="406"/>
      <c r="AO290" s="406"/>
      <c r="AP290" s="406"/>
      <c r="AQ290" s="403"/>
      <c r="AR290" s="403"/>
      <c r="AS290" s="403"/>
      <c r="AT290" s="403"/>
      <c r="AU290" s="403"/>
      <c r="AV290" s="403"/>
      <c r="AW290" s="403"/>
      <c r="AX290" s="403"/>
      <c r="AY290" s="403"/>
    </row>
    <row r="291">
      <c r="A291" s="415"/>
      <c r="B291" s="415"/>
      <c r="C291" s="410"/>
      <c r="D291" s="429"/>
      <c r="E291" s="416"/>
      <c r="F291" s="413"/>
      <c r="G291" s="413"/>
      <c r="H291" s="415"/>
      <c r="I291" s="415"/>
      <c r="J291" s="415"/>
      <c r="K291" s="415"/>
      <c r="L291" s="417"/>
      <c r="M291" s="403"/>
      <c r="N291" s="403"/>
      <c r="O291" s="403"/>
      <c r="P291" s="403"/>
      <c r="Q291" s="403"/>
      <c r="R291" s="403"/>
      <c r="S291" s="403"/>
      <c r="T291" s="403"/>
      <c r="U291" s="403"/>
      <c r="V291" s="403"/>
      <c r="W291" s="404"/>
      <c r="X291" s="405"/>
      <c r="Y291" s="405"/>
      <c r="Z291" s="405"/>
      <c r="AA291" s="405"/>
      <c r="AB291" s="405"/>
      <c r="AC291" s="405"/>
      <c r="AD291" s="405"/>
      <c r="AE291" s="405"/>
      <c r="AF291" s="405"/>
      <c r="AG291" s="405"/>
      <c r="AH291" s="405"/>
      <c r="AI291" s="405"/>
      <c r="AJ291" s="405"/>
      <c r="AK291" s="405"/>
      <c r="AL291" s="405"/>
      <c r="AM291" s="406"/>
      <c r="AN291" s="406"/>
      <c r="AO291" s="406"/>
      <c r="AP291" s="406"/>
      <c r="AQ291" s="403"/>
      <c r="AR291" s="403"/>
      <c r="AS291" s="403"/>
      <c r="AT291" s="403"/>
      <c r="AU291" s="403"/>
      <c r="AV291" s="403"/>
      <c r="AW291" s="403"/>
      <c r="AX291" s="403"/>
      <c r="AY291" s="403"/>
    </row>
    <row r="292">
      <c r="A292" s="415"/>
      <c r="B292" s="415"/>
      <c r="C292" s="410"/>
      <c r="D292" s="429"/>
      <c r="E292" s="416"/>
      <c r="F292" s="413"/>
      <c r="G292" s="413"/>
      <c r="H292" s="415"/>
      <c r="I292" s="415"/>
      <c r="J292" s="415"/>
      <c r="K292" s="415"/>
      <c r="L292" s="417"/>
      <c r="M292" s="403"/>
      <c r="N292" s="403"/>
      <c r="O292" s="403"/>
      <c r="P292" s="403"/>
      <c r="Q292" s="403"/>
      <c r="R292" s="403"/>
      <c r="S292" s="403"/>
      <c r="T292" s="403"/>
      <c r="U292" s="403"/>
      <c r="V292" s="403"/>
      <c r="W292" s="404"/>
      <c r="X292" s="405"/>
      <c r="Y292" s="405"/>
      <c r="Z292" s="405"/>
      <c r="AA292" s="405"/>
      <c r="AB292" s="405"/>
      <c r="AC292" s="405"/>
      <c r="AD292" s="405"/>
      <c r="AE292" s="405"/>
      <c r="AF292" s="405"/>
      <c r="AG292" s="405"/>
      <c r="AH292" s="405"/>
      <c r="AI292" s="405"/>
      <c r="AJ292" s="405"/>
      <c r="AK292" s="405"/>
      <c r="AL292" s="405"/>
      <c r="AM292" s="406"/>
      <c r="AN292" s="406"/>
      <c r="AO292" s="406"/>
      <c r="AP292" s="406"/>
      <c r="AQ292" s="403"/>
      <c r="AR292" s="403"/>
      <c r="AS292" s="403"/>
      <c r="AT292" s="403"/>
      <c r="AU292" s="403"/>
      <c r="AV292" s="403"/>
      <c r="AW292" s="403"/>
      <c r="AX292" s="403"/>
      <c r="AY292" s="403"/>
    </row>
    <row r="293">
      <c r="A293" s="415"/>
      <c r="B293" s="415"/>
      <c r="C293" s="410"/>
      <c r="D293" s="429"/>
      <c r="E293" s="416"/>
      <c r="F293" s="413"/>
      <c r="G293" s="413"/>
      <c r="H293" s="415"/>
      <c r="I293" s="415"/>
      <c r="J293" s="415"/>
      <c r="K293" s="415"/>
      <c r="L293" s="417"/>
      <c r="M293" s="403"/>
      <c r="N293" s="403"/>
      <c r="O293" s="403"/>
      <c r="P293" s="403"/>
      <c r="Q293" s="403"/>
      <c r="R293" s="403"/>
      <c r="S293" s="403"/>
      <c r="T293" s="403"/>
      <c r="U293" s="403"/>
      <c r="V293" s="403"/>
      <c r="W293" s="404"/>
      <c r="X293" s="405"/>
      <c r="Y293" s="405"/>
      <c r="Z293" s="405"/>
      <c r="AA293" s="405"/>
      <c r="AB293" s="405"/>
      <c r="AC293" s="405"/>
      <c r="AD293" s="405"/>
      <c r="AE293" s="405"/>
      <c r="AF293" s="405"/>
      <c r="AG293" s="405"/>
      <c r="AH293" s="405"/>
      <c r="AI293" s="405"/>
      <c r="AJ293" s="405"/>
      <c r="AK293" s="405"/>
      <c r="AL293" s="405"/>
      <c r="AM293" s="406"/>
      <c r="AN293" s="406"/>
      <c r="AO293" s="406"/>
      <c r="AP293" s="406"/>
      <c r="AQ293" s="403"/>
      <c r="AR293" s="403"/>
      <c r="AS293" s="403"/>
      <c r="AT293" s="403"/>
      <c r="AU293" s="403"/>
      <c r="AV293" s="403"/>
      <c r="AW293" s="403"/>
      <c r="AX293" s="403"/>
      <c r="AY293" s="403"/>
    </row>
    <row r="294">
      <c r="A294" s="415"/>
      <c r="B294" s="415"/>
      <c r="C294" s="410"/>
      <c r="D294" s="429"/>
      <c r="E294" s="416"/>
      <c r="F294" s="413"/>
      <c r="G294" s="413"/>
      <c r="H294" s="415"/>
      <c r="I294" s="415"/>
      <c r="J294" s="415"/>
      <c r="K294" s="415"/>
      <c r="L294" s="417"/>
      <c r="M294" s="403"/>
      <c r="N294" s="403"/>
      <c r="O294" s="403"/>
      <c r="P294" s="403"/>
      <c r="Q294" s="403"/>
      <c r="R294" s="403"/>
      <c r="S294" s="403"/>
      <c r="T294" s="403"/>
      <c r="U294" s="403"/>
      <c r="V294" s="403"/>
      <c r="W294" s="404"/>
      <c r="X294" s="405"/>
      <c r="Y294" s="405"/>
      <c r="Z294" s="405"/>
      <c r="AA294" s="405"/>
      <c r="AB294" s="405"/>
      <c r="AC294" s="405"/>
      <c r="AD294" s="405"/>
      <c r="AE294" s="405"/>
      <c r="AF294" s="405"/>
      <c r="AG294" s="405"/>
      <c r="AH294" s="405"/>
      <c r="AI294" s="405"/>
      <c r="AJ294" s="405"/>
      <c r="AK294" s="405"/>
      <c r="AL294" s="405"/>
      <c r="AM294" s="406"/>
      <c r="AN294" s="406"/>
      <c r="AO294" s="406"/>
      <c r="AP294" s="406"/>
      <c r="AQ294" s="403"/>
      <c r="AR294" s="403"/>
      <c r="AS294" s="403"/>
      <c r="AT294" s="403"/>
      <c r="AU294" s="403"/>
      <c r="AV294" s="403"/>
      <c r="AW294" s="403"/>
      <c r="AX294" s="403"/>
      <c r="AY294" s="403"/>
    </row>
    <row r="295">
      <c r="A295" s="415"/>
      <c r="B295" s="415"/>
      <c r="C295" s="410"/>
      <c r="D295" s="429"/>
      <c r="E295" s="416"/>
      <c r="F295" s="413"/>
      <c r="G295" s="413"/>
      <c r="H295" s="415"/>
      <c r="I295" s="415"/>
      <c r="J295" s="415"/>
      <c r="K295" s="415"/>
      <c r="L295" s="417"/>
      <c r="M295" s="403"/>
      <c r="N295" s="403"/>
      <c r="O295" s="403"/>
      <c r="P295" s="403"/>
      <c r="Q295" s="403"/>
      <c r="R295" s="403"/>
      <c r="S295" s="403"/>
      <c r="T295" s="403"/>
      <c r="U295" s="403"/>
      <c r="V295" s="403"/>
      <c r="W295" s="404"/>
      <c r="X295" s="405"/>
      <c r="Y295" s="405"/>
      <c r="Z295" s="405"/>
      <c r="AA295" s="405"/>
      <c r="AB295" s="405"/>
      <c r="AC295" s="405"/>
      <c r="AD295" s="405"/>
      <c r="AE295" s="405"/>
      <c r="AF295" s="405"/>
      <c r="AG295" s="405"/>
      <c r="AH295" s="405"/>
      <c r="AI295" s="405"/>
      <c r="AJ295" s="405"/>
      <c r="AK295" s="405"/>
      <c r="AL295" s="405"/>
      <c r="AM295" s="406"/>
      <c r="AN295" s="406"/>
      <c r="AO295" s="406"/>
      <c r="AP295" s="406"/>
      <c r="AQ295" s="403"/>
      <c r="AR295" s="403"/>
      <c r="AS295" s="403"/>
      <c r="AT295" s="403"/>
      <c r="AU295" s="403"/>
      <c r="AV295" s="403"/>
      <c r="AW295" s="403"/>
      <c r="AX295" s="403"/>
      <c r="AY295" s="403"/>
    </row>
    <row r="296">
      <c r="A296" s="415"/>
      <c r="B296" s="415"/>
      <c r="C296" s="410"/>
      <c r="D296" s="429"/>
      <c r="E296" s="416"/>
      <c r="F296" s="413"/>
      <c r="G296" s="413"/>
      <c r="H296" s="415"/>
      <c r="I296" s="415"/>
      <c r="J296" s="415"/>
      <c r="K296" s="415"/>
      <c r="L296" s="417"/>
      <c r="M296" s="403"/>
      <c r="N296" s="403"/>
      <c r="O296" s="403"/>
      <c r="P296" s="403"/>
      <c r="Q296" s="403"/>
      <c r="R296" s="403"/>
      <c r="S296" s="403"/>
      <c r="T296" s="403"/>
      <c r="U296" s="403"/>
      <c r="V296" s="403"/>
      <c r="W296" s="404"/>
      <c r="X296" s="405"/>
      <c r="Y296" s="405"/>
      <c r="Z296" s="405"/>
      <c r="AA296" s="405"/>
      <c r="AB296" s="405"/>
      <c r="AC296" s="405"/>
      <c r="AD296" s="405"/>
      <c r="AE296" s="405"/>
      <c r="AF296" s="405"/>
      <c r="AG296" s="405"/>
      <c r="AH296" s="405"/>
      <c r="AI296" s="405"/>
      <c r="AJ296" s="405"/>
      <c r="AK296" s="405"/>
      <c r="AL296" s="405"/>
      <c r="AM296" s="406"/>
      <c r="AN296" s="406"/>
      <c r="AO296" s="406"/>
      <c r="AP296" s="406"/>
      <c r="AQ296" s="403"/>
      <c r="AR296" s="403"/>
      <c r="AS296" s="403"/>
      <c r="AT296" s="403"/>
      <c r="AU296" s="403"/>
      <c r="AV296" s="403"/>
      <c r="AW296" s="403"/>
      <c r="AX296" s="403"/>
      <c r="AY296" s="403"/>
    </row>
    <row r="297">
      <c r="A297" s="415"/>
      <c r="B297" s="415"/>
      <c r="C297" s="410"/>
      <c r="D297" s="429"/>
      <c r="E297" s="416"/>
      <c r="F297" s="413"/>
      <c r="G297" s="413"/>
      <c r="H297" s="415"/>
      <c r="I297" s="415"/>
      <c r="J297" s="415"/>
      <c r="K297" s="415"/>
      <c r="L297" s="417"/>
      <c r="M297" s="403"/>
      <c r="N297" s="403"/>
      <c r="O297" s="403"/>
      <c r="P297" s="403"/>
      <c r="Q297" s="403"/>
      <c r="R297" s="403"/>
      <c r="S297" s="403"/>
      <c r="T297" s="403"/>
      <c r="U297" s="403"/>
      <c r="V297" s="403"/>
      <c r="W297" s="404"/>
      <c r="X297" s="405"/>
      <c r="Y297" s="405"/>
      <c r="Z297" s="405"/>
      <c r="AA297" s="405"/>
      <c r="AB297" s="405"/>
      <c r="AC297" s="405"/>
      <c r="AD297" s="405"/>
      <c r="AE297" s="405"/>
      <c r="AF297" s="405"/>
      <c r="AG297" s="405"/>
      <c r="AH297" s="405"/>
      <c r="AI297" s="405"/>
      <c r="AJ297" s="405"/>
      <c r="AK297" s="405"/>
      <c r="AL297" s="405"/>
      <c r="AM297" s="406"/>
      <c r="AN297" s="406"/>
      <c r="AO297" s="406"/>
      <c r="AP297" s="406"/>
      <c r="AQ297" s="403"/>
      <c r="AR297" s="403"/>
      <c r="AS297" s="403"/>
      <c r="AT297" s="403"/>
      <c r="AU297" s="403"/>
      <c r="AV297" s="403"/>
      <c r="AW297" s="403"/>
      <c r="AX297" s="403"/>
      <c r="AY297" s="403"/>
    </row>
    <row r="298">
      <c r="A298" s="415"/>
      <c r="B298" s="415"/>
      <c r="C298" s="410"/>
      <c r="D298" s="429"/>
      <c r="E298" s="416"/>
      <c r="F298" s="413"/>
      <c r="G298" s="413"/>
      <c r="H298" s="415"/>
      <c r="I298" s="415"/>
      <c r="J298" s="415"/>
      <c r="K298" s="415"/>
      <c r="L298" s="417"/>
      <c r="M298" s="403"/>
      <c r="N298" s="403"/>
      <c r="O298" s="403"/>
      <c r="P298" s="403"/>
      <c r="Q298" s="403"/>
      <c r="R298" s="403"/>
      <c r="S298" s="403"/>
      <c r="T298" s="403"/>
      <c r="U298" s="403"/>
      <c r="V298" s="403"/>
      <c r="W298" s="404"/>
      <c r="X298" s="405"/>
      <c r="Y298" s="405"/>
      <c r="Z298" s="405"/>
      <c r="AA298" s="405"/>
      <c r="AB298" s="405"/>
      <c r="AC298" s="405"/>
      <c r="AD298" s="405"/>
      <c r="AE298" s="405"/>
      <c r="AF298" s="405"/>
      <c r="AG298" s="405"/>
      <c r="AH298" s="405"/>
      <c r="AI298" s="405"/>
      <c r="AJ298" s="405"/>
      <c r="AK298" s="405"/>
      <c r="AL298" s="405"/>
      <c r="AM298" s="406"/>
      <c r="AN298" s="406"/>
      <c r="AO298" s="406"/>
      <c r="AP298" s="406"/>
      <c r="AQ298" s="403"/>
      <c r="AR298" s="403"/>
      <c r="AS298" s="403"/>
      <c r="AT298" s="403"/>
      <c r="AU298" s="403"/>
      <c r="AV298" s="403"/>
      <c r="AW298" s="403"/>
      <c r="AX298" s="403"/>
      <c r="AY298" s="403"/>
    </row>
    <row r="299">
      <c r="A299" s="415"/>
      <c r="B299" s="415"/>
      <c r="C299" s="410"/>
      <c r="D299" s="429"/>
      <c r="E299" s="416"/>
      <c r="F299" s="413"/>
      <c r="G299" s="413"/>
      <c r="H299" s="415"/>
      <c r="I299" s="415"/>
      <c r="J299" s="415"/>
      <c r="K299" s="415"/>
      <c r="L299" s="417"/>
      <c r="M299" s="403"/>
      <c r="N299" s="403"/>
      <c r="O299" s="403"/>
      <c r="P299" s="403"/>
      <c r="Q299" s="403"/>
      <c r="R299" s="403"/>
      <c r="S299" s="403"/>
      <c r="T299" s="403"/>
      <c r="U299" s="403"/>
      <c r="V299" s="403"/>
      <c r="W299" s="404"/>
      <c r="X299" s="405"/>
      <c r="Y299" s="405"/>
      <c r="Z299" s="405"/>
      <c r="AA299" s="405"/>
      <c r="AB299" s="405"/>
      <c r="AC299" s="405"/>
      <c r="AD299" s="405"/>
      <c r="AE299" s="405"/>
      <c r="AF299" s="405"/>
      <c r="AG299" s="405"/>
      <c r="AH299" s="405"/>
      <c r="AI299" s="405"/>
      <c r="AJ299" s="405"/>
      <c r="AK299" s="405"/>
      <c r="AL299" s="405"/>
      <c r="AM299" s="406"/>
      <c r="AN299" s="406"/>
      <c r="AO299" s="406"/>
      <c r="AP299" s="406"/>
      <c r="AQ299" s="403"/>
      <c r="AR299" s="403"/>
      <c r="AS299" s="403"/>
      <c r="AT299" s="403"/>
      <c r="AU299" s="403"/>
      <c r="AV299" s="403"/>
      <c r="AW299" s="403"/>
      <c r="AX299" s="403"/>
      <c r="AY299" s="403"/>
    </row>
    <row r="300">
      <c r="A300" s="415"/>
      <c r="B300" s="415"/>
      <c r="C300" s="410"/>
      <c r="D300" s="429"/>
      <c r="E300" s="416"/>
      <c r="F300" s="413"/>
      <c r="G300" s="413"/>
      <c r="H300" s="415"/>
      <c r="I300" s="415"/>
      <c r="J300" s="415"/>
      <c r="K300" s="415"/>
      <c r="L300" s="417"/>
      <c r="M300" s="403"/>
      <c r="N300" s="403"/>
      <c r="O300" s="403"/>
      <c r="P300" s="403"/>
      <c r="Q300" s="403"/>
      <c r="R300" s="403"/>
      <c r="S300" s="403"/>
      <c r="T300" s="403"/>
      <c r="U300" s="403"/>
      <c r="V300" s="403"/>
      <c r="W300" s="404"/>
      <c r="X300" s="405"/>
      <c r="Y300" s="405"/>
      <c r="Z300" s="405"/>
      <c r="AA300" s="405"/>
      <c r="AB300" s="405"/>
      <c r="AC300" s="405"/>
      <c r="AD300" s="405"/>
      <c r="AE300" s="405"/>
      <c r="AF300" s="405"/>
      <c r="AG300" s="405"/>
      <c r="AH300" s="405"/>
      <c r="AI300" s="405"/>
      <c r="AJ300" s="405"/>
      <c r="AK300" s="405"/>
      <c r="AL300" s="405"/>
      <c r="AM300" s="406"/>
      <c r="AN300" s="406"/>
      <c r="AO300" s="406"/>
      <c r="AP300" s="406"/>
      <c r="AQ300" s="403"/>
      <c r="AR300" s="403"/>
      <c r="AS300" s="403"/>
      <c r="AT300" s="403"/>
      <c r="AU300" s="403"/>
      <c r="AV300" s="403"/>
      <c r="AW300" s="403"/>
      <c r="AX300" s="403"/>
      <c r="AY300" s="403"/>
    </row>
    <row r="301">
      <c r="A301" s="415"/>
      <c r="B301" s="415"/>
      <c r="C301" s="410"/>
      <c r="D301" s="429"/>
      <c r="E301" s="416"/>
      <c r="F301" s="413"/>
      <c r="G301" s="413"/>
      <c r="H301" s="415"/>
      <c r="I301" s="415"/>
      <c r="J301" s="415"/>
      <c r="K301" s="415"/>
      <c r="L301" s="417"/>
      <c r="M301" s="403"/>
      <c r="N301" s="403"/>
      <c r="O301" s="403"/>
      <c r="P301" s="403"/>
      <c r="Q301" s="403"/>
      <c r="R301" s="403"/>
      <c r="S301" s="403"/>
      <c r="T301" s="403"/>
      <c r="U301" s="403"/>
      <c r="V301" s="403"/>
      <c r="W301" s="404"/>
      <c r="X301" s="405"/>
      <c r="Y301" s="405"/>
      <c r="Z301" s="405"/>
      <c r="AA301" s="405"/>
      <c r="AB301" s="405"/>
      <c r="AC301" s="405"/>
      <c r="AD301" s="405"/>
      <c r="AE301" s="405"/>
      <c r="AF301" s="405"/>
      <c r="AG301" s="405"/>
      <c r="AH301" s="405"/>
      <c r="AI301" s="405"/>
      <c r="AJ301" s="405"/>
      <c r="AK301" s="405"/>
      <c r="AL301" s="405"/>
      <c r="AM301" s="406"/>
      <c r="AN301" s="406"/>
      <c r="AO301" s="406"/>
      <c r="AP301" s="406"/>
      <c r="AQ301" s="403"/>
      <c r="AR301" s="403"/>
      <c r="AS301" s="403"/>
      <c r="AT301" s="403"/>
      <c r="AU301" s="403"/>
      <c r="AV301" s="403"/>
      <c r="AW301" s="403"/>
      <c r="AX301" s="403"/>
      <c r="AY301" s="403"/>
    </row>
    <row r="302">
      <c r="A302" s="415"/>
      <c r="B302" s="415"/>
      <c r="C302" s="410"/>
      <c r="D302" s="429"/>
      <c r="E302" s="416"/>
      <c r="F302" s="413"/>
      <c r="G302" s="413"/>
      <c r="H302" s="415"/>
      <c r="I302" s="415"/>
      <c r="J302" s="415"/>
      <c r="K302" s="415"/>
      <c r="L302" s="417"/>
      <c r="M302" s="403"/>
      <c r="N302" s="403"/>
      <c r="O302" s="403"/>
      <c r="P302" s="403"/>
      <c r="Q302" s="403"/>
      <c r="R302" s="403"/>
      <c r="S302" s="403"/>
      <c r="T302" s="403"/>
      <c r="U302" s="403"/>
      <c r="V302" s="403"/>
      <c r="W302" s="404"/>
      <c r="X302" s="405"/>
      <c r="Y302" s="405"/>
      <c r="Z302" s="405"/>
      <c r="AA302" s="405"/>
      <c r="AB302" s="405"/>
      <c r="AC302" s="405"/>
      <c r="AD302" s="405"/>
      <c r="AE302" s="405"/>
      <c r="AF302" s="405"/>
      <c r="AG302" s="405"/>
      <c r="AH302" s="405"/>
      <c r="AI302" s="405"/>
      <c r="AJ302" s="405"/>
      <c r="AK302" s="405"/>
      <c r="AL302" s="405"/>
      <c r="AM302" s="406"/>
      <c r="AN302" s="406"/>
      <c r="AO302" s="406"/>
      <c r="AP302" s="406"/>
      <c r="AQ302" s="403"/>
      <c r="AR302" s="403"/>
      <c r="AS302" s="403"/>
      <c r="AT302" s="403"/>
      <c r="AU302" s="403"/>
      <c r="AV302" s="403"/>
      <c r="AW302" s="403"/>
      <c r="AX302" s="403"/>
      <c r="AY302" s="403"/>
    </row>
    <row r="303">
      <c r="A303" s="415"/>
      <c r="B303" s="415"/>
      <c r="C303" s="410"/>
      <c r="D303" s="429"/>
      <c r="E303" s="416"/>
      <c r="F303" s="413"/>
      <c r="G303" s="413"/>
      <c r="H303" s="415"/>
      <c r="I303" s="415"/>
      <c r="J303" s="415"/>
      <c r="K303" s="415"/>
      <c r="L303" s="417"/>
      <c r="M303" s="403"/>
      <c r="N303" s="403"/>
      <c r="O303" s="403"/>
      <c r="P303" s="403"/>
      <c r="Q303" s="403"/>
      <c r="R303" s="403"/>
      <c r="S303" s="403"/>
      <c r="T303" s="403"/>
      <c r="U303" s="403"/>
      <c r="V303" s="403"/>
      <c r="W303" s="404"/>
      <c r="X303" s="405"/>
      <c r="Y303" s="405"/>
      <c r="Z303" s="405"/>
      <c r="AA303" s="405"/>
      <c r="AB303" s="405"/>
      <c r="AC303" s="405"/>
      <c r="AD303" s="405"/>
      <c r="AE303" s="405"/>
      <c r="AF303" s="405"/>
      <c r="AG303" s="405"/>
      <c r="AH303" s="405"/>
      <c r="AI303" s="405"/>
      <c r="AJ303" s="405"/>
      <c r="AK303" s="405"/>
      <c r="AL303" s="405"/>
      <c r="AM303" s="406"/>
      <c r="AN303" s="406"/>
      <c r="AO303" s="406"/>
      <c r="AP303" s="406"/>
      <c r="AQ303" s="403"/>
      <c r="AR303" s="403"/>
      <c r="AS303" s="403"/>
      <c r="AT303" s="403"/>
      <c r="AU303" s="403"/>
      <c r="AV303" s="403"/>
      <c r="AW303" s="403"/>
      <c r="AX303" s="403"/>
      <c r="AY303" s="403"/>
    </row>
    <row r="304">
      <c r="A304" s="415"/>
      <c r="B304" s="415"/>
      <c r="C304" s="410"/>
      <c r="D304" s="429"/>
      <c r="E304" s="416"/>
      <c r="F304" s="413"/>
      <c r="G304" s="413"/>
      <c r="H304" s="415"/>
      <c r="I304" s="415"/>
      <c r="J304" s="415"/>
      <c r="K304" s="415"/>
      <c r="L304" s="417"/>
      <c r="M304" s="403"/>
      <c r="N304" s="403"/>
      <c r="O304" s="403"/>
      <c r="P304" s="403"/>
      <c r="Q304" s="403"/>
      <c r="R304" s="403"/>
      <c r="S304" s="403"/>
      <c r="T304" s="403"/>
      <c r="U304" s="403"/>
      <c r="V304" s="403"/>
      <c r="W304" s="404"/>
      <c r="X304" s="405"/>
      <c r="Y304" s="405"/>
      <c r="Z304" s="405"/>
      <c r="AA304" s="405"/>
      <c r="AB304" s="405"/>
      <c r="AC304" s="405"/>
      <c r="AD304" s="405"/>
      <c r="AE304" s="405"/>
      <c r="AF304" s="405"/>
      <c r="AG304" s="405"/>
      <c r="AH304" s="405"/>
      <c r="AI304" s="405"/>
      <c r="AJ304" s="405"/>
      <c r="AK304" s="405"/>
      <c r="AL304" s="405"/>
      <c r="AM304" s="406"/>
      <c r="AN304" s="406"/>
      <c r="AO304" s="406"/>
      <c r="AP304" s="406"/>
      <c r="AQ304" s="403"/>
      <c r="AR304" s="403"/>
      <c r="AS304" s="403"/>
      <c r="AT304" s="403"/>
      <c r="AU304" s="403"/>
      <c r="AV304" s="403"/>
      <c r="AW304" s="403"/>
      <c r="AX304" s="403"/>
      <c r="AY304" s="403"/>
    </row>
    <row r="305">
      <c r="A305" s="415"/>
      <c r="B305" s="415"/>
      <c r="C305" s="410"/>
      <c r="D305" s="429"/>
      <c r="E305" s="416"/>
      <c r="F305" s="413"/>
      <c r="G305" s="413"/>
      <c r="H305" s="415"/>
      <c r="I305" s="415"/>
      <c r="J305" s="415"/>
      <c r="K305" s="415"/>
      <c r="L305" s="417"/>
      <c r="M305" s="403"/>
      <c r="N305" s="403"/>
      <c r="O305" s="403"/>
      <c r="P305" s="403"/>
      <c r="Q305" s="403"/>
      <c r="R305" s="403"/>
      <c r="S305" s="403"/>
      <c r="T305" s="403"/>
      <c r="U305" s="403"/>
      <c r="V305" s="403"/>
      <c r="W305" s="404"/>
      <c r="X305" s="405"/>
      <c r="Y305" s="405"/>
      <c r="Z305" s="405"/>
      <c r="AA305" s="405"/>
      <c r="AB305" s="405"/>
      <c r="AC305" s="405"/>
      <c r="AD305" s="405"/>
      <c r="AE305" s="405"/>
      <c r="AF305" s="405"/>
      <c r="AG305" s="405"/>
      <c r="AH305" s="405"/>
      <c r="AI305" s="405"/>
      <c r="AJ305" s="405"/>
      <c r="AK305" s="405"/>
      <c r="AL305" s="405"/>
      <c r="AM305" s="406"/>
      <c r="AN305" s="406"/>
      <c r="AO305" s="406"/>
      <c r="AP305" s="406"/>
      <c r="AQ305" s="403"/>
      <c r="AR305" s="403"/>
      <c r="AS305" s="403"/>
      <c r="AT305" s="403"/>
      <c r="AU305" s="403"/>
      <c r="AV305" s="403"/>
      <c r="AW305" s="403"/>
      <c r="AX305" s="403"/>
      <c r="AY305" s="403"/>
    </row>
    <row r="306">
      <c r="A306" s="415"/>
      <c r="B306" s="415"/>
      <c r="C306" s="410"/>
      <c r="D306" s="429"/>
      <c r="E306" s="416"/>
      <c r="F306" s="413"/>
      <c r="G306" s="413"/>
      <c r="H306" s="415"/>
      <c r="I306" s="415"/>
      <c r="J306" s="415"/>
      <c r="K306" s="415"/>
      <c r="L306" s="417"/>
      <c r="M306" s="403"/>
      <c r="N306" s="403"/>
      <c r="O306" s="403"/>
      <c r="P306" s="403"/>
      <c r="Q306" s="403"/>
      <c r="R306" s="403"/>
      <c r="S306" s="403"/>
      <c r="T306" s="403"/>
      <c r="U306" s="403"/>
      <c r="V306" s="403"/>
      <c r="W306" s="404"/>
      <c r="X306" s="405"/>
      <c r="Y306" s="405"/>
      <c r="Z306" s="405"/>
      <c r="AA306" s="405"/>
      <c r="AB306" s="405"/>
      <c r="AC306" s="405"/>
      <c r="AD306" s="405"/>
      <c r="AE306" s="405"/>
      <c r="AF306" s="405"/>
      <c r="AG306" s="405"/>
      <c r="AH306" s="405"/>
      <c r="AI306" s="405"/>
      <c r="AJ306" s="405"/>
      <c r="AK306" s="405"/>
      <c r="AL306" s="405"/>
      <c r="AM306" s="406"/>
      <c r="AN306" s="406"/>
      <c r="AO306" s="406"/>
      <c r="AP306" s="406"/>
      <c r="AQ306" s="403"/>
      <c r="AR306" s="403"/>
      <c r="AS306" s="403"/>
      <c r="AT306" s="403"/>
      <c r="AU306" s="403"/>
      <c r="AV306" s="403"/>
      <c r="AW306" s="403"/>
      <c r="AX306" s="403"/>
      <c r="AY306" s="403"/>
    </row>
    <row r="307">
      <c r="A307" s="415"/>
      <c r="B307" s="415"/>
      <c r="C307" s="410"/>
      <c r="D307" s="429"/>
      <c r="E307" s="416"/>
      <c r="F307" s="413"/>
      <c r="G307" s="413"/>
      <c r="H307" s="415"/>
      <c r="I307" s="415"/>
      <c r="J307" s="415"/>
      <c r="K307" s="415"/>
      <c r="L307" s="417"/>
      <c r="M307" s="403"/>
      <c r="N307" s="403"/>
      <c r="O307" s="403"/>
      <c r="P307" s="403"/>
      <c r="Q307" s="403"/>
      <c r="R307" s="403"/>
      <c r="S307" s="403"/>
      <c r="T307" s="403"/>
      <c r="U307" s="403"/>
      <c r="V307" s="403"/>
      <c r="W307" s="404"/>
      <c r="X307" s="405"/>
      <c r="Y307" s="405"/>
      <c r="Z307" s="405"/>
      <c r="AA307" s="405"/>
      <c r="AB307" s="405"/>
      <c r="AC307" s="405"/>
      <c r="AD307" s="405"/>
      <c r="AE307" s="405"/>
      <c r="AF307" s="405"/>
      <c r="AG307" s="405"/>
      <c r="AH307" s="405"/>
      <c r="AI307" s="405"/>
      <c r="AJ307" s="405"/>
      <c r="AK307" s="405"/>
      <c r="AL307" s="405"/>
      <c r="AM307" s="406"/>
      <c r="AN307" s="406"/>
      <c r="AO307" s="406"/>
      <c r="AP307" s="406"/>
      <c r="AQ307" s="403"/>
      <c r="AR307" s="403"/>
      <c r="AS307" s="403"/>
      <c r="AT307" s="403"/>
      <c r="AU307" s="403"/>
      <c r="AV307" s="403"/>
      <c r="AW307" s="403"/>
      <c r="AX307" s="403"/>
      <c r="AY307" s="403"/>
    </row>
    <row r="308">
      <c r="A308" s="415"/>
      <c r="B308" s="415"/>
      <c r="C308" s="410"/>
      <c r="D308" s="429"/>
      <c r="E308" s="416"/>
      <c r="F308" s="413"/>
      <c r="G308" s="413"/>
      <c r="H308" s="415"/>
      <c r="I308" s="415"/>
      <c r="J308" s="415"/>
      <c r="K308" s="415"/>
      <c r="L308" s="417"/>
      <c r="M308" s="403"/>
      <c r="N308" s="403"/>
      <c r="O308" s="403"/>
      <c r="P308" s="403"/>
      <c r="Q308" s="403"/>
      <c r="R308" s="403"/>
      <c r="S308" s="403"/>
      <c r="T308" s="403"/>
      <c r="U308" s="403"/>
      <c r="V308" s="403"/>
      <c r="W308" s="404"/>
      <c r="X308" s="405"/>
      <c r="Y308" s="405"/>
      <c r="Z308" s="405"/>
      <c r="AA308" s="405"/>
      <c r="AB308" s="405"/>
      <c r="AC308" s="405"/>
      <c r="AD308" s="405"/>
      <c r="AE308" s="405"/>
      <c r="AF308" s="405"/>
      <c r="AG308" s="405"/>
      <c r="AH308" s="405"/>
      <c r="AI308" s="405"/>
      <c r="AJ308" s="405"/>
      <c r="AK308" s="405"/>
      <c r="AL308" s="405"/>
      <c r="AM308" s="406"/>
      <c r="AN308" s="406"/>
      <c r="AO308" s="406"/>
      <c r="AP308" s="406"/>
      <c r="AQ308" s="403"/>
      <c r="AR308" s="403"/>
      <c r="AS308" s="403"/>
      <c r="AT308" s="403"/>
      <c r="AU308" s="403"/>
      <c r="AV308" s="403"/>
      <c r="AW308" s="403"/>
      <c r="AX308" s="403"/>
      <c r="AY308" s="403"/>
    </row>
    <row r="309">
      <c r="A309" s="415"/>
      <c r="B309" s="415"/>
      <c r="C309" s="410"/>
      <c r="D309" s="429"/>
      <c r="E309" s="416"/>
      <c r="F309" s="413"/>
      <c r="G309" s="413"/>
      <c r="H309" s="415"/>
      <c r="I309" s="415"/>
      <c r="J309" s="415"/>
      <c r="K309" s="415"/>
      <c r="L309" s="417"/>
      <c r="M309" s="403"/>
      <c r="N309" s="403"/>
      <c r="O309" s="403"/>
      <c r="P309" s="403"/>
      <c r="Q309" s="403"/>
      <c r="R309" s="403"/>
      <c r="S309" s="403"/>
      <c r="T309" s="403"/>
      <c r="U309" s="403"/>
      <c r="V309" s="403"/>
      <c r="W309" s="404"/>
      <c r="X309" s="405"/>
      <c r="Y309" s="405"/>
      <c r="Z309" s="405"/>
      <c r="AA309" s="405"/>
      <c r="AB309" s="405"/>
      <c r="AC309" s="405"/>
      <c r="AD309" s="405"/>
      <c r="AE309" s="405"/>
      <c r="AF309" s="405"/>
      <c r="AG309" s="405"/>
      <c r="AH309" s="405"/>
      <c r="AI309" s="405"/>
      <c r="AJ309" s="405"/>
      <c r="AK309" s="405"/>
      <c r="AL309" s="405"/>
      <c r="AM309" s="406"/>
      <c r="AN309" s="406"/>
      <c r="AO309" s="406"/>
      <c r="AP309" s="406"/>
      <c r="AQ309" s="403"/>
      <c r="AR309" s="403"/>
      <c r="AS309" s="403"/>
      <c r="AT309" s="403"/>
      <c r="AU309" s="403"/>
      <c r="AV309" s="403"/>
      <c r="AW309" s="403"/>
      <c r="AX309" s="403"/>
      <c r="AY309" s="403"/>
    </row>
    <row r="310">
      <c r="A310" s="415"/>
      <c r="B310" s="415"/>
      <c r="C310" s="410"/>
      <c r="D310" s="429"/>
      <c r="E310" s="416"/>
      <c r="F310" s="413"/>
      <c r="G310" s="413"/>
      <c r="H310" s="415"/>
      <c r="I310" s="415"/>
      <c r="J310" s="415"/>
      <c r="K310" s="415"/>
      <c r="L310" s="417"/>
      <c r="M310" s="403"/>
      <c r="N310" s="403"/>
      <c r="O310" s="403"/>
      <c r="P310" s="403"/>
      <c r="Q310" s="403"/>
      <c r="R310" s="403"/>
      <c r="S310" s="403"/>
      <c r="T310" s="403"/>
      <c r="U310" s="403"/>
      <c r="V310" s="403"/>
      <c r="W310" s="404"/>
      <c r="X310" s="405"/>
      <c r="Y310" s="405"/>
      <c r="Z310" s="405"/>
      <c r="AA310" s="405"/>
      <c r="AB310" s="405"/>
      <c r="AC310" s="405"/>
      <c r="AD310" s="405"/>
      <c r="AE310" s="405"/>
      <c r="AF310" s="405"/>
      <c r="AG310" s="405"/>
      <c r="AH310" s="405"/>
      <c r="AI310" s="405"/>
      <c r="AJ310" s="405"/>
      <c r="AK310" s="405"/>
      <c r="AL310" s="405"/>
      <c r="AM310" s="406"/>
      <c r="AN310" s="406"/>
      <c r="AO310" s="406"/>
      <c r="AP310" s="406"/>
      <c r="AQ310" s="403"/>
      <c r="AR310" s="403"/>
      <c r="AS310" s="403"/>
      <c r="AT310" s="403"/>
      <c r="AU310" s="403"/>
      <c r="AV310" s="403"/>
      <c r="AW310" s="403"/>
      <c r="AX310" s="403"/>
      <c r="AY310" s="403"/>
    </row>
    <row r="311">
      <c r="A311" s="415"/>
      <c r="B311" s="415"/>
      <c r="C311" s="410"/>
      <c r="D311" s="429"/>
      <c r="E311" s="416"/>
      <c r="F311" s="413"/>
      <c r="G311" s="413"/>
      <c r="H311" s="415"/>
      <c r="I311" s="415"/>
      <c r="J311" s="415"/>
      <c r="K311" s="415"/>
      <c r="L311" s="417"/>
      <c r="M311" s="403"/>
      <c r="N311" s="403"/>
      <c r="O311" s="403"/>
      <c r="P311" s="403"/>
      <c r="Q311" s="403"/>
      <c r="R311" s="403"/>
      <c r="S311" s="403"/>
      <c r="T311" s="403"/>
      <c r="U311" s="403"/>
      <c r="V311" s="403"/>
      <c r="W311" s="404"/>
      <c r="X311" s="405"/>
      <c r="Y311" s="405"/>
      <c r="Z311" s="405"/>
      <c r="AA311" s="405"/>
      <c r="AB311" s="405"/>
      <c r="AC311" s="405"/>
      <c r="AD311" s="405"/>
      <c r="AE311" s="405"/>
      <c r="AF311" s="405"/>
      <c r="AG311" s="405"/>
      <c r="AH311" s="405"/>
      <c r="AI311" s="405"/>
      <c r="AJ311" s="405"/>
      <c r="AK311" s="405"/>
      <c r="AL311" s="405"/>
      <c r="AM311" s="406"/>
      <c r="AN311" s="406"/>
      <c r="AO311" s="406"/>
      <c r="AP311" s="406"/>
      <c r="AQ311" s="403"/>
      <c r="AR311" s="403"/>
      <c r="AS311" s="403"/>
      <c r="AT311" s="403"/>
      <c r="AU311" s="403"/>
      <c r="AV311" s="403"/>
      <c r="AW311" s="403"/>
      <c r="AX311" s="403"/>
      <c r="AY311" s="403"/>
    </row>
    <row r="312">
      <c r="A312" s="415"/>
      <c r="B312" s="415"/>
      <c r="C312" s="410"/>
      <c r="D312" s="429"/>
      <c r="E312" s="416"/>
      <c r="F312" s="413"/>
      <c r="G312" s="413"/>
      <c r="H312" s="415"/>
      <c r="I312" s="415"/>
      <c r="J312" s="415"/>
      <c r="K312" s="415"/>
      <c r="L312" s="417"/>
      <c r="M312" s="403"/>
      <c r="N312" s="403"/>
      <c r="O312" s="403"/>
      <c r="P312" s="403"/>
      <c r="Q312" s="403"/>
      <c r="R312" s="403"/>
      <c r="S312" s="403"/>
      <c r="T312" s="403"/>
      <c r="U312" s="403"/>
      <c r="V312" s="403"/>
      <c r="W312" s="404"/>
      <c r="X312" s="405"/>
      <c r="Y312" s="405"/>
      <c r="Z312" s="405"/>
      <c r="AA312" s="405"/>
      <c r="AB312" s="405"/>
      <c r="AC312" s="405"/>
      <c r="AD312" s="405"/>
      <c r="AE312" s="405"/>
      <c r="AF312" s="405"/>
      <c r="AG312" s="405"/>
      <c r="AH312" s="405"/>
      <c r="AI312" s="405"/>
      <c r="AJ312" s="405"/>
      <c r="AK312" s="405"/>
      <c r="AL312" s="405"/>
      <c r="AM312" s="406"/>
      <c r="AN312" s="406"/>
      <c r="AO312" s="406"/>
      <c r="AP312" s="406"/>
      <c r="AQ312" s="403"/>
      <c r="AR312" s="403"/>
      <c r="AS312" s="403"/>
      <c r="AT312" s="403"/>
      <c r="AU312" s="403"/>
      <c r="AV312" s="403"/>
      <c r="AW312" s="403"/>
      <c r="AX312" s="403"/>
      <c r="AY312" s="403"/>
    </row>
    <row r="313">
      <c r="A313" s="415"/>
      <c r="B313" s="415"/>
      <c r="C313" s="410"/>
      <c r="D313" s="429"/>
      <c r="E313" s="416"/>
      <c r="F313" s="413"/>
      <c r="G313" s="413"/>
      <c r="H313" s="415"/>
      <c r="I313" s="415"/>
      <c r="J313" s="415"/>
      <c r="K313" s="415"/>
      <c r="L313" s="417"/>
      <c r="M313" s="403"/>
      <c r="N313" s="403"/>
      <c r="O313" s="403"/>
      <c r="P313" s="403"/>
      <c r="Q313" s="403"/>
      <c r="R313" s="403"/>
      <c r="S313" s="403"/>
      <c r="T313" s="403"/>
      <c r="U313" s="403"/>
      <c r="V313" s="403"/>
      <c r="W313" s="404"/>
      <c r="X313" s="405"/>
      <c r="Y313" s="405"/>
      <c r="Z313" s="405"/>
      <c r="AA313" s="405"/>
      <c r="AB313" s="405"/>
      <c r="AC313" s="405"/>
      <c r="AD313" s="405"/>
      <c r="AE313" s="405"/>
      <c r="AF313" s="405"/>
      <c r="AG313" s="405"/>
      <c r="AH313" s="405"/>
      <c r="AI313" s="405"/>
      <c r="AJ313" s="405"/>
      <c r="AK313" s="405"/>
      <c r="AL313" s="405"/>
      <c r="AM313" s="406"/>
      <c r="AN313" s="406"/>
      <c r="AO313" s="406"/>
      <c r="AP313" s="406"/>
      <c r="AQ313" s="403"/>
      <c r="AR313" s="403"/>
      <c r="AS313" s="403"/>
      <c r="AT313" s="403"/>
      <c r="AU313" s="403"/>
      <c r="AV313" s="403"/>
      <c r="AW313" s="403"/>
      <c r="AX313" s="403"/>
      <c r="AY313" s="403"/>
    </row>
    <row r="314">
      <c r="A314" s="415"/>
      <c r="B314" s="415"/>
      <c r="C314" s="410"/>
      <c r="D314" s="429"/>
      <c r="E314" s="416"/>
      <c r="F314" s="413"/>
      <c r="G314" s="413"/>
      <c r="H314" s="415"/>
      <c r="I314" s="415"/>
      <c r="J314" s="415"/>
      <c r="K314" s="415"/>
      <c r="L314" s="417"/>
      <c r="M314" s="403"/>
      <c r="N314" s="403"/>
      <c r="O314" s="403"/>
      <c r="P314" s="403"/>
      <c r="Q314" s="403"/>
      <c r="R314" s="403"/>
      <c r="S314" s="403"/>
      <c r="T314" s="403"/>
      <c r="U314" s="403"/>
      <c r="V314" s="403"/>
      <c r="W314" s="404"/>
      <c r="X314" s="405"/>
      <c r="Y314" s="405"/>
      <c r="Z314" s="405"/>
      <c r="AA314" s="405"/>
      <c r="AB314" s="405"/>
      <c r="AC314" s="405"/>
      <c r="AD314" s="405"/>
      <c r="AE314" s="405"/>
      <c r="AF314" s="405"/>
      <c r="AG314" s="405"/>
      <c r="AH314" s="405"/>
      <c r="AI314" s="405"/>
      <c r="AJ314" s="405"/>
      <c r="AK314" s="405"/>
      <c r="AL314" s="405"/>
      <c r="AM314" s="406"/>
      <c r="AN314" s="406"/>
      <c r="AO314" s="406"/>
      <c r="AP314" s="406"/>
      <c r="AQ314" s="403"/>
      <c r="AR314" s="403"/>
      <c r="AS314" s="403"/>
      <c r="AT314" s="403"/>
      <c r="AU314" s="403"/>
      <c r="AV314" s="403"/>
      <c r="AW314" s="403"/>
      <c r="AX314" s="403"/>
      <c r="AY314" s="403"/>
    </row>
    <row r="315">
      <c r="A315" s="415"/>
      <c r="B315" s="415"/>
      <c r="C315" s="410"/>
      <c r="D315" s="429"/>
      <c r="E315" s="416"/>
      <c r="F315" s="413"/>
      <c r="G315" s="413"/>
      <c r="H315" s="415"/>
      <c r="I315" s="415"/>
      <c r="J315" s="415"/>
      <c r="K315" s="415"/>
      <c r="L315" s="417"/>
      <c r="M315" s="403"/>
      <c r="N315" s="403"/>
      <c r="O315" s="403"/>
      <c r="P315" s="403"/>
      <c r="Q315" s="403"/>
      <c r="R315" s="403"/>
      <c r="S315" s="403"/>
      <c r="T315" s="403"/>
      <c r="U315" s="403"/>
      <c r="V315" s="403"/>
      <c r="W315" s="404"/>
      <c r="X315" s="405"/>
      <c r="Y315" s="405"/>
      <c r="Z315" s="405"/>
      <c r="AA315" s="405"/>
      <c r="AB315" s="405"/>
      <c r="AC315" s="405"/>
      <c r="AD315" s="405"/>
      <c r="AE315" s="405"/>
      <c r="AF315" s="405"/>
      <c r="AG315" s="405"/>
      <c r="AH315" s="405"/>
      <c r="AI315" s="405"/>
      <c r="AJ315" s="405"/>
      <c r="AK315" s="405"/>
      <c r="AL315" s="405"/>
      <c r="AM315" s="406"/>
      <c r="AN315" s="406"/>
      <c r="AO315" s="406"/>
      <c r="AP315" s="406"/>
      <c r="AQ315" s="403"/>
      <c r="AR315" s="403"/>
      <c r="AS315" s="403"/>
      <c r="AT315" s="403"/>
      <c r="AU315" s="403"/>
      <c r="AV315" s="403"/>
      <c r="AW315" s="403"/>
      <c r="AX315" s="403"/>
      <c r="AY315" s="403"/>
    </row>
    <row r="316">
      <c r="A316" s="415"/>
      <c r="B316" s="415"/>
      <c r="C316" s="410"/>
      <c r="D316" s="429"/>
      <c r="E316" s="416"/>
      <c r="F316" s="413"/>
      <c r="G316" s="413"/>
      <c r="H316" s="415"/>
      <c r="I316" s="415"/>
      <c r="J316" s="415"/>
      <c r="K316" s="415"/>
      <c r="L316" s="417"/>
      <c r="M316" s="403"/>
      <c r="N316" s="403"/>
      <c r="O316" s="403"/>
      <c r="P316" s="403"/>
      <c r="Q316" s="403"/>
      <c r="R316" s="403"/>
      <c r="S316" s="403"/>
      <c r="T316" s="403"/>
      <c r="U316" s="403"/>
      <c r="V316" s="403"/>
      <c r="W316" s="404"/>
      <c r="X316" s="405"/>
      <c r="Y316" s="405"/>
      <c r="Z316" s="405"/>
      <c r="AA316" s="405"/>
      <c r="AB316" s="405"/>
      <c r="AC316" s="405"/>
      <c r="AD316" s="405"/>
      <c r="AE316" s="405"/>
      <c r="AF316" s="405"/>
      <c r="AG316" s="405"/>
      <c r="AH316" s="405"/>
      <c r="AI316" s="405"/>
      <c r="AJ316" s="405"/>
      <c r="AK316" s="405"/>
      <c r="AL316" s="405"/>
      <c r="AM316" s="406"/>
      <c r="AN316" s="406"/>
      <c r="AO316" s="406"/>
      <c r="AP316" s="406"/>
      <c r="AQ316" s="403"/>
      <c r="AR316" s="403"/>
      <c r="AS316" s="403"/>
      <c r="AT316" s="403"/>
      <c r="AU316" s="403"/>
      <c r="AV316" s="403"/>
      <c r="AW316" s="403"/>
      <c r="AX316" s="403"/>
      <c r="AY316" s="403"/>
    </row>
    <row r="317">
      <c r="A317" s="415"/>
      <c r="B317" s="415"/>
      <c r="C317" s="410"/>
      <c r="D317" s="429"/>
      <c r="E317" s="416"/>
      <c r="F317" s="413"/>
      <c r="G317" s="413"/>
      <c r="H317" s="415"/>
      <c r="I317" s="415"/>
      <c r="J317" s="415"/>
      <c r="K317" s="415"/>
      <c r="L317" s="417"/>
      <c r="M317" s="403"/>
      <c r="N317" s="403"/>
      <c r="O317" s="403"/>
      <c r="P317" s="403"/>
      <c r="Q317" s="403"/>
      <c r="R317" s="403"/>
      <c r="S317" s="403"/>
      <c r="T317" s="403"/>
      <c r="U317" s="403"/>
      <c r="V317" s="403"/>
      <c r="W317" s="404"/>
      <c r="X317" s="405"/>
      <c r="Y317" s="405"/>
      <c r="Z317" s="405"/>
      <c r="AA317" s="405"/>
      <c r="AB317" s="405"/>
      <c r="AC317" s="405"/>
      <c r="AD317" s="405"/>
      <c r="AE317" s="405"/>
      <c r="AF317" s="405"/>
      <c r="AG317" s="405"/>
      <c r="AH317" s="405"/>
      <c r="AI317" s="405"/>
      <c r="AJ317" s="405"/>
      <c r="AK317" s="405"/>
      <c r="AL317" s="405"/>
      <c r="AM317" s="406"/>
      <c r="AN317" s="406"/>
      <c r="AO317" s="406"/>
      <c r="AP317" s="406"/>
      <c r="AQ317" s="403"/>
      <c r="AR317" s="403"/>
      <c r="AS317" s="403"/>
      <c r="AT317" s="403"/>
      <c r="AU317" s="403"/>
      <c r="AV317" s="403"/>
      <c r="AW317" s="403"/>
      <c r="AX317" s="403"/>
      <c r="AY317" s="403"/>
    </row>
    <row r="318">
      <c r="A318" s="415"/>
      <c r="B318" s="415"/>
      <c r="C318" s="410"/>
      <c r="D318" s="429"/>
      <c r="E318" s="416"/>
      <c r="F318" s="413"/>
      <c r="G318" s="413"/>
      <c r="H318" s="415"/>
      <c r="I318" s="415"/>
      <c r="J318" s="415"/>
      <c r="K318" s="415"/>
      <c r="L318" s="417"/>
      <c r="M318" s="403"/>
      <c r="N318" s="403"/>
      <c r="O318" s="403"/>
      <c r="P318" s="403"/>
      <c r="Q318" s="403"/>
      <c r="R318" s="403"/>
      <c r="S318" s="403"/>
      <c r="T318" s="403"/>
      <c r="U318" s="403"/>
      <c r="V318" s="403"/>
      <c r="W318" s="404"/>
      <c r="X318" s="405"/>
      <c r="Y318" s="405"/>
      <c r="Z318" s="405"/>
      <c r="AA318" s="405"/>
      <c r="AB318" s="405"/>
      <c r="AC318" s="405"/>
      <c r="AD318" s="405"/>
      <c r="AE318" s="405"/>
      <c r="AF318" s="405"/>
      <c r="AG318" s="405"/>
      <c r="AH318" s="405"/>
      <c r="AI318" s="405"/>
      <c r="AJ318" s="405"/>
      <c r="AK318" s="405"/>
      <c r="AL318" s="405"/>
      <c r="AM318" s="406"/>
      <c r="AN318" s="406"/>
      <c r="AO318" s="406"/>
      <c r="AP318" s="406"/>
      <c r="AQ318" s="403"/>
      <c r="AR318" s="403"/>
      <c r="AS318" s="403"/>
      <c r="AT318" s="403"/>
      <c r="AU318" s="403"/>
      <c r="AV318" s="403"/>
      <c r="AW318" s="403"/>
      <c r="AX318" s="403"/>
      <c r="AY318" s="403"/>
    </row>
    <row r="319">
      <c r="A319" s="415"/>
      <c r="B319" s="415"/>
      <c r="C319" s="410"/>
      <c r="D319" s="429"/>
      <c r="E319" s="416"/>
      <c r="F319" s="413"/>
      <c r="G319" s="413"/>
      <c r="H319" s="415"/>
      <c r="I319" s="415"/>
      <c r="J319" s="415"/>
      <c r="K319" s="415"/>
      <c r="L319" s="417"/>
      <c r="M319" s="403"/>
      <c r="N319" s="403"/>
      <c r="O319" s="403"/>
      <c r="P319" s="403"/>
      <c r="Q319" s="403"/>
      <c r="R319" s="403"/>
      <c r="S319" s="403"/>
      <c r="T319" s="403"/>
      <c r="U319" s="403"/>
      <c r="V319" s="403"/>
      <c r="W319" s="404"/>
      <c r="X319" s="405"/>
      <c r="Y319" s="405"/>
      <c r="Z319" s="405"/>
      <c r="AA319" s="405"/>
      <c r="AB319" s="405"/>
      <c r="AC319" s="405"/>
      <c r="AD319" s="405"/>
      <c r="AE319" s="405"/>
      <c r="AF319" s="405"/>
      <c r="AG319" s="405"/>
      <c r="AH319" s="405"/>
      <c r="AI319" s="405"/>
      <c r="AJ319" s="405"/>
      <c r="AK319" s="405"/>
      <c r="AL319" s="405"/>
      <c r="AM319" s="406"/>
      <c r="AN319" s="406"/>
      <c r="AO319" s="406"/>
      <c r="AP319" s="406"/>
      <c r="AQ319" s="403"/>
      <c r="AR319" s="403"/>
      <c r="AS319" s="403"/>
      <c r="AT319" s="403"/>
      <c r="AU319" s="403"/>
      <c r="AV319" s="403"/>
      <c r="AW319" s="403"/>
      <c r="AX319" s="403"/>
      <c r="AY319" s="403"/>
    </row>
    <row r="320">
      <c r="A320" s="415"/>
      <c r="B320" s="415"/>
      <c r="C320" s="410"/>
      <c r="D320" s="429"/>
      <c r="E320" s="416"/>
      <c r="F320" s="413"/>
      <c r="G320" s="413"/>
      <c r="H320" s="415"/>
      <c r="I320" s="415"/>
      <c r="J320" s="415"/>
      <c r="K320" s="415"/>
      <c r="L320" s="417"/>
      <c r="M320" s="403"/>
      <c r="N320" s="403"/>
      <c r="O320" s="403"/>
      <c r="P320" s="403"/>
      <c r="Q320" s="403"/>
      <c r="R320" s="403"/>
      <c r="S320" s="403"/>
      <c r="T320" s="403"/>
      <c r="U320" s="403"/>
      <c r="V320" s="403"/>
      <c r="W320" s="404"/>
      <c r="X320" s="405"/>
      <c r="Y320" s="405"/>
      <c r="Z320" s="405"/>
      <c r="AA320" s="405"/>
      <c r="AB320" s="405"/>
      <c r="AC320" s="405"/>
      <c r="AD320" s="405"/>
      <c r="AE320" s="405"/>
      <c r="AF320" s="405"/>
      <c r="AG320" s="405"/>
      <c r="AH320" s="405"/>
      <c r="AI320" s="405"/>
      <c r="AJ320" s="405"/>
      <c r="AK320" s="405"/>
      <c r="AL320" s="405"/>
      <c r="AM320" s="406"/>
      <c r="AN320" s="406"/>
      <c r="AO320" s="406"/>
      <c r="AP320" s="406"/>
      <c r="AQ320" s="403"/>
      <c r="AR320" s="403"/>
      <c r="AS320" s="403"/>
      <c r="AT320" s="403"/>
      <c r="AU320" s="403"/>
      <c r="AV320" s="403"/>
      <c r="AW320" s="403"/>
      <c r="AX320" s="403"/>
      <c r="AY320" s="403"/>
    </row>
    <row r="321">
      <c r="A321" s="415"/>
      <c r="B321" s="415"/>
      <c r="C321" s="410"/>
      <c r="D321" s="429"/>
      <c r="E321" s="416"/>
      <c r="F321" s="413"/>
      <c r="G321" s="413"/>
      <c r="H321" s="415"/>
      <c r="I321" s="415"/>
      <c r="J321" s="415"/>
      <c r="K321" s="415"/>
      <c r="L321" s="417"/>
      <c r="M321" s="403"/>
      <c r="N321" s="403"/>
      <c r="O321" s="403"/>
      <c r="P321" s="403"/>
      <c r="Q321" s="403"/>
      <c r="R321" s="403"/>
      <c r="S321" s="403"/>
      <c r="T321" s="403"/>
      <c r="U321" s="403"/>
      <c r="V321" s="403"/>
      <c r="W321" s="404"/>
      <c r="X321" s="405"/>
      <c r="Y321" s="405"/>
      <c r="Z321" s="405"/>
      <c r="AA321" s="405"/>
      <c r="AB321" s="405"/>
      <c r="AC321" s="405"/>
      <c r="AD321" s="405"/>
      <c r="AE321" s="405"/>
      <c r="AF321" s="405"/>
      <c r="AG321" s="405"/>
      <c r="AH321" s="405"/>
      <c r="AI321" s="405"/>
      <c r="AJ321" s="405"/>
      <c r="AK321" s="405"/>
      <c r="AL321" s="405"/>
      <c r="AM321" s="406"/>
      <c r="AN321" s="406"/>
      <c r="AO321" s="406"/>
      <c r="AP321" s="406"/>
      <c r="AQ321" s="403"/>
      <c r="AR321" s="403"/>
      <c r="AS321" s="403"/>
      <c r="AT321" s="403"/>
      <c r="AU321" s="403"/>
      <c r="AV321" s="403"/>
      <c r="AW321" s="403"/>
      <c r="AX321" s="403"/>
      <c r="AY321" s="403"/>
    </row>
    <row r="322">
      <c r="A322" s="415"/>
      <c r="B322" s="415"/>
      <c r="C322" s="410"/>
      <c r="D322" s="429"/>
      <c r="E322" s="416"/>
      <c r="F322" s="413"/>
      <c r="G322" s="413"/>
      <c r="H322" s="415"/>
      <c r="I322" s="415"/>
      <c r="J322" s="415"/>
      <c r="K322" s="415"/>
      <c r="L322" s="417"/>
      <c r="M322" s="403"/>
      <c r="N322" s="403"/>
      <c r="O322" s="403"/>
      <c r="P322" s="403"/>
      <c r="Q322" s="403"/>
      <c r="R322" s="403"/>
      <c r="S322" s="403"/>
      <c r="T322" s="403"/>
      <c r="U322" s="403"/>
      <c r="V322" s="403"/>
      <c r="W322" s="404"/>
      <c r="X322" s="405"/>
      <c r="Y322" s="405"/>
      <c r="Z322" s="405"/>
      <c r="AA322" s="405"/>
      <c r="AB322" s="405"/>
      <c r="AC322" s="405"/>
      <c r="AD322" s="405"/>
      <c r="AE322" s="405"/>
      <c r="AF322" s="405"/>
      <c r="AG322" s="405"/>
      <c r="AH322" s="405"/>
      <c r="AI322" s="405"/>
      <c r="AJ322" s="405"/>
      <c r="AK322" s="405"/>
      <c r="AL322" s="405"/>
      <c r="AM322" s="406"/>
      <c r="AN322" s="406"/>
      <c r="AO322" s="406"/>
      <c r="AP322" s="406"/>
      <c r="AQ322" s="403"/>
      <c r="AR322" s="403"/>
      <c r="AS322" s="403"/>
      <c r="AT322" s="403"/>
      <c r="AU322" s="403"/>
      <c r="AV322" s="403"/>
      <c r="AW322" s="403"/>
      <c r="AX322" s="403"/>
      <c r="AY322" s="403"/>
    </row>
    <row r="323">
      <c r="A323" s="415"/>
      <c r="B323" s="415"/>
      <c r="C323" s="410"/>
      <c r="D323" s="429"/>
      <c r="E323" s="416"/>
      <c r="F323" s="413"/>
      <c r="G323" s="413"/>
      <c r="H323" s="415"/>
      <c r="I323" s="415"/>
      <c r="J323" s="415"/>
      <c r="K323" s="415"/>
      <c r="L323" s="417"/>
      <c r="M323" s="403"/>
      <c r="N323" s="403"/>
      <c r="O323" s="403"/>
      <c r="P323" s="403"/>
      <c r="Q323" s="403"/>
      <c r="R323" s="403"/>
      <c r="S323" s="403"/>
      <c r="T323" s="403"/>
      <c r="U323" s="403"/>
      <c r="V323" s="403"/>
      <c r="W323" s="404"/>
      <c r="X323" s="405"/>
      <c r="Y323" s="405"/>
      <c r="Z323" s="405"/>
      <c r="AA323" s="405"/>
      <c r="AB323" s="405"/>
      <c r="AC323" s="405"/>
      <c r="AD323" s="405"/>
      <c r="AE323" s="405"/>
      <c r="AF323" s="405"/>
      <c r="AG323" s="405"/>
      <c r="AH323" s="405"/>
      <c r="AI323" s="405"/>
      <c r="AJ323" s="405"/>
      <c r="AK323" s="405"/>
      <c r="AL323" s="405"/>
      <c r="AM323" s="406"/>
      <c r="AN323" s="406"/>
      <c r="AO323" s="406"/>
      <c r="AP323" s="406"/>
      <c r="AQ323" s="403"/>
      <c r="AR323" s="403"/>
      <c r="AS323" s="403"/>
      <c r="AT323" s="403"/>
      <c r="AU323" s="403"/>
      <c r="AV323" s="403"/>
      <c r="AW323" s="403"/>
      <c r="AX323" s="403"/>
      <c r="AY323" s="403"/>
    </row>
    <row r="324">
      <c r="A324" s="415"/>
      <c r="B324" s="415"/>
      <c r="C324" s="410"/>
      <c r="D324" s="429"/>
      <c r="E324" s="416"/>
      <c r="F324" s="413"/>
      <c r="G324" s="413"/>
      <c r="H324" s="415"/>
      <c r="I324" s="415"/>
      <c r="J324" s="415"/>
      <c r="K324" s="415"/>
      <c r="L324" s="417"/>
      <c r="M324" s="403"/>
      <c r="N324" s="403"/>
      <c r="O324" s="403"/>
      <c r="P324" s="403"/>
      <c r="Q324" s="403"/>
      <c r="R324" s="403"/>
      <c r="S324" s="403"/>
      <c r="T324" s="403"/>
      <c r="U324" s="403"/>
      <c r="V324" s="403"/>
      <c r="W324" s="404"/>
      <c r="X324" s="405"/>
      <c r="Y324" s="405"/>
      <c r="Z324" s="405"/>
      <c r="AA324" s="405"/>
      <c r="AB324" s="405"/>
      <c r="AC324" s="405"/>
      <c r="AD324" s="405"/>
      <c r="AE324" s="405"/>
      <c r="AF324" s="405"/>
      <c r="AG324" s="405"/>
      <c r="AH324" s="405"/>
      <c r="AI324" s="405"/>
      <c r="AJ324" s="405"/>
      <c r="AK324" s="405"/>
      <c r="AL324" s="405"/>
      <c r="AM324" s="406"/>
      <c r="AN324" s="406"/>
      <c r="AO324" s="406"/>
      <c r="AP324" s="406"/>
      <c r="AQ324" s="403"/>
      <c r="AR324" s="403"/>
      <c r="AS324" s="403"/>
      <c r="AT324" s="403"/>
      <c r="AU324" s="403"/>
      <c r="AV324" s="403"/>
      <c r="AW324" s="403"/>
      <c r="AX324" s="403"/>
      <c r="AY324" s="403"/>
    </row>
    <row r="325">
      <c r="A325" s="415"/>
      <c r="B325" s="415"/>
      <c r="C325" s="410"/>
      <c r="D325" s="429"/>
      <c r="E325" s="416"/>
      <c r="F325" s="413"/>
      <c r="G325" s="413"/>
      <c r="H325" s="415"/>
      <c r="I325" s="415"/>
      <c r="J325" s="415"/>
      <c r="K325" s="415"/>
      <c r="L325" s="417"/>
      <c r="M325" s="403"/>
      <c r="N325" s="403"/>
      <c r="O325" s="403"/>
      <c r="P325" s="403"/>
      <c r="Q325" s="403"/>
      <c r="R325" s="403"/>
      <c r="S325" s="403"/>
      <c r="T325" s="403"/>
      <c r="U325" s="403"/>
      <c r="V325" s="403"/>
      <c r="W325" s="404"/>
      <c r="X325" s="405"/>
      <c r="Y325" s="405"/>
      <c r="Z325" s="405"/>
      <c r="AA325" s="405"/>
      <c r="AB325" s="405"/>
      <c r="AC325" s="405"/>
      <c r="AD325" s="405"/>
      <c r="AE325" s="405"/>
      <c r="AF325" s="405"/>
      <c r="AG325" s="405"/>
      <c r="AH325" s="405"/>
      <c r="AI325" s="405"/>
      <c r="AJ325" s="405"/>
      <c r="AK325" s="405"/>
      <c r="AL325" s="405"/>
      <c r="AM325" s="406"/>
      <c r="AN325" s="406"/>
      <c r="AO325" s="406"/>
      <c r="AP325" s="406"/>
      <c r="AQ325" s="403"/>
      <c r="AR325" s="403"/>
      <c r="AS325" s="403"/>
      <c r="AT325" s="403"/>
      <c r="AU325" s="403"/>
      <c r="AV325" s="403"/>
      <c r="AW325" s="403"/>
      <c r="AX325" s="403"/>
      <c r="AY325" s="403"/>
    </row>
    <row r="326">
      <c r="A326" s="415"/>
      <c r="B326" s="415"/>
      <c r="C326" s="410"/>
      <c r="D326" s="429"/>
      <c r="E326" s="416"/>
      <c r="F326" s="413"/>
      <c r="G326" s="413"/>
      <c r="H326" s="415"/>
      <c r="I326" s="415"/>
      <c r="J326" s="415"/>
      <c r="K326" s="415"/>
      <c r="L326" s="417"/>
      <c r="M326" s="403"/>
      <c r="N326" s="403"/>
      <c r="O326" s="403"/>
      <c r="P326" s="403"/>
      <c r="Q326" s="403"/>
      <c r="R326" s="403"/>
      <c r="S326" s="403"/>
      <c r="T326" s="403"/>
      <c r="U326" s="403"/>
      <c r="V326" s="403"/>
      <c r="W326" s="404"/>
      <c r="X326" s="405"/>
      <c r="Y326" s="405"/>
      <c r="Z326" s="405"/>
      <c r="AA326" s="405"/>
      <c r="AB326" s="405"/>
      <c r="AC326" s="405"/>
      <c r="AD326" s="405"/>
      <c r="AE326" s="405"/>
      <c r="AF326" s="405"/>
      <c r="AG326" s="405"/>
      <c r="AH326" s="405"/>
      <c r="AI326" s="405"/>
      <c r="AJ326" s="405"/>
      <c r="AK326" s="405"/>
      <c r="AL326" s="405"/>
      <c r="AM326" s="406"/>
      <c r="AN326" s="406"/>
      <c r="AO326" s="406"/>
      <c r="AP326" s="406"/>
      <c r="AQ326" s="403"/>
      <c r="AR326" s="403"/>
      <c r="AS326" s="403"/>
      <c r="AT326" s="403"/>
      <c r="AU326" s="403"/>
      <c r="AV326" s="403"/>
      <c r="AW326" s="403"/>
      <c r="AX326" s="403"/>
      <c r="AY326" s="403"/>
    </row>
    <row r="327">
      <c r="A327" s="415"/>
      <c r="B327" s="415"/>
      <c r="C327" s="410"/>
      <c r="D327" s="429"/>
      <c r="E327" s="416"/>
      <c r="F327" s="413"/>
      <c r="G327" s="413"/>
      <c r="H327" s="415"/>
      <c r="I327" s="415"/>
      <c r="J327" s="415"/>
      <c r="K327" s="415"/>
      <c r="L327" s="417"/>
      <c r="M327" s="403"/>
      <c r="N327" s="403"/>
      <c r="O327" s="403"/>
      <c r="P327" s="403"/>
      <c r="Q327" s="403"/>
      <c r="R327" s="403"/>
      <c r="S327" s="403"/>
      <c r="T327" s="403"/>
      <c r="U327" s="403"/>
      <c r="V327" s="403"/>
      <c r="W327" s="404"/>
      <c r="X327" s="405"/>
      <c r="Y327" s="405"/>
      <c r="Z327" s="405"/>
      <c r="AA327" s="405"/>
      <c r="AB327" s="405"/>
      <c r="AC327" s="405"/>
      <c r="AD327" s="405"/>
      <c r="AE327" s="405"/>
      <c r="AF327" s="405"/>
      <c r="AG327" s="405"/>
      <c r="AH327" s="405"/>
      <c r="AI327" s="405"/>
      <c r="AJ327" s="405"/>
      <c r="AK327" s="405"/>
      <c r="AL327" s="405"/>
      <c r="AM327" s="406"/>
      <c r="AN327" s="406"/>
      <c r="AO327" s="406"/>
      <c r="AP327" s="406"/>
      <c r="AQ327" s="403"/>
      <c r="AR327" s="403"/>
      <c r="AS327" s="403"/>
      <c r="AT327" s="403"/>
      <c r="AU327" s="403"/>
      <c r="AV327" s="403"/>
      <c r="AW327" s="403"/>
      <c r="AX327" s="403"/>
      <c r="AY327" s="403"/>
    </row>
    <row r="328">
      <c r="A328" s="415"/>
      <c r="B328" s="415"/>
      <c r="C328" s="410"/>
      <c r="D328" s="429"/>
      <c r="E328" s="416"/>
      <c r="F328" s="413"/>
      <c r="G328" s="413"/>
      <c r="H328" s="415"/>
      <c r="I328" s="415"/>
      <c r="J328" s="415"/>
      <c r="K328" s="415"/>
      <c r="L328" s="417"/>
      <c r="M328" s="403"/>
      <c r="N328" s="403"/>
      <c r="O328" s="403"/>
      <c r="P328" s="403"/>
      <c r="Q328" s="403"/>
      <c r="R328" s="403"/>
      <c r="S328" s="403"/>
      <c r="T328" s="403"/>
      <c r="U328" s="403"/>
      <c r="V328" s="403"/>
      <c r="W328" s="404"/>
      <c r="X328" s="405"/>
      <c r="Y328" s="405"/>
      <c r="Z328" s="405"/>
      <c r="AA328" s="405"/>
      <c r="AB328" s="405"/>
      <c r="AC328" s="405"/>
      <c r="AD328" s="405"/>
      <c r="AE328" s="405"/>
      <c r="AF328" s="405"/>
      <c r="AG328" s="405"/>
      <c r="AH328" s="405"/>
      <c r="AI328" s="405"/>
      <c r="AJ328" s="405"/>
      <c r="AK328" s="405"/>
      <c r="AL328" s="405"/>
      <c r="AM328" s="406"/>
      <c r="AN328" s="406"/>
      <c r="AO328" s="406"/>
      <c r="AP328" s="406"/>
      <c r="AQ328" s="403"/>
      <c r="AR328" s="403"/>
      <c r="AS328" s="403"/>
      <c r="AT328" s="403"/>
      <c r="AU328" s="403"/>
      <c r="AV328" s="403"/>
      <c r="AW328" s="403"/>
      <c r="AX328" s="403"/>
      <c r="AY328" s="403"/>
    </row>
    <row r="329">
      <c r="A329" s="415"/>
      <c r="B329" s="415"/>
      <c r="C329" s="410"/>
      <c r="D329" s="429"/>
      <c r="E329" s="416"/>
      <c r="F329" s="413"/>
      <c r="G329" s="413"/>
      <c r="H329" s="415"/>
      <c r="I329" s="415"/>
      <c r="J329" s="415"/>
      <c r="K329" s="415"/>
      <c r="L329" s="417"/>
      <c r="M329" s="403"/>
      <c r="N329" s="403"/>
      <c r="O329" s="403"/>
      <c r="P329" s="403"/>
      <c r="Q329" s="403"/>
      <c r="R329" s="403"/>
      <c r="S329" s="403"/>
      <c r="T329" s="403"/>
      <c r="U329" s="403"/>
      <c r="V329" s="403"/>
      <c r="W329" s="404"/>
      <c r="X329" s="405"/>
      <c r="Y329" s="405"/>
      <c r="Z329" s="405"/>
      <c r="AA329" s="405"/>
      <c r="AB329" s="405"/>
      <c r="AC329" s="405"/>
      <c r="AD329" s="405"/>
      <c r="AE329" s="405"/>
      <c r="AF329" s="405"/>
      <c r="AG329" s="405"/>
      <c r="AH329" s="405"/>
      <c r="AI329" s="405"/>
      <c r="AJ329" s="405"/>
      <c r="AK329" s="405"/>
      <c r="AL329" s="405"/>
      <c r="AM329" s="406"/>
      <c r="AN329" s="406"/>
      <c r="AO329" s="406"/>
      <c r="AP329" s="406"/>
      <c r="AQ329" s="403"/>
      <c r="AR329" s="403"/>
      <c r="AS329" s="403"/>
      <c r="AT329" s="403"/>
      <c r="AU329" s="403"/>
      <c r="AV329" s="403"/>
      <c r="AW329" s="403"/>
      <c r="AX329" s="403"/>
      <c r="AY329" s="403"/>
    </row>
    <row r="330">
      <c r="A330" s="415"/>
      <c r="B330" s="415"/>
      <c r="C330" s="410"/>
      <c r="D330" s="429"/>
      <c r="E330" s="416"/>
      <c r="F330" s="413"/>
      <c r="G330" s="413"/>
      <c r="H330" s="415"/>
      <c r="I330" s="415"/>
      <c r="J330" s="415"/>
      <c r="K330" s="415"/>
      <c r="L330" s="417"/>
      <c r="M330" s="403"/>
      <c r="N330" s="403"/>
      <c r="O330" s="403"/>
      <c r="P330" s="403"/>
      <c r="Q330" s="403"/>
      <c r="R330" s="403"/>
      <c r="S330" s="403"/>
      <c r="T330" s="403"/>
      <c r="U330" s="403"/>
      <c r="V330" s="403"/>
      <c r="W330" s="404"/>
      <c r="X330" s="405"/>
      <c r="Y330" s="405"/>
      <c r="Z330" s="405"/>
      <c r="AA330" s="405"/>
      <c r="AB330" s="405"/>
      <c r="AC330" s="405"/>
      <c r="AD330" s="405"/>
      <c r="AE330" s="405"/>
      <c r="AF330" s="405"/>
      <c r="AG330" s="405"/>
      <c r="AH330" s="405"/>
      <c r="AI330" s="405"/>
      <c r="AJ330" s="405"/>
      <c r="AK330" s="405"/>
      <c r="AL330" s="405"/>
      <c r="AM330" s="406"/>
      <c r="AN330" s="406"/>
      <c r="AO330" s="406"/>
      <c r="AP330" s="406"/>
      <c r="AQ330" s="403"/>
      <c r="AR330" s="403"/>
      <c r="AS330" s="403"/>
      <c r="AT330" s="403"/>
      <c r="AU330" s="403"/>
      <c r="AV330" s="403"/>
      <c r="AW330" s="403"/>
      <c r="AX330" s="403"/>
      <c r="AY330" s="403"/>
    </row>
    <row r="331">
      <c r="A331" s="415"/>
      <c r="B331" s="415"/>
      <c r="C331" s="410"/>
      <c r="D331" s="429"/>
      <c r="E331" s="416"/>
      <c r="F331" s="413"/>
      <c r="G331" s="413"/>
      <c r="H331" s="415"/>
      <c r="I331" s="415"/>
      <c r="J331" s="415"/>
      <c r="K331" s="415"/>
      <c r="L331" s="417"/>
      <c r="M331" s="403"/>
      <c r="N331" s="403"/>
      <c r="O331" s="403"/>
      <c r="P331" s="403"/>
      <c r="Q331" s="403"/>
      <c r="R331" s="403"/>
      <c r="S331" s="403"/>
      <c r="T331" s="403"/>
      <c r="U331" s="403"/>
      <c r="V331" s="403"/>
      <c r="W331" s="404"/>
      <c r="X331" s="405"/>
      <c r="Y331" s="405"/>
      <c r="Z331" s="405"/>
      <c r="AA331" s="405"/>
      <c r="AB331" s="405"/>
      <c r="AC331" s="405"/>
      <c r="AD331" s="405"/>
      <c r="AE331" s="405"/>
      <c r="AF331" s="405"/>
      <c r="AG331" s="405"/>
      <c r="AH331" s="405"/>
      <c r="AI331" s="405"/>
      <c r="AJ331" s="405"/>
      <c r="AK331" s="405"/>
      <c r="AL331" s="405"/>
      <c r="AM331" s="406"/>
      <c r="AN331" s="406"/>
      <c r="AO331" s="406"/>
      <c r="AP331" s="406"/>
      <c r="AQ331" s="403"/>
      <c r="AR331" s="403"/>
      <c r="AS331" s="403"/>
      <c r="AT331" s="403"/>
      <c r="AU331" s="403"/>
      <c r="AV331" s="403"/>
      <c r="AW331" s="403"/>
      <c r="AX331" s="403"/>
      <c r="AY331" s="403"/>
    </row>
    <row r="332">
      <c r="A332" s="415"/>
      <c r="B332" s="415"/>
      <c r="C332" s="410"/>
      <c r="D332" s="429"/>
      <c r="E332" s="416"/>
      <c r="F332" s="413"/>
      <c r="G332" s="413"/>
      <c r="H332" s="415"/>
      <c r="I332" s="415"/>
      <c r="J332" s="415"/>
      <c r="K332" s="415"/>
      <c r="L332" s="417"/>
      <c r="M332" s="403"/>
      <c r="N332" s="403"/>
      <c r="O332" s="403"/>
      <c r="P332" s="403"/>
      <c r="Q332" s="403"/>
      <c r="R332" s="403"/>
      <c r="S332" s="403"/>
      <c r="T332" s="403"/>
      <c r="U332" s="403"/>
      <c r="V332" s="403"/>
      <c r="W332" s="404"/>
      <c r="X332" s="405"/>
      <c r="Y332" s="405"/>
      <c r="Z332" s="405"/>
      <c r="AA332" s="405"/>
      <c r="AB332" s="405"/>
      <c r="AC332" s="405"/>
      <c r="AD332" s="405"/>
      <c r="AE332" s="405"/>
      <c r="AF332" s="405"/>
      <c r="AG332" s="405"/>
      <c r="AH332" s="405"/>
      <c r="AI332" s="405"/>
      <c r="AJ332" s="405"/>
      <c r="AK332" s="405"/>
      <c r="AL332" s="405"/>
      <c r="AM332" s="406"/>
      <c r="AN332" s="406"/>
      <c r="AO332" s="406"/>
      <c r="AP332" s="406"/>
      <c r="AQ332" s="403"/>
      <c r="AR332" s="403"/>
      <c r="AS332" s="403"/>
      <c r="AT332" s="403"/>
      <c r="AU332" s="403"/>
      <c r="AV332" s="403"/>
      <c r="AW332" s="403"/>
      <c r="AX332" s="403"/>
      <c r="AY332" s="403"/>
    </row>
    <row r="333">
      <c r="A333" s="415"/>
      <c r="B333" s="415"/>
      <c r="C333" s="410"/>
      <c r="D333" s="429"/>
      <c r="E333" s="416"/>
      <c r="F333" s="413"/>
      <c r="G333" s="413"/>
      <c r="H333" s="415"/>
      <c r="I333" s="415"/>
      <c r="J333" s="415"/>
      <c r="K333" s="415"/>
      <c r="L333" s="417"/>
      <c r="M333" s="403"/>
      <c r="N333" s="403"/>
      <c r="O333" s="403"/>
      <c r="P333" s="403"/>
      <c r="Q333" s="403"/>
      <c r="R333" s="403"/>
      <c r="S333" s="403"/>
      <c r="T333" s="403"/>
      <c r="U333" s="403"/>
      <c r="V333" s="403"/>
      <c r="W333" s="404"/>
      <c r="X333" s="405"/>
      <c r="Y333" s="405"/>
      <c r="Z333" s="405"/>
      <c r="AA333" s="405"/>
      <c r="AB333" s="405"/>
      <c r="AC333" s="405"/>
      <c r="AD333" s="405"/>
      <c r="AE333" s="405"/>
      <c r="AF333" s="405"/>
      <c r="AG333" s="405"/>
      <c r="AH333" s="405"/>
      <c r="AI333" s="405"/>
      <c r="AJ333" s="405"/>
      <c r="AK333" s="405"/>
      <c r="AL333" s="405"/>
      <c r="AM333" s="406"/>
      <c r="AN333" s="406"/>
      <c r="AO333" s="406"/>
      <c r="AP333" s="406"/>
      <c r="AQ333" s="403"/>
      <c r="AR333" s="403"/>
      <c r="AS333" s="403"/>
      <c r="AT333" s="403"/>
      <c r="AU333" s="403"/>
      <c r="AV333" s="403"/>
      <c r="AW333" s="403"/>
      <c r="AX333" s="403"/>
      <c r="AY333" s="403"/>
    </row>
    <row r="334">
      <c r="A334" s="415"/>
      <c r="B334" s="415"/>
      <c r="C334" s="410"/>
      <c r="D334" s="429"/>
      <c r="E334" s="416"/>
      <c r="F334" s="413"/>
      <c r="G334" s="413"/>
      <c r="H334" s="415"/>
      <c r="I334" s="415"/>
      <c r="J334" s="415"/>
      <c r="K334" s="415"/>
      <c r="L334" s="417"/>
      <c r="M334" s="403"/>
      <c r="N334" s="403"/>
      <c r="O334" s="403"/>
      <c r="P334" s="403"/>
      <c r="Q334" s="403"/>
      <c r="R334" s="403"/>
      <c r="S334" s="403"/>
      <c r="T334" s="403"/>
      <c r="U334" s="403"/>
      <c r="V334" s="403"/>
      <c r="W334" s="404"/>
      <c r="X334" s="405"/>
      <c r="Y334" s="405"/>
      <c r="Z334" s="405"/>
      <c r="AA334" s="405"/>
      <c r="AB334" s="405"/>
      <c r="AC334" s="405"/>
      <c r="AD334" s="405"/>
      <c r="AE334" s="405"/>
      <c r="AF334" s="405"/>
      <c r="AG334" s="405"/>
      <c r="AH334" s="405"/>
      <c r="AI334" s="405"/>
      <c r="AJ334" s="405"/>
      <c r="AK334" s="405"/>
      <c r="AL334" s="405"/>
      <c r="AM334" s="406"/>
      <c r="AN334" s="406"/>
      <c r="AO334" s="406"/>
      <c r="AP334" s="406"/>
      <c r="AQ334" s="403"/>
      <c r="AR334" s="403"/>
      <c r="AS334" s="403"/>
      <c r="AT334" s="403"/>
      <c r="AU334" s="403"/>
      <c r="AV334" s="403"/>
      <c r="AW334" s="403"/>
      <c r="AX334" s="403"/>
      <c r="AY334" s="403"/>
    </row>
    <row r="335">
      <c r="A335" s="415"/>
      <c r="B335" s="415"/>
      <c r="C335" s="410"/>
      <c r="D335" s="429"/>
      <c r="E335" s="416"/>
      <c r="F335" s="413"/>
      <c r="G335" s="413"/>
      <c r="H335" s="415"/>
      <c r="I335" s="415"/>
      <c r="J335" s="415"/>
      <c r="K335" s="415"/>
      <c r="L335" s="417"/>
      <c r="M335" s="403"/>
      <c r="N335" s="403"/>
      <c r="O335" s="403"/>
      <c r="P335" s="403"/>
      <c r="Q335" s="403"/>
      <c r="R335" s="403"/>
      <c r="S335" s="403"/>
      <c r="T335" s="403"/>
      <c r="U335" s="403"/>
      <c r="V335" s="403"/>
      <c r="W335" s="404"/>
      <c r="X335" s="405"/>
      <c r="Y335" s="405"/>
      <c r="Z335" s="405"/>
      <c r="AA335" s="405"/>
      <c r="AB335" s="405"/>
      <c r="AC335" s="405"/>
      <c r="AD335" s="405"/>
      <c r="AE335" s="405"/>
      <c r="AF335" s="405"/>
      <c r="AG335" s="405"/>
      <c r="AH335" s="405"/>
      <c r="AI335" s="405"/>
      <c r="AJ335" s="405"/>
      <c r="AK335" s="405"/>
      <c r="AL335" s="405"/>
      <c r="AM335" s="406"/>
      <c r="AN335" s="406"/>
      <c r="AO335" s="406"/>
      <c r="AP335" s="406"/>
      <c r="AQ335" s="403"/>
      <c r="AR335" s="403"/>
      <c r="AS335" s="403"/>
      <c r="AT335" s="403"/>
      <c r="AU335" s="403"/>
      <c r="AV335" s="403"/>
      <c r="AW335" s="403"/>
      <c r="AX335" s="403"/>
      <c r="AY335" s="403"/>
    </row>
    <row r="336">
      <c r="A336" s="415"/>
      <c r="B336" s="415"/>
      <c r="C336" s="410"/>
      <c r="D336" s="429"/>
      <c r="E336" s="416"/>
      <c r="F336" s="413"/>
      <c r="G336" s="413"/>
      <c r="H336" s="415"/>
      <c r="I336" s="415"/>
      <c r="J336" s="415"/>
      <c r="K336" s="415"/>
      <c r="L336" s="417"/>
      <c r="M336" s="403"/>
      <c r="N336" s="403"/>
      <c r="O336" s="403"/>
      <c r="P336" s="403"/>
      <c r="Q336" s="403"/>
      <c r="R336" s="403"/>
      <c r="S336" s="403"/>
      <c r="T336" s="403"/>
      <c r="U336" s="403"/>
      <c r="V336" s="403"/>
      <c r="W336" s="404"/>
      <c r="X336" s="405"/>
      <c r="Y336" s="405"/>
      <c r="Z336" s="405"/>
      <c r="AA336" s="405"/>
      <c r="AB336" s="405"/>
      <c r="AC336" s="405"/>
      <c r="AD336" s="405"/>
      <c r="AE336" s="405"/>
      <c r="AF336" s="405"/>
      <c r="AG336" s="405"/>
      <c r="AH336" s="405"/>
      <c r="AI336" s="405"/>
      <c r="AJ336" s="405"/>
      <c r="AK336" s="405"/>
      <c r="AL336" s="405"/>
      <c r="AM336" s="406"/>
      <c r="AN336" s="406"/>
      <c r="AO336" s="406"/>
      <c r="AP336" s="406"/>
      <c r="AQ336" s="403"/>
      <c r="AR336" s="403"/>
      <c r="AS336" s="403"/>
      <c r="AT336" s="403"/>
      <c r="AU336" s="403"/>
      <c r="AV336" s="403"/>
      <c r="AW336" s="403"/>
      <c r="AX336" s="403"/>
      <c r="AY336" s="403"/>
    </row>
    <row r="337">
      <c r="A337" s="415"/>
      <c r="B337" s="415"/>
      <c r="C337" s="410"/>
      <c r="D337" s="429"/>
      <c r="E337" s="416"/>
      <c r="F337" s="413"/>
      <c r="G337" s="413"/>
      <c r="H337" s="415"/>
      <c r="I337" s="415"/>
      <c r="J337" s="415"/>
      <c r="K337" s="415"/>
      <c r="L337" s="417"/>
      <c r="M337" s="403"/>
      <c r="N337" s="403"/>
      <c r="O337" s="403"/>
      <c r="P337" s="403"/>
      <c r="Q337" s="403"/>
      <c r="R337" s="403"/>
      <c r="S337" s="403"/>
      <c r="T337" s="403"/>
      <c r="U337" s="403"/>
      <c r="V337" s="403"/>
      <c r="W337" s="404"/>
      <c r="X337" s="405"/>
      <c r="Y337" s="405"/>
      <c r="Z337" s="405"/>
      <c r="AA337" s="405"/>
      <c r="AB337" s="405"/>
      <c r="AC337" s="405"/>
      <c r="AD337" s="405"/>
      <c r="AE337" s="405"/>
      <c r="AF337" s="405"/>
      <c r="AG337" s="405"/>
      <c r="AH337" s="405"/>
      <c r="AI337" s="405"/>
      <c r="AJ337" s="405"/>
      <c r="AK337" s="405"/>
      <c r="AL337" s="405"/>
      <c r="AM337" s="406"/>
      <c r="AN337" s="406"/>
      <c r="AO337" s="406"/>
      <c r="AP337" s="406"/>
      <c r="AQ337" s="403"/>
      <c r="AR337" s="403"/>
      <c r="AS337" s="403"/>
      <c r="AT337" s="403"/>
      <c r="AU337" s="403"/>
      <c r="AV337" s="403"/>
      <c r="AW337" s="403"/>
      <c r="AX337" s="403"/>
      <c r="AY337" s="403"/>
    </row>
    <row r="338">
      <c r="A338" s="415"/>
      <c r="B338" s="415"/>
      <c r="C338" s="410"/>
      <c r="D338" s="429"/>
      <c r="E338" s="416"/>
      <c r="F338" s="413"/>
      <c r="G338" s="413"/>
      <c r="H338" s="415"/>
      <c r="I338" s="415"/>
      <c r="J338" s="415"/>
      <c r="K338" s="415"/>
      <c r="L338" s="417"/>
      <c r="M338" s="403"/>
      <c r="N338" s="403"/>
      <c r="O338" s="403"/>
      <c r="P338" s="403"/>
      <c r="Q338" s="403"/>
      <c r="R338" s="403"/>
      <c r="S338" s="403"/>
      <c r="T338" s="403"/>
      <c r="U338" s="403"/>
      <c r="V338" s="403"/>
      <c r="W338" s="404"/>
      <c r="X338" s="405"/>
      <c r="Y338" s="405"/>
      <c r="Z338" s="405"/>
      <c r="AA338" s="405"/>
      <c r="AB338" s="405"/>
      <c r="AC338" s="405"/>
      <c r="AD338" s="405"/>
      <c r="AE338" s="405"/>
      <c r="AF338" s="405"/>
      <c r="AG338" s="405"/>
      <c r="AH338" s="405"/>
      <c r="AI338" s="405"/>
      <c r="AJ338" s="405"/>
      <c r="AK338" s="405"/>
      <c r="AL338" s="405"/>
      <c r="AM338" s="406"/>
      <c r="AN338" s="406"/>
      <c r="AO338" s="406"/>
      <c r="AP338" s="406"/>
      <c r="AQ338" s="403"/>
      <c r="AR338" s="403"/>
      <c r="AS338" s="403"/>
      <c r="AT338" s="403"/>
      <c r="AU338" s="403"/>
      <c r="AV338" s="403"/>
      <c r="AW338" s="403"/>
      <c r="AX338" s="403"/>
      <c r="AY338" s="403"/>
    </row>
    <row r="339">
      <c r="A339" s="415"/>
      <c r="B339" s="415"/>
      <c r="C339" s="410"/>
      <c r="D339" s="429"/>
      <c r="E339" s="416"/>
      <c r="F339" s="413"/>
      <c r="G339" s="413"/>
      <c r="H339" s="415"/>
      <c r="I339" s="415"/>
      <c r="J339" s="415"/>
      <c r="K339" s="415"/>
      <c r="L339" s="417"/>
      <c r="M339" s="403"/>
      <c r="N339" s="403"/>
      <c r="O339" s="403"/>
      <c r="P339" s="403"/>
      <c r="Q339" s="403"/>
      <c r="R339" s="403"/>
      <c r="S339" s="403"/>
      <c r="T339" s="403"/>
      <c r="U339" s="403"/>
      <c r="V339" s="403"/>
      <c r="W339" s="404"/>
      <c r="X339" s="405"/>
      <c r="Y339" s="405"/>
      <c r="Z339" s="405"/>
      <c r="AA339" s="405"/>
      <c r="AB339" s="405"/>
      <c r="AC339" s="405"/>
      <c r="AD339" s="405"/>
      <c r="AE339" s="405"/>
      <c r="AF339" s="405"/>
      <c r="AG339" s="405"/>
      <c r="AH339" s="405"/>
      <c r="AI339" s="405"/>
      <c r="AJ339" s="405"/>
      <c r="AK339" s="405"/>
      <c r="AL339" s="405"/>
      <c r="AM339" s="406"/>
      <c r="AN339" s="406"/>
      <c r="AO339" s="406"/>
      <c r="AP339" s="406"/>
      <c r="AQ339" s="403"/>
      <c r="AR339" s="403"/>
      <c r="AS339" s="403"/>
      <c r="AT339" s="403"/>
      <c r="AU339" s="403"/>
      <c r="AV339" s="403"/>
      <c r="AW339" s="403"/>
      <c r="AX339" s="403"/>
      <c r="AY339" s="403"/>
    </row>
    <row r="340">
      <c r="A340" s="415"/>
      <c r="B340" s="415"/>
      <c r="C340" s="410"/>
      <c r="D340" s="429"/>
      <c r="E340" s="416"/>
      <c r="F340" s="413"/>
      <c r="G340" s="413"/>
      <c r="H340" s="415"/>
      <c r="I340" s="415"/>
      <c r="J340" s="415"/>
      <c r="K340" s="415"/>
      <c r="L340" s="417"/>
      <c r="M340" s="403"/>
      <c r="N340" s="403"/>
      <c r="O340" s="403"/>
      <c r="P340" s="403"/>
      <c r="Q340" s="403"/>
      <c r="R340" s="403"/>
      <c r="S340" s="403"/>
      <c r="T340" s="403"/>
      <c r="U340" s="403"/>
      <c r="V340" s="403"/>
      <c r="W340" s="404"/>
      <c r="X340" s="405"/>
      <c r="Y340" s="405"/>
      <c r="Z340" s="405"/>
      <c r="AA340" s="405"/>
      <c r="AB340" s="405"/>
      <c r="AC340" s="405"/>
      <c r="AD340" s="405"/>
      <c r="AE340" s="405"/>
      <c r="AF340" s="405"/>
      <c r="AG340" s="405"/>
      <c r="AH340" s="405"/>
      <c r="AI340" s="405"/>
      <c r="AJ340" s="405"/>
      <c r="AK340" s="405"/>
      <c r="AL340" s="405"/>
      <c r="AM340" s="406"/>
      <c r="AN340" s="406"/>
      <c r="AO340" s="406"/>
      <c r="AP340" s="406"/>
      <c r="AQ340" s="403"/>
      <c r="AR340" s="403"/>
      <c r="AS340" s="403"/>
      <c r="AT340" s="403"/>
      <c r="AU340" s="403"/>
      <c r="AV340" s="403"/>
      <c r="AW340" s="403"/>
      <c r="AX340" s="403"/>
      <c r="AY340" s="403"/>
    </row>
    <row r="341">
      <c r="A341" s="415"/>
      <c r="B341" s="415"/>
      <c r="C341" s="410"/>
      <c r="D341" s="429"/>
      <c r="E341" s="416"/>
      <c r="F341" s="413"/>
      <c r="G341" s="413"/>
      <c r="H341" s="415"/>
      <c r="I341" s="415"/>
      <c r="J341" s="415"/>
      <c r="K341" s="415"/>
      <c r="L341" s="417"/>
      <c r="M341" s="403"/>
      <c r="N341" s="403"/>
      <c r="O341" s="403"/>
      <c r="P341" s="403"/>
      <c r="Q341" s="403"/>
      <c r="R341" s="403"/>
      <c r="S341" s="403"/>
      <c r="T341" s="403"/>
      <c r="U341" s="403"/>
      <c r="V341" s="403"/>
      <c r="W341" s="404"/>
      <c r="X341" s="405"/>
      <c r="Y341" s="405"/>
      <c r="Z341" s="405"/>
      <c r="AA341" s="405"/>
      <c r="AB341" s="405"/>
      <c r="AC341" s="405"/>
      <c r="AD341" s="405"/>
      <c r="AE341" s="405"/>
      <c r="AF341" s="405"/>
      <c r="AG341" s="405"/>
      <c r="AH341" s="405"/>
      <c r="AI341" s="405"/>
      <c r="AJ341" s="405"/>
      <c r="AK341" s="405"/>
      <c r="AL341" s="405"/>
      <c r="AM341" s="406"/>
      <c r="AN341" s="406"/>
      <c r="AO341" s="406"/>
      <c r="AP341" s="406"/>
      <c r="AQ341" s="403"/>
      <c r="AR341" s="403"/>
      <c r="AS341" s="403"/>
      <c r="AT341" s="403"/>
      <c r="AU341" s="403"/>
      <c r="AV341" s="403"/>
      <c r="AW341" s="403"/>
      <c r="AX341" s="403"/>
      <c r="AY341" s="403"/>
    </row>
    <row r="342">
      <c r="A342" s="415"/>
      <c r="B342" s="415"/>
      <c r="C342" s="410"/>
      <c r="D342" s="429"/>
      <c r="E342" s="416"/>
      <c r="F342" s="413"/>
      <c r="G342" s="413"/>
      <c r="H342" s="415"/>
      <c r="I342" s="415"/>
      <c r="J342" s="415"/>
      <c r="K342" s="415"/>
      <c r="L342" s="417"/>
      <c r="M342" s="403"/>
      <c r="N342" s="403"/>
      <c r="O342" s="403"/>
      <c r="P342" s="403"/>
      <c r="Q342" s="403"/>
      <c r="R342" s="403"/>
      <c r="S342" s="403"/>
      <c r="T342" s="403"/>
      <c r="U342" s="403"/>
      <c r="V342" s="403"/>
      <c r="W342" s="404"/>
      <c r="X342" s="405"/>
      <c r="Y342" s="405"/>
      <c r="Z342" s="405"/>
      <c r="AA342" s="405"/>
      <c r="AB342" s="405"/>
      <c r="AC342" s="405"/>
      <c r="AD342" s="405"/>
      <c r="AE342" s="405"/>
      <c r="AF342" s="405"/>
      <c r="AG342" s="405"/>
      <c r="AH342" s="405"/>
      <c r="AI342" s="405"/>
      <c r="AJ342" s="405"/>
      <c r="AK342" s="405"/>
      <c r="AL342" s="405"/>
      <c r="AM342" s="406"/>
      <c r="AN342" s="406"/>
      <c r="AO342" s="406"/>
      <c r="AP342" s="406"/>
      <c r="AQ342" s="403"/>
      <c r="AR342" s="403"/>
      <c r="AS342" s="403"/>
      <c r="AT342" s="403"/>
      <c r="AU342" s="403"/>
      <c r="AV342" s="403"/>
      <c r="AW342" s="403"/>
      <c r="AX342" s="403"/>
      <c r="AY342" s="403"/>
    </row>
    <row r="343">
      <c r="A343" s="415"/>
      <c r="B343" s="415"/>
      <c r="C343" s="410"/>
      <c r="D343" s="429"/>
      <c r="E343" s="416"/>
      <c r="F343" s="413"/>
      <c r="G343" s="413"/>
      <c r="H343" s="415"/>
      <c r="I343" s="415"/>
      <c r="J343" s="415"/>
      <c r="K343" s="415"/>
      <c r="L343" s="417"/>
      <c r="M343" s="403"/>
      <c r="N343" s="403"/>
      <c r="O343" s="403"/>
      <c r="P343" s="403"/>
      <c r="Q343" s="403"/>
      <c r="R343" s="403"/>
      <c r="S343" s="403"/>
      <c r="T343" s="403"/>
      <c r="U343" s="403"/>
      <c r="V343" s="403"/>
      <c r="W343" s="404"/>
      <c r="X343" s="405"/>
      <c r="Y343" s="405"/>
      <c r="Z343" s="405"/>
      <c r="AA343" s="405"/>
      <c r="AB343" s="405"/>
      <c r="AC343" s="405"/>
      <c r="AD343" s="405"/>
      <c r="AE343" s="405"/>
      <c r="AF343" s="405"/>
      <c r="AG343" s="405"/>
      <c r="AH343" s="405"/>
      <c r="AI343" s="405"/>
      <c r="AJ343" s="405"/>
      <c r="AK343" s="405"/>
      <c r="AL343" s="405"/>
      <c r="AM343" s="406"/>
      <c r="AN343" s="406"/>
      <c r="AO343" s="406"/>
      <c r="AP343" s="406"/>
      <c r="AQ343" s="403"/>
      <c r="AR343" s="403"/>
      <c r="AS343" s="403"/>
      <c r="AT343" s="403"/>
      <c r="AU343" s="403"/>
      <c r="AV343" s="403"/>
      <c r="AW343" s="403"/>
      <c r="AX343" s="403"/>
      <c r="AY343" s="403"/>
    </row>
    <row r="344">
      <c r="A344" s="415"/>
      <c r="B344" s="415"/>
      <c r="C344" s="410"/>
      <c r="D344" s="429"/>
      <c r="E344" s="416"/>
      <c r="F344" s="413"/>
      <c r="G344" s="413"/>
      <c r="H344" s="415"/>
      <c r="I344" s="415"/>
      <c r="J344" s="415"/>
      <c r="K344" s="415"/>
      <c r="L344" s="417"/>
      <c r="M344" s="403"/>
      <c r="N344" s="403"/>
      <c r="O344" s="403"/>
      <c r="P344" s="403"/>
      <c r="Q344" s="403"/>
      <c r="R344" s="403"/>
      <c r="S344" s="403"/>
      <c r="T344" s="403"/>
      <c r="U344" s="403"/>
      <c r="V344" s="403"/>
      <c r="W344" s="404"/>
      <c r="X344" s="405"/>
      <c r="Y344" s="405"/>
      <c r="Z344" s="405"/>
      <c r="AA344" s="405"/>
      <c r="AB344" s="405"/>
      <c r="AC344" s="405"/>
      <c r="AD344" s="405"/>
      <c r="AE344" s="405"/>
      <c r="AF344" s="405"/>
      <c r="AG344" s="405"/>
      <c r="AH344" s="405"/>
      <c r="AI344" s="405"/>
      <c r="AJ344" s="405"/>
      <c r="AK344" s="405"/>
      <c r="AL344" s="405"/>
      <c r="AM344" s="406"/>
      <c r="AN344" s="406"/>
      <c r="AO344" s="406"/>
      <c r="AP344" s="406"/>
      <c r="AQ344" s="403"/>
      <c r="AR344" s="403"/>
      <c r="AS344" s="403"/>
      <c r="AT344" s="403"/>
      <c r="AU344" s="403"/>
      <c r="AV344" s="403"/>
      <c r="AW344" s="403"/>
      <c r="AX344" s="403"/>
      <c r="AY344" s="403"/>
    </row>
    <row r="345">
      <c r="A345" s="415"/>
      <c r="B345" s="415"/>
      <c r="C345" s="410"/>
      <c r="D345" s="429"/>
      <c r="E345" s="416"/>
      <c r="F345" s="413"/>
      <c r="G345" s="413"/>
      <c r="H345" s="415"/>
      <c r="I345" s="415"/>
      <c r="J345" s="415"/>
      <c r="K345" s="415"/>
      <c r="L345" s="417"/>
      <c r="M345" s="403"/>
      <c r="N345" s="403"/>
      <c r="O345" s="403"/>
      <c r="P345" s="403"/>
      <c r="Q345" s="403"/>
      <c r="R345" s="403"/>
      <c r="S345" s="403"/>
      <c r="T345" s="403"/>
      <c r="U345" s="403"/>
      <c r="V345" s="403"/>
      <c r="W345" s="404"/>
      <c r="X345" s="405"/>
      <c r="Y345" s="405"/>
      <c r="Z345" s="405"/>
      <c r="AA345" s="405"/>
      <c r="AB345" s="405"/>
      <c r="AC345" s="405"/>
      <c r="AD345" s="405"/>
      <c r="AE345" s="405"/>
      <c r="AF345" s="405"/>
      <c r="AG345" s="405"/>
      <c r="AH345" s="405"/>
      <c r="AI345" s="405"/>
      <c r="AJ345" s="405"/>
      <c r="AK345" s="405"/>
      <c r="AL345" s="405"/>
      <c r="AM345" s="406"/>
      <c r="AN345" s="406"/>
      <c r="AO345" s="406"/>
      <c r="AP345" s="406"/>
      <c r="AQ345" s="403"/>
      <c r="AR345" s="403"/>
      <c r="AS345" s="403"/>
      <c r="AT345" s="403"/>
      <c r="AU345" s="403"/>
      <c r="AV345" s="403"/>
      <c r="AW345" s="403"/>
      <c r="AX345" s="403"/>
      <c r="AY345" s="403"/>
    </row>
    <row r="346">
      <c r="A346" s="415"/>
      <c r="B346" s="415"/>
      <c r="C346" s="410"/>
      <c r="D346" s="429"/>
      <c r="E346" s="416"/>
      <c r="F346" s="413"/>
      <c r="G346" s="413"/>
      <c r="H346" s="415"/>
      <c r="I346" s="415"/>
      <c r="J346" s="415"/>
      <c r="K346" s="415"/>
      <c r="L346" s="417"/>
      <c r="M346" s="403"/>
      <c r="N346" s="403"/>
      <c r="O346" s="403"/>
      <c r="P346" s="403"/>
      <c r="Q346" s="403"/>
      <c r="R346" s="403"/>
      <c r="S346" s="403"/>
      <c r="T346" s="403"/>
      <c r="U346" s="403"/>
      <c r="V346" s="403"/>
      <c r="W346" s="404"/>
      <c r="X346" s="405"/>
      <c r="Y346" s="405"/>
      <c r="Z346" s="405"/>
      <c r="AA346" s="405"/>
      <c r="AB346" s="405"/>
      <c r="AC346" s="405"/>
      <c r="AD346" s="405"/>
      <c r="AE346" s="405"/>
      <c r="AF346" s="405"/>
      <c r="AG346" s="405"/>
      <c r="AH346" s="405"/>
      <c r="AI346" s="405"/>
      <c r="AJ346" s="405"/>
      <c r="AK346" s="405"/>
      <c r="AL346" s="405"/>
      <c r="AM346" s="406"/>
      <c r="AN346" s="406"/>
      <c r="AO346" s="406"/>
      <c r="AP346" s="406"/>
      <c r="AQ346" s="403"/>
      <c r="AR346" s="403"/>
      <c r="AS346" s="403"/>
      <c r="AT346" s="403"/>
      <c r="AU346" s="403"/>
      <c r="AV346" s="403"/>
      <c r="AW346" s="403"/>
      <c r="AX346" s="403"/>
      <c r="AY346" s="403"/>
    </row>
    <row r="347">
      <c r="A347" s="415"/>
      <c r="B347" s="415"/>
      <c r="C347" s="410"/>
      <c r="D347" s="429"/>
      <c r="E347" s="416"/>
      <c r="F347" s="413"/>
      <c r="G347" s="413"/>
      <c r="H347" s="415"/>
      <c r="I347" s="415"/>
      <c r="J347" s="415"/>
      <c r="K347" s="415"/>
      <c r="L347" s="417"/>
      <c r="M347" s="403"/>
      <c r="N347" s="403"/>
      <c r="O347" s="403"/>
      <c r="P347" s="403"/>
      <c r="Q347" s="403"/>
      <c r="R347" s="403"/>
      <c r="S347" s="403"/>
      <c r="T347" s="403"/>
      <c r="U347" s="403"/>
      <c r="V347" s="403"/>
      <c r="W347" s="404"/>
      <c r="X347" s="405"/>
      <c r="Y347" s="405"/>
      <c r="Z347" s="405"/>
      <c r="AA347" s="405"/>
      <c r="AB347" s="405"/>
      <c r="AC347" s="405"/>
      <c r="AD347" s="405"/>
      <c r="AE347" s="405"/>
      <c r="AF347" s="405"/>
      <c r="AG347" s="405"/>
      <c r="AH347" s="405"/>
      <c r="AI347" s="405"/>
      <c r="AJ347" s="405"/>
      <c r="AK347" s="405"/>
      <c r="AL347" s="405"/>
      <c r="AM347" s="406"/>
      <c r="AN347" s="406"/>
      <c r="AO347" s="406"/>
      <c r="AP347" s="406"/>
      <c r="AQ347" s="403"/>
      <c r="AR347" s="403"/>
      <c r="AS347" s="403"/>
      <c r="AT347" s="403"/>
      <c r="AU347" s="403"/>
      <c r="AV347" s="403"/>
      <c r="AW347" s="403"/>
      <c r="AX347" s="403"/>
      <c r="AY347" s="403"/>
    </row>
    <row r="348">
      <c r="A348" s="415"/>
      <c r="B348" s="415"/>
      <c r="C348" s="410"/>
      <c r="D348" s="429"/>
      <c r="E348" s="416"/>
      <c r="F348" s="413"/>
      <c r="G348" s="413"/>
      <c r="H348" s="415"/>
      <c r="I348" s="415"/>
      <c r="J348" s="415"/>
      <c r="K348" s="415"/>
      <c r="L348" s="417"/>
      <c r="M348" s="403"/>
      <c r="N348" s="403"/>
      <c r="O348" s="403"/>
      <c r="P348" s="403"/>
      <c r="Q348" s="403"/>
      <c r="R348" s="403"/>
      <c r="S348" s="403"/>
      <c r="T348" s="403"/>
      <c r="U348" s="403"/>
      <c r="V348" s="403"/>
      <c r="W348" s="404"/>
      <c r="X348" s="405"/>
      <c r="Y348" s="405"/>
      <c r="Z348" s="405"/>
      <c r="AA348" s="405"/>
      <c r="AB348" s="405"/>
      <c r="AC348" s="405"/>
      <c r="AD348" s="405"/>
      <c r="AE348" s="405"/>
      <c r="AF348" s="405"/>
      <c r="AG348" s="405"/>
      <c r="AH348" s="405"/>
      <c r="AI348" s="405"/>
      <c r="AJ348" s="405"/>
      <c r="AK348" s="405"/>
      <c r="AL348" s="405"/>
      <c r="AM348" s="406"/>
      <c r="AN348" s="406"/>
      <c r="AO348" s="406"/>
      <c r="AP348" s="406"/>
      <c r="AQ348" s="403"/>
      <c r="AR348" s="403"/>
      <c r="AS348" s="403"/>
      <c r="AT348" s="403"/>
      <c r="AU348" s="403"/>
      <c r="AV348" s="403"/>
      <c r="AW348" s="403"/>
      <c r="AX348" s="403"/>
      <c r="AY348" s="403"/>
    </row>
    <row r="349">
      <c r="A349" s="415"/>
      <c r="B349" s="415"/>
      <c r="C349" s="410"/>
      <c r="D349" s="429"/>
      <c r="E349" s="416"/>
      <c r="F349" s="413"/>
      <c r="G349" s="413"/>
      <c r="H349" s="415"/>
      <c r="I349" s="415"/>
      <c r="J349" s="415"/>
      <c r="K349" s="415"/>
      <c r="L349" s="417"/>
      <c r="M349" s="403"/>
      <c r="N349" s="403"/>
      <c r="O349" s="403"/>
      <c r="P349" s="403"/>
      <c r="Q349" s="403"/>
      <c r="R349" s="403"/>
      <c r="S349" s="403"/>
      <c r="T349" s="403"/>
      <c r="U349" s="403"/>
      <c r="V349" s="403"/>
      <c r="W349" s="404"/>
      <c r="X349" s="405"/>
      <c r="Y349" s="405"/>
      <c r="Z349" s="405"/>
      <c r="AA349" s="405"/>
      <c r="AB349" s="405"/>
      <c r="AC349" s="405"/>
      <c r="AD349" s="405"/>
      <c r="AE349" s="405"/>
      <c r="AF349" s="405"/>
      <c r="AG349" s="405"/>
      <c r="AH349" s="405"/>
      <c r="AI349" s="405"/>
      <c r="AJ349" s="405"/>
      <c r="AK349" s="405"/>
      <c r="AL349" s="405"/>
      <c r="AM349" s="406"/>
      <c r="AN349" s="406"/>
      <c r="AO349" s="406"/>
      <c r="AP349" s="406"/>
      <c r="AQ349" s="403"/>
      <c r="AR349" s="403"/>
      <c r="AS349" s="403"/>
      <c r="AT349" s="403"/>
      <c r="AU349" s="403"/>
      <c r="AV349" s="403"/>
      <c r="AW349" s="403"/>
      <c r="AX349" s="403"/>
      <c r="AY349" s="403"/>
    </row>
    <row r="350">
      <c r="A350" s="415"/>
      <c r="B350" s="415"/>
      <c r="C350" s="410"/>
      <c r="D350" s="429"/>
      <c r="E350" s="416"/>
      <c r="F350" s="413"/>
      <c r="G350" s="413"/>
      <c r="H350" s="415"/>
      <c r="I350" s="415"/>
      <c r="J350" s="415"/>
      <c r="K350" s="415"/>
      <c r="L350" s="417"/>
      <c r="M350" s="403"/>
      <c r="N350" s="403"/>
      <c r="O350" s="403"/>
      <c r="P350" s="403"/>
      <c r="Q350" s="403"/>
      <c r="R350" s="403"/>
      <c r="S350" s="403"/>
      <c r="T350" s="403"/>
      <c r="U350" s="403"/>
      <c r="V350" s="403"/>
      <c r="W350" s="404"/>
      <c r="X350" s="405"/>
      <c r="Y350" s="405"/>
      <c r="Z350" s="405"/>
      <c r="AA350" s="405"/>
      <c r="AB350" s="405"/>
      <c r="AC350" s="405"/>
      <c r="AD350" s="405"/>
      <c r="AE350" s="405"/>
      <c r="AF350" s="405"/>
      <c r="AG350" s="405"/>
      <c r="AH350" s="405"/>
      <c r="AI350" s="405"/>
      <c r="AJ350" s="405"/>
      <c r="AK350" s="405"/>
      <c r="AL350" s="405"/>
      <c r="AM350" s="406"/>
      <c r="AN350" s="406"/>
      <c r="AO350" s="406"/>
      <c r="AP350" s="406"/>
      <c r="AQ350" s="403"/>
      <c r="AR350" s="403"/>
      <c r="AS350" s="403"/>
      <c r="AT350" s="403"/>
      <c r="AU350" s="403"/>
      <c r="AV350" s="403"/>
      <c r="AW350" s="403"/>
      <c r="AX350" s="403"/>
      <c r="AY350" s="403"/>
    </row>
    <row r="351">
      <c r="A351" s="415"/>
      <c r="B351" s="415"/>
      <c r="C351" s="410"/>
      <c r="D351" s="429"/>
      <c r="E351" s="416"/>
      <c r="F351" s="413"/>
      <c r="G351" s="413"/>
      <c r="H351" s="415"/>
      <c r="I351" s="415"/>
      <c r="J351" s="415"/>
      <c r="K351" s="415"/>
      <c r="L351" s="417"/>
      <c r="M351" s="403"/>
      <c r="N351" s="403"/>
      <c r="O351" s="403"/>
      <c r="P351" s="403"/>
      <c r="Q351" s="403"/>
      <c r="R351" s="403"/>
      <c r="S351" s="403"/>
      <c r="T351" s="403"/>
      <c r="U351" s="403"/>
      <c r="V351" s="403"/>
      <c r="W351" s="404"/>
      <c r="X351" s="405"/>
      <c r="Y351" s="405"/>
      <c r="Z351" s="405"/>
      <c r="AA351" s="405"/>
      <c r="AB351" s="405"/>
      <c r="AC351" s="405"/>
      <c r="AD351" s="405"/>
      <c r="AE351" s="405"/>
      <c r="AF351" s="405"/>
      <c r="AG351" s="405"/>
      <c r="AH351" s="405"/>
      <c r="AI351" s="405"/>
      <c r="AJ351" s="405"/>
      <c r="AK351" s="405"/>
      <c r="AL351" s="405"/>
      <c r="AM351" s="406"/>
      <c r="AN351" s="406"/>
      <c r="AO351" s="406"/>
      <c r="AP351" s="406"/>
      <c r="AQ351" s="403"/>
      <c r="AR351" s="403"/>
      <c r="AS351" s="403"/>
      <c r="AT351" s="403"/>
      <c r="AU351" s="403"/>
      <c r="AV351" s="403"/>
      <c r="AW351" s="403"/>
      <c r="AX351" s="403"/>
      <c r="AY351" s="403"/>
    </row>
    <row r="352">
      <c r="A352" s="415"/>
      <c r="B352" s="415"/>
      <c r="C352" s="410"/>
      <c r="D352" s="429"/>
      <c r="E352" s="416"/>
      <c r="F352" s="413"/>
      <c r="G352" s="413"/>
      <c r="H352" s="415"/>
      <c r="I352" s="415"/>
      <c r="J352" s="415"/>
      <c r="K352" s="415"/>
      <c r="L352" s="417"/>
      <c r="M352" s="403"/>
      <c r="N352" s="403"/>
      <c r="O352" s="403"/>
      <c r="P352" s="403"/>
      <c r="Q352" s="403"/>
      <c r="R352" s="403"/>
      <c r="S352" s="403"/>
      <c r="T352" s="403"/>
      <c r="U352" s="403"/>
      <c r="V352" s="403"/>
      <c r="W352" s="404"/>
      <c r="X352" s="405"/>
      <c r="Y352" s="405"/>
      <c r="Z352" s="405"/>
      <c r="AA352" s="405"/>
      <c r="AB352" s="405"/>
      <c r="AC352" s="405"/>
      <c r="AD352" s="405"/>
      <c r="AE352" s="405"/>
      <c r="AF352" s="405"/>
      <c r="AG352" s="405"/>
      <c r="AH352" s="405"/>
      <c r="AI352" s="405"/>
      <c r="AJ352" s="405"/>
      <c r="AK352" s="405"/>
      <c r="AL352" s="405"/>
      <c r="AM352" s="406"/>
      <c r="AN352" s="406"/>
      <c r="AO352" s="406"/>
      <c r="AP352" s="406"/>
      <c r="AQ352" s="403"/>
      <c r="AR352" s="403"/>
      <c r="AS352" s="403"/>
      <c r="AT352" s="403"/>
      <c r="AU352" s="403"/>
      <c r="AV352" s="403"/>
      <c r="AW352" s="403"/>
      <c r="AX352" s="403"/>
      <c r="AY352" s="403"/>
    </row>
    <row r="353">
      <c r="A353" s="415"/>
      <c r="B353" s="415"/>
      <c r="C353" s="410"/>
      <c r="D353" s="429"/>
      <c r="E353" s="416"/>
      <c r="F353" s="413"/>
      <c r="G353" s="413"/>
      <c r="H353" s="415"/>
      <c r="I353" s="415"/>
      <c r="J353" s="415"/>
      <c r="K353" s="415"/>
      <c r="L353" s="417"/>
      <c r="M353" s="403"/>
      <c r="N353" s="403"/>
      <c r="O353" s="403"/>
      <c r="P353" s="403"/>
      <c r="Q353" s="403"/>
      <c r="R353" s="403"/>
      <c r="S353" s="403"/>
      <c r="T353" s="403"/>
      <c r="U353" s="403"/>
      <c r="V353" s="403"/>
      <c r="W353" s="404"/>
      <c r="X353" s="405"/>
      <c r="Y353" s="405"/>
      <c r="Z353" s="405"/>
      <c r="AA353" s="405"/>
      <c r="AB353" s="405"/>
      <c r="AC353" s="405"/>
      <c r="AD353" s="405"/>
      <c r="AE353" s="405"/>
      <c r="AF353" s="405"/>
      <c r="AG353" s="405"/>
      <c r="AH353" s="405"/>
      <c r="AI353" s="405"/>
      <c r="AJ353" s="405"/>
      <c r="AK353" s="405"/>
      <c r="AL353" s="405"/>
      <c r="AM353" s="406"/>
      <c r="AN353" s="406"/>
      <c r="AO353" s="406"/>
      <c r="AP353" s="406"/>
      <c r="AQ353" s="403"/>
      <c r="AR353" s="403"/>
      <c r="AS353" s="403"/>
      <c r="AT353" s="403"/>
      <c r="AU353" s="403"/>
      <c r="AV353" s="403"/>
      <c r="AW353" s="403"/>
      <c r="AX353" s="403"/>
      <c r="AY353" s="403"/>
    </row>
    <row r="354">
      <c r="A354" s="415"/>
      <c r="B354" s="415"/>
      <c r="C354" s="410"/>
      <c r="D354" s="429"/>
      <c r="E354" s="416"/>
      <c r="F354" s="413"/>
      <c r="G354" s="413"/>
      <c r="H354" s="415"/>
      <c r="I354" s="415"/>
      <c r="J354" s="415"/>
      <c r="K354" s="415"/>
      <c r="L354" s="417"/>
      <c r="M354" s="403"/>
      <c r="N354" s="403"/>
      <c r="O354" s="403"/>
      <c r="P354" s="403"/>
      <c r="Q354" s="403"/>
      <c r="R354" s="403"/>
      <c r="S354" s="403"/>
      <c r="T354" s="403"/>
      <c r="U354" s="403"/>
      <c r="V354" s="403"/>
      <c r="W354" s="404"/>
      <c r="X354" s="405"/>
      <c r="Y354" s="405"/>
      <c r="Z354" s="405"/>
      <c r="AA354" s="405"/>
      <c r="AB354" s="405"/>
      <c r="AC354" s="405"/>
      <c r="AD354" s="405"/>
      <c r="AE354" s="405"/>
      <c r="AF354" s="405"/>
      <c r="AG354" s="405"/>
      <c r="AH354" s="405"/>
      <c r="AI354" s="405"/>
      <c r="AJ354" s="405"/>
      <c r="AK354" s="405"/>
      <c r="AL354" s="405"/>
      <c r="AM354" s="406"/>
      <c r="AN354" s="406"/>
      <c r="AO354" s="406"/>
      <c r="AP354" s="406"/>
      <c r="AQ354" s="403"/>
      <c r="AR354" s="403"/>
      <c r="AS354" s="403"/>
      <c r="AT354" s="403"/>
      <c r="AU354" s="403"/>
      <c r="AV354" s="403"/>
      <c r="AW354" s="403"/>
      <c r="AX354" s="403"/>
      <c r="AY354" s="403"/>
    </row>
    <row r="355">
      <c r="A355" s="415"/>
      <c r="B355" s="415"/>
      <c r="C355" s="410"/>
      <c r="D355" s="429"/>
      <c r="E355" s="416"/>
      <c r="F355" s="413"/>
      <c r="G355" s="413"/>
      <c r="H355" s="415"/>
      <c r="I355" s="415"/>
      <c r="J355" s="415"/>
      <c r="K355" s="415"/>
      <c r="L355" s="417"/>
      <c r="M355" s="403"/>
      <c r="N355" s="403"/>
      <c r="O355" s="403"/>
      <c r="P355" s="403"/>
      <c r="Q355" s="403"/>
      <c r="R355" s="403"/>
      <c r="S355" s="403"/>
      <c r="T355" s="403"/>
      <c r="U355" s="403"/>
      <c r="V355" s="403"/>
      <c r="W355" s="404"/>
      <c r="X355" s="405"/>
      <c r="Y355" s="405"/>
      <c r="Z355" s="405"/>
      <c r="AA355" s="405"/>
      <c r="AB355" s="405"/>
      <c r="AC355" s="405"/>
      <c r="AD355" s="405"/>
      <c r="AE355" s="405"/>
      <c r="AF355" s="405"/>
      <c r="AG355" s="405"/>
      <c r="AH355" s="405"/>
      <c r="AI355" s="405"/>
      <c r="AJ355" s="405"/>
      <c r="AK355" s="405"/>
      <c r="AL355" s="405"/>
      <c r="AM355" s="406"/>
      <c r="AN355" s="406"/>
      <c r="AO355" s="406"/>
      <c r="AP355" s="406"/>
      <c r="AQ355" s="403"/>
      <c r="AR355" s="403"/>
      <c r="AS355" s="403"/>
      <c r="AT355" s="403"/>
      <c r="AU355" s="403"/>
      <c r="AV355" s="403"/>
      <c r="AW355" s="403"/>
      <c r="AX355" s="403"/>
      <c r="AY355" s="403"/>
    </row>
    <row r="356">
      <c r="A356" s="415"/>
      <c r="B356" s="415"/>
      <c r="C356" s="410"/>
      <c r="D356" s="429"/>
      <c r="E356" s="416"/>
      <c r="F356" s="413"/>
      <c r="G356" s="413"/>
      <c r="H356" s="415"/>
      <c r="I356" s="415"/>
      <c r="J356" s="415"/>
      <c r="K356" s="415"/>
      <c r="L356" s="417"/>
      <c r="M356" s="403"/>
      <c r="N356" s="403"/>
      <c r="O356" s="403"/>
      <c r="P356" s="403"/>
      <c r="Q356" s="403"/>
      <c r="R356" s="403"/>
      <c r="S356" s="403"/>
      <c r="T356" s="403"/>
      <c r="U356" s="403"/>
      <c r="V356" s="403"/>
      <c r="W356" s="404"/>
      <c r="X356" s="405"/>
      <c r="Y356" s="405"/>
      <c r="Z356" s="405"/>
      <c r="AA356" s="405"/>
      <c r="AB356" s="405"/>
      <c r="AC356" s="405"/>
      <c r="AD356" s="405"/>
      <c r="AE356" s="405"/>
      <c r="AF356" s="405"/>
      <c r="AG356" s="405"/>
      <c r="AH356" s="405"/>
      <c r="AI356" s="405"/>
      <c r="AJ356" s="405"/>
      <c r="AK356" s="405"/>
      <c r="AL356" s="405"/>
      <c r="AM356" s="406"/>
      <c r="AN356" s="406"/>
      <c r="AO356" s="406"/>
      <c r="AP356" s="406"/>
      <c r="AQ356" s="403"/>
      <c r="AR356" s="403"/>
      <c r="AS356" s="403"/>
      <c r="AT356" s="403"/>
      <c r="AU356" s="403"/>
      <c r="AV356" s="403"/>
      <c r="AW356" s="403"/>
      <c r="AX356" s="403"/>
      <c r="AY356" s="403"/>
    </row>
    <row r="357">
      <c r="A357" s="415"/>
      <c r="B357" s="415"/>
      <c r="C357" s="410"/>
      <c r="D357" s="429"/>
      <c r="E357" s="416"/>
      <c r="F357" s="413"/>
      <c r="G357" s="413"/>
      <c r="H357" s="415"/>
      <c r="I357" s="415"/>
      <c r="J357" s="415"/>
      <c r="K357" s="415"/>
      <c r="L357" s="417"/>
      <c r="M357" s="403"/>
      <c r="N357" s="403"/>
      <c r="O357" s="403"/>
      <c r="P357" s="403"/>
      <c r="Q357" s="403"/>
      <c r="R357" s="403"/>
      <c r="S357" s="403"/>
      <c r="T357" s="403"/>
      <c r="U357" s="403"/>
      <c r="V357" s="403"/>
      <c r="W357" s="404"/>
      <c r="X357" s="405"/>
      <c r="Y357" s="405"/>
      <c r="Z357" s="405"/>
      <c r="AA357" s="405"/>
      <c r="AB357" s="405"/>
      <c r="AC357" s="405"/>
      <c r="AD357" s="405"/>
      <c r="AE357" s="405"/>
      <c r="AF357" s="405"/>
      <c r="AG357" s="405"/>
      <c r="AH357" s="405"/>
      <c r="AI357" s="405"/>
      <c r="AJ357" s="405"/>
      <c r="AK357" s="405"/>
      <c r="AL357" s="405"/>
      <c r="AM357" s="406"/>
      <c r="AN357" s="406"/>
      <c r="AO357" s="406"/>
      <c r="AP357" s="406"/>
      <c r="AQ357" s="403"/>
      <c r="AR357" s="403"/>
      <c r="AS357" s="403"/>
      <c r="AT357" s="403"/>
      <c r="AU357" s="403"/>
      <c r="AV357" s="403"/>
      <c r="AW357" s="403"/>
      <c r="AX357" s="403"/>
      <c r="AY357" s="403"/>
    </row>
    <row r="358">
      <c r="A358" s="415"/>
      <c r="B358" s="415"/>
      <c r="C358" s="410"/>
      <c r="D358" s="429"/>
      <c r="E358" s="416"/>
      <c r="F358" s="413"/>
      <c r="G358" s="413"/>
      <c r="H358" s="415"/>
      <c r="I358" s="415"/>
      <c r="J358" s="415"/>
      <c r="K358" s="415"/>
      <c r="L358" s="417"/>
      <c r="M358" s="403"/>
      <c r="N358" s="403"/>
      <c r="O358" s="403"/>
      <c r="P358" s="403"/>
      <c r="Q358" s="403"/>
      <c r="R358" s="403"/>
      <c r="S358" s="403"/>
      <c r="T358" s="403"/>
      <c r="U358" s="403"/>
      <c r="V358" s="403"/>
      <c r="W358" s="404"/>
      <c r="X358" s="405"/>
      <c r="Y358" s="405"/>
      <c r="Z358" s="405"/>
      <c r="AA358" s="405"/>
      <c r="AB358" s="405"/>
      <c r="AC358" s="405"/>
      <c r="AD358" s="405"/>
      <c r="AE358" s="405"/>
      <c r="AF358" s="405"/>
      <c r="AG358" s="405"/>
      <c r="AH358" s="405"/>
      <c r="AI358" s="405"/>
      <c r="AJ358" s="405"/>
      <c r="AK358" s="405"/>
      <c r="AL358" s="405"/>
      <c r="AM358" s="406"/>
      <c r="AN358" s="406"/>
      <c r="AO358" s="406"/>
      <c r="AP358" s="406"/>
      <c r="AQ358" s="403"/>
      <c r="AR358" s="403"/>
      <c r="AS358" s="403"/>
      <c r="AT358" s="403"/>
      <c r="AU358" s="403"/>
      <c r="AV358" s="403"/>
      <c r="AW358" s="403"/>
      <c r="AX358" s="403"/>
      <c r="AY358" s="403"/>
    </row>
    <row r="359">
      <c r="A359" s="415"/>
      <c r="B359" s="415"/>
      <c r="C359" s="410"/>
      <c r="D359" s="429"/>
      <c r="E359" s="416"/>
      <c r="F359" s="413"/>
      <c r="G359" s="413"/>
      <c r="H359" s="415"/>
      <c r="I359" s="415"/>
      <c r="J359" s="415"/>
      <c r="K359" s="415"/>
      <c r="L359" s="417"/>
      <c r="M359" s="403"/>
      <c r="N359" s="403"/>
      <c r="O359" s="403"/>
      <c r="P359" s="403"/>
      <c r="Q359" s="403"/>
      <c r="R359" s="403"/>
      <c r="S359" s="403"/>
      <c r="T359" s="403"/>
      <c r="U359" s="403"/>
      <c r="V359" s="403"/>
      <c r="W359" s="404"/>
      <c r="X359" s="405"/>
      <c r="Y359" s="405"/>
      <c r="Z359" s="405"/>
      <c r="AA359" s="405"/>
      <c r="AB359" s="405"/>
      <c r="AC359" s="405"/>
      <c r="AD359" s="405"/>
      <c r="AE359" s="405"/>
      <c r="AF359" s="405"/>
      <c r="AG359" s="405"/>
      <c r="AH359" s="405"/>
      <c r="AI359" s="405"/>
      <c r="AJ359" s="405"/>
      <c r="AK359" s="405"/>
      <c r="AL359" s="405"/>
      <c r="AM359" s="406"/>
      <c r="AN359" s="406"/>
      <c r="AO359" s="406"/>
      <c r="AP359" s="406"/>
      <c r="AQ359" s="403"/>
      <c r="AR359" s="403"/>
      <c r="AS359" s="403"/>
      <c r="AT359" s="403"/>
      <c r="AU359" s="403"/>
      <c r="AV359" s="403"/>
      <c r="AW359" s="403"/>
      <c r="AX359" s="403"/>
      <c r="AY359" s="403"/>
    </row>
    <row r="360">
      <c r="A360" s="415"/>
      <c r="B360" s="415"/>
      <c r="C360" s="410"/>
      <c r="D360" s="429"/>
      <c r="E360" s="416"/>
      <c r="F360" s="413"/>
      <c r="G360" s="413"/>
      <c r="H360" s="415"/>
      <c r="I360" s="415"/>
      <c r="J360" s="415"/>
      <c r="K360" s="415"/>
      <c r="L360" s="417"/>
      <c r="M360" s="403"/>
      <c r="N360" s="403"/>
      <c r="O360" s="403"/>
      <c r="P360" s="403"/>
      <c r="Q360" s="403"/>
      <c r="R360" s="403"/>
      <c r="S360" s="403"/>
      <c r="T360" s="403"/>
      <c r="U360" s="403"/>
      <c r="V360" s="403"/>
      <c r="W360" s="404"/>
      <c r="X360" s="405"/>
      <c r="Y360" s="405"/>
      <c r="Z360" s="405"/>
      <c r="AA360" s="405"/>
      <c r="AB360" s="405"/>
      <c r="AC360" s="405"/>
      <c r="AD360" s="405"/>
      <c r="AE360" s="405"/>
      <c r="AF360" s="405"/>
      <c r="AG360" s="405"/>
      <c r="AH360" s="405"/>
      <c r="AI360" s="405"/>
      <c r="AJ360" s="405"/>
      <c r="AK360" s="405"/>
      <c r="AL360" s="405"/>
      <c r="AM360" s="406"/>
      <c r="AN360" s="406"/>
      <c r="AO360" s="406"/>
      <c r="AP360" s="406"/>
      <c r="AQ360" s="403"/>
      <c r="AR360" s="403"/>
      <c r="AS360" s="403"/>
      <c r="AT360" s="403"/>
      <c r="AU360" s="403"/>
      <c r="AV360" s="403"/>
      <c r="AW360" s="403"/>
      <c r="AX360" s="403"/>
      <c r="AY360" s="403"/>
    </row>
    <row r="361">
      <c r="A361" s="415"/>
      <c r="B361" s="415"/>
      <c r="C361" s="410"/>
      <c r="D361" s="429"/>
      <c r="E361" s="416"/>
      <c r="F361" s="413"/>
      <c r="G361" s="413"/>
      <c r="H361" s="415"/>
      <c r="I361" s="415"/>
      <c r="J361" s="415"/>
      <c r="K361" s="415"/>
      <c r="L361" s="417"/>
      <c r="M361" s="403"/>
      <c r="N361" s="403"/>
      <c r="O361" s="403"/>
      <c r="P361" s="403"/>
      <c r="Q361" s="403"/>
      <c r="R361" s="403"/>
      <c r="S361" s="403"/>
      <c r="T361" s="403"/>
      <c r="U361" s="403"/>
      <c r="V361" s="403"/>
      <c r="W361" s="404"/>
      <c r="X361" s="405"/>
      <c r="Y361" s="405"/>
      <c r="Z361" s="405"/>
      <c r="AA361" s="405"/>
      <c r="AB361" s="405"/>
      <c r="AC361" s="405"/>
      <c r="AD361" s="405"/>
      <c r="AE361" s="405"/>
      <c r="AF361" s="405"/>
      <c r="AG361" s="405"/>
      <c r="AH361" s="405"/>
      <c r="AI361" s="405"/>
      <c r="AJ361" s="405"/>
      <c r="AK361" s="405"/>
      <c r="AL361" s="405"/>
      <c r="AM361" s="406"/>
      <c r="AN361" s="406"/>
      <c r="AO361" s="406"/>
      <c r="AP361" s="406"/>
      <c r="AQ361" s="403"/>
      <c r="AR361" s="403"/>
      <c r="AS361" s="403"/>
      <c r="AT361" s="403"/>
      <c r="AU361" s="403"/>
      <c r="AV361" s="403"/>
      <c r="AW361" s="403"/>
      <c r="AX361" s="403"/>
      <c r="AY361" s="403"/>
    </row>
    <row r="362">
      <c r="A362" s="415"/>
      <c r="B362" s="415"/>
      <c r="C362" s="410"/>
      <c r="D362" s="429"/>
      <c r="E362" s="416"/>
      <c r="F362" s="413"/>
      <c r="G362" s="413"/>
      <c r="H362" s="415"/>
      <c r="I362" s="415"/>
      <c r="J362" s="415"/>
      <c r="K362" s="415"/>
      <c r="L362" s="417"/>
      <c r="M362" s="403"/>
      <c r="N362" s="403"/>
      <c r="O362" s="403"/>
      <c r="P362" s="403"/>
      <c r="Q362" s="403"/>
      <c r="R362" s="403"/>
      <c r="S362" s="403"/>
      <c r="T362" s="403"/>
      <c r="U362" s="403"/>
      <c r="V362" s="403"/>
      <c r="W362" s="404"/>
      <c r="X362" s="405"/>
      <c r="Y362" s="405"/>
      <c r="Z362" s="405"/>
      <c r="AA362" s="405"/>
      <c r="AB362" s="405"/>
      <c r="AC362" s="405"/>
      <c r="AD362" s="405"/>
      <c r="AE362" s="405"/>
      <c r="AF362" s="405"/>
      <c r="AG362" s="405"/>
      <c r="AH362" s="405"/>
      <c r="AI362" s="405"/>
      <c r="AJ362" s="405"/>
      <c r="AK362" s="405"/>
      <c r="AL362" s="405"/>
      <c r="AM362" s="406"/>
      <c r="AN362" s="406"/>
      <c r="AO362" s="406"/>
      <c r="AP362" s="406"/>
      <c r="AQ362" s="403"/>
      <c r="AR362" s="403"/>
      <c r="AS362" s="403"/>
      <c r="AT362" s="403"/>
      <c r="AU362" s="403"/>
      <c r="AV362" s="403"/>
      <c r="AW362" s="403"/>
      <c r="AX362" s="403"/>
      <c r="AY362" s="403"/>
    </row>
    <row r="363">
      <c r="A363" s="415"/>
      <c r="B363" s="415"/>
      <c r="C363" s="410"/>
      <c r="D363" s="429"/>
      <c r="E363" s="416"/>
      <c r="F363" s="413"/>
      <c r="G363" s="413"/>
      <c r="H363" s="415"/>
      <c r="I363" s="415"/>
      <c r="J363" s="415"/>
      <c r="K363" s="415"/>
      <c r="L363" s="417"/>
      <c r="M363" s="403"/>
      <c r="N363" s="403"/>
      <c r="O363" s="403"/>
      <c r="P363" s="403"/>
      <c r="Q363" s="403"/>
      <c r="R363" s="403"/>
      <c r="S363" s="403"/>
      <c r="T363" s="403"/>
      <c r="U363" s="403"/>
      <c r="V363" s="403"/>
      <c r="W363" s="404"/>
      <c r="X363" s="405"/>
      <c r="Y363" s="405"/>
      <c r="Z363" s="405"/>
      <c r="AA363" s="405"/>
      <c r="AB363" s="405"/>
      <c r="AC363" s="405"/>
      <c r="AD363" s="405"/>
      <c r="AE363" s="405"/>
      <c r="AF363" s="405"/>
      <c r="AG363" s="405"/>
      <c r="AH363" s="405"/>
      <c r="AI363" s="405"/>
      <c r="AJ363" s="405"/>
      <c r="AK363" s="405"/>
      <c r="AL363" s="405"/>
      <c r="AM363" s="406"/>
      <c r="AN363" s="406"/>
      <c r="AO363" s="406"/>
      <c r="AP363" s="406"/>
      <c r="AQ363" s="403"/>
      <c r="AR363" s="403"/>
      <c r="AS363" s="403"/>
      <c r="AT363" s="403"/>
      <c r="AU363" s="403"/>
      <c r="AV363" s="403"/>
      <c r="AW363" s="403"/>
      <c r="AX363" s="403"/>
      <c r="AY363" s="403"/>
    </row>
    <row r="364">
      <c r="A364" s="415"/>
      <c r="B364" s="415"/>
      <c r="C364" s="410"/>
      <c r="D364" s="429"/>
      <c r="E364" s="416"/>
      <c r="F364" s="413"/>
      <c r="G364" s="413"/>
      <c r="H364" s="415"/>
      <c r="I364" s="415"/>
      <c r="J364" s="415"/>
      <c r="K364" s="415"/>
      <c r="L364" s="417"/>
      <c r="M364" s="403"/>
      <c r="N364" s="403"/>
      <c r="O364" s="403"/>
      <c r="P364" s="403"/>
      <c r="Q364" s="403"/>
      <c r="R364" s="403"/>
      <c r="S364" s="403"/>
      <c r="T364" s="403"/>
      <c r="U364" s="403"/>
      <c r="V364" s="403"/>
      <c r="W364" s="404"/>
      <c r="X364" s="405"/>
      <c r="Y364" s="405"/>
      <c r="Z364" s="405"/>
      <c r="AA364" s="405"/>
      <c r="AB364" s="405"/>
      <c r="AC364" s="405"/>
      <c r="AD364" s="405"/>
      <c r="AE364" s="405"/>
      <c r="AF364" s="405"/>
      <c r="AG364" s="405"/>
      <c r="AH364" s="405"/>
      <c r="AI364" s="405"/>
      <c r="AJ364" s="405"/>
      <c r="AK364" s="405"/>
      <c r="AL364" s="405"/>
      <c r="AM364" s="406"/>
      <c r="AN364" s="406"/>
      <c r="AO364" s="406"/>
      <c r="AP364" s="406"/>
      <c r="AQ364" s="403"/>
      <c r="AR364" s="403"/>
      <c r="AS364" s="403"/>
      <c r="AT364" s="403"/>
      <c r="AU364" s="403"/>
      <c r="AV364" s="403"/>
      <c r="AW364" s="403"/>
      <c r="AX364" s="403"/>
      <c r="AY364" s="403"/>
    </row>
    <row r="365">
      <c r="A365" s="415"/>
      <c r="B365" s="415"/>
      <c r="C365" s="410"/>
      <c r="D365" s="429"/>
      <c r="E365" s="416"/>
      <c r="F365" s="413"/>
      <c r="G365" s="413"/>
      <c r="H365" s="415"/>
      <c r="I365" s="415"/>
      <c r="J365" s="415"/>
      <c r="K365" s="415"/>
      <c r="L365" s="417"/>
      <c r="M365" s="403"/>
      <c r="N365" s="403"/>
      <c r="O365" s="403"/>
      <c r="P365" s="403"/>
      <c r="Q365" s="403"/>
      <c r="R365" s="403"/>
      <c r="S365" s="403"/>
      <c r="T365" s="403"/>
      <c r="U365" s="403"/>
      <c r="V365" s="403"/>
      <c r="W365" s="404"/>
      <c r="X365" s="405"/>
      <c r="Y365" s="405"/>
      <c r="Z365" s="405"/>
      <c r="AA365" s="405"/>
      <c r="AB365" s="405"/>
      <c r="AC365" s="405"/>
      <c r="AD365" s="405"/>
      <c r="AE365" s="405"/>
      <c r="AF365" s="405"/>
      <c r="AG365" s="405"/>
      <c r="AH365" s="405"/>
      <c r="AI365" s="405"/>
      <c r="AJ365" s="405"/>
      <c r="AK365" s="405"/>
      <c r="AL365" s="405"/>
      <c r="AM365" s="406"/>
      <c r="AN365" s="406"/>
      <c r="AO365" s="406"/>
      <c r="AP365" s="406"/>
      <c r="AQ365" s="403"/>
      <c r="AR365" s="403"/>
      <c r="AS365" s="403"/>
      <c r="AT365" s="403"/>
      <c r="AU365" s="403"/>
      <c r="AV365" s="403"/>
      <c r="AW365" s="403"/>
      <c r="AX365" s="403"/>
      <c r="AY365" s="403"/>
    </row>
    <row r="366">
      <c r="A366" s="415"/>
      <c r="B366" s="415"/>
      <c r="C366" s="410"/>
      <c r="D366" s="429"/>
      <c r="E366" s="416"/>
      <c r="F366" s="413"/>
      <c r="G366" s="413"/>
      <c r="H366" s="415"/>
      <c r="I366" s="415"/>
      <c r="J366" s="415"/>
      <c r="K366" s="415"/>
      <c r="L366" s="417"/>
      <c r="M366" s="403"/>
      <c r="N366" s="403"/>
      <c r="O366" s="403"/>
      <c r="P366" s="403"/>
      <c r="Q366" s="403"/>
      <c r="R366" s="403"/>
      <c r="S366" s="403"/>
      <c r="T366" s="403"/>
      <c r="U366" s="403"/>
      <c r="V366" s="403"/>
      <c r="W366" s="404"/>
      <c r="X366" s="405"/>
      <c r="Y366" s="405"/>
      <c r="Z366" s="405"/>
      <c r="AA366" s="405"/>
      <c r="AB366" s="405"/>
      <c r="AC366" s="405"/>
      <c r="AD366" s="405"/>
      <c r="AE366" s="405"/>
      <c r="AF366" s="405"/>
      <c r="AG366" s="405"/>
      <c r="AH366" s="405"/>
      <c r="AI366" s="405"/>
      <c r="AJ366" s="405"/>
      <c r="AK366" s="405"/>
      <c r="AL366" s="405"/>
      <c r="AM366" s="406"/>
      <c r="AN366" s="406"/>
      <c r="AO366" s="406"/>
      <c r="AP366" s="406"/>
      <c r="AQ366" s="403"/>
      <c r="AR366" s="403"/>
      <c r="AS366" s="403"/>
      <c r="AT366" s="403"/>
      <c r="AU366" s="403"/>
      <c r="AV366" s="403"/>
      <c r="AW366" s="403"/>
      <c r="AX366" s="403"/>
      <c r="AY366" s="403"/>
    </row>
    <row r="367">
      <c r="A367" s="415"/>
      <c r="B367" s="415"/>
      <c r="C367" s="410"/>
      <c r="D367" s="429"/>
      <c r="E367" s="416"/>
      <c r="F367" s="413"/>
      <c r="G367" s="413"/>
      <c r="H367" s="415"/>
      <c r="I367" s="415"/>
      <c r="J367" s="415"/>
      <c r="K367" s="415"/>
      <c r="L367" s="417"/>
      <c r="M367" s="403"/>
      <c r="N367" s="403"/>
      <c r="O367" s="403"/>
      <c r="P367" s="403"/>
      <c r="Q367" s="403"/>
      <c r="R367" s="403"/>
      <c r="S367" s="403"/>
      <c r="T367" s="403"/>
      <c r="U367" s="403"/>
      <c r="V367" s="403"/>
      <c r="W367" s="404"/>
      <c r="X367" s="405"/>
      <c r="Y367" s="405"/>
      <c r="Z367" s="405"/>
      <c r="AA367" s="405"/>
      <c r="AB367" s="405"/>
      <c r="AC367" s="405"/>
      <c r="AD367" s="405"/>
      <c r="AE367" s="405"/>
      <c r="AF367" s="405"/>
      <c r="AG367" s="405"/>
      <c r="AH367" s="405"/>
      <c r="AI367" s="405"/>
      <c r="AJ367" s="405"/>
      <c r="AK367" s="405"/>
      <c r="AL367" s="405"/>
      <c r="AM367" s="406"/>
      <c r="AN367" s="406"/>
      <c r="AO367" s="406"/>
      <c r="AP367" s="406"/>
      <c r="AQ367" s="403"/>
      <c r="AR367" s="403"/>
      <c r="AS367" s="403"/>
      <c r="AT367" s="403"/>
      <c r="AU367" s="403"/>
      <c r="AV367" s="403"/>
      <c r="AW367" s="403"/>
      <c r="AX367" s="403"/>
      <c r="AY367" s="403"/>
    </row>
    <row r="368">
      <c r="A368" s="415"/>
      <c r="B368" s="415"/>
      <c r="C368" s="410"/>
      <c r="D368" s="429"/>
      <c r="E368" s="416"/>
      <c r="F368" s="413"/>
      <c r="G368" s="413"/>
      <c r="H368" s="415"/>
      <c r="I368" s="415"/>
      <c r="J368" s="415"/>
      <c r="K368" s="415"/>
      <c r="L368" s="417"/>
      <c r="M368" s="403"/>
      <c r="N368" s="403"/>
      <c r="O368" s="403"/>
      <c r="P368" s="403"/>
      <c r="Q368" s="403"/>
      <c r="R368" s="403"/>
      <c r="S368" s="403"/>
      <c r="T368" s="403"/>
      <c r="U368" s="403"/>
      <c r="V368" s="403"/>
      <c r="W368" s="404"/>
      <c r="X368" s="405"/>
      <c r="Y368" s="405"/>
      <c r="Z368" s="405"/>
      <c r="AA368" s="405"/>
      <c r="AB368" s="405"/>
      <c r="AC368" s="405"/>
      <c r="AD368" s="405"/>
      <c r="AE368" s="405"/>
      <c r="AF368" s="405"/>
      <c r="AG368" s="405"/>
      <c r="AH368" s="405"/>
      <c r="AI368" s="405"/>
      <c r="AJ368" s="405"/>
      <c r="AK368" s="405"/>
      <c r="AL368" s="405"/>
      <c r="AM368" s="406"/>
      <c r="AN368" s="406"/>
      <c r="AO368" s="406"/>
      <c r="AP368" s="406"/>
      <c r="AQ368" s="403"/>
      <c r="AR368" s="403"/>
      <c r="AS368" s="403"/>
      <c r="AT368" s="403"/>
      <c r="AU368" s="403"/>
      <c r="AV368" s="403"/>
      <c r="AW368" s="403"/>
      <c r="AX368" s="403"/>
      <c r="AY368" s="403"/>
    </row>
    <row r="369">
      <c r="A369" s="415"/>
      <c r="B369" s="415"/>
      <c r="C369" s="410"/>
      <c r="D369" s="429"/>
      <c r="E369" s="416"/>
      <c r="F369" s="413"/>
      <c r="G369" s="413"/>
      <c r="H369" s="415"/>
      <c r="I369" s="415"/>
      <c r="J369" s="415"/>
      <c r="K369" s="415"/>
      <c r="L369" s="417"/>
      <c r="M369" s="403"/>
      <c r="N369" s="403"/>
      <c r="O369" s="403"/>
      <c r="P369" s="403"/>
      <c r="Q369" s="403"/>
      <c r="R369" s="403"/>
      <c r="S369" s="403"/>
      <c r="T369" s="403"/>
      <c r="U369" s="403"/>
      <c r="V369" s="403"/>
      <c r="W369" s="404"/>
      <c r="X369" s="405"/>
      <c r="Y369" s="405"/>
      <c r="Z369" s="405"/>
      <c r="AA369" s="405"/>
      <c r="AB369" s="405"/>
      <c r="AC369" s="405"/>
      <c r="AD369" s="405"/>
      <c r="AE369" s="405"/>
      <c r="AF369" s="405"/>
      <c r="AG369" s="405"/>
      <c r="AH369" s="405"/>
      <c r="AI369" s="405"/>
      <c r="AJ369" s="405"/>
      <c r="AK369" s="405"/>
      <c r="AL369" s="405"/>
      <c r="AM369" s="406"/>
      <c r="AN369" s="406"/>
      <c r="AO369" s="406"/>
      <c r="AP369" s="406"/>
      <c r="AQ369" s="403"/>
      <c r="AR369" s="403"/>
      <c r="AS369" s="403"/>
      <c r="AT369" s="403"/>
      <c r="AU369" s="403"/>
      <c r="AV369" s="403"/>
      <c r="AW369" s="403"/>
      <c r="AX369" s="403"/>
      <c r="AY369" s="403"/>
    </row>
    <row r="370">
      <c r="A370" s="415"/>
      <c r="B370" s="415"/>
      <c r="C370" s="410"/>
      <c r="D370" s="429"/>
      <c r="E370" s="416"/>
      <c r="F370" s="413"/>
      <c r="G370" s="413"/>
      <c r="H370" s="415"/>
      <c r="I370" s="415"/>
      <c r="J370" s="415"/>
      <c r="K370" s="415"/>
      <c r="L370" s="417"/>
      <c r="M370" s="403"/>
      <c r="N370" s="403"/>
      <c r="O370" s="403"/>
      <c r="P370" s="403"/>
      <c r="Q370" s="403"/>
      <c r="R370" s="403"/>
      <c r="S370" s="403"/>
      <c r="T370" s="403"/>
      <c r="U370" s="403"/>
      <c r="V370" s="403"/>
      <c r="W370" s="404"/>
      <c r="X370" s="405"/>
      <c r="Y370" s="405"/>
      <c r="Z370" s="405"/>
      <c r="AA370" s="405"/>
      <c r="AB370" s="405"/>
      <c r="AC370" s="405"/>
      <c r="AD370" s="405"/>
      <c r="AE370" s="405"/>
      <c r="AF370" s="405"/>
      <c r="AG370" s="405"/>
      <c r="AH370" s="405"/>
      <c r="AI370" s="405"/>
      <c r="AJ370" s="405"/>
      <c r="AK370" s="405"/>
      <c r="AL370" s="405"/>
      <c r="AM370" s="406"/>
      <c r="AN370" s="406"/>
      <c r="AO370" s="406"/>
      <c r="AP370" s="406"/>
      <c r="AQ370" s="403"/>
      <c r="AR370" s="403"/>
      <c r="AS370" s="403"/>
      <c r="AT370" s="403"/>
      <c r="AU370" s="403"/>
      <c r="AV370" s="403"/>
      <c r="AW370" s="403"/>
      <c r="AX370" s="403"/>
      <c r="AY370" s="403"/>
    </row>
    <row r="371">
      <c r="A371" s="415"/>
      <c r="B371" s="415"/>
      <c r="C371" s="410"/>
      <c r="D371" s="429"/>
      <c r="E371" s="416"/>
      <c r="F371" s="413"/>
      <c r="G371" s="413"/>
      <c r="H371" s="415"/>
      <c r="I371" s="415"/>
      <c r="J371" s="415"/>
      <c r="K371" s="415"/>
      <c r="L371" s="417"/>
      <c r="M371" s="403"/>
      <c r="N371" s="403"/>
      <c r="O371" s="403"/>
      <c r="P371" s="403"/>
      <c r="Q371" s="403"/>
      <c r="R371" s="403"/>
      <c r="S371" s="403"/>
      <c r="T371" s="403"/>
      <c r="U371" s="403"/>
      <c r="V371" s="403"/>
      <c r="W371" s="404"/>
      <c r="X371" s="405"/>
      <c r="Y371" s="405"/>
      <c r="Z371" s="405"/>
      <c r="AA371" s="405"/>
      <c r="AB371" s="405"/>
      <c r="AC371" s="405"/>
      <c r="AD371" s="405"/>
      <c r="AE371" s="405"/>
      <c r="AF371" s="405"/>
      <c r="AG371" s="405"/>
      <c r="AH371" s="405"/>
      <c r="AI371" s="405"/>
      <c r="AJ371" s="405"/>
      <c r="AK371" s="405"/>
      <c r="AL371" s="405"/>
      <c r="AM371" s="406"/>
      <c r="AN371" s="406"/>
      <c r="AO371" s="406"/>
      <c r="AP371" s="406"/>
      <c r="AQ371" s="403"/>
      <c r="AR371" s="403"/>
      <c r="AS371" s="403"/>
      <c r="AT371" s="403"/>
      <c r="AU371" s="403"/>
      <c r="AV371" s="403"/>
      <c r="AW371" s="403"/>
      <c r="AX371" s="403"/>
      <c r="AY371" s="403"/>
    </row>
    <row r="372">
      <c r="A372" s="415"/>
      <c r="B372" s="415"/>
      <c r="C372" s="410"/>
      <c r="D372" s="429"/>
      <c r="E372" s="416"/>
      <c r="F372" s="413"/>
      <c r="G372" s="413"/>
      <c r="H372" s="415"/>
      <c r="I372" s="415"/>
      <c r="J372" s="415"/>
      <c r="K372" s="415"/>
      <c r="L372" s="417"/>
      <c r="M372" s="403"/>
      <c r="N372" s="403"/>
      <c r="O372" s="403"/>
      <c r="P372" s="403"/>
      <c r="Q372" s="403"/>
      <c r="R372" s="403"/>
      <c r="S372" s="403"/>
      <c r="T372" s="403"/>
      <c r="U372" s="403"/>
      <c r="V372" s="403"/>
      <c r="W372" s="404"/>
      <c r="X372" s="405"/>
      <c r="Y372" s="405"/>
      <c r="Z372" s="405"/>
      <c r="AA372" s="405"/>
      <c r="AB372" s="405"/>
      <c r="AC372" s="405"/>
      <c r="AD372" s="405"/>
      <c r="AE372" s="405"/>
      <c r="AF372" s="405"/>
      <c r="AG372" s="405"/>
      <c r="AH372" s="405"/>
      <c r="AI372" s="405"/>
      <c r="AJ372" s="405"/>
      <c r="AK372" s="405"/>
      <c r="AL372" s="405"/>
      <c r="AM372" s="406"/>
      <c r="AN372" s="406"/>
      <c r="AO372" s="406"/>
      <c r="AP372" s="406"/>
      <c r="AQ372" s="403"/>
      <c r="AR372" s="403"/>
      <c r="AS372" s="403"/>
      <c r="AT372" s="403"/>
      <c r="AU372" s="403"/>
      <c r="AV372" s="403"/>
      <c r="AW372" s="403"/>
      <c r="AX372" s="403"/>
      <c r="AY372" s="403"/>
    </row>
    <row r="373">
      <c r="A373" s="415"/>
      <c r="B373" s="415"/>
      <c r="C373" s="410"/>
      <c r="D373" s="429"/>
      <c r="E373" s="416"/>
      <c r="F373" s="413"/>
      <c r="G373" s="413"/>
      <c r="H373" s="415"/>
      <c r="I373" s="415"/>
      <c r="J373" s="415"/>
      <c r="K373" s="415"/>
      <c r="L373" s="417"/>
      <c r="M373" s="403"/>
      <c r="N373" s="403"/>
      <c r="O373" s="403"/>
      <c r="P373" s="403"/>
      <c r="Q373" s="403"/>
      <c r="R373" s="403"/>
      <c r="S373" s="403"/>
      <c r="T373" s="403"/>
      <c r="U373" s="403"/>
      <c r="V373" s="403"/>
      <c r="W373" s="404"/>
      <c r="X373" s="405"/>
      <c r="Y373" s="405"/>
      <c r="Z373" s="405"/>
      <c r="AA373" s="405"/>
      <c r="AB373" s="405"/>
      <c r="AC373" s="405"/>
      <c r="AD373" s="405"/>
      <c r="AE373" s="405"/>
      <c r="AF373" s="405"/>
      <c r="AG373" s="405"/>
      <c r="AH373" s="405"/>
      <c r="AI373" s="405"/>
      <c r="AJ373" s="405"/>
      <c r="AK373" s="405"/>
      <c r="AL373" s="405"/>
      <c r="AM373" s="406"/>
      <c r="AN373" s="406"/>
      <c r="AO373" s="406"/>
      <c r="AP373" s="406"/>
      <c r="AQ373" s="403"/>
      <c r="AR373" s="403"/>
      <c r="AS373" s="403"/>
      <c r="AT373" s="403"/>
      <c r="AU373" s="403"/>
      <c r="AV373" s="403"/>
      <c r="AW373" s="403"/>
      <c r="AX373" s="403"/>
      <c r="AY373" s="403"/>
    </row>
    <row r="374">
      <c r="A374" s="415"/>
      <c r="B374" s="415"/>
      <c r="C374" s="410"/>
      <c r="D374" s="429"/>
      <c r="E374" s="416"/>
      <c r="F374" s="413"/>
      <c r="G374" s="413"/>
      <c r="H374" s="415"/>
      <c r="I374" s="415"/>
      <c r="J374" s="415"/>
      <c r="K374" s="415"/>
      <c r="L374" s="417"/>
      <c r="M374" s="403"/>
      <c r="N374" s="403"/>
      <c r="O374" s="403"/>
      <c r="P374" s="403"/>
      <c r="Q374" s="403"/>
      <c r="R374" s="403"/>
      <c r="S374" s="403"/>
      <c r="T374" s="403"/>
      <c r="U374" s="403"/>
      <c r="V374" s="403"/>
      <c r="W374" s="404"/>
      <c r="X374" s="405"/>
      <c r="Y374" s="405"/>
      <c r="Z374" s="405"/>
      <c r="AA374" s="405"/>
      <c r="AB374" s="405"/>
      <c r="AC374" s="405"/>
      <c r="AD374" s="405"/>
      <c r="AE374" s="405"/>
      <c r="AF374" s="405"/>
      <c r="AG374" s="405"/>
      <c r="AH374" s="405"/>
      <c r="AI374" s="405"/>
      <c r="AJ374" s="405"/>
      <c r="AK374" s="405"/>
      <c r="AL374" s="405"/>
      <c r="AM374" s="406"/>
      <c r="AN374" s="406"/>
      <c r="AO374" s="406"/>
      <c r="AP374" s="406"/>
      <c r="AQ374" s="403"/>
      <c r="AR374" s="403"/>
      <c r="AS374" s="403"/>
      <c r="AT374" s="403"/>
      <c r="AU374" s="403"/>
      <c r="AV374" s="403"/>
      <c r="AW374" s="403"/>
      <c r="AX374" s="403"/>
      <c r="AY374" s="403"/>
    </row>
    <row r="375">
      <c r="A375" s="415"/>
      <c r="B375" s="415"/>
      <c r="C375" s="410"/>
      <c r="D375" s="429"/>
      <c r="E375" s="416"/>
      <c r="F375" s="413"/>
      <c r="G375" s="413"/>
      <c r="H375" s="415"/>
      <c r="I375" s="415"/>
      <c r="J375" s="415"/>
      <c r="K375" s="415"/>
      <c r="L375" s="417"/>
      <c r="M375" s="403"/>
      <c r="N375" s="403"/>
      <c r="O375" s="403"/>
      <c r="P375" s="403"/>
      <c r="Q375" s="403"/>
      <c r="R375" s="403"/>
      <c r="S375" s="403"/>
      <c r="T375" s="403"/>
      <c r="U375" s="403"/>
      <c r="V375" s="403"/>
      <c r="W375" s="404"/>
      <c r="X375" s="405"/>
      <c r="Y375" s="405"/>
      <c r="Z375" s="405"/>
      <c r="AA375" s="405"/>
      <c r="AB375" s="405"/>
      <c r="AC375" s="405"/>
      <c r="AD375" s="405"/>
      <c r="AE375" s="405"/>
      <c r="AF375" s="405"/>
      <c r="AG375" s="405"/>
      <c r="AH375" s="405"/>
      <c r="AI375" s="405"/>
      <c r="AJ375" s="405"/>
      <c r="AK375" s="405"/>
      <c r="AL375" s="405"/>
      <c r="AM375" s="406"/>
      <c r="AN375" s="406"/>
      <c r="AO375" s="406"/>
      <c r="AP375" s="406"/>
      <c r="AQ375" s="403"/>
      <c r="AR375" s="403"/>
      <c r="AS375" s="403"/>
      <c r="AT375" s="403"/>
      <c r="AU375" s="403"/>
      <c r="AV375" s="403"/>
      <c r="AW375" s="403"/>
      <c r="AX375" s="403"/>
      <c r="AY375" s="403"/>
    </row>
    <row r="376">
      <c r="A376" s="415"/>
      <c r="B376" s="415"/>
      <c r="C376" s="410"/>
      <c r="D376" s="429"/>
      <c r="E376" s="416"/>
      <c r="F376" s="413"/>
      <c r="G376" s="413"/>
      <c r="H376" s="415"/>
      <c r="I376" s="415"/>
      <c r="J376" s="415"/>
      <c r="K376" s="415"/>
      <c r="L376" s="417"/>
      <c r="M376" s="403"/>
      <c r="N376" s="403"/>
      <c r="O376" s="403"/>
      <c r="P376" s="403"/>
      <c r="Q376" s="403"/>
      <c r="R376" s="403"/>
      <c r="S376" s="403"/>
      <c r="T376" s="403"/>
      <c r="U376" s="403"/>
      <c r="V376" s="403"/>
      <c r="W376" s="404"/>
      <c r="X376" s="405"/>
      <c r="Y376" s="405"/>
      <c r="Z376" s="405"/>
      <c r="AA376" s="405"/>
      <c r="AB376" s="405"/>
      <c r="AC376" s="405"/>
      <c r="AD376" s="405"/>
      <c r="AE376" s="405"/>
      <c r="AF376" s="405"/>
      <c r="AG376" s="405"/>
      <c r="AH376" s="405"/>
      <c r="AI376" s="405"/>
      <c r="AJ376" s="405"/>
      <c r="AK376" s="405"/>
      <c r="AL376" s="405"/>
      <c r="AM376" s="406"/>
      <c r="AN376" s="406"/>
      <c r="AO376" s="406"/>
      <c r="AP376" s="406"/>
      <c r="AQ376" s="403"/>
      <c r="AR376" s="403"/>
      <c r="AS376" s="403"/>
      <c r="AT376" s="403"/>
      <c r="AU376" s="403"/>
      <c r="AV376" s="403"/>
      <c r="AW376" s="403"/>
      <c r="AX376" s="403"/>
      <c r="AY376" s="403"/>
    </row>
    <row r="377">
      <c r="A377" s="415"/>
      <c r="B377" s="415"/>
      <c r="C377" s="410"/>
      <c r="D377" s="429"/>
      <c r="E377" s="416"/>
      <c r="F377" s="413"/>
      <c r="G377" s="413"/>
      <c r="H377" s="415"/>
      <c r="I377" s="415"/>
      <c r="J377" s="415"/>
      <c r="K377" s="415"/>
      <c r="L377" s="417"/>
      <c r="M377" s="403"/>
      <c r="N377" s="403"/>
      <c r="O377" s="403"/>
      <c r="P377" s="403"/>
      <c r="Q377" s="403"/>
      <c r="R377" s="403"/>
      <c r="S377" s="403"/>
      <c r="T377" s="403"/>
      <c r="U377" s="403"/>
      <c r="V377" s="403"/>
      <c r="W377" s="404"/>
      <c r="X377" s="405"/>
      <c r="Y377" s="405"/>
      <c r="Z377" s="405"/>
      <c r="AA377" s="405"/>
      <c r="AB377" s="405"/>
      <c r="AC377" s="405"/>
      <c r="AD377" s="405"/>
      <c r="AE377" s="405"/>
      <c r="AF377" s="405"/>
      <c r="AG377" s="405"/>
      <c r="AH377" s="405"/>
      <c r="AI377" s="405"/>
      <c r="AJ377" s="405"/>
      <c r="AK377" s="405"/>
      <c r="AL377" s="405"/>
      <c r="AM377" s="406"/>
      <c r="AN377" s="406"/>
      <c r="AO377" s="406"/>
      <c r="AP377" s="406"/>
      <c r="AQ377" s="403"/>
      <c r="AR377" s="403"/>
      <c r="AS377" s="403"/>
      <c r="AT377" s="403"/>
      <c r="AU377" s="403"/>
      <c r="AV377" s="403"/>
      <c r="AW377" s="403"/>
      <c r="AX377" s="403"/>
      <c r="AY377" s="403"/>
    </row>
    <row r="378">
      <c r="A378" s="415"/>
      <c r="B378" s="415"/>
      <c r="C378" s="410"/>
      <c r="D378" s="429"/>
      <c r="E378" s="416"/>
      <c r="F378" s="413"/>
      <c r="G378" s="413"/>
      <c r="H378" s="415"/>
      <c r="I378" s="415"/>
      <c r="J378" s="415"/>
      <c r="K378" s="415"/>
      <c r="L378" s="417"/>
      <c r="M378" s="403"/>
      <c r="N378" s="403"/>
      <c r="O378" s="403"/>
      <c r="P378" s="403"/>
      <c r="Q378" s="403"/>
      <c r="R378" s="403"/>
      <c r="S378" s="403"/>
      <c r="T378" s="403"/>
      <c r="U378" s="403"/>
      <c r="V378" s="403"/>
      <c r="W378" s="404"/>
      <c r="X378" s="405"/>
      <c r="Y378" s="405"/>
      <c r="Z378" s="405"/>
      <c r="AA378" s="405"/>
      <c r="AB378" s="405"/>
      <c r="AC378" s="405"/>
      <c r="AD378" s="405"/>
      <c r="AE378" s="405"/>
      <c r="AF378" s="405"/>
      <c r="AG378" s="405"/>
      <c r="AH378" s="405"/>
      <c r="AI378" s="405"/>
      <c r="AJ378" s="405"/>
      <c r="AK378" s="405"/>
      <c r="AL378" s="405"/>
      <c r="AM378" s="406"/>
      <c r="AN378" s="406"/>
      <c r="AO378" s="406"/>
      <c r="AP378" s="406"/>
      <c r="AQ378" s="403"/>
      <c r="AR378" s="403"/>
      <c r="AS378" s="403"/>
      <c r="AT378" s="403"/>
      <c r="AU378" s="403"/>
      <c r="AV378" s="403"/>
      <c r="AW378" s="403"/>
      <c r="AX378" s="403"/>
      <c r="AY378" s="403"/>
    </row>
    <row r="379">
      <c r="A379" s="415"/>
      <c r="B379" s="415"/>
      <c r="C379" s="410"/>
      <c r="D379" s="429"/>
      <c r="E379" s="416"/>
      <c r="F379" s="413"/>
      <c r="G379" s="413"/>
      <c r="H379" s="415"/>
      <c r="I379" s="415"/>
      <c r="J379" s="415"/>
      <c r="K379" s="415"/>
      <c r="L379" s="417"/>
      <c r="M379" s="403"/>
      <c r="N379" s="403"/>
      <c r="O379" s="403"/>
      <c r="P379" s="403"/>
      <c r="Q379" s="403"/>
      <c r="R379" s="403"/>
      <c r="S379" s="403"/>
      <c r="T379" s="403"/>
      <c r="U379" s="403"/>
      <c r="V379" s="403"/>
      <c r="W379" s="404"/>
      <c r="X379" s="405"/>
      <c r="Y379" s="405"/>
      <c r="Z379" s="405"/>
      <c r="AA379" s="405"/>
      <c r="AB379" s="405"/>
      <c r="AC379" s="405"/>
      <c r="AD379" s="405"/>
      <c r="AE379" s="405"/>
      <c r="AF379" s="405"/>
      <c r="AG379" s="405"/>
      <c r="AH379" s="405"/>
      <c r="AI379" s="405"/>
      <c r="AJ379" s="405"/>
      <c r="AK379" s="405"/>
      <c r="AL379" s="405"/>
      <c r="AM379" s="406"/>
      <c r="AN379" s="406"/>
      <c r="AO379" s="406"/>
      <c r="AP379" s="406"/>
      <c r="AQ379" s="403"/>
      <c r="AR379" s="403"/>
      <c r="AS379" s="403"/>
      <c r="AT379" s="403"/>
      <c r="AU379" s="403"/>
      <c r="AV379" s="403"/>
      <c r="AW379" s="403"/>
      <c r="AX379" s="403"/>
      <c r="AY379" s="403"/>
    </row>
    <row r="380">
      <c r="A380" s="415"/>
      <c r="B380" s="415"/>
      <c r="C380" s="410"/>
      <c r="D380" s="429"/>
      <c r="E380" s="416"/>
      <c r="F380" s="413"/>
      <c r="G380" s="413"/>
      <c r="H380" s="415"/>
      <c r="I380" s="415"/>
      <c r="J380" s="415"/>
      <c r="K380" s="415"/>
      <c r="L380" s="417"/>
      <c r="M380" s="403"/>
      <c r="N380" s="403"/>
      <c r="O380" s="403"/>
      <c r="P380" s="403"/>
      <c r="Q380" s="403"/>
      <c r="R380" s="403"/>
      <c r="S380" s="403"/>
      <c r="T380" s="403"/>
      <c r="U380" s="403"/>
      <c r="V380" s="403"/>
      <c r="W380" s="404"/>
      <c r="X380" s="405"/>
      <c r="Y380" s="405"/>
      <c r="Z380" s="405"/>
      <c r="AA380" s="405"/>
      <c r="AB380" s="405"/>
      <c r="AC380" s="405"/>
      <c r="AD380" s="405"/>
      <c r="AE380" s="405"/>
      <c r="AF380" s="405"/>
      <c r="AG380" s="405"/>
      <c r="AH380" s="405"/>
      <c r="AI380" s="405"/>
      <c r="AJ380" s="405"/>
      <c r="AK380" s="405"/>
      <c r="AL380" s="405"/>
      <c r="AM380" s="406"/>
      <c r="AN380" s="406"/>
      <c r="AO380" s="406"/>
      <c r="AP380" s="406"/>
      <c r="AQ380" s="403"/>
      <c r="AR380" s="403"/>
      <c r="AS380" s="403"/>
      <c r="AT380" s="403"/>
      <c r="AU380" s="403"/>
      <c r="AV380" s="403"/>
      <c r="AW380" s="403"/>
      <c r="AX380" s="403"/>
      <c r="AY380" s="403"/>
    </row>
    <row r="381">
      <c r="A381" s="415"/>
      <c r="B381" s="415"/>
      <c r="C381" s="410"/>
      <c r="D381" s="429"/>
      <c r="E381" s="416"/>
      <c r="F381" s="413"/>
      <c r="G381" s="413"/>
      <c r="H381" s="415"/>
      <c r="I381" s="415"/>
      <c r="J381" s="415"/>
      <c r="K381" s="415"/>
      <c r="L381" s="417"/>
      <c r="M381" s="403"/>
      <c r="N381" s="403"/>
      <c r="O381" s="403"/>
      <c r="P381" s="403"/>
      <c r="Q381" s="403"/>
      <c r="R381" s="403"/>
      <c r="S381" s="403"/>
      <c r="T381" s="403"/>
      <c r="U381" s="403"/>
      <c r="V381" s="403"/>
      <c r="W381" s="404"/>
      <c r="X381" s="405"/>
      <c r="Y381" s="405"/>
      <c r="Z381" s="405"/>
      <c r="AA381" s="405"/>
      <c r="AB381" s="405"/>
      <c r="AC381" s="405"/>
      <c r="AD381" s="405"/>
      <c r="AE381" s="405"/>
      <c r="AF381" s="405"/>
      <c r="AG381" s="405"/>
      <c r="AH381" s="405"/>
      <c r="AI381" s="405"/>
      <c r="AJ381" s="405"/>
      <c r="AK381" s="405"/>
      <c r="AL381" s="405"/>
      <c r="AM381" s="406"/>
      <c r="AN381" s="406"/>
      <c r="AO381" s="406"/>
      <c r="AP381" s="406"/>
      <c r="AQ381" s="403"/>
      <c r="AR381" s="403"/>
      <c r="AS381" s="403"/>
      <c r="AT381" s="403"/>
      <c r="AU381" s="403"/>
      <c r="AV381" s="403"/>
      <c r="AW381" s="403"/>
      <c r="AX381" s="403"/>
      <c r="AY381" s="403"/>
    </row>
    <row r="382">
      <c r="A382" s="415"/>
      <c r="B382" s="415"/>
      <c r="C382" s="410"/>
      <c r="D382" s="429"/>
      <c r="E382" s="416"/>
      <c r="F382" s="413"/>
      <c r="G382" s="413"/>
      <c r="H382" s="415"/>
      <c r="I382" s="415"/>
      <c r="J382" s="415"/>
      <c r="K382" s="415"/>
      <c r="L382" s="417"/>
      <c r="M382" s="403"/>
      <c r="N382" s="403"/>
      <c r="O382" s="403"/>
      <c r="P382" s="403"/>
      <c r="Q382" s="403"/>
      <c r="R382" s="403"/>
      <c r="S382" s="403"/>
      <c r="T382" s="403"/>
      <c r="U382" s="403"/>
      <c r="V382" s="403"/>
      <c r="W382" s="404"/>
      <c r="X382" s="405"/>
      <c r="Y382" s="405"/>
      <c r="Z382" s="405"/>
      <c r="AA382" s="405"/>
      <c r="AB382" s="405"/>
      <c r="AC382" s="405"/>
      <c r="AD382" s="405"/>
      <c r="AE382" s="405"/>
      <c r="AF382" s="405"/>
      <c r="AG382" s="405"/>
      <c r="AH382" s="405"/>
      <c r="AI382" s="405"/>
      <c r="AJ382" s="405"/>
      <c r="AK382" s="405"/>
      <c r="AL382" s="405"/>
      <c r="AM382" s="406"/>
      <c r="AN382" s="406"/>
      <c r="AO382" s="406"/>
      <c r="AP382" s="406"/>
      <c r="AQ382" s="403"/>
      <c r="AR382" s="403"/>
      <c r="AS382" s="403"/>
      <c r="AT382" s="403"/>
      <c r="AU382" s="403"/>
      <c r="AV382" s="403"/>
      <c r="AW382" s="403"/>
      <c r="AX382" s="403"/>
      <c r="AY382" s="403"/>
    </row>
    <row r="383">
      <c r="A383" s="415"/>
      <c r="B383" s="415"/>
      <c r="C383" s="410"/>
      <c r="D383" s="429"/>
      <c r="E383" s="416"/>
      <c r="F383" s="413"/>
      <c r="G383" s="413"/>
      <c r="H383" s="415"/>
      <c r="I383" s="415"/>
      <c r="J383" s="415"/>
      <c r="K383" s="415"/>
      <c r="L383" s="417"/>
      <c r="M383" s="403"/>
      <c r="N383" s="403"/>
      <c r="O383" s="403"/>
      <c r="P383" s="403"/>
      <c r="Q383" s="403"/>
      <c r="R383" s="403"/>
      <c r="S383" s="403"/>
      <c r="T383" s="403"/>
      <c r="U383" s="403"/>
      <c r="V383" s="403"/>
      <c r="W383" s="404"/>
      <c r="X383" s="405"/>
      <c r="Y383" s="405"/>
      <c r="Z383" s="405"/>
      <c r="AA383" s="405"/>
      <c r="AB383" s="405"/>
      <c r="AC383" s="405"/>
      <c r="AD383" s="405"/>
      <c r="AE383" s="405"/>
      <c r="AF383" s="405"/>
      <c r="AG383" s="405"/>
      <c r="AH383" s="405"/>
      <c r="AI383" s="405"/>
      <c r="AJ383" s="405"/>
      <c r="AK383" s="405"/>
      <c r="AL383" s="405"/>
      <c r="AM383" s="406"/>
      <c r="AN383" s="406"/>
      <c r="AO383" s="406"/>
      <c r="AP383" s="406"/>
      <c r="AQ383" s="403"/>
      <c r="AR383" s="403"/>
      <c r="AS383" s="403"/>
      <c r="AT383" s="403"/>
      <c r="AU383" s="403"/>
      <c r="AV383" s="403"/>
      <c r="AW383" s="403"/>
      <c r="AX383" s="403"/>
      <c r="AY383" s="403"/>
    </row>
    <row r="384">
      <c r="A384" s="415"/>
      <c r="B384" s="415"/>
      <c r="C384" s="410"/>
      <c r="D384" s="429"/>
      <c r="E384" s="416"/>
      <c r="F384" s="413"/>
      <c r="G384" s="413"/>
      <c r="H384" s="415"/>
      <c r="I384" s="415"/>
      <c r="J384" s="415"/>
      <c r="K384" s="415"/>
      <c r="L384" s="417"/>
      <c r="M384" s="403"/>
      <c r="N384" s="403"/>
      <c r="O384" s="403"/>
      <c r="P384" s="403"/>
      <c r="Q384" s="403"/>
      <c r="R384" s="403"/>
      <c r="S384" s="403"/>
      <c r="T384" s="403"/>
      <c r="U384" s="403"/>
      <c r="V384" s="403"/>
      <c r="W384" s="404"/>
      <c r="X384" s="405"/>
      <c r="Y384" s="405"/>
      <c r="Z384" s="405"/>
      <c r="AA384" s="405"/>
      <c r="AB384" s="405"/>
      <c r="AC384" s="405"/>
      <c r="AD384" s="405"/>
      <c r="AE384" s="405"/>
      <c r="AF384" s="405"/>
      <c r="AG384" s="405"/>
      <c r="AH384" s="405"/>
      <c r="AI384" s="405"/>
      <c r="AJ384" s="405"/>
      <c r="AK384" s="405"/>
      <c r="AL384" s="405"/>
      <c r="AM384" s="406"/>
      <c r="AN384" s="406"/>
      <c r="AO384" s="406"/>
      <c r="AP384" s="406"/>
      <c r="AQ384" s="403"/>
      <c r="AR384" s="403"/>
      <c r="AS384" s="403"/>
      <c r="AT384" s="403"/>
      <c r="AU384" s="403"/>
      <c r="AV384" s="403"/>
      <c r="AW384" s="403"/>
      <c r="AX384" s="403"/>
      <c r="AY384" s="403"/>
    </row>
    <row r="385">
      <c r="A385" s="415"/>
      <c r="B385" s="415"/>
      <c r="C385" s="410"/>
      <c r="D385" s="429"/>
      <c r="E385" s="416"/>
      <c r="F385" s="413"/>
      <c r="G385" s="413"/>
      <c r="H385" s="415"/>
      <c r="I385" s="415"/>
      <c r="J385" s="415"/>
      <c r="K385" s="415"/>
      <c r="L385" s="417"/>
      <c r="M385" s="403"/>
      <c r="N385" s="403"/>
      <c r="O385" s="403"/>
      <c r="P385" s="403"/>
      <c r="Q385" s="403"/>
      <c r="R385" s="403"/>
      <c r="S385" s="403"/>
      <c r="T385" s="403"/>
      <c r="U385" s="403"/>
      <c r="V385" s="403"/>
      <c r="W385" s="404"/>
      <c r="X385" s="405"/>
      <c r="Y385" s="405"/>
      <c r="Z385" s="405"/>
      <c r="AA385" s="405"/>
      <c r="AB385" s="405"/>
      <c r="AC385" s="405"/>
      <c r="AD385" s="405"/>
      <c r="AE385" s="405"/>
      <c r="AF385" s="405"/>
      <c r="AG385" s="405"/>
      <c r="AH385" s="405"/>
      <c r="AI385" s="405"/>
      <c r="AJ385" s="405"/>
      <c r="AK385" s="405"/>
      <c r="AL385" s="405"/>
      <c r="AM385" s="406"/>
      <c r="AN385" s="406"/>
      <c r="AO385" s="406"/>
      <c r="AP385" s="406"/>
      <c r="AQ385" s="403"/>
      <c r="AR385" s="403"/>
      <c r="AS385" s="403"/>
      <c r="AT385" s="403"/>
      <c r="AU385" s="403"/>
      <c r="AV385" s="403"/>
      <c r="AW385" s="403"/>
      <c r="AX385" s="403"/>
      <c r="AY385" s="403"/>
    </row>
    <row r="386">
      <c r="A386" s="415"/>
      <c r="B386" s="415"/>
      <c r="C386" s="410"/>
      <c r="D386" s="429"/>
      <c r="E386" s="416"/>
      <c r="F386" s="413"/>
      <c r="G386" s="413"/>
      <c r="H386" s="415"/>
      <c r="I386" s="415"/>
      <c r="J386" s="415"/>
      <c r="K386" s="415"/>
      <c r="L386" s="417"/>
      <c r="M386" s="403"/>
      <c r="N386" s="403"/>
      <c r="O386" s="403"/>
      <c r="P386" s="403"/>
      <c r="Q386" s="403"/>
      <c r="R386" s="403"/>
      <c r="S386" s="403"/>
      <c r="T386" s="403"/>
      <c r="U386" s="403"/>
      <c r="V386" s="403"/>
      <c r="W386" s="404"/>
      <c r="X386" s="405"/>
      <c r="Y386" s="405"/>
      <c r="Z386" s="405"/>
      <c r="AA386" s="405"/>
      <c r="AB386" s="405"/>
      <c r="AC386" s="405"/>
      <c r="AD386" s="405"/>
      <c r="AE386" s="405"/>
      <c r="AF386" s="405"/>
      <c r="AG386" s="405"/>
      <c r="AH386" s="405"/>
      <c r="AI386" s="405"/>
      <c r="AJ386" s="405"/>
      <c r="AK386" s="405"/>
      <c r="AL386" s="405"/>
      <c r="AM386" s="406"/>
      <c r="AN386" s="406"/>
      <c r="AO386" s="406"/>
      <c r="AP386" s="406"/>
      <c r="AQ386" s="403"/>
      <c r="AR386" s="403"/>
      <c r="AS386" s="403"/>
      <c r="AT386" s="403"/>
      <c r="AU386" s="403"/>
      <c r="AV386" s="403"/>
      <c r="AW386" s="403"/>
      <c r="AX386" s="403"/>
      <c r="AY386" s="403"/>
    </row>
    <row r="387">
      <c r="A387" s="415"/>
      <c r="B387" s="415"/>
      <c r="C387" s="410"/>
      <c r="D387" s="429"/>
      <c r="E387" s="416"/>
      <c r="F387" s="413"/>
      <c r="G387" s="413"/>
      <c r="H387" s="415"/>
      <c r="I387" s="415"/>
      <c r="J387" s="415"/>
      <c r="K387" s="415"/>
      <c r="L387" s="417"/>
      <c r="M387" s="403"/>
      <c r="N387" s="403"/>
      <c r="O387" s="403"/>
      <c r="P387" s="403"/>
      <c r="Q387" s="403"/>
      <c r="R387" s="403"/>
      <c r="S387" s="403"/>
      <c r="T387" s="403"/>
      <c r="U387" s="403"/>
      <c r="V387" s="403"/>
      <c r="W387" s="404"/>
      <c r="X387" s="405"/>
      <c r="Y387" s="405"/>
      <c r="Z387" s="405"/>
      <c r="AA387" s="405"/>
      <c r="AB387" s="405"/>
      <c r="AC387" s="405"/>
      <c r="AD387" s="405"/>
      <c r="AE387" s="405"/>
      <c r="AF387" s="405"/>
      <c r="AG387" s="405"/>
      <c r="AH387" s="405"/>
      <c r="AI387" s="405"/>
      <c r="AJ387" s="405"/>
      <c r="AK387" s="405"/>
      <c r="AL387" s="405"/>
      <c r="AM387" s="406"/>
      <c r="AN387" s="406"/>
      <c r="AO387" s="406"/>
      <c r="AP387" s="406"/>
      <c r="AQ387" s="403"/>
      <c r="AR387" s="403"/>
      <c r="AS387" s="403"/>
      <c r="AT387" s="403"/>
      <c r="AU387" s="403"/>
      <c r="AV387" s="403"/>
      <c r="AW387" s="403"/>
      <c r="AX387" s="403"/>
      <c r="AY387" s="403"/>
    </row>
    <row r="388">
      <c r="A388" s="415"/>
      <c r="B388" s="415"/>
      <c r="C388" s="410"/>
      <c r="D388" s="429"/>
      <c r="E388" s="416"/>
      <c r="F388" s="413"/>
      <c r="G388" s="413"/>
      <c r="H388" s="415"/>
      <c r="I388" s="415"/>
      <c r="J388" s="415"/>
      <c r="K388" s="415"/>
      <c r="L388" s="417"/>
      <c r="M388" s="403"/>
      <c r="N388" s="403"/>
      <c r="O388" s="403"/>
      <c r="P388" s="403"/>
      <c r="Q388" s="403"/>
      <c r="R388" s="403"/>
      <c r="S388" s="403"/>
      <c r="T388" s="403"/>
      <c r="U388" s="403"/>
      <c r="V388" s="403"/>
      <c r="W388" s="404"/>
      <c r="X388" s="405"/>
      <c r="Y388" s="405"/>
      <c r="Z388" s="405"/>
      <c r="AA388" s="405"/>
      <c r="AB388" s="405"/>
      <c r="AC388" s="405"/>
      <c r="AD388" s="405"/>
      <c r="AE388" s="405"/>
      <c r="AF388" s="405"/>
      <c r="AG388" s="405"/>
      <c r="AH388" s="405"/>
      <c r="AI388" s="405"/>
      <c r="AJ388" s="405"/>
      <c r="AK388" s="405"/>
      <c r="AL388" s="405"/>
      <c r="AM388" s="406"/>
      <c r="AN388" s="406"/>
      <c r="AO388" s="406"/>
      <c r="AP388" s="406"/>
      <c r="AQ388" s="403"/>
      <c r="AR388" s="403"/>
      <c r="AS388" s="403"/>
      <c r="AT388" s="403"/>
      <c r="AU388" s="403"/>
      <c r="AV388" s="403"/>
      <c r="AW388" s="403"/>
      <c r="AX388" s="403"/>
      <c r="AY388" s="403"/>
    </row>
    <row r="389">
      <c r="A389" s="415"/>
      <c r="B389" s="415"/>
      <c r="C389" s="410"/>
      <c r="D389" s="429"/>
      <c r="E389" s="416"/>
      <c r="F389" s="413"/>
      <c r="G389" s="413"/>
      <c r="H389" s="415"/>
      <c r="I389" s="415"/>
      <c r="J389" s="415"/>
      <c r="K389" s="415"/>
      <c r="L389" s="417"/>
      <c r="M389" s="403"/>
      <c r="N389" s="403"/>
      <c r="O389" s="403"/>
      <c r="P389" s="403"/>
      <c r="Q389" s="403"/>
      <c r="R389" s="403"/>
      <c r="S389" s="403"/>
      <c r="T389" s="403"/>
      <c r="U389" s="403"/>
      <c r="V389" s="403"/>
      <c r="W389" s="404"/>
      <c r="X389" s="405"/>
      <c r="Y389" s="405"/>
      <c r="Z389" s="405"/>
      <c r="AA389" s="405"/>
      <c r="AB389" s="405"/>
      <c r="AC389" s="405"/>
      <c r="AD389" s="405"/>
      <c r="AE389" s="405"/>
      <c r="AF389" s="405"/>
      <c r="AG389" s="405"/>
      <c r="AH389" s="405"/>
      <c r="AI389" s="405"/>
      <c r="AJ389" s="405"/>
      <c r="AK389" s="405"/>
      <c r="AL389" s="405"/>
      <c r="AM389" s="406"/>
      <c r="AN389" s="406"/>
      <c r="AO389" s="406"/>
      <c r="AP389" s="406"/>
      <c r="AQ389" s="403"/>
      <c r="AR389" s="403"/>
      <c r="AS389" s="403"/>
      <c r="AT389" s="403"/>
      <c r="AU389" s="403"/>
      <c r="AV389" s="403"/>
      <c r="AW389" s="403"/>
      <c r="AX389" s="403"/>
      <c r="AY389" s="403"/>
    </row>
    <row r="390">
      <c r="A390" s="415"/>
      <c r="B390" s="415"/>
      <c r="C390" s="410"/>
      <c r="D390" s="429"/>
      <c r="E390" s="416"/>
      <c r="F390" s="413"/>
      <c r="G390" s="413"/>
      <c r="H390" s="415"/>
      <c r="I390" s="415"/>
      <c r="J390" s="415"/>
      <c r="K390" s="415"/>
      <c r="L390" s="417"/>
      <c r="M390" s="403"/>
      <c r="N390" s="403"/>
      <c r="O390" s="403"/>
      <c r="P390" s="403"/>
      <c r="Q390" s="403"/>
      <c r="R390" s="403"/>
      <c r="S390" s="403"/>
      <c r="T390" s="403"/>
      <c r="U390" s="403"/>
      <c r="V390" s="403"/>
      <c r="W390" s="404"/>
      <c r="X390" s="405"/>
      <c r="Y390" s="405"/>
      <c r="Z390" s="405"/>
      <c r="AA390" s="405"/>
      <c r="AB390" s="405"/>
      <c r="AC390" s="405"/>
      <c r="AD390" s="405"/>
      <c r="AE390" s="405"/>
      <c r="AF390" s="405"/>
      <c r="AG390" s="405"/>
      <c r="AH390" s="405"/>
      <c r="AI390" s="405"/>
      <c r="AJ390" s="405"/>
      <c r="AK390" s="405"/>
      <c r="AL390" s="405"/>
      <c r="AM390" s="406"/>
      <c r="AN390" s="406"/>
      <c r="AO390" s="406"/>
      <c r="AP390" s="406"/>
      <c r="AQ390" s="403"/>
      <c r="AR390" s="403"/>
      <c r="AS390" s="403"/>
      <c r="AT390" s="403"/>
      <c r="AU390" s="403"/>
      <c r="AV390" s="403"/>
      <c r="AW390" s="403"/>
      <c r="AX390" s="403"/>
      <c r="AY390" s="403"/>
    </row>
    <row r="391">
      <c r="A391" s="415"/>
      <c r="B391" s="415"/>
      <c r="C391" s="410"/>
      <c r="D391" s="429"/>
      <c r="E391" s="416"/>
      <c r="F391" s="413"/>
      <c r="G391" s="413"/>
      <c r="H391" s="415"/>
      <c r="I391" s="415"/>
      <c r="J391" s="415"/>
      <c r="K391" s="415"/>
      <c r="L391" s="417"/>
      <c r="M391" s="403"/>
      <c r="N391" s="403"/>
      <c r="O391" s="403"/>
      <c r="P391" s="403"/>
      <c r="Q391" s="403"/>
      <c r="R391" s="403"/>
      <c r="S391" s="403"/>
      <c r="T391" s="403"/>
      <c r="U391" s="403"/>
      <c r="V391" s="403"/>
      <c r="W391" s="404"/>
      <c r="X391" s="405"/>
      <c r="Y391" s="405"/>
      <c r="Z391" s="405"/>
      <c r="AA391" s="405"/>
      <c r="AB391" s="405"/>
      <c r="AC391" s="405"/>
      <c r="AD391" s="405"/>
      <c r="AE391" s="405"/>
      <c r="AF391" s="405"/>
      <c r="AG391" s="405"/>
      <c r="AH391" s="405"/>
      <c r="AI391" s="405"/>
      <c r="AJ391" s="405"/>
      <c r="AK391" s="405"/>
      <c r="AL391" s="405"/>
      <c r="AM391" s="406"/>
      <c r="AN391" s="406"/>
      <c r="AO391" s="406"/>
      <c r="AP391" s="406"/>
      <c r="AQ391" s="403"/>
      <c r="AR391" s="403"/>
      <c r="AS391" s="403"/>
      <c r="AT391" s="403"/>
      <c r="AU391" s="403"/>
      <c r="AV391" s="403"/>
      <c r="AW391" s="403"/>
      <c r="AX391" s="403"/>
      <c r="AY391" s="403"/>
    </row>
    <row r="392">
      <c r="A392" s="415"/>
      <c r="B392" s="415"/>
      <c r="C392" s="410"/>
      <c r="D392" s="429"/>
      <c r="E392" s="416"/>
      <c r="F392" s="413"/>
      <c r="G392" s="413"/>
      <c r="H392" s="415"/>
      <c r="I392" s="415"/>
      <c r="J392" s="415"/>
      <c r="K392" s="415"/>
      <c r="L392" s="417"/>
      <c r="M392" s="403"/>
      <c r="N392" s="403"/>
      <c r="O392" s="403"/>
      <c r="P392" s="403"/>
      <c r="Q392" s="403"/>
      <c r="R392" s="403"/>
      <c r="S392" s="403"/>
      <c r="T392" s="403"/>
      <c r="U392" s="403"/>
      <c r="V392" s="403"/>
      <c r="W392" s="404"/>
      <c r="X392" s="405"/>
      <c r="Y392" s="405"/>
      <c r="Z392" s="405"/>
      <c r="AA392" s="405"/>
      <c r="AB392" s="405"/>
      <c r="AC392" s="405"/>
      <c r="AD392" s="405"/>
      <c r="AE392" s="405"/>
      <c r="AF392" s="405"/>
      <c r="AG392" s="405"/>
      <c r="AH392" s="405"/>
      <c r="AI392" s="405"/>
      <c r="AJ392" s="405"/>
      <c r="AK392" s="405"/>
      <c r="AL392" s="405"/>
      <c r="AM392" s="406"/>
      <c r="AN392" s="406"/>
      <c r="AO392" s="406"/>
      <c r="AP392" s="406"/>
      <c r="AQ392" s="403"/>
      <c r="AR392" s="403"/>
      <c r="AS392" s="403"/>
      <c r="AT392" s="403"/>
      <c r="AU392" s="403"/>
      <c r="AV392" s="403"/>
      <c r="AW392" s="403"/>
      <c r="AX392" s="403"/>
      <c r="AY392" s="403"/>
    </row>
    <row r="393">
      <c r="A393" s="415"/>
      <c r="B393" s="415"/>
      <c r="C393" s="410"/>
      <c r="D393" s="429"/>
      <c r="E393" s="416"/>
      <c r="F393" s="413"/>
      <c r="G393" s="413"/>
      <c r="H393" s="415"/>
      <c r="I393" s="415"/>
      <c r="J393" s="415"/>
      <c r="K393" s="415"/>
      <c r="L393" s="417"/>
      <c r="M393" s="403"/>
      <c r="N393" s="403"/>
      <c r="O393" s="403"/>
      <c r="P393" s="403"/>
      <c r="Q393" s="403"/>
      <c r="R393" s="403"/>
      <c r="S393" s="403"/>
      <c r="T393" s="403"/>
      <c r="U393" s="403"/>
      <c r="V393" s="403"/>
      <c r="W393" s="404"/>
      <c r="X393" s="405"/>
      <c r="Y393" s="405"/>
      <c r="Z393" s="405"/>
      <c r="AA393" s="405"/>
      <c r="AB393" s="405"/>
      <c r="AC393" s="405"/>
      <c r="AD393" s="405"/>
      <c r="AE393" s="405"/>
      <c r="AF393" s="405"/>
      <c r="AG393" s="405"/>
      <c r="AH393" s="405"/>
      <c r="AI393" s="405"/>
      <c r="AJ393" s="405"/>
      <c r="AK393" s="405"/>
      <c r="AL393" s="405"/>
      <c r="AM393" s="406"/>
      <c r="AN393" s="406"/>
      <c r="AO393" s="406"/>
      <c r="AP393" s="406"/>
      <c r="AQ393" s="403"/>
      <c r="AR393" s="403"/>
      <c r="AS393" s="403"/>
      <c r="AT393" s="403"/>
      <c r="AU393" s="403"/>
      <c r="AV393" s="403"/>
      <c r="AW393" s="403"/>
      <c r="AX393" s="403"/>
      <c r="AY393" s="403"/>
    </row>
    <row r="394">
      <c r="A394" s="415"/>
      <c r="B394" s="415"/>
      <c r="C394" s="410"/>
      <c r="D394" s="429"/>
      <c r="E394" s="416"/>
      <c r="F394" s="413"/>
      <c r="G394" s="413"/>
      <c r="H394" s="415"/>
      <c r="I394" s="415"/>
      <c r="J394" s="415"/>
      <c r="K394" s="415"/>
      <c r="L394" s="417"/>
      <c r="M394" s="403"/>
      <c r="N394" s="403"/>
      <c r="O394" s="403"/>
      <c r="P394" s="403"/>
      <c r="Q394" s="403"/>
      <c r="R394" s="403"/>
      <c r="S394" s="403"/>
      <c r="T394" s="403"/>
      <c r="U394" s="403"/>
      <c r="V394" s="403"/>
      <c r="W394" s="404"/>
      <c r="X394" s="405"/>
      <c r="Y394" s="405"/>
      <c r="Z394" s="405"/>
      <c r="AA394" s="405"/>
      <c r="AB394" s="405"/>
      <c r="AC394" s="405"/>
      <c r="AD394" s="405"/>
      <c r="AE394" s="405"/>
      <c r="AF394" s="405"/>
      <c r="AG394" s="405"/>
      <c r="AH394" s="405"/>
      <c r="AI394" s="405"/>
      <c r="AJ394" s="405"/>
      <c r="AK394" s="405"/>
      <c r="AL394" s="405"/>
      <c r="AM394" s="406"/>
      <c r="AN394" s="406"/>
      <c r="AO394" s="406"/>
      <c r="AP394" s="406"/>
      <c r="AQ394" s="403"/>
      <c r="AR394" s="403"/>
      <c r="AS394" s="403"/>
      <c r="AT394" s="403"/>
      <c r="AU394" s="403"/>
      <c r="AV394" s="403"/>
      <c r="AW394" s="403"/>
      <c r="AX394" s="403"/>
      <c r="AY394" s="403"/>
    </row>
    <row r="395">
      <c r="A395" s="415"/>
      <c r="B395" s="415"/>
      <c r="C395" s="410"/>
      <c r="D395" s="429"/>
      <c r="E395" s="416"/>
      <c r="F395" s="413"/>
      <c r="G395" s="413"/>
      <c r="H395" s="415"/>
      <c r="I395" s="415"/>
      <c r="J395" s="415"/>
      <c r="K395" s="415"/>
      <c r="L395" s="417"/>
      <c r="M395" s="403"/>
      <c r="N395" s="403"/>
      <c r="O395" s="403"/>
      <c r="P395" s="403"/>
      <c r="Q395" s="403"/>
      <c r="R395" s="403"/>
      <c r="S395" s="403"/>
      <c r="T395" s="403"/>
      <c r="U395" s="403"/>
      <c r="V395" s="403"/>
      <c r="W395" s="404"/>
      <c r="X395" s="405"/>
      <c r="Y395" s="405"/>
      <c r="Z395" s="405"/>
      <c r="AA395" s="405"/>
      <c r="AB395" s="405"/>
      <c r="AC395" s="405"/>
      <c r="AD395" s="405"/>
      <c r="AE395" s="405"/>
      <c r="AF395" s="405"/>
      <c r="AG395" s="405"/>
      <c r="AH395" s="405"/>
      <c r="AI395" s="405"/>
      <c r="AJ395" s="405"/>
      <c r="AK395" s="405"/>
      <c r="AL395" s="405"/>
      <c r="AM395" s="406"/>
      <c r="AN395" s="406"/>
      <c r="AO395" s="406"/>
      <c r="AP395" s="406"/>
      <c r="AQ395" s="403"/>
      <c r="AR395" s="403"/>
      <c r="AS395" s="403"/>
      <c r="AT395" s="403"/>
      <c r="AU395" s="403"/>
      <c r="AV395" s="403"/>
      <c r="AW395" s="403"/>
      <c r="AX395" s="403"/>
      <c r="AY395" s="403"/>
    </row>
    <row r="396">
      <c r="A396" s="415"/>
      <c r="B396" s="415"/>
      <c r="C396" s="410"/>
      <c r="D396" s="429"/>
      <c r="E396" s="416"/>
      <c r="F396" s="413"/>
      <c r="G396" s="413"/>
      <c r="H396" s="415"/>
      <c r="I396" s="415"/>
      <c r="J396" s="415"/>
      <c r="K396" s="415"/>
      <c r="L396" s="417"/>
      <c r="M396" s="403"/>
      <c r="N396" s="403"/>
      <c r="O396" s="403"/>
      <c r="P396" s="403"/>
      <c r="Q396" s="403"/>
      <c r="R396" s="403"/>
      <c r="S396" s="403"/>
      <c r="T396" s="403"/>
      <c r="U396" s="403"/>
      <c r="V396" s="403"/>
      <c r="W396" s="404"/>
      <c r="X396" s="405"/>
      <c r="Y396" s="405"/>
      <c r="Z396" s="405"/>
      <c r="AA396" s="405"/>
      <c r="AB396" s="405"/>
      <c r="AC396" s="405"/>
      <c r="AD396" s="405"/>
      <c r="AE396" s="405"/>
      <c r="AF396" s="405"/>
      <c r="AG396" s="405"/>
      <c r="AH396" s="405"/>
      <c r="AI396" s="405"/>
      <c r="AJ396" s="405"/>
      <c r="AK396" s="405"/>
      <c r="AL396" s="405"/>
      <c r="AM396" s="406"/>
      <c r="AN396" s="406"/>
      <c r="AO396" s="406"/>
      <c r="AP396" s="406"/>
      <c r="AQ396" s="403"/>
      <c r="AR396" s="403"/>
      <c r="AS396" s="403"/>
      <c r="AT396" s="403"/>
      <c r="AU396" s="403"/>
      <c r="AV396" s="403"/>
      <c r="AW396" s="403"/>
      <c r="AX396" s="403"/>
      <c r="AY396" s="403"/>
    </row>
    <row r="397">
      <c r="A397" s="415"/>
      <c r="B397" s="415"/>
      <c r="C397" s="410"/>
      <c r="D397" s="429"/>
      <c r="E397" s="416"/>
      <c r="F397" s="413"/>
      <c r="G397" s="413"/>
      <c r="H397" s="415"/>
      <c r="I397" s="415"/>
      <c r="J397" s="415"/>
      <c r="K397" s="415"/>
      <c r="L397" s="417"/>
      <c r="M397" s="403"/>
      <c r="N397" s="403"/>
      <c r="O397" s="403"/>
      <c r="P397" s="403"/>
      <c r="Q397" s="403"/>
      <c r="R397" s="403"/>
      <c r="S397" s="403"/>
      <c r="T397" s="403"/>
      <c r="U397" s="403"/>
      <c r="V397" s="403"/>
      <c r="W397" s="404"/>
      <c r="X397" s="405"/>
      <c r="Y397" s="405"/>
      <c r="Z397" s="405"/>
      <c r="AA397" s="405"/>
      <c r="AB397" s="405"/>
      <c r="AC397" s="405"/>
      <c r="AD397" s="405"/>
      <c r="AE397" s="405"/>
      <c r="AF397" s="405"/>
      <c r="AG397" s="405"/>
      <c r="AH397" s="405"/>
      <c r="AI397" s="405"/>
      <c r="AJ397" s="405"/>
      <c r="AK397" s="405"/>
      <c r="AL397" s="405"/>
      <c r="AM397" s="406"/>
      <c r="AN397" s="406"/>
      <c r="AO397" s="406"/>
      <c r="AP397" s="406"/>
      <c r="AQ397" s="403"/>
      <c r="AR397" s="403"/>
      <c r="AS397" s="403"/>
      <c r="AT397" s="403"/>
      <c r="AU397" s="403"/>
      <c r="AV397" s="403"/>
      <c r="AW397" s="403"/>
      <c r="AX397" s="403"/>
      <c r="AY397" s="403"/>
    </row>
    <row r="398">
      <c r="A398" s="415"/>
      <c r="B398" s="415"/>
      <c r="C398" s="410"/>
      <c r="D398" s="429"/>
      <c r="E398" s="416"/>
      <c r="F398" s="413"/>
      <c r="G398" s="413"/>
      <c r="H398" s="415"/>
      <c r="I398" s="415"/>
      <c r="J398" s="415"/>
      <c r="K398" s="415"/>
      <c r="L398" s="417"/>
      <c r="M398" s="403"/>
      <c r="N398" s="403"/>
      <c r="O398" s="403"/>
      <c r="P398" s="403"/>
      <c r="Q398" s="403"/>
      <c r="R398" s="403"/>
      <c r="S398" s="403"/>
      <c r="T398" s="403"/>
      <c r="U398" s="403"/>
      <c r="V398" s="403"/>
      <c r="W398" s="404"/>
      <c r="X398" s="405"/>
      <c r="Y398" s="405"/>
      <c r="Z398" s="405"/>
      <c r="AA398" s="405"/>
      <c r="AB398" s="405"/>
      <c r="AC398" s="405"/>
      <c r="AD398" s="405"/>
      <c r="AE398" s="405"/>
      <c r="AF398" s="405"/>
      <c r="AG398" s="405"/>
      <c r="AH398" s="405"/>
      <c r="AI398" s="405"/>
      <c r="AJ398" s="405"/>
      <c r="AK398" s="405"/>
      <c r="AL398" s="405"/>
      <c r="AM398" s="406"/>
      <c r="AN398" s="406"/>
      <c r="AO398" s="406"/>
      <c r="AP398" s="406"/>
      <c r="AQ398" s="403"/>
      <c r="AR398" s="403"/>
      <c r="AS398" s="403"/>
      <c r="AT398" s="403"/>
      <c r="AU398" s="403"/>
      <c r="AV398" s="403"/>
      <c r="AW398" s="403"/>
      <c r="AX398" s="403"/>
      <c r="AY398" s="403"/>
    </row>
    <row r="399">
      <c r="A399" s="415"/>
      <c r="B399" s="415"/>
      <c r="C399" s="410"/>
      <c r="D399" s="429"/>
      <c r="E399" s="416"/>
      <c r="F399" s="413"/>
      <c r="G399" s="413"/>
      <c r="H399" s="415"/>
      <c r="I399" s="415"/>
      <c r="J399" s="415"/>
      <c r="K399" s="415"/>
      <c r="L399" s="417"/>
      <c r="M399" s="403"/>
      <c r="N399" s="403"/>
      <c r="O399" s="403"/>
      <c r="P399" s="403"/>
      <c r="Q399" s="403"/>
      <c r="R399" s="403"/>
      <c r="S399" s="403"/>
      <c r="T399" s="403"/>
      <c r="U399" s="403"/>
      <c r="V399" s="403"/>
      <c r="W399" s="404"/>
      <c r="X399" s="405"/>
      <c r="Y399" s="405"/>
      <c r="Z399" s="405"/>
      <c r="AA399" s="405"/>
      <c r="AB399" s="405"/>
      <c r="AC399" s="405"/>
      <c r="AD399" s="405"/>
      <c r="AE399" s="405"/>
      <c r="AF399" s="405"/>
      <c r="AG399" s="405"/>
      <c r="AH399" s="405"/>
      <c r="AI399" s="405"/>
      <c r="AJ399" s="405"/>
      <c r="AK399" s="405"/>
      <c r="AL399" s="405"/>
      <c r="AM399" s="406"/>
      <c r="AN399" s="406"/>
      <c r="AO399" s="406"/>
      <c r="AP399" s="406"/>
      <c r="AQ399" s="403"/>
      <c r="AR399" s="403"/>
      <c r="AS399" s="403"/>
      <c r="AT399" s="403"/>
      <c r="AU399" s="403"/>
      <c r="AV399" s="403"/>
      <c r="AW399" s="403"/>
      <c r="AX399" s="403"/>
      <c r="AY399" s="403"/>
    </row>
    <row r="400">
      <c r="A400" s="415"/>
      <c r="B400" s="415"/>
      <c r="C400" s="410"/>
      <c r="D400" s="429"/>
      <c r="E400" s="416"/>
      <c r="F400" s="413"/>
      <c r="G400" s="413"/>
      <c r="H400" s="415"/>
      <c r="I400" s="415"/>
      <c r="J400" s="415"/>
      <c r="K400" s="415"/>
      <c r="L400" s="417"/>
      <c r="M400" s="403"/>
      <c r="N400" s="403"/>
      <c r="O400" s="403"/>
      <c r="P400" s="403"/>
      <c r="Q400" s="403"/>
      <c r="R400" s="403"/>
      <c r="S400" s="403"/>
      <c r="T400" s="403"/>
      <c r="U400" s="403"/>
      <c r="V400" s="403"/>
      <c r="W400" s="404"/>
      <c r="X400" s="405"/>
      <c r="Y400" s="405"/>
      <c r="Z400" s="405"/>
      <c r="AA400" s="405"/>
      <c r="AB400" s="405"/>
      <c r="AC400" s="405"/>
      <c r="AD400" s="405"/>
      <c r="AE400" s="405"/>
      <c r="AF400" s="405"/>
      <c r="AG400" s="405"/>
      <c r="AH400" s="405"/>
      <c r="AI400" s="405"/>
      <c r="AJ400" s="405"/>
      <c r="AK400" s="405"/>
      <c r="AL400" s="405"/>
      <c r="AM400" s="406"/>
      <c r="AN400" s="406"/>
      <c r="AO400" s="406"/>
      <c r="AP400" s="406"/>
      <c r="AQ400" s="403"/>
      <c r="AR400" s="403"/>
      <c r="AS400" s="403"/>
      <c r="AT400" s="403"/>
      <c r="AU400" s="403"/>
      <c r="AV400" s="403"/>
      <c r="AW400" s="403"/>
      <c r="AX400" s="403"/>
      <c r="AY400" s="403"/>
    </row>
    <row r="401">
      <c r="A401" s="415"/>
      <c r="B401" s="415"/>
      <c r="C401" s="410"/>
      <c r="D401" s="429"/>
      <c r="E401" s="416"/>
      <c r="F401" s="413"/>
      <c r="G401" s="413"/>
      <c r="H401" s="415"/>
      <c r="I401" s="415"/>
      <c r="J401" s="415"/>
      <c r="K401" s="415"/>
      <c r="L401" s="417"/>
      <c r="M401" s="403"/>
      <c r="N401" s="403"/>
      <c r="O401" s="403"/>
      <c r="P401" s="403"/>
      <c r="Q401" s="403"/>
      <c r="R401" s="403"/>
      <c r="S401" s="403"/>
      <c r="T401" s="403"/>
      <c r="U401" s="403"/>
      <c r="V401" s="403"/>
      <c r="W401" s="404"/>
      <c r="X401" s="405"/>
      <c r="Y401" s="405"/>
      <c r="Z401" s="405"/>
      <c r="AA401" s="405"/>
      <c r="AB401" s="405"/>
      <c r="AC401" s="405"/>
      <c r="AD401" s="405"/>
      <c r="AE401" s="405"/>
      <c r="AF401" s="405"/>
      <c r="AG401" s="405"/>
      <c r="AH401" s="405"/>
      <c r="AI401" s="405"/>
      <c r="AJ401" s="405"/>
      <c r="AK401" s="405"/>
      <c r="AL401" s="405"/>
      <c r="AM401" s="406"/>
      <c r="AN401" s="406"/>
      <c r="AO401" s="406"/>
      <c r="AP401" s="406"/>
      <c r="AQ401" s="403"/>
      <c r="AR401" s="403"/>
      <c r="AS401" s="403"/>
      <c r="AT401" s="403"/>
      <c r="AU401" s="403"/>
      <c r="AV401" s="403"/>
      <c r="AW401" s="403"/>
      <c r="AX401" s="403"/>
      <c r="AY401" s="403"/>
    </row>
    <row r="402">
      <c r="A402" s="415"/>
      <c r="B402" s="415"/>
      <c r="C402" s="410"/>
      <c r="D402" s="429"/>
      <c r="E402" s="416"/>
      <c r="F402" s="413"/>
      <c r="G402" s="413"/>
      <c r="H402" s="415"/>
      <c r="I402" s="415"/>
      <c r="J402" s="415"/>
      <c r="K402" s="415"/>
      <c r="L402" s="417"/>
      <c r="M402" s="403"/>
      <c r="N402" s="403"/>
      <c r="O402" s="403"/>
      <c r="P402" s="403"/>
      <c r="Q402" s="403"/>
      <c r="R402" s="403"/>
      <c r="S402" s="403"/>
      <c r="T402" s="403"/>
      <c r="U402" s="403"/>
      <c r="V402" s="403"/>
      <c r="W402" s="404"/>
      <c r="X402" s="405"/>
      <c r="Y402" s="405"/>
      <c r="Z402" s="405"/>
      <c r="AA402" s="405"/>
      <c r="AB402" s="405"/>
      <c r="AC402" s="405"/>
      <c r="AD402" s="405"/>
      <c r="AE402" s="405"/>
      <c r="AF402" s="405"/>
      <c r="AG402" s="405"/>
      <c r="AH402" s="405"/>
      <c r="AI402" s="405"/>
      <c r="AJ402" s="405"/>
      <c r="AK402" s="405"/>
      <c r="AL402" s="405"/>
      <c r="AM402" s="406"/>
      <c r="AN402" s="406"/>
      <c r="AO402" s="406"/>
      <c r="AP402" s="406"/>
      <c r="AQ402" s="403"/>
      <c r="AR402" s="403"/>
      <c r="AS402" s="403"/>
      <c r="AT402" s="403"/>
      <c r="AU402" s="403"/>
      <c r="AV402" s="403"/>
      <c r="AW402" s="403"/>
      <c r="AX402" s="403"/>
      <c r="AY402" s="403"/>
    </row>
    <row r="403">
      <c r="A403" s="415"/>
      <c r="B403" s="415"/>
      <c r="C403" s="410"/>
      <c r="D403" s="429"/>
      <c r="E403" s="416"/>
      <c r="F403" s="413"/>
      <c r="G403" s="413"/>
      <c r="H403" s="415"/>
      <c r="I403" s="415"/>
      <c r="J403" s="415"/>
      <c r="K403" s="415"/>
      <c r="L403" s="417"/>
      <c r="M403" s="403"/>
      <c r="N403" s="403"/>
      <c r="O403" s="403"/>
      <c r="P403" s="403"/>
      <c r="Q403" s="403"/>
      <c r="R403" s="403"/>
      <c r="S403" s="403"/>
      <c r="T403" s="403"/>
      <c r="U403" s="403"/>
      <c r="V403" s="403"/>
      <c r="W403" s="404"/>
      <c r="X403" s="405"/>
      <c r="Y403" s="405"/>
      <c r="Z403" s="405"/>
      <c r="AA403" s="405"/>
      <c r="AB403" s="405"/>
      <c r="AC403" s="405"/>
      <c r="AD403" s="405"/>
      <c r="AE403" s="405"/>
      <c r="AF403" s="405"/>
      <c r="AG403" s="405"/>
      <c r="AH403" s="405"/>
      <c r="AI403" s="405"/>
      <c r="AJ403" s="405"/>
      <c r="AK403" s="405"/>
      <c r="AL403" s="405"/>
      <c r="AM403" s="406"/>
      <c r="AN403" s="406"/>
      <c r="AO403" s="406"/>
      <c r="AP403" s="406"/>
      <c r="AQ403" s="403"/>
      <c r="AR403" s="403"/>
      <c r="AS403" s="403"/>
      <c r="AT403" s="403"/>
      <c r="AU403" s="403"/>
      <c r="AV403" s="403"/>
      <c r="AW403" s="403"/>
      <c r="AX403" s="403"/>
      <c r="AY403" s="403"/>
    </row>
    <row r="404">
      <c r="A404" s="415"/>
      <c r="B404" s="415"/>
      <c r="C404" s="410"/>
      <c r="D404" s="429"/>
      <c r="E404" s="416"/>
      <c r="F404" s="413"/>
      <c r="G404" s="413"/>
      <c r="H404" s="415"/>
      <c r="I404" s="415"/>
      <c r="J404" s="415"/>
      <c r="K404" s="415"/>
      <c r="L404" s="417"/>
      <c r="M404" s="403"/>
      <c r="N404" s="403"/>
      <c r="O404" s="403"/>
      <c r="P404" s="403"/>
      <c r="Q404" s="403"/>
      <c r="R404" s="403"/>
      <c r="S404" s="403"/>
      <c r="T404" s="403"/>
      <c r="U404" s="403"/>
      <c r="V404" s="403"/>
      <c r="W404" s="404"/>
      <c r="X404" s="405"/>
      <c r="Y404" s="405"/>
      <c r="Z404" s="405"/>
      <c r="AA404" s="405"/>
      <c r="AB404" s="405"/>
      <c r="AC404" s="405"/>
      <c r="AD404" s="405"/>
      <c r="AE404" s="405"/>
      <c r="AF404" s="405"/>
      <c r="AG404" s="405"/>
      <c r="AH404" s="405"/>
      <c r="AI404" s="405"/>
      <c r="AJ404" s="405"/>
      <c r="AK404" s="405"/>
      <c r="AL404" s="405"/>
      <c r="AM404" s="406"/>
      <c r="AN404" s="406"/>
      <c r="AO404" s="406"/>
      <c r="AP404" s="406"/>
      <c r="AQ404" s="403"/>
      <c r="AR404" s="403"/>
      <c r="AS404" s="403"/>
      <c r="AT404" s="403"/>
      <c r="AU404" s="403"/>
      <c r="AV404" s="403"/>
      <c r="AW404" s="403"/>
      <c r="AX404" s="403"/>
      <c r="AY404" s="403"/>
    </row>
    <row r="405">
      <c r="A405" s="415"/>
      <c r="B405" s="415"/>
      <c r="C405" s="410"/>
      <c r="D405" s="429"/>
      <c r="E405" s="416"/>
      <c r="F405" s="413"/>
      <c r="G405" s="413"/>
      <c r="H405" s="415"/>
      <c r="I405" s="415"/>
      <c r="J405" s="415"/>
      <c r="K405" s="415"/>
      <c r="L405" s="417"/>
      <c r="M405" s="403"/>
      <c r="N405" s="403"/>
      <c r="O405" s="403"/>
      <c r="P405" s="403"/>
      <c r="Q405" s="403"/>
      <c r="R405" s="403"/>
      <c r="S405" s="403"/>
      <c r="T405" s="403"/>
      <c r="U405" s="403"/>
      <c r="V405" s="403"/>
      <c r="W405" s="404"/>
      <c r="X405" s="405"/>
      <c r="Y405" s="405"/>
      <c r="Z405" s="405"/>
      <c r="AA405" s="405"/>
      <c r="AB405" s="405"/>
      <c r="AC405" s="405"/>
      <c r="AD405" s="405"/>
      <c r="AE405" s="405"/>
      <c r="AF405" s="405"/>
      <c r="AG405" s="405"/>
      <c r="AH405" s="405"/>
      <c r="AI405" s="405"/>
      <c r="AJ405" s="405"/>
      <c r="AK405" s="405"/>
      <c r="AL405" s="405"/>
      <c r="AM405" s="406"/>
      <c r="AN405" s="406"/>
      <c r="AO405" s="406"/>
      <c r="AP405" s="406"/>
      <c r="AQ405" s="403"/>
      <c r="AR405" s="403"/>
      <c r="AS405" s="403"/>
      <c r="AT405" s="403"/>
      <c r="AU405" s="403"/>
      <c r="AV405" s="403"/>
      <c r="AW405" s="403"/>
      <c r="AX405" s="403"/>
      <c r="AY405" s="403"/>
    </row>
    <row r="406">
      <c r="A406" s="415"/>
      <c r="B406" s="415"/>
      <c r="C406" s="410"/>
      <c r="D406" s="429"/>
      <c r="E406" s="416"/>
      <c r="F406" s="413"/>
      <c r="G406" s="413"/>
      <c r="H406" s="415"/>
      <c r="I406" s="415"/>
      <c r="J406" s="415"/>
      <c r="K406" s="415"/>
      <c r="L406" s="417"/>
      <c r="M406" s="403"/>
      <c r="N406" s="403"/>
      <c r="O406" s="403"/>
      <c r="P406" s="403"/>
      <c r="Q406" s="403"/>
      <c r="R406" s="403"/>
      <c r="S406" s="403"/>
      <c r="T406" s="403"/>
      <c r="U406" s="403"/>
      <c r="V406" s="403"/>
      <c r="W406" s="404"/>
      <c r="X406" s="405"/>
      <c r="Y406" s="405"/>
      <c r="Z406" s="405"/>
      <c r="AA406" s="405"/>
      <c r="AB406" s="405"/>
      <c r="AC406" s="405"/>
      <c r="AD406" s="405"/>
      <c r="AE406" s="405"/>
      <c r="AF406" s="405"/>
      <c r="AG406" s="405"/>
      <c r="AH406" s="405"/>
      <c r="AI406" s="405"/>
      <c r="AJ406" s="405"/>
      <c r="AK406" s="405"/>
      <c r="AL406" s="405"/>
      <c r="AM406" s="406"/>
      <c r="AN406" s="406"/>
      <c r="AO406" s="406"/>
      <c r="AP406" s="406"/>
      <c r="AQ406" s="403"/>
      <c r="AR406" s="403"/>
      <c r="AS406" s="403"/>
      <c r="AT406" s="403"/>
      <c r="AU406" s="403"/>
      <c r="AV406" s="403"/>
      <c r="AW406" s="403"/>
      <c r="AX406" s="403"/>
      <c r="AY406" s="403"/>
    </row>
    <row r="407">
      <c r="A407" s="415"/>
      <c r="B407" s="415"/>
      <c r="C407" s="410"/>
      <c r="D407" s="429"/>
      <c r="E407" s="416"/>
      <c r="F407" s="413"/>
      <c r="G407" s="413"/>
      <c r="H407" s="415"/>
      <c r="I407" s="415"/>
      <c r="J407" s="415"/>
      <c r="K407" s="415"/>
      <c r="L407" s="417"/>
      <c r="M407" s="403"/>
      <c r="N407" s="403"/>
      <c r="O407" s="403"/>
      <c r="P407" s="403"/>
      <c r="Q407" s="403"/>
      <c r="R407" s="403"/>
      <c r="S407" s="403"/>
      <c r="T407" s="403"/>
      <c r="U407" s="403"/>
      <c r="V407" s="403"/>
      <c r="W407" s="404"/>
      <c r="X407" s="405"/>
      <c r="Y407" s="405"/>
      <c r="Z407" s="405"/>
      <c r="AA407" s="405"/>
      <c r="AB407" s="405"/>
      <c r="AC407" s="405"/>
      <c r="AD407" s="405"/>
      <c r="AE407" s="405"/>
      <c r="AF407" s="405"/>
      <c r="AG407" s="405"/>
      <c r="AH407" s="405"/>
      <c r="AI407" s="405"/>
      <c r="AJ407" s="405"/>
      <c r="AK407" s="405"/>
      <c r="AL407" s="405"/>
      <c r="AM407" s="406"/>
      <c r="AN407" s="406"/>
      <c r="AO407" s="406"/>
      <c r="AP407" s="406"/>
      <c r="AQ407" s="403"/>
      <c r="AR407" s="403"/>
      <c r="AS407" s="403"/>
      <c r="AT407" s="403"/>
      <c r="AU407" s="403"/>
      <c r="AV407" s="403"/>
      <c r="AW407" s="403"/>
      <c r="AX407" s="403"/>
      <c r="AY407" s="403"/>
    </row>
    <row r="408">
      <c r="A408" s="415"/>
      <c r="B408" s="415"/>
      <c r="C408" s="410"/>
      <c r="D408" s="429"/>
      <c r="E408" s="416"/>
      <c r="F408" s="413"/>
      <c r="G408" s="413"/>
      <c r="H408" s="415"/>
      <c r="I408" s="415"/>
      <c r="J408" s="415"/>
      <c r="K408" s="415"/>
      <c r="L408" s="417"/>
      <c r="M408" s="403"/>
      <c r="N408" s="403"/>
      <c r="O408" s="403"/>
      <c r="P408" s="403"/>
      <c r="Q408" s="403"/>
      <c r="R408" s="403"/>
      <c r="S408" s="403"/>
      <c r="T408" s="403"/>
      <c r="U408" s="403"/>
      <c r="V408" s="403"/>
      <c r="W408" s="404"/>
      <c r="X408" s="405"/>
      <c r="Y408" s="405"/>
      <c r="Z408" s="405"/>
      <c r="AA408" s="405"/>
      <c r="AB408" s="405"/>
      <c r="AC408" s="405"/>
      <c r="AD408" s="405"/>
      <c r="AE408" s="405"/>
      <c r="AF408" s="405"/>
      <c r="AG408" s="405"/>
      <c r="AH408" s="405"/>
      <c r="AI408" s="405"/>
      <c r="AJ408" s="405"/>
      <c r="AK408" s="405"/>
      <c r="AL408" s="405"/>
      <c r="AM408" s="406"/>
      <c r="AN408" s="406"/>
      <c r="AO408" s="406"/>
      <c r="AP408" s="406"/>
      <c r="AQ408" s="403"/>
      <c r="AR408" s="403"/>
      <c r="AS408" s="403"/>
      <c r="AT408" s="403"/>
      <c r="AU408" s="403"/>
      <c r="AV408" s="403"/>
      <c r="AW408" s="403"/>
      <c r="AX408" s="403"/>
      <c r="AY408" s="403"/>
    </row>
    <row r="409">
      <c r="A409" s="415"/>
      <c r="B409" s="415"/>
      <c r="C409" s="410"/>
      <c r="D409" s="429"/>
      <c r="E409" s="416"/>
      <c r="F409" s="413"/>
      <c r="G409" s="413"/>
      <c r="H409" s="415"/>
      <c r="I409" s="415"/>
      <c r="J409" s="415"/>
      <c r="K409" s="415"/>
      <c r="L409" s="417"/>
      <c r="M409" s="403"/>
      <c r="N409" s="403"/>
      <c r="O409" s="403"/>
      <c r="P409" s="403"/>
      <c r="Q409" s="403"/>
      <c r="R409" s="403"/>
      <c r="S409" s="403"/>
      <c r="T409" s="403"/>
      <c r="U409" s="403"/>
      <c r="V409" s="403"/>
      <c r="W409" s="404"/>
      <c r="X409" s="405"/>
      <c r="Y409" s="405"/>
      <c r="Z409" s="405"/>
      <c r="AA409" s="405"/>
      <c r="AB409" s="405"/>
      <c r="AC409" s="405"/>
      <c r="AD409" s="405"/>
      <c r="AE409" s="405"/>
      <c r="AF409" s="405"/>
      <c r="AG409" s="405"/>
      <c r="AH409" s="405"/>
      <c r="AI409" s="405"/>
      <c r="AJ409" s="405"/>
      <c r="AK409" s="405"/>
      <c r="AL409" s="405"/>
      <c r="AM409" s="406"/>
      <c r="AN409" s="406"/>
      <c r="AO409" s="406"/>
      <c r="AP409" s="406"/>
      <c r="AQ409" s="403"/>
      <c r="AR409" s="403"/>
      <c r="AS409" s="403"/>
      <c r="AT409" s="403"/>
      <c r="AU409" s="403"/>
      <c r="AV409" s="403"/>
      <c r="AW409" s="403"/>
      <c r="AX409" s="403"/>
      <c r="AY409" s="403"/>
    </row>
    <row r="410">
      <c r="A410" s="415"/>
      <c r="B410" s="415"/>
      <c r="C410" s="410"/>
      <c r="D410" s="429"/>
      <c r="E410" s="416"/>
      <c r="F410" s="413"/>
      <c r="G410" s="413"/>
      <c r="H410" s="415"/>
      <c r="I410" s="415"/>
      <c r="J410" s="415"/>
      <c r="K410" s="415"/>
      <c r="L410" s="417"/>
      <c r="M410" s="403"/>
      <c r="N410" s="403"/>
      <c r="O410" s="403"/>
      <c r="P410" s="403"/>
      <c r="Q410" s="403"/>
      <c r="R410" s="403"/>
      <c r="S410" s="403"/>
      <c r="T410" s="403"/>
      <c r="U410" s="403"/>
      <c r="V410" s="403"/>
      <c r="W410" s="404"/>
      <c r="X410" s="405"/>
      <c r="Y410" s="405"/>
      <c r="Z410" s="405"/>
      <c r="AA410" s="405"/>
      <c r="AB410" s="405"/>
      <c r="AC410" s="405"/>
      <c r="AD410" s="405"/>
      <c r="AE410" s="405"/>
      <c r="AF410" s="405"/>
      <c r="AG410" s="405"/>
      <c r="AH410" s="405"/>
      <c r="AI410" s="405"/>
      <c r="AJ410" s="405"/>
      <c r="AK410" s="405"/>
      <c r="AL410" s="405"/>
      <c r="AM410" s="406"/>
      <c r="AN410" s="406"/>
      <c r="AO410" s="406"/>
      <c r="AP410" s="406"/>
      <c r="AQ410" s="403"/>
      <c r="AR410" s="403"/>
      <c r="AS410" s="403"/>
      <c r="AT410" s="403"/>
      <c r="AU410" s="403"/>
      <c r="AV410" s="403"/>
      <c r="AW410" s="403"/>
      <c r="AX410" s="403"/>
      <c r="AY410" s="403"/>
    </row>
    <row r="411">
      <c r="A411" s="415"/>
      <c r="B411" s="415"/>
      <c r="C411" s="410"/>
      <c r="D411" s="429"/>
      <c r="E411" s="416"/>
      <c r="F411" s="413"/>
      <c r="G411" s="413"/>
      <c r="H411" s="415"/>
      <c r="I411" s="415"/>
      <c r="J411" s="415"/>
      <c r="K411" s="415"/>
      <c r="L411" s="417"/>
      <c r="M411" s="403"/>
      <c r="N411" s="403"/>
      <c r="O411" s="403"/>
      <c r="P411" s="403"/>
      <c r="Q411" s="403"/>
      <c r="R411" s="403"/>
      <c r="S411" s="403"/>
      <c r="T411" s="403"/>
      <c r="U411" s="403"/>
      <c r="V411" s="403"/>
      <c r="W411" s="404"/>
      <c r="X411" s="405"/>
      <c r="Y411" s="405"/>
      <c r="Z411" s="405"/>
      <c r="AA411" s="405"/>
      <c r="AB411" s="405"/>
      <c r="AC411" s="405"/>
      <c r="AD411" s="405"/>
      <c r="AE411" s="405"/>
      <c r="AF411" s="405"/>
      <c r="AG411" s="405"/>
      <c r="AH411" s="405"/>
      <c r="AI411" s="405"/>
      <c r="AJ411" s="405"/>
      <c r="AK411" s="405"/>
      <c r="AL411" s="405"/>
      <c r="AM411" s="406"/>
      <c r="AN411" s="406"/>
      <c r="AO411" s="406"/>
      <c r="AP411" s="406"/>
      <c r="AQ411" s="403"/>
      <c r="AR411" s="403"/>
      <c r="AS411" s="403"/>
      <c r="AT411" s="403"/>
      <c r="AU411" s="403"/>
      <c r="AV411" s="403"/>
      <c r="AW411" s="403"/>
      <c r="AX411" s="403"/>
      <c r="AY411" s="403"/>
    </row>
    <row r="412">
      <c r="A412" s="415"/>
      <c r="B412" s="415"/>
      <c r="C412" s="410"/>
      <c r="D412" s="429"/>
      <c r="E412" s="416"/>
      <c r="F412" s="413"/>
      <c r="G412" s="413"/>
      <c r="H412" s="415"/>
      <c r="I412" s="415"/>
      <c r="J412" s="415"/>
      <c r="K412" s="415"/>
      <c r="L412" s="417"/>
      <c r="M412" s="403"/>
      <c r="N412" s="403"/>
      <c r="O412" s="403"/>
      <c r="P412" s="403"/>
      <c r="Q412" s="403"/>
      <c r="R412" s="403"/>
      <c r="S412" s="403"/>
      <c r="T412" s="403"/>
      <c r="U412" s="403"/>
      <c r="V412" s="403"/>
      <c r="W412" s="404"/>
      <c r="X412" s="405"/>
      <c r="Y412" s="405"/>
      <c r="Z412" s="405"/>
      <c r="AA412" s="405"/>
      <c r="AB412" s="405"/>
      <c r="AC412" s="405"/>
      <c r="AD412" s="405"/>
      <c r="AE412" s="405"/>
      <c r="AF412" s="405"/>
      <c r="AG412" s="405"/>
      <c r="AH412" s="405"/>
      <c r="AI412" s="405"/>
      <c r="AJ412" s="405"/>
      <c r="AK412" s="405"/>
      <c r="AL412" s="405"/>
      <c r="AM412" s="406"/>
      <c r="AN412" s="406"/>
      <c r="AO412" s="406"/>
      <c r="AP412" s="406"/>
      <c r="AQ412" s="403"/>
      <c r="AR412" s="403"/>
      <c r="AS412" s="403"/>
      <c r="AT412" s="403"/>
      <c r="AU412" s="403"/>
      <c r="AV412" s="403"/>
      <c r="AW412" s="403"/>
      <c r="AX412" s="403"/>
      <c r="AY412" s="403"/>
    </row>
    <row r="413">
      <c r="A413" s="415"/>
      <c r="B413" s="415"/>
      <c r="C413" s="410"/>
      <c r="D413" s="429"/>
      <c r="E413" s="416"/>
      <c r="F413" s="413"/>
      <c r="G413" s="413"/>
      <c r="H413" s="415"/>
      <c r="I413" s="415"/>
      <c r="J413" s="415"/>
      <c r="K413" s="415"/>
      <c r="L413" s="417"/>
      <c r="M413" s="403"/>
      <c r="N413" s="403"/>
      <c r="O413" s="403"/>
      <c r="P413" s="403"/>
      <c r="Q413" s="403"/>
      <c r="R413" s="403"/>
      <c r="S413" s="403"/>
      <c r="T413" s="403"/>
      <c r="U413" s="403"/>
      <c r="V413" s="403"/>
      <c r="W413" s="404"/>
      <c r="X413" s="405"/>
      <c r="Y413" s="405"/>
      <c r="Z413" s="405"/>
      <c r="AA413" s="405"/>
      <c r="AB413" s="405"/>
      <c r="AC413" s="405"/>
      <c r="AD413" s="405"/>
      <c r="AE413" s="405"/>
      <c r="AF413" s="405"/>
      <c r="AG413" s="405"/>
      <c r="AH413" s="405"/>
      <c r="AI413" s="405"/>
      <c r="AJ413" s="405"/>
      <c r="AK413" s="405"/>
      <c r="AL413" s="405"/>
      <c r="AM413" s="406"/>
      <c r="AN413" s="406"/>
      <c r="AO413" s="406"/>
      <c r="AP413" s="406"/>
      <c r="AQ413" s="403"/>
      <c r="AR413" s="403"/>
      <c r="AS413" s="403"/>
      <c r="AT413" s="403"/>
      <c r="AU413" s="403"/>
      <c r="AV413" s="403"/>
      <c r="AW413" s="403"/>
      <c r="AX413" s="403"/>
      <c r="AY413" s="403"/>
    </row>
    <row r="414">
      <c r="A414" s="415"/>
      <c r="B414" s="415"/>
      <c r="C414" s="410"/>
      <c r="D414" s="429"/>
      <c r="E414" s="416"/>
      <c r="F414" s="413"/>
      <c r="G414" s="413"/>
      <c r="H414" s="415"/>
      <c r="I414" s="415"/>
      <c r="J414" s="415"/>
      <c r="K414" s="415"/>
      <c r="L414" s="417"/>
      <c r="M414" s="403"/>
      <c r="N414" s="403"/>
      <c r="O414" s="403"/>
      <c r="P414" s="403"/>
      <c r="Q414" s="403"/>
      <c r="R414" s="403"/>
      <c r="S414" s="403"/>
      <c r="T414" s="403"/>
      <c r="U414" s="403"/>
      <c r="V414" s="403"/>
      <c r="W414" s="404"/>
      <c r="X414" s="405"/>
      <c r="Y414" s="405"/>
      <c r="Z414" s="405"/>
      <c r="AA414" s="405"/>
      <c r="AB414" s="405"/>
      <c r="AC414" s="405"/>
      <c r="AD414" s="405"/>
      <c r="AE414" s="405"/>
      <c r="AF414" s="405"/>
      <c r="AG414" s="405"/>
      <c r="AH414" s="405"/>
      <c r="AI414" s="405"/>
      <c r="AJ414" s="405"/>
      <c r="AK414" s="405"/>
      <c r="AL414" s="405"/>
      <c r="AM414" s="406"/>
      <c r="AN414" s="406"/>
      <c r="AO414" s="406"/>
      <c r="AP414" s="406"/>
      <c r="AQ414" s="403"/>
      <c r="AR414" s="403"/>
      <c r="AS414" s="403"/>
      <c r="AT414" s="403"/>
      <c r="AU414" s="403"/>
      <c r="AV414" s="403"/>
      <c r="AW414" s="403"/>
      <c r="AX414" s="403"/>
      <c r="AY414" s="403"/>
    </row>
    <row r="415">
      <c r="A415" s="415"/>
      <c r="B415" s="415"/>
      <c r="C415" s="410"/>
      <c r="D415" s="429"/>
      <c r="E415" s="416"/>
      <c r="F415" s="413"/>
      <c r="G415" s="413"/>
      <c r="H415" s="415"/>
      <c r="I415" s="415"/>
      <c r="J415" s="415"/>
      <c r="K415" s="415"/>
      <c r="L415" s="417"/>
      <c r="M415" s="403"/>
      <c r="N415" s="403"/>
      <c r="O415" s="403"/>
      <c r="P415" s="403"/>
      <c r="Q415" s="403"/>
      <c r="R415" s="403"/>
      <c r="S415" s="403"/>
      <c r="T415" s="403"/>
      <c r="U415" s="403"/>
      <c r="V415" s="403"/>
      <c r="W415" s="404"/>
      <c r="X415" s="405"/>
      <c r="Y415" s="405"/>
      <c r="Z415" s="405"/>
      <c r="AA415" s="405"/>
      <c r="AB415" s="405"/>
      <c r="AC415" s="405"/>
      <c r="AD415" s="405"/>
      <c r="AE415" s="405"/>
      <c r="AF415" s="405"/>
      <c r="AG415" s="405"/>
      <c r="AH415" s="405"/>
      <c r="AI415" s="405"/>
      <c r="AJ415" s="405"/>
      <c r="AK415" s="405"/>
      <c r="AL415" s="405"/>
      <c r="AM415" s="406"/>
      <c r="AN415" s="406"/>
      <c r="AO415" s="406"/>
      <c r="AP415" s="406"/>
      <c r="AQ415" s="403"/>
      <c r="AR415" s="403"/>
      <c r="AS415" s="403"/>
      <c r="AT415" s="403"/>
      <c r="AU415" s="403"/>
      <c r="AV415" s="403"/>
      <c r="AW415" s="403"/>
      <c r="AX415" s="403"/>
      <c r="AY415" s="403"/>
    </row>
    <row r="416">
      <c r="A416" s="415"/>
      <c r="B416" s="415"/>
      <c r="C416" s="410"/>
      <c r="D416" s="429"/>
      <c r="E416" s="416"/>
      <c r="F416" s="413"/>
      <c r="G416" s="413"/>
      <c r="H416" s="415"/>
      <c r="I416" s="415"/>
      <c r="J416" s="415"/>
      <c r="K416" s="415"/>
      <c r="L416" s="417"/>
      <c r="M416" s="403"/>
      <c r="N416" s="403"/>
      <c r="O416" s="403"/>
      <c r="P416" s="403"/>
      <c r="Q416" s="403"/>
      <c r="R416" s="403"/>
      <c r="S416" s="403"/>
      <c r="T416" s="403"/>
      <c r="U416" s="403"/>
      <c r="V416" s="403"/>
      <c r="W416" s="404"/>
      <c r="X416" s="405"/>
      <c r="Y416" s="405"/>
      <c r="Z416" s="405"/>
      <c r="AA416" s="405"/>
      <c r="AB416" s="405"/>
      <c r="AC416" s="405"/>
      <c r="AD416" s="405"/>
      <c r="AE416" s="405"/>
      <c r="AF416" s="405"/>
      <c r="AG416" s="405"/>
      <c r="AH416" s="405"/>
      <c r="AI416" s="405"/>
      <c r="AJ416" s="405"/>
      <c r="AK416" s="405"/>
      <c r="AL416" s="405"/>
      <c r="AM416" s="406"/>
      <c r="AN416" s="406"/>
      <c r="AO416" s="406"/>
      <c r="AP416" s="406"/>
      <c r="AQ416" s="403"/>
      <c r="AR416" s="403"/>
      <c r="AS416" s="403"/>
      <c r="AT416" s="403"/>
      <c r="AU416" s="403"/>
      <c r="AV416" s="403"/>
      <c r="AW416" s="403"/>
      <c r="AX416" s="403"/>
      <c r="AY416" s="403"/>
    </row>
    <row r="417">
      <c r="A417" s="415"/>
      <c r="B417" s="415"/>
      <c r="C417" s="410"/>
      <c r="D417" s="429"/>
      <c r="E417" s="416"/>
      <c r="F417" s="413"/>
      <c r="G417" s="413"/>
      <c r="H417" s="415"/>
      <c r="I417" s="415"/>
      <c r="J417" s="415"/>
      <c r="K417" s="415"/>
      <c r="L417" s="417"/>
      <c r="M417" s="403"/>
      <c r="N417" s="403"/>
      <c r="O417" s="403"/>
      <c r="P417" s="403"/>
      <c r="Q417" s="403"/>
      <c r="R417" s="403"/>
      <c r="S417" s="403"/>
      <c r="T417" s="403"/>
      <c r="U417" s="403"/>
      <c r="V417" s="403"/>
      <c r="W417" s="404"/>
      <c r="X417" s="405"/>
      <c r="Y417" s="405"/>
      <c r="Z417" s="405"/>
      <c r="AA417" s="405"/>
      <c r="AB417" s="405"/>
      <c r="AC417" s="405"/>
      <c r="AD417" s="405"/>
      <c r="AE417" s="405"/>
      <c r="AF417" s="405"/>
      <c r="AG417" s="405"/>
      <c r="AH417" s="405"/>
      <c r="AI417" s="405"/>
      <c r="AJ417" s="405"/>
      <c r="AK417" s="405"/>
      <c r="AL417" s="405"/>
      <c r="AM417" s="406"/>
      <c r="AN417" s="406"/>
      <c r="AO417" s="406"/>
      <c r="AP417" s="406"/>
      <c r="AQ417" s="403"/>
      <c r="AR417" s="403"/>
      <c r="AS417" s="403"/>
      <c r="AT417" s="403"/>
      <c r="AU417" s="403"/>
      <c r="AV417" s="403"/>
      <c r="AW417" s="403"/>
      <c r="AX417" s="403"/>
      <c r="AY417" s="403"/>
    </row>
    <row r="418">
      <c r="A418" s="415"/>
      <c r="B418" s="415"/>
      <c r="C418" s="410"/>
      <c r="D418" s="429"/>
      <c r="E418" s="416"/>
      <c r="F418" s="413"/>
      <c r="G418" s="413"/>
      <c r="H418" s="415"/>
      <c r="I418" s="415"/>
      <c r="J418" s="415"/>
      <c r="K418" s="415"/>
      <c r="L418" s="417"/>
      <c r="M418" s="403"/>
      <c r="N418" s="403"/>
      <c r="O418" s="403"/>
      <c r="P418" s="403"/>
      <c r="Q418" s="403"/>
      <c r="R418" s="403"/>
      <c r="S418" s="403"/>
      <c r="T418" s="403"/>
      <c r="U418" s="403"/>
      <c r="V418" s="403"/>
      <c r="W418" s="404"/>
      <c r="X418" s="405"/>
      <c r="Y418" s="405"/>
      <c r="Z418" s="405"/>
      <c r="AA418" s="405"/>
      <c r="AB418" s="405"/>
      <c r="AC418" s="405"/>
      <c r="AD418" s="405"/>
      <c r="AE418" s="405"/>
      <c r="AF418" s="405"/>
      <c r="AG418" s="405"/>
      <c r="AH418" s="405"/>
      <c r="AI418" s="405"/>
      <c r="AJ418" s="405"/>
      <c r="AK418" s="405"/>
      <c r="AL418" s="405"/>
      <c r="AM418" s="406"/>
      <c r="AN418" s="406"/>
      <c r="AO418" s="406"/>
      <c r="AP418" s="406"/>
      <c r="AQ418" s="403"/>
      <c r="AR418" s="403"/>
      <c r="AS418" s="403"/>
      <c r="AT418" s="403"/>
      <c r="AU418" s="403"/>
      <c r="AV418" s="403"/>
      <c r="AW418" s="403"/>
      <c r="AX418" s="403"/>
      <c r="AY418" s="403"/>
    </row>
    <row r="419">
      <c r="A419" s="415"/>
      <c r="B419" s="415"/>
      <c r="C419" s="410"/>
      <c r="D419" s="429"/>
      <c r="E419" s="416"/>
      <c r="F419" s="413"/>
      <c r="G419" s="413"/>
      <c r="H419" s="415"/>
      <c r="I419" s="415"/>
      <c r="J419" s="415"/>
      <c r="K419" s="415"/>
      <c r="L419" s="417"/>
      <c r="M419" s="403"/>
      <c r="N419" s="403"/>
      <c r="O419" s="403"/>
      <c r="P419" s="403"/>
      <c r="Q419" s="403"/>
      <c r="R419" s="403"/>
      <c r="S419" s="403"/>
      <c r="T419" s="403"/>
      <c r="U419" s="403"/>
      <c r="V419" s="403"/>
      <c r="W419" s="404"/>
      <c r="X419" s="405"/>
      <c r="Y419" s="405"/>
      <c r="Z419" s="405"/>
      <c r="AA419" s="405"/>
      <c r="AB419" s="405"/>
      <c r="AC419" s="405"/>
      <c r="AD419" s="405"/>
      <c r="AE419" s="405"/>
      <c r="AF419" s="405"/>
      <c r="AG419" s="405"/>
      <c r="AH419" s="405"/>
      <c r="AI419" s="405"/>
      <c r="AJ419" s="405"/>
      <c r="AK419" s="405"/>
      <c r="AL419" s="405"/>
      <c r="AM419" s="406"/>
      <c r="AN419" s="406"/>
      <c r="AO419" s="406"/>
      <c r="AP419" s="406"/>
      <c r="AQ419" s="403"/>
      <c r="AR419" s="403"/>
      <c r="AS419" s="403"/>
      <c r="AT419" s="403"/>
      <c r="AU419" s="403"/>
      <c r="AV419" s="403"/>
      <c r="AW419" s="403"/>
      <c r="AX419" s="403"/>
      <c r="AY419" s="403"/>
    </row>
    <row r="420">
      <c r="A420" s="415"/>
      <c r="B420" s="415"/>
      <c r="C420" s="410"/>
      <c r="D420" s="429"/>
      <c r="E420" s="416"/>
      <c r="F420" s="413"/>
      <c r="G420" s="413"/>
      <c r="H420" s="415"/>
      <c r="I420" s="415"/>
      <c r="J420" s="415"/>
      <c r="K420" s="415"/>
      <c r="L420" s="417"/>
      <c r="M420" s="403"/>
      <c r="N420" s="403"/>
      <c r="O420" s="403"/>
      <c r="P420" s="403"/>
      <c r="Q420" s="403"/>
      <c r="R420" s="403"/>
      <c r="S420" s="403"/>
      <c r="T420" s="403"/>
      <c r="U420" s="403"/>
      <c r="V420" s="403"/>
      <c r="W420" s="404"/>
      <c r="X420" s="405"/>
      <c r="Y420" s="405"/>
      <c r="Z420" s="405"/>
      <c r="AA420" s="405"/>
      <c r="AB420" s="405"/>
      <c r="AC420" s="405"/>
      <c r="AD420" s="405"/>
      <c r="AE420" s="405"/>
      <c r="AF420" s="405"/>
      <c r="AG420" s="405"/>
      <c r="AH420" s="405"/>
      <c r="AI420" s="405"/>
      <c r="AJ420" s="405"/>
      <c r="AK420" s="405"/>
      <c r="AL420" s="405"/>
      <c r="AM420" s="406"/>
      <c r="AN420" s="406"/>
      <c r="AO420" s="406"/>
      <c r="AP420" s="406"/>
      <c r="AQ420" s="403"/>
      <c r="AR420" s="403"/>
      <c r="AS420" s="403"/>
      <c r="AT420" s="403"/>
      <c r="AU420" s="403"/>
      <c r="AV420" s="403"/>
      <c r="AW420" s="403"/>
      <c r="AX420" s="403"/>
      <c r="AY420" s="403"/>
    </row>
    <row r="421">
      <c r="A421" s="415"/>
      <c r="B421" s="415"/>
      <c r="C421" s="410"/>
      <c r="D421" s="429"/>
      <c r="E421" s="416"/>
      <c r="F421" s="413"/>
      <c r="G421" s="413"/>
      <c r="H421" s="415"/>
      <c r="I421" s="415"/>
      <c r="J421" s="415"/>
      <c r="K421" s="415"/>
      <c r="L421" s="417"/>
      <c r="M421" s="403"/>
      <c r="N421" s="403"/>
      <c r="O421" s="403"/>
      <c r="P421" s="403"/>
      <c r="Q421" s="403"/>
      <c r="R421" s="403"/>
      <c r="S421" s="403"/>
      <c r="T421" s="403"/>
      <c r="U421" s="403"/>
      <c r="V421" s="403"/>
      <c r="W421" s="404"/>
      <c r="X421" s="405"/>
      <c r="Y421" s="405"/>
      <c r="Z421" s="405"/>
      <c r="AA421" s="405"/>
      <c r="AB421" s="405"/>
      <c r="AC421" s="405"/>
      <c r="AD421" s="405"/>
      <c r="AE421" s="405"/>
      <c r="AF421" s="405"/>
      <c r="AG421" s="405"/>
      <c r="AH421" s="405"/>
      <c r="AI421" s="405"/>
      <c r="AJ421" s="405"/>
      <c r="AK421" s="405"/>
      <c r="AL421" s="405"/>
      <c r="AM421" s="406"/>
      <c r="AN421" s="406"/>
      <c r="AO421" s="406"/>
      <c r="AP421" s="406"/>
      <c r="AQ421" s="403"/>
      <c r="AR421" s="403"/>
      <c r="AS421" s="403"/>
      <c r="AT421" s="403"/>
      <c r="AU421" s="403"/>
      <c r="AV421" s="403"/>
      <c r="AW421" s="403"/>
      <c r="AX421" s="403"/>
      <c r="AY421" s="403"/>
    </row>
    <row r="422">
      <c r="A422" s="415"/>
      <c r="B422" s="415"/>
      <c r="C422" s="410"/>
      <c r="D422" s="429"/>
      <c r="E422" s="416"/>
      <c r="F422" s="413"/>
      <c r="G422" s="413"/>
      <c r="H422" s="415"/>
      <c r="I422" s="415"/>
      <c r="J422" s="415"/>
      <c r="K422" s="415"/>
      <c r="L422" s="417"/>
      <c r="M422" s="403"/>
      <c r="N422" s="403"/>
      <c r="O422" s="403"/>
      <c r="P422" s="403"/>
      <c r="Q422" s="403"/>
      <c r="R422" s="403"/>
      <c r="S422" s="403"/>
      <c r="T422" s="403"/>
      <c r="U422" s="403"/>
      <c r="V422" s="403"/>
      <c r="W422" s="404"/>
      <c r="X422" s="405"/>
      <c r="Y422" s="405"/>
      <c r="Z422" s="405"/>
      <c r="AA422" s="405"/>
      <c r="AB422" s="405"/>
      <c r="AC422" s="405"/>
      <c r="AD422" s="405"/>
      <c r="AE422" s="405"/>
      <c r="AF422" s="405"/>
      <c r="AG422" s="405"/>
      <c r="AH422" s="405"/>
      <c r="AI422" s="405"/>
      <c r="AJ422" s="405"/>
      <c r="AK422" s="405"/>
      <c r="AL422" s="405"/>
      <c r="AM422" s="406"/>
      <c r="AN422" s="406"/>
      <c r="AO422" s="406"/>
      <c r="AP422" s="406"/>
      <c r="AQ422" s="403"/>
      <c r="AR422" s="403"/>
      <c r="AS422" s="403"/>
      <c r="AT422" s="403"/>
      <c r="AU422" s="403"/>
      <c r="AV422" s="403"/>
      <c r="AW422" s="403"/>
      <c r="AX422" s="403"/>
      <c r="AY422" s="403"/>
    </row>
    <row r="423">
      <c r="A423" s="415"/>
      <c r="B423" s="415"/>
      <c r="C423" s="410"/>
      <c r="D423" s="429"/>
      <c r="E423" s="416"/>
      <c r="F423" s="413"/>
      <c r="G423" s="413"/>
      <c r="H423" s="415"/>
      <c r="I423" s="415"/>
      <c r="J423" s="415"/>
      <c r="K423" s="415"/>
      <c r="L423" s="417"/>
      <c r="M423" s="403"/>
      <c r="N423" s="403"/>
      <c r="O423" s="403"/>
      <c r="P423" s="403"/>
      <c r="Q423" s="403"/>
      <c r="R423" s="403"/>
      <c r="S423" s="403"/>
      <c r="T423" s="403"/>
      <c r="U423" s="403"/>
      <c r="V423" s="403"/>
      <c r="W423" s="404"/>
      <c r="X423" s="405"/>
      <c r="Y423" s="405"/>
      <c r="Z423" s="405"/>
      <c r="AA423" s="405"/>
      <c r="AB423" s="405"/>
      <c r="AC423" s="405"/>
      <c r="AD423" s="405"/>
      <c r="AE423" s="405"/>
      <c r="AF423" s="405"/>
      <c r="AG423" s="405"/>
      <c r="AH423" s="405"/>
      <c r="AI423" s="405"/>
      <c r="AJ423" s="405"/>
      <c r="AK423" s="405"/>
      <c r="AL423" s="405"/>
      <c r="AM423" s="406"/>
      <c r="AN423" s="406"/>
      <c r="AO423" s="406"/>
      <c r="AP423" s="406"/>
      <c r="AQ423" s="403"/>
      <c r="AR423" s="403"/>
      <c r="AS423" s="403"/>
      <c r="AT423" s="403"/>
      <c r="AU423" s="403"/>
      <c r="AV423" s="403"/>
      <c r="AW423" s="403"/>
      <c r="AX423" s="403"/>
      <c r="AY423" s="403"/>
    </row>
    <row r="424">
      <c r="A424" s="415"/>
      <c r="B424" s="415"/>
      <c r="C424" s="410"/>
      <c r="D424" s="429"/>
      <c r="E424" s="416"/>
      <c r="F424" s="413"/>
      <c r="G424" s="413"/>
      <c r="H424" s="415"/>
      <c r="I424" s="415"/>
      <c r="J424" s="415"/>
      <c r="K424" s="415"/>
      <c r="L424" s="417"/>
      <c r="M424" s="403"/>
      <c r="N424" s="403"/>
      <c r="O424" s="403"/>
      <c r="P424" s="403"/>
      <c r="Q424" s="403"/>
      <c r="R424" s="403"/>
      <c r="S424" s="403"/>
      <c r="T424" s="403"/>
      <c r="U424" s="403"/>
      <c r="V424" s="403"/>
      <c r="W424" s="404"/>
      <c r="X424" s="405"/>
      <c r="Y424" s="405"/>
      <c r="Z424" s="405"/>
      <c r="AA424" s="405"/>
      <c r="AB424" s="405"/>
      <c r="AC424" s="405"/>
      <c r="AD424" s="405"/>
      <c r="AE424" s="405"/>
      <c r="AF424" s="405"/>
      <c r="AG424" s="405"/>
      <c r="AH424" s="405"/>
      <c r="AI424" s="405"/>
      <c r="AJ424" s="405"/>
      <c r="AK424" s="405"/>
      <c r="AL424" s="405"/>
      <c r="AM424" s="406"/>
      <c r="AN424" s="406"/>
      <c r="AO424" s="406"/>
      <c r="AP424" s="406"/>
      <c r="AQ424" s="403"/>
      <c r="AR424" s="403"/>
      <c r="AS424" s="403"/>
      <c r="AT424" s="403"/>
      <c r="AU424" s="403"/>
      <c r="AV424" s="403"/>
      <c r="AW424" s="403"/>
      <c r="AX424" s="403"/>
      <c r="AY424" s="403"/>
    </row>
    <row r="425">
      <c r="A425" s="415"/>
      <c r="B425" s="415"/>
      <c r="C425" s="410"/>
      <c r="D425" s="429"/>
      <c r="E425" s="416"/>
      <c r="F425" s="413"/>
      <c r="G425" s="413"/>
      <c r="H425" s="415"/>
      <c r="I425" s="415"/>
      <c r="J425" s="415"/>
      <c r="K425" s="415"/>
      <c r="L425" s="417"/>
      <c r="M425" s="403"/>
      <c r="N425" s="403"/>
      <c r="O425" s="403"/>
      <c r="P425" s="403"/>
      <c r="Q425" s="403"/>
      <c r="R425" s="403"/>
      <c r="S425" s="403"/>
      <c r="T425" s="403"/>
      <c r="U425" s="403"/>
      <c r="V425" s="403"/>
      <c r="W425" s="404"/>
      <c r="X425" s="405"/>
      <c r="Y425" s="405"/>
      <c r="Z425" s="405"/>
      <c r="AA425" s="405"/>
      <c r="AB425" s="405"/>
      <c r="AC425" s="405"/>
      <c r="AD425" s="405"/>
      <c r="AE425" s="405"/>
      <c r="AF425" s="405"/>
      <c r="AG425" s="405"/>
      <c r="AH425" s="405"/>
      <c r="AI425" s="405"/>
      <c r="AJ425" s="405"/>
      <c r="AK425" s="405"/>
      <c r="AL425" s="405"/>
      <c r="AM425" s="406"/>
      <c r="AN425" s="406"/>
      <c r="AO425" s="406"/>
      <c r="AP425" s="406"/>
      <c r="AQ425" s="403"/>
      <c r="AR425" s="403"/>
      <c r="AS425" s="403"/>
      <c r="AT425" s="403"/>
      <c r="AU425" s="403"/>
      <c r="AV425" s="403"/>
      <c r="AW425" s="403"/>
      <c r="AX425" s="403"/>
      <c r="AY425" s="403"/>
    </row>
    <row r="426">
      <c r="A426" s="415"/>
      <c r="B426" s="415"/>
      <c r="C426" s="410"/>
      <c r="D426" s="429"/>
      <c r="E426" s="416"/>
      <c r="F426" s="413"/>
      <c r="G426" s="413"/>
      <c r="H426" s="415"/>
      <c r="I426" s="415"/>
      <c r="J426" s="415"/>
      <c r="K426" s="415"/>
      <c r="L426" s="417"/>
      <c r="M426" s="403"/>
      <c r="N426" s="403"/>
      <c r="O426" s="403"/>
      <c r="P426" s="403"/>
      <c r="Q426" s="403"/>
      <c r="R426" s="403"/>
      <c r="S426" s="403"/>
      <c r="T426" s="403"/>
      <c r="U426" s="403"/>
      <c r="V426" s="403"/>
      <c r="W426" s="404"/>
      <c r="X426" s="405"/>
      <c r="Y426" s="405"/>
      <c r="Z426" s="405"/>
      <c r="AA426" s="405"/>
      <c r="AB426" s="405"/>
      <c r="AC426" s="405"/>
      <c r="AD426" s="405"/>
      <c r="AE426" s="405"/>
      <c r="AF426" s="405"/>
      <c r="AG426" s="405"/>
      <c r="AH426" s="405"/>
      <c r="AI426" s="405"/>
      <c r="AJ426" s="405"/>
      <c r="AK426" s="405"/>
      <c r="AL426" s="405"/>
      <c r="AM426" s="406"/>
      <c r="AN426" s="406"/>
      <c r="AO426" s="406"/>
      <c r="AP426" s="406"/>
      <c r="AQ426" s="403"/>
      <c r="AR426" s="403"/>
      <c r="AS426" s="403"/>
      <c r="AT426" s="403"/>
      <c r="AU426" s="403"/>
      <c r="AV426" s="403"/>
      <c r="AW426" s="403"/>
      <c r="AX426" s="403"/>
      <c r="AY426" s="403"/>
    </row>
    <row r="427">
      <c r="A427" s="415"/>
      <c r="B427" s="415"/>
      <c r="C427" s="410"/>
      <c r="D427" s="429"/>
      <c r="E427" s="416"/>
      <c r="F427" s="413"/>
      <c r="G427" s="413"/>
      <c r="H427" s="415"/>
      <c r="I427" s="415"/>
      <c r="J427" s="415"/>
      <c r="K427" s="415"/>
      <c r="L427" s="417"/>
      <c r="M427" s="403"/>
      <c r="N427" s="403"/>
      <c r="O427" s="403"/>
      <c r="P427" s="403"/>
      <c r="Q427" s="403"/>
      <c r="R427" s="403"/>
      <c r="S427" s="403"/>
      <c r="T427" s="403"/>
      <c r="U427" s="403"/>
      <c r="V427" s="403"/>
      <c r="W427" s="404"/>
      <c r="X427" s="405"/>
      <c r="Y427" s="405"/>
      <c r="Z427" s="405"/>
      <c r="AA427" s="405"/>
      <c r="AB427" s="405"/>
      <c r="AC427" s="405"/>
      <c r="AD427" s="405"/>
      <c r="AE427" s="405"/>
      <c r="AF427" s="405"/>
      <c r="AG427" s="405"/>
      <c r="AH427" s="405"/>
      <c r="AI427" s="405"/>
      <c r="AJ427" s="405"/>
      <c r="AK427" s="405"/>
      <c r="AL427" s="405"/>
      <c r="AM427" s="406"/>
      <c r="AN427" s="406"/>
      <c r="AO427" s="406"/>
      <c r="AP427" s="406"/>
      <c r="AQ427" s="403"/>
      <c r="AR427" s="403"/>
      <c r="AS427" s="403"/>
      <c r="AT427" s="403"/>
      <c r="AU427" s="403"/>
      <c r="AV427" s="403"/>
      <c r="AW427" s="403"/>
      <c r="AX427" s="403"/>
      <c r="AY427" s="403"/>
    </row>
    <row r="428">
      <c r="A428" s="415"/>
      <c r="B428" s="415"/>
      <c r="C428" s="410"/>
      <c r="D428" s="429"/>
      <c r="E428" s="416"/>
      <c r="F428" s="413"/>
      <c r="G428" s="413"/>
      <c r="H428" s="415"/>
      <c r="I428" s="415"/>
      <c r="J428" s="415"/>
      <c r="K428" s="415"/>
      <c r="L428" s="417"/>
      <c r="M428" s="403"/>
      <c r="N428" s="403"/>
      <c r="O428" s="403"/>
      <c r="P428" s="403"/>
      <c r="Q428" s="403"/>
      <c r="R428" s="403"/>
      <c r="S428" s="403"/>
      <c r="T428" s="403"/>
      <c r="U428" s="403"/>
      <c r="V428" s="403"/>
      <c r="W428" s="404"/>
      <c r="X428" s="405"/>
      <c r="Y428" s="405"/>
      <c r="Z428" s="405"/>
      <c r="AA428" s="405"/>
      <c r="AB428" s="405"/>
      <c r="AC428" s="405"/>
      <c r="AD428" s="405"/>
      <c r="AE428" s="405"/>
      <c r="AF428" s="405"/>
      <c r="AG428" s="405"/>
      <c r="AH428" s="405"/>
      <c r="AI428" s="405"/>
      <c r="AJ428" s="405"/>
      <c r="AK428" s="405"/>
      <c r="AL428" s="405"/>
      <c r="AM428" s="406"/>
      <c r="AN428" s="406"/>
      <c r="AO428" s="406"/>
      <c r="AP428" s="406"/>
      <c r="AQ428" s="403"/>
      <c r="AR428" s="403"/>
      <c r="AS428" s="403"/>
      <c r="AT428" s="403"/>
      <c r="AU428" s="403"/>
      <c r="AV428" s="403"/>
      <c r="AW428" s="403"/>
      <c r="AX428" s="403"/>
      <c r="AY428" s="403"/>
    </row>
    <row r="429">
      <c r="A429" s="415"/>
      <c r="B429" s="415"/>
      <c r="C429" s="410"/>
      <c r="D429" s="429"/>
      <c r="E429" s="416"/>
      <c r="F429" s="413"/>
      <c r="G429" s="413"/>
      <c r="H429" s="415"/>
      <c r="I429" s="415"/>
      <c r="J429" s="415"/>
      <c r="K429" s="415"/>
      <c r="L429" s="417"/>
      <c r="M429" s="403"/>
      <c r="N429" s="403"/>
      <c r="O429" s="403"/>
      <c r="P429" s="403"/>
      <c r="Q429" s="403"/>
      <c r="R429" s="403"/>
      <c r="S429" s="403"/>
      <c r="T429" s="403"/>
      <c r="U429" s="403"/>
      <c r="V429" s="403"/>
      <c r="W429" s="404"/>
      <c r="X429" s="405"/>
      <c r="Y429" s="405"/>
      <c r="Z429" s="405"/>
      <c r="AA429" s="405"/>
      <c r="AB429" s="405"/>
      <c r="AC429" s="405"/>
      <c r="AD429" s="405"/>
      <c r="AE429" s="405"/>
      <c r="AF429" s="405"/>
      <c r="AG429" s="405"/>
      <c r="AH429" s="405"/>
      <c r="AI429" s="405"/>
      <c r="AJ429" s="405"/>
      <c r="AK429" s="405"/>
      <c r="AL429" s="405"/>
      <c r="AM429" s="406"/>
      <c r="AN429" s="406"/>
      <c r="AO429" s="406"/>
      <c r="AP429" s="406"/>
      <c r="AQ429" s="403"/>
      <c r="AR429" s="403"/>
      <c r="AS429" s="403"/>
      <c r="AT429" s="403"/>
      <c r="AU429" s="403"/>
      <c r="AV429" s="403"/>
      <c r="AW429" s="403"/>
      <c r="AX429" s="403"/>
      <c r="AY429" s="403"/>
    </row>
    <row r="430">
      <c r="A430" s="415"/>
      <c r="B430" s="415"/>
      <c r="C430" s="410"/>
      <c r="D430" s="429"/>
      <c r="E430" s="416"/>
      <c r="F430" s="413"/>
      <c r="G430" s="413"/>
      <c r="H430" s="415"/>
      <c r="I430" s="415"/>
      <c r="J430" s="415"/>
      <c r="K430" s="415"/>
      <c r="L430" s="417"/>
      <c r="M430" s="403"/>
      <c r="N430" s="403"/>
      <c r="O430" s="403"/>
      <c r="P430" s="403"/>
      <c r="Q430" s="403"/>
      <c r="R430" s="403"/>
      <c r="S430" s="403"/>
      <c r="T430" s="403"/>
      <c r="U430" s="403"/>
      <c r="V430" s="403"/>
      <c r="W430" s="404"/>
      <c r="X430" s="405"/>
      <c r="Y430" s="405"/>
      <c r="Z430" s="405"/>
      <c r="AA430" s="405"/>
      <c r="AB430" s="405"/>
      <c r="AC430" s="405"/>
      <c r="AD430" s="405"/>
      <c r="AE430" s="405"/>
      <c r="AF430" s="405"/>
      <c r="AG430" s="405"/>
      <c r="AH430" s="405"/>
      <c r="AI430" s="405"/>
      <c r="AJ430" s="405"/>
      <c r="AK430" s="405"/>
      <c r="AL430" s="405"/>
      <c r="AM430" s="406"/>
      <c r="AN430" s="406"/>
      <c r="AO430" s="406"/>
      <c r="AP430" s="406"/>
      <c r="AQ430" s="403"/>
      <c r="AR430" s="403"/>
      <c r="AS430" s="403"/>
      <c r="AT430" s="403"/>
      <c r="AU430" s="403"/>
      <c r="AV430" s="403"/>
      <c r="AW430" s="403"/>
      <c r="AX430" s="403"/>
      <c r="AY430" s="403"/>
    </row>
    <row r="431">
      <c r="A431" s="415"/>
      <c r="B431" s="415"/>
      <c r="C431" s="410"/>
      <c r="D431" s="429"/>
      <c r="E431" s="416"/>
      <c r="F431" s="413"/>
      <c r="G431" s="413"/>
      <c r="H431" s="415"/>
      <c r="I431" s="415"/>
      <c r="J431" s="415"/>
      <c r="K431" s="415"/>
      <c r="L431" s="417"/>
      <c r="M431" s="403"/>
      <c r="N431" s="403"/>
      <c r="O431" s="403"/>
      <c r="P431" s="403"/>
      <c r="Q431" s="403"/>
      <c r="R431" s="403"/>
      <c r="S431" s="403"/>
      <c r="T431" s="403"/>
      <c r="U431" s="403"/>
      <c r="V431" s="403"/>
      <c r="W431" s="404"/>
      <c r="X431" s="405"/>
      <c r="Y431" s="405"/>
      <c r="Z431" s="405"/>
      <c r="AA431" s="405"/>
      <c r="AB431" s="405"/>
      <c r="AC431" s="405"/>
      <c r="AD431" s="405"/>
      <c r="AE431" s="405"/>
      <c r="AF431" s="405"/>
      <c r="AG431" s="405"/>
      <c r="AH431" s="405"/>
      <c r="AI431" s="405"/>
      <c r="AJ431" s="405"/>
      <c r="AK431" s="405"/>
      <c r="AL431" s="405"/>
      <c r="AM431" s="406"/>
      <c r="AN431" s="406"/>
      <c r="AO431" s="406"/>
      <c r="AP431" s="406"/>
      <c r="AQ431" s="403"/>
      <c r="AR431" s="403"/>
      <c r="AS431" s="403"/>
      <c r="AT431" s="403"/>
      <c r="AU431" s="403"/>
      <c r="AV431" s="403"/>
      <c r="AW431" s="403"/>
      <c r="AX431" s="403"/>
      <c r="AY431" s="403"/>
    </row>
    <row r="432">
      <c r="A432" s="415"/>
      <c r="B432" s="415"/>
      <c r="C432" s="410"/>
      <c r="D432" s="429"/>
      <c r="E432" s="416"/>
      <c r="F432" s="413"/>
      <c r="G432" s="413"/>
      <c r="H432" s="415"/>
      <c r="I432" s="415"/>
      <c r="J432" s="415"/>
      <c r="K432" s="415"/>
      <c r="L432" s="417"/>
      <c r="M432" s="403"/>
      <c r="N432" s="403"/>
      <c r="O432" s="403"/>
      <c r="P432" s="403"/>
      <c r="Q432" s="403"/>
      <c r="R432" s="403"/>
      <c r="S432" s="403"/>
      <c r="T432" s="403"/>
      <c r="U432" s="403"/>
      <c r="V432" s="403"/>
      <c r="W432" s="404"/>
      <c r="X432" s="405"/>
      <c r="Y432" s="405"/>
      <c r="Z432" s="405"/>
      <c r="AA432" s="405"/>
      <c r="AB432" s="405"/>
      <c r="AC432" s="405"/>
      <c r="AD432" s="405"/>
      <c r="AE432" s="405"/>
      <c r="AF432" s="405"/>
      <c r="AG432" s="405"/>
      <c r="AH432" s="405"/>
      <c r="AI432" s="405"/>
      <c r="AJ432" s="405"/>
      <c r="AK432" s="405"/>
      <c r="AL432" s="405"/>
      <c r="AM432" s="406"/>
      <c r="AN432" s="406"/>
      <c r="AO432" s="406"/>
      <c r="AP432" s="406"/>
      <c r="AQ432" s="403"/>
      <c r="AR432" s="403"/>
      <c r="AS432" s="403"/>
      <c r="AT432" s="403"/>
      <c r="AU432" s="403"/>
      <c r="AV432" s="403"/>
      <c r="AW432" s="403"/>
      <c r="AX432" s="403"/>
      <c r="AY432" s="403"/>
    </row>
    <row r="433">
      <c r="A433" s="415"/>
      <c r="B433" s="415"/>
      <c r="C433" s="410"/>
      <c r="D433" s="429"/>
      <c r="E433" s="416"/>
      <c r="F433" s="413"/>
      <c r="G433" s="413"/>
      <c r="H433" s="415"/>
      <c r="I433" s="415"/>
      <c r="J433" s="415"/>
      <c r="K433" s="415"/>
      <c r="L433" s="417"/>
      <c r="M433" s="403"/>
      <c r="N433" s="403"/>
      <c r="O433" s="403"/>
      <c r="P433" s="403"/>
      <c r="Q433" s="403"/>
      <c r="R433" s="403"/>
      <c r="S433" s="403"/>
      <c r="T433" s="403"/>
      <c r="U433" s="403"/>
      <c r="V433" s="403"/>
      <c r="W433" s="404"/>
      <c r="X433" s="405"/>
      <c r="Y433" s="405"/>
      <c r="Z433" s="405"/>
      <c r="AA433" s="405"/>
      <c r="AB433" s="405"/>
      <c r="AC433" s="405"/>
      <c r="AD433" s="405"/>
      <c r="AE433" s="405"/>
      <c r="AF433" s="405"/>
      <c r="AG433" s="405"/>
      <c r="AH433" s="405"/>
      <c r="AI433" s="405"/>
      <c r="AJ433" s="405"/>
      <c r="AK433" s="405"/>
      <c r="AL433" s="405"/>
      <c r="AM433" s="406"/>
      <c r="AN433" s="406"/>
      <c r="AO433" s="406"/>
      <c r="AP433" s="406"/>
      <c r="AQ433" s="403"/>
      <c r="AR433" s="403"/>
      <c r="AS433" s="403"/>
      <c r="AT433" s="403"/>
      <c r="AU433" s="403"/>
      <c r="AV433" s="403"/>
      <c r="AW433" s="403"/>
      <c r="AX433" s="403"/>
      <c r="AY433" s="403"/>
    </row>
    <row r="434">
      <c r="A434" s="415"/>
      <c r="B434" s="415"/>
      <c r="C434" s="410"/>
      <c r="D434" s="429"/>
      <c r="E434" s="416"/>
      <c r="F434" s="413"/>
      <c r="G434" s="413"/>
      <c r="H434" s="415"/>
      <c r="I434" s="415"/>
      <c r="J434" s="415"/>
      <c r="K434" s="415"/>
      <c r="L434" s="417"/>
      <c r="M434" s="403"/>
      <c r="N434" s="403"/>
      <c r="O434" s="403"/>
      <c r="P434" s="403"/>
      <c r="Q434" s="403"/>
      <c r="R434" s="403"/>
      <c r="S434" s="403"/>
      <c r="T434" s="403"/>
      <c r="U434" s="403"/>
      <c r="V434" s="403"/>
      <c r="W434" s="404"/>
      <c r="X434" s="405"/>
      <c r="Y434" s="405"/>
      <c r="Z434" s="405"/>
      <c r="AA434" s="405"/>
      <c r="AB434" s="405"/>
      <c r="AC434" s="405"/>
      <c r="AD434" s="405"/>
      <c r="AE434" s="405"/>
      <c r="AF434" s="405"/>
      <c r="AG434" s="405"/>
      <c r="AH434" s="405"/>
      <c r="AI434" s="405"/>
      <c r="AJ434" s="405"/>
      <c r="AK434" s="405"/>
      <c r="AL434" s="405"/>
      <c r="AM434" s="406"/>
      <c r="AN434" s="406"/>
      <c r="AO434" s="406"/>
      <c r="AP434" s="406"/>
      <c r="AQ434" s="403"/>
      <c r="AR434" s="403"/>
      <c r="AS434" s="403"/>
      <c r="AT434" s="403"/>
      <c r="AU434" s="403"/>
      <c r="AV434" s="403"/>
      <c r="AW434" s="403"/>
      <c r="AX434" s="403"/>
      <c r="AY434" s="403"/>
    </row>
    <row r="435">
      <c r="A435" s="415"/>
      <c r="B435" s="415"/>
      <c r="C435" s="410"/>
      <c r="D435" s="429"/>
      <c r="E435" s="416"/>
      <c r="F435" s="413"/>
      <c r="G435" s="413"/>
      <c r="H435" s="415"/>
      <c r="I435" s="415"/>
      <c r="J435" s="415"/>
      <c r="K435" s="415"/>
      <c r="L435" s="417"/>
      <c r="M435" s="403"/>
      <c r="N435" s="403"/>
      <c r="O435" s="403"/>
      <c r="P435" s="403"/>
      <c r="Q435" s="403"/>
      <c r="R435" s="403"/>
      <c r="S435" s="403"/>
      <c r="T435" s="403"/>
      <c r="U435" s="403"/>
      <c r="V435" s="403"/>
      <c r="W435" s="404"/>
      <c r="X435" s="405"/>
      <c r="Y435" s="405"/>
      <c r="Z435" s="405"/>
      <c r="AA435" s="405"/>
      <c r="AB435" s="405"/>
      <c r="AC435" s="405"/>
      <c r="AD435" s="405"/>
      <c r="AE435" s="405"/>
      <c r="AF435" s="405"/>
      <c r="AG435" s="405"/>
      <c r="AH435" s="405"/>
      <c r="AI435" s="405"/>
      <c r="AJ435" s="405"/>
      <c r="AK435" s="405"/>
      <c r="AL435" s="405"/>
      <c r="AM435" s="406"/>
      <c r="AN435" s="406"/>
      <c r="AO435" s="406"/>
      <c r="AP435" s="406"/>
      <c r="AQ435" s="403"/>
      <c r="AR435" s="403"/>
      <c r="AS435" s="403"/>
      <c r="AT435" s="403"/>
      <c r="AU435" s="403"/>
      <c r="AV435" s="403"/>
      <c r="AW435" s="403"/>
      <c r="AX435" s="403"/>
      <c r="AY435" s="403"/>
    </row>
    <row r="436">
      <c r="A436" s="415"/>
      <c r="B436" s="415"/>
      <c r="C436" s="410"/>
      <c r="D436" s="429"/>
      <c r="E436" s="416"/>
      <c r="F436" s="413"/>
      <c r="G436" s="413"/>
      <c r="H436" s="415"/>
      <c r="I436" s="415"/>
      <c r="J436" s="415"/>
      <c r="K436" s="415"/>
      <c r="L436" s="417"/>
      <c r="M436" s="403"/>
      <c r="N436" s="403"/>
      <c r="O436" s="403"/>
      <c r="P436" s="403"/>
      <c r="Q436" s="403"/>
      <c r="R436" s="403"/>
      <c r="S436" s="403"/>
      <c r="T436" s="403"/>
      <c r="U436" s="403"/>
      <c r="V436" s="403"/>
      <c r="W436" s="404"/>
      <c r="X436" s="405"/>
      <c r="Y436" s="405"/>
      <c r="Z436" s="405"/>
      <c r="AA436" s="405"/>
      <c r="AB436" s="405"/>
      <c r="AC436" s="405"/>
      <c r="AD436" s="405"/>
      <c r="AE436" s="405"/>
      <c r="AF436" s="405"/>
      <c r="AG436" s="405"/>
      <c r="AH436" s="405"/>
      <c r="AI436" s="405"/>
      <c r="AJ436" s="405"/>
      <c r="AK436" s="405"/>
      <c r="AL436" s="405"/>
      <c r="AM436" s="406"/>
      <c r="AN436" s="406"/>
      <c r="AO436" s="406"/>
      <c r="AP436" s="406"/>
      <c r="AQ436" s="403"/>
      <c r="AR436" s="403"/>
      <c r="AS436" s="403"/>
      <c r="AT436" s="403"/>
      <c r="AU436" s="403"/>
      <c r="AV436" s="403"/>
      <c r="AW436" s="403"/>
      <c r="AX436" s="403"/>
      <c r="AY436" s="403"/>
    </row>
    <row r="437">
      <c r="A437" s="415"/>
      <c r="B437" s="415"/>
      <c r="C437" s="410"/>
      <c r="D437" s="429"/>
      <c r="E437" s="416"/>
      <c r="F437" s="413"/>
      <c r="G437" s="413"/>
      <c r="H437" s="415"/>
      <c r="I437" s="415"/>
      <c r="J437" s="415"/>
      <c r="K437" s="415"/>
      <c r="L437" s="417"/>
      <c r="M437" s="403"/>
      <c r="N437" s="403"/>
      <c r="O437" s="403"/>
      <c r="P437" s="403"/>
      <c r="Q437" s="403"/>
      <c r="R437" s="403"/>
      <c r="S437" s="403"/>
      <c r="T437" s="403"/>
      <c r="U437" s="403"/>
      <c r="V437" s="403"/>
      <c r="W437" s="404"/>
      <c r="X437" s="405"/>
      <c r="Y437" s="405"/>
      <c r="Z437" s="405"/>
      <c r="AA437" s="405"/>
      <c r="AB437" s="405"/>
      <c r="AC437" s="405"/>
      <c r="AD437" s="405"/>
      <c r="AE437" s="405"/>
      <c r="AF437" s="405"/>
      <c r="AG437" s="405"/>
      <c r="AH437" s="405"/>
      <c r="AI437" s="405"/>
      <c r="AJ437" s="405"/>
      <c r="AK437" s="405"/>
      <c r="AL437" s="405"/>
      <c r="AM437" s="406"/>
      <c r="AN437" s="406"/>
      <c r="AO437" s="406"/>
      <c r="AP437" s="406"/>
      <c r="AQ437" s="403"/>
      <c r="AR437" s="403"/>
      <c r="AS437" s="403"/>
      <c r="AT437" s="403"/>
      <c r="AU437" s="403"/>
      <c r="AV437" s="403"/>
      <c r="AW437" s="403"/>
      <c r="AX437" s="403"/>
      <c r="AY437" s="403"/>
    </row>
    <row r="438">
      <c r="A438" s="415"/>
      <c r="B438" s="415"/>
      <c r="C438" s="410"/>
      <c r="D438" s="429"/>
      <c r="E438" s="416"/>
      <c r="F438" s="413"/>
      <c r="G438" s="413"/>
      <c r="H438" s="415"/>
      <c r="I438" s="415"/>
      <c r="J438" s="415"/>
      <c r="K438" s="415"/>
      <c r="L438" s="417"/>
      <c r="M438" s="403"/>
      <c r="N438" s="403"/>
      <c r="O438" s="403"/>
      <c r="P438" s="403"/>
      <c r="Q438" s="403"/>
      <c r="R438" s="403"/>
      <c r="S438" s="403"/>
      <c r="T438" s="403"/>
      <c r="U438" s="403"/>
      <c r="V438" s="403"/>
      <c r="W438" s="404"/>
      <c r="X438" s="405"/>
      <c r="Y438" s="405"/>
      <c r="Z438" s="405"/>
      <c r="AA438" s="405"/>
      <c r="AB438" s="405"/>
      <c r="AC438" s="405"/>
      <c r="AD438" s="405"/>
      <c r="AE438" s="405"/>
      <c r="AF438" s="405"/>
      <c r="AG438" s="405"/>
      <c r="AH438" s="405"/>
      <c r="AI438" s="405"/>
      <c r="AJ438" s="405"/>
      <c r="AK438" s="405"/>
      <c r="AL438" s="405"/>
      <c r="AM438" s="406"/>
      <c r="AN438" s="406"/>
      <c r="AO438" s="406"/>
      <c r="AP438" s="406"/>
      <c r="AQ438" s="403"/>
      <c r="AR438" s="403"/>
      <c r="AS438" s="403"/>
      <c r="AT438" s="403"/>
      <c r="AU438" s="403"/>
      <c r="AV438" s="403"/>
      <c r="AW438" s="403"/>
      <c r="AX438" s="403"/>
      <c r="AY438" s="403"/>
    </row>
    <row r="439">
      <c r="A439" s="415"/>
      <c r="B439" s="415"/>
      <c r="C439" s="410"/>
      <c r="D439" s="429"/>
      <c r="E439" s="416"/>
      <c r="F439" s="413"/>
      <c r="G439" s="413"/>
      <c r="H439" s="415"/>
      <c r="I439" s="415"/>
      <c r="J439" s="415"/>
      <c r="K439" s="415"/>
      <c r="L439" s="417"/>
      <c r="M439" s="403"/>
      <c r="N439" s="403"/>
      <c r="O439" s="403"/>
      <c r="P439" s="403"/>
      <c r="Q439" s="403"/>
      <c r="R439" s="403"/>
      <c r="S439" s="403"/>
      <c r="T439" s="403"/>
      <c r="U439" s="403"/>
      <c r="V439" s="403"/>
      <c r="W439" s="404"/>
      <c r="X439" s="405"/>
      <c r="Y439" s="405"/>
      <c r="Z439" s="405"/>
      <c r="AA439" s="405"/>
      <c r="AB439" s="405"/>
      <c r="AC439" s="405"/>
      <c r="AD439" s="405"/>
      <c r="AE439" s="405"/>
      <c r="AF439" s="405"/>
      <c r="AG439" s="405"/>
      <c r="AH439" s="405"/>
      <c r="AI439" s="405"/>
      <c r="AJ439" s="405"/>
      <c r="AK439" s="405"/>
      <c r="AL439" s="405"/>
      <c r="AM439" s="406"/>
      <c r="AN439" s="406"/>
      <c r="AO439" s="406"/>
      <c r="AP439" s="406"/>
      <c r="AQ439" s="403"/>
      <c r="AR439" s="403"/>
      <c r="AS439" s="403"/>
      <c r="AT439" s="403"/>
      <c r="AU439" s="403"/>
      <c r="AV439" s="403"/>
      <c r="AW439" s="403"/>
      <c r="AX439" s="403"/>
      <c r="AY439" s="403"/>
    </row>
    <row r="440">
      <c r="A440" s="415"/>
      <c r="B440" s="415"/>
      <c r="C440" s="410"/>
      <c r="D440" s="429"/>
      <c r="E440" s="416"/>
      <c r="F440" s="413"/>
      <c r="G440" s="413"/>
      <c r="H440" s="415"/>
      <c r="I440" s="415"/>
      <c r="J440" s="415"/>
      <c r="K440" s="415"/>
      <c r="L440" s="417"/>
      <c r="M440" s="403"/>
      <c r="N440" s="403"/>
      <c r="O440" s="403"/>
      <c r="P440" s="403"/>
      <c r="Q440" s="403"/>
      <c r="R440" s="403"/>
      <c r="S440" s="403"/>
      <c r="T440" s="403"/>
      <c r="U440" s="403"/>
      <c r="V440" s="403"/>
      <c r="W440" s="404"/>
      <c r="X440" s="405"/>
      <c r="Y440" s="405"/>
      <c r="Z440" s="405"/>
      <c r="AA440" s="405"/>
      <c r="AB440" s="405"/>
      <c r="AC440" s="405"/>
      <c r="AD440" s="405"/>
      <c r="AE440" s="405"/>
      <c r="AF440" s="405"/>
      <c r="AG440" s="405"/>
      <c r="AH440" s="405"/>
      <c r="AI440" s="405"/>
      <c r="AJ440" s="405"/>
      <c r="AK440" s="405"/>
      <c r="AL440" s="405"/>
      <c r="AM440" s="406"/>
      <c r="AN440" s="406"/>
      <c r="AO440" s="406"/>
      <c r="AP440" s="406"/>
      <c r="AQ440" s="403"/>
      <c r="AR440" s="403"/>
      <c r="AS440" s="403"/>
      <c r="AT440" s="403"/>
      <c r="AU440" s="403"/>
      <c r="AV440" s="403"/>
      <c r="AW440" s="403"/>
      <c r="AX440" s="403"/>
      <c r="AY440" s="403"/>
    </row>
    <row r="441">
      <c r="A441" s="415"/>
      <c r="B441" s="415"/>
      <c r="C441" s="410"/>
      <c r="D441" s="429"/>
      <c r="E441" s="416"/>
      <c r="F441" s="413"/>
      <c r="G441" s="413"/>
      <c r="H441" s="415"/>
      <c r="I441" s="415"/>
      <c r="J441" s="415"/>
      <c r="K441" s="415"/>
      <c r="L441" s="417"/>
      <c r="M441" s="403"/>
      <c r="N441" s="403"/>
      <c r="O441" s="403"/>
      <c r="P441" s="403"/>
      <c r="Q441" s="403"/>
      <c r="R441" s="403"/>
      <c r="S441" s="403"/>
      <c r="T441" s="403"/>
      <c r="U441" s="403"/>
      <c r="V441" s="403"/>
      <c r="W441" s="404"/>
      <c r="X441" s="405"/>
      <c r="Y441" s="405"/>
      <c r="Z441" s="405"/>
      <c r="AA441" s="405"/>
      <c r="AB441" s="405"/>
      <c r="AC441" s="405"/>
      <c r="AD441" s="405"/>
      <c r="AE441" s="405"/>
      <c r="AF441" s="405"/>
      <c r="AG441" s="405"/>
      <c r="AH441" s="405"/>
      <c r="AI441" s="405"/>
      <c r="AJ441" s="405"/>
      <c r="AK441" s="405"/>
      <c r="AL441" s="405"/>
      <c r="AM441" s="406"/>
      <c r="AN441" s="406"/>
      <c r="AO441" s="406"/>
      <c r="AP441" s="406"/>
      <c r="AQ441" s="403"/>
      <c r="AR441" s="403"/>
      <c r="AS441" s="403"/>
      <c r="AT441" s="403"/>
      <c r="AU441" s="403"/>
      <c r="AV441" s="403"/>
      <c r="AW441" s="403"/>
      <c r="AX441" s="403"/>
      <c r="AY441" s="403"/>
    </row>
    <row r="442">
      <c r="A442" s="415"/>
      <c r="B442" s="415"/>
      <c r="C442" s="410"/>
      <c r="D442" s="429"/>
      <c r="E442" s="416"/>
      <c r="F442" s="413"/>
      <c r="G442" s="413"/>
      <c r="H442" s="415"/>
      <c r="I442" s="415"/>
      <c r="J442" s="415"/>
      <c r="K442" s="415"/>
      <c r="L442" s="417"/>
      <c r="M442" s="403"/>
      <c r="N442" s="403"/>
      <c r="O442" s="403"/>
      <c r="P442" s="403"/>
      <c r="Q442" s="403"/>
      <c r="R442" s="403"/>
      <c r="S442" s="403"/>
      <c r="T442" s="403"/>
      <c r="U442" s="403"/>
      <c r="V442" s="403"/>
      <c r="W442" s="404"/>
      <c r="X442" s="405"/>
      <c r="Y442" s="405"/>
      <c r="Z442" s="405"/>
      <c r="AA442" s="405"/>
      <c r="AB442" s="405"/>
      <c r="AC442" s="405"/>
      <c r="AD442" s="405"/>
      <c r="AE442" s="405"/>
      <c r="AF442" s="405"/>
      <c r="AG442" s="405"/>
      <c r="AH442" s="405"/>
      <c r="AI442" s="405"/>
      <c r="AJ442" s="405"/>
      <c r="AK442" s="405"/>
      <c r="AL442" s="405"/>
      <c r="AM442" s="406"/>
      <c r="AN442" s="406"/>
      <c r="AO442" s="406"/>
      <c r="AP442" s="406"/>
      <c r="AQ442" s="403"/>
      <c r="AR442" s="403"/>
      <c r="AS442" s="403"/>
      <c r="AT442" s="403"/>
      <c r="AU442" s="403"/>
      <c r="AV442" s="403"/>
      <c r="AW442" s="403"/>
      <c r="AX442" s="403"/>
      <c r="AY442" s="403"/>
    </row>
    <row r="443">
      <c r="A443" s="415"/>
      <c r="B443" s="415"/>
      <c r="C443" s="410"/>
      <c r="D443" s="429"/>
      <c r="E443" s="416"/>
      <c r="F443" s="413"/>
      <c r="G443" s="413"/>
      <c r="H443" s="415"/>
      <c r="I443" s="415"/>
      <c r="J443" s="415"/>
      <c r="K443" s="415"/>
      <c r="L443" s="417"/>
      <c r="M443" s="403"/>
      <c r="N443" s="403"/>
      <c r="O443" s="403"/>
      <c r="P443" s="403"/>
      <c r="Q443" s="403"/>
      <c r="R443" s="403"/>
      <c r="S443" s="403"/>
      <c r="T443" s="403"/>
      <c r="U443" s="403"/>
      <c r="V443" s="403"/>
      <c r="W443" s="404"/>
      <c r="X443" s="405"/>
      <c r="Y443" s="405"/>
      <c r="Z443" s="405"/>
      <c r="AA443" s="405"/>
      <c r="AB443" s="405"/>
      <c r="AC443" s="405"/>
      <c r="AD443" s="405"/>
      <c r="AE443" s="405"/>
      <c r="AF443" s="405"/>
      <c r="AG443" s="405"/>
      <c r="AH443" s="405"/>
      <c r="AI443" s="405"/>
      <c r="AJ443" s="405"/>
      <c r="AK443" s="405"/>
      <c r="AL443" s="405"/>
      <c r="AM443" s="406"/>
      <c r="AN443" s="406"/>
      <c r="AO443" s="406"/>
      <c r="AP443" s="406"/>
      <c r="AQ443" s="403"/>
      <c r="AR443" s="403"/>
      <c r="AS443" s="403"/>
      <c r="AT443" s="403"/>
      <c r="AU443" s="403"/>
      <c r="AV443" s="403"/>
      <c r="AW443" s="403"/>
      <c r="AX443" s="403"/>
      <c r="AY443" s="403"/>
    </row>
    <row r="444">
      <c r="A444" s="415"/>
      <c r="B444" s="415"/>
      <c r="C444" s="410"/>
      <c r="D444" s="429"/>
      <c r="E444" s="416"/>
      <c r="F444" s="413"/>
      <c r="G444" s="413"/>
      <c r="H444" s="415"/>
      <c r="I444" s="415"/>
      <c r="J444" s="415"/>
      <c r="K444" s="415"/>
      <c r="L444" s="417"/>
      <c r="M444" s="403"/>
      <c r="N444" s="403"/>
      <c r="O444" s="403"/>
      <c r="P444" s="403"/>
      <c r="Q444" s="403"/>
      <c r="R444" s="403"/>
      <c r="S444" s="403"/>
      <c r="T444" s="403"/>
      <c r="U444" s="403"/>
      <c r="V444" s="403"/>
      <c r="W444" s="404"/>
      <c r="X444" s="405"/>
      <c r="Y444" s="405"/>
      <c r="Z444" s="405"/>
      <c r="AA444" s="405"/>
      <c r="AB444" s="405"/>
      <c r="AC444" s="405"/>
      <c r="AD444" s="405"/>
      <c r="AE444" s="405"/>
      <c r="AF444" s="405"/>
      <c r="AG444" s="405"/>
      <c r="AH444" s="405"/>
      <c r="AI444" s="405"/>
      <c r="AJ444" s="405"/>
      <c r="AK444" s="405"/>
      <c r="AL444" s="405"/>
      <c r="AM444" s="406"/>
      <c r="AN444" s="406"/>
      <c r="AO444" s="406"/>
      <c r="AP444" s="406"/>
      <c r="AQ444" s="403"/>
      <c r="AR444" s="403"/>
      <c r="AS444" s="403"/>
      <c r="AT444" s="403"/>
      <c r="AU444" s="403"/>
      <c r="AV444" s="403"/>
      <c r="AW444" s="403"/>
      <c r="AX444" s="403"/>
      <c r="AY444" s="403"/>
    </row>
    <row r="445">
      <c r="A445" s="415"/>
      <c r="B445" s="415"/>
      <c r="C445" s="410"/>
      <c r="D445" s="429"/>
      <c r="E445" s="416"/>
      <c r="F445" s="413"/>
      <c r="G445" s="413"/>
      <c r="H445" s="415"/>
      <c r="I445" s="415"/>
      <c r="J445" s="415"/>
      <c r="K445" s="415"/>
      <c r="L445" s="417"/>
      <c r="M445" s="403"/>
      <c r="N445" s="403"/>
      <c r="O445" s="403"/>
      <c r="P445" s="403"/>
      <c r="Q445" s="403"/>
      <c r="R445" s="403"/>
      <c r="S445" s="403"/>
      <c r="T445" s="403"/>
      <c r="U445" s="403"/>
      <c r="V445" s="403"/>
      <c r="W445" s="404"/>
      <c r="X445" s="405"/>
      <c r="Y445" s="405"/>
      <c r="Z445" s="405"/>
      <c r="AA445" s="405"/>
      <c r="AB445" s="405"/>
      <c r="AC445" s="405"/>
      <c r="AD445" s="405"/>
      <c r="AE445" s="405"/>
      <c r="AF445" s="405"/>
      <c r="AG445" s="405"/>
      <c r="AH445" s="405"/>
      <c r="AI445" s="405"/>
      <c r="AJ445" s="405"/>
      <c r="AK445" s="405"/>
      <c r="AL445" s="405"/>
      <c r="AM445" s="406"/>
      <c r="AN445" s="406"/>
      <c r="AO445" s="406"/>
      <c r="AP445" s="406"/>
      <c r="AQ445" s="403"/>
      <c r="AR445" s="403"/>
      <c r="AS445" s="403"/>
      <c r="AT445" s="403"/>
      <c r="AU445" s="403"/>
      <c r="AV445" s="403"/>
      <c r="AW445" s="403"/>
      <c r="AX445" s="403"/>
      <c r="AY445" s="403"/>
    </row>
    <row r="446">
      <c r="A446" s="415"/>
      <c r="B446" s="415"/>
      <c r="C446" s="410"/>
      <c r="D446" s="429"/>
      <c r="E446" s="416"/>
      <c r="F446" s="413"/>
      <c r="G446" s="413"/>
      <c r="H446" s="415"/>
      <c r="I446" s="415"/>
      <c r="J446" s="415"/>
      <c r="K446" s="415"/>
      <c r="L446" s="417"/>
      <c r="M446" s="403"/>
      <c r="N446" s="403"/>
      <c r="O446" s="403"/>
      <c r="P446" s="403"/>
      <c r="Q446" s="403"/>
      <c r="R446" s="403"/>
      <c r="S446" s="403"/>
      <c r="T446" s="403"/>
      <c r="U446" s="403"/>
      <c r="V446" s="403"/>
      <c r="W446" s="404"/>
      <c r="X446" s="405"/>
      <c r="Y446" s="405"/>
      <c r="Z446" s="405"/>
      <c r="AA446" s="405"/>
      <c r="AB446" s="405"/>
      <c r="AC446" s="405"/>
      <c r="AD446" s="405"/>
      <c r="AE446" s="405"/>
      <c r="AF446" s="405"/>
      <c r="AG446" s="405"/>
      <c r="AH446" s="405"/>
      <c r="AI446" s="405"/>
      <c r="AJ446" s="405"/>
      <c r="AK446" s="405"/>
      <c r="AL446" s="405"/>
      <c r="AM446" s="406"/>
      <c r="AN446" s="406"/>
      <c r="AO446" s="406"/>
      <c r="AP446" s="406"/>
      <c r="AQ446" s="403"/>
      <c r="AR446" s="403"/>
      <c r="AS446" s="403"/>
      <c r="AT446" s="403"/>
      <c r="AU446" s="403"/>
      <c r="AV446" s="403"/>
      <c r="AW446" s="403"/>
      <c r="AX446" s="403"/>
      <c r="AY446" s="403"/>
    </row>
    <row r="447">
      <c r="A447" s="415"/>
      <c r="B447" s="415"/>
      <c r="C447" s="410"/>
      <c r="D447" s="429"/>
      <c r="E447" s="416"/>
      <c r="F447" s="413"/>
      <c r="G447" s="413"/>
      <c r="H447" s="415"/>
      <c r="I447" s="415"/>
      <c r="J447" s="415"/>
      <c r="K447" s="415"/>
      <c r="L447" s="417"/>
      <c r="M447" s="403"/>
      <c r="N447" s="403"/>
      <c r="O447" s="403"/>
      <c r="P447" s="403"/>
      <c r="Q447" s="403"/>
      <c r="R447" s="403"/>
      <c r="S447" s="403"/>
      <c r="T447" s="403"/>
      <c r="U447" s="403"/>
      <c r="V447" s="403"/>
      <c r="W447" s="404"/>
      <c r="X447" s="405"/>
      <c r="Y447" s="405"/>
      <c r="Z447" s="405"/>
      <c r="AA447" s="405"/>
      <c r="AB447" s="405"/>
      <c r="AC447" s="405"/>
      <c r="AD447" s="405"/>
      <c r="AE447" s="405"/>
      <c r="AF447" s="405"/>
      <c r="AG447" s="405"/>
      <c r="AH447" s="405"/>
      <c r="AI447" s="405"/>
      <c r="AJ447" s="405"/>
      <c r="AK447" s="405"/>
      <c r="AL447" s="405"/>
      <c r="AM447" s="406"/>
      <c r="AN447" s="406"/>
      <c r="AO447" s="406"/>
      <c r="AP447" s="406"/>
      <c r="AQ447" s="403"/>
      <c r="AR447" s="403"/>
      <c r="AS447" s="403"/>
      <c r="AT447" s="403"/>
      <c r="AU447" s="403"/>
      <c r="AV447" s="403"/>
      <c r="AW447" s="403"/>
      <c r="AX447" s="403"/>
      <c r="AY447" s="403"/>
    </row>
    <row r="448">
      <c r="A448" s="415"/>
      <c r="B448" s="415"/>
      <c r="C448" s="410"/>
      <c r="D448" s="429"/>
      <c r="E448" s="416"/>
      <c r="F448" s="413"/>
      <c r="G448" s="413"/>
      <c r="H448" s="415"/>
      <c r="I448" s="415"/>
      <c r="J448" s="415"/>
      <c r="K448" s="415"/>
      <c r="L448" s="417"/>
      <c r="M448" s="403"/>
      <c r="N448" s="403"/>
      <c r="O448" s="403"/>
      <c r="P448" s="403"/>
      <c r="Q448" s="403"/>
      <c r="R448" s="403"/>
      <c r="S448" s="403"/>
      <c r="T448" s="403"/>
      <c r="U448" s="403"/>
      <c r="V448" s="403"/>
      <c r="W448" s="404"/>
      <c r="X448" s="405"/>
      <c r="Y448" s="405"/>
      <c r="Z448" s="405"/>
      <c r="AA448" s="405"/>
      <c r="AB448" s="405"/>
      <c r="AC448" s="405"/>
      <c r="AD448" s="405"/>
      <c r="AE448" s="405"/>
      <c r="AF448" s="405"/>
      <c r="AG448" s="405"/>
      <c r="AH448" s="405"/>
      <c r="AI448" s="405"/>
      <c r="AJ448" s="405"/>
      <c r="AK448" s="405"/>
      <c r="AL448" s="405"/>
      <c r="AM448" s="406"/>
      <c r="AN448" s="406"/>
      <c r="AO448" s="406"/>
      <c r="AP448" s="406"/>
      <c r="AQ448" s="403"/>
      <c r="AR448" s="403"/>
      <c r="AS448" s="403"/>
      <c r="AT448" s="403"/>
      <c r="AU448" s="403"/>
      <c r="AV448" s="403"/>
      <c r="AW448" s="403"/>
      <c r="AX448" s="403"/>
      <c r="AY448" s="403"/>
    </row>
    <row r="449">
      <c r="A449" s="415"/>
      <c r="B449" s="415"/>
      <c r="C449" s="410"/>
      <c r="D449" s="429"/>
      <c r="E449" s="416"/>
      <c r="F449" s="413"/>
      <c r="G449" s="413"/>
      <c r="H449" s="415"/>
      <c r="I449" s="415"/>
      <c r="J449" s="415"/>
      <c r="K449" s="415"/>
      <c r="L449" s="417"/>
      <c r="M449" s="403"/>
      <c r="N449" s="403"/>
      <c r="O449" s="403"/>
      <c r="P449" s="403"/>
      <c r="Q449" s="403"/>
      <c r="R449" s="403"/>
      <c r="S449" s="403"/>
      <c r="T449" s="403"/>
      <c r="U449" s="403"/>
      <c r="V449" s="403"/>
      <c r="W449" s="404"/>
      <c r="X449" s="405"/>
      <c r="Y449" s="405"/>
      <c r="Z449" s="405"/>
      <c r="AA449" s="405"/>
      <c r="AB449" s="405"/>
      <c r="AC449" s="405"/>
      <c r="AD449" s="405"/>
      <c r="AE449" s="405"/>
      <c r="AF449" s="405"/>
      <c r="AG449" s="405"/>
      <c r="AH449" s="405"/>
      <c r="AI449" s="405"/>
      <c r="AJ449" s="405"/>
      <c r="AK449" s="405"/>
      <c r="AL449" s="405"/>
      <c r="AM449" s="406"/>
      <c r="AN449" s="406"/>
      <c r="AO449" s="406"/>
      <c r="AP449" s="406"/>
      <c r="AQ449" s="403"/>
      <c r="AR449" s="403"/>
      <c r="AS449" s="403"/>
      <c r="AT449" s="403"/>
      <c r="AU449" s="403"/>
      <c r="AV449" s="403"/>
      <c r="AW449" s="403"/>
      <c r="AX449" s="403"/>
      <c r="AY449" s="403"/>
    </row>
    <row r="450">
      <c r="A450" s="415"/>
      <c r="B450" s="415"/>
      <c r="C450" s="410"/>
      <c r="D450" s="429"/>
      <c r="E450" s="416"/>
      <c r="F450" s="413"/>
      <c r="G450" s="413"/>
      <c r="H450" s="415"/>
      <c r="I450" s="415"/>
      <c r="J450" s="415"/>
      <c r="K450" s="415"/>
      <c r="L450" s="417"/>
      <c r="M450" s="403"/>
      <c r="N450" s="403"/>
      <c r="O450" s="403"/>
      <c r="P450" s="403"/>
      <c r="Q450" s="403"/>
      <c r="R450" s="403"/>
      <c r="S450" s="403"/>
      <c r="T450" s="403"/>
      <c r="U450" s="403"/>
      <c r="V450" s="403"/>
      <c r="W450" s="404"/>
      <c r="X450" s="405"/>
      <c r="Y450" s="405"/>
      <c r="Z450" s="405"/>
      <c r="AA450" s="405"/>
      <c r="AB450" s="405"/>
      <c r="AC450" s="405"/>
      <c r="AD450" s="405"/>
      <c r="AE450" s="405"/>
      <c r="AF450" s="405"/>
      <c r="AG450" s="405"/>
      <c r="AH450" s="405"/>
      <c r="AI450" s="405"/>
      <c r="AJ450" s="405"/>
      <c r="AK450" s="405"/>
      <c r="AL450" s="405"/>
      <c r="AM450" s="406"/>
      <c r="AN450" s="406"/>
      <c r="AO450" s="406"/>
      <c r="AP450" s="406"/>
      <c r="AQ450" s="403"/>
      <c r="AR450" s="403"/>
      <c r="AS450" s="403"/>
      <c r="AT450" s="403"/>
      <c r="AU450" s="403"/>
      <c r="AV450" s="403"/>
      <c r="AW450" s="403"/>
      <c r="AX450" s="403"/>
      <c r="AY450" s="403"/>
    </row>
    <row r="451">
      <c r="A451" s="415"/>
      <c r="B451" s="415"/>
      <c r="C451" s="410"/>
      <c r="D451" s="429"/>
      <c r="E451" s="416"/>
      <c r="F451" s="413"/>
      <c r="G451" s="413"/>
      <c r="H451" s="415"/>
      <c r="I451" s="415"/>
      <c r="J451" s="415"/>
      <c r="K451" s="415"/>
      <c r="L451" s="417"/>
      <c r="M451" s="403"/>
      <c r="N451" s="403"/>
      <c r="O451" s="403"/>
      <c r="P451" s="403"/>
      <c r="Q451" s="403"/>
      <c r="R451" s="403"/>
      <c r="S451" s="403"/>
      <c r="T451" s="403"/>
      <c r="U451" s="403"/>
      <c r="V451" s="403"/>
      <c r="W451" s="404"/>
      <c r="X451" s="405"/>
      <c r="Y451" s="405"/>
      <c r="Z451" s="405"/>
      <c r="AA451" s="405"/>
      <c r="AB451" s="405"/>
      <c r="AC451" s="405"/>
      <c r="AD451" s="405"/>
      <c r="AE451" s="405"/>
      <c r="AF451" s="405"/>
      <c r="AG451" s="405"/>
      <c r="AH451" s="405"/>
      <c r="AI451" s="405"/>
      <c r="AJ451" s="405"/>
      <c r="AK451" s="405"/>
      <c r="AL451" s="405"/>
      <c r="AM451" s="406"/>
      <c r="AN451" s="406"/>
      <c r="AO451" s="406"/>
      <c r="AP451" s="406"/>
      <c r="AQ451" s="403"/>
      <c r="AR451" s="403"/>
      <c r="AS451" s="403"/>
      <c r="AT451" s="403"/>
      <c r="AU451" s="403"/>
      <c r="AV451" s="403"/>
      <c r="AW451" s="403"/>
      <c r="AX451" s="403"/>
      <c r="AY451" s="403"/>
    </row>
    <row r="452">
      <c r="A452" s="415"/>
      <c r="B452" s="415"/>
      <c r="C452" s="410"/>
      <c r="D452" s="429"/>
      <c r="E452" s="416"/>
      <c r="F452" s="413"/>
      <c r="G452" s="413"/>
      <c r="H452" s="415"/>
      <c r="I452" s="415"/>
      <c r="J452" s="415"/>
      <c r="K452" s="415"/>
      <c r="L452" s="417"/>
      <c r="M452" s="403"/>
      <c r="N452" s="403"/>
      <c r="O452" s="403"/>
      <c r="P452" s="403"/>
      <c r="Q452" s="403"/>
      <c r="R452" s="403"/>
      <c r="S452" s="403"/>
      <c r="T452" s="403"/>
      <c r="U452" s="403"/>
      <c r="V452" s="403"/>
      <c r="W452" s="404"/>
      <c r="X452" s="405"/>
      <c r="Y452" s="405"/>
      <c r="Z452" s="405"/>
      <c r="AA452" s="405"/>
      <c r="AB452" s="405"/>
      <c r="AC452" s="405"/>
      <c r="AD452" s="405"/>
      <c r="AE452" s="405"/>
      <c r="AF452" s="405"/>
      <c r="AG452" s="405"/>
      <c r="AH452" s="405"/>
      <c r="AI452" s="405"/>
      <c r="AJ452" s="405"/>
      <c r="AK452" s="405"/>
      <c r="AL452" s="405"/>
      <c r="AM452" s="406"/>
      <c r="AN452" s="406"/>
      <c r="AO452" s="406"/>
      <c r="AP452" s="406"/>
      <c r="AQ452" s="403"/>
      <c r="AR452" s="403"/>
      <c r="AS452" s="403"/>
      <c r="AT452" s="403"/>
      <c r="AU452" s="403"/>
      <c r="AV452" s="403"/>
      <c r="AW452" s="403"/>
      <c r="AX452" s="403"/>
      <c r="AY452" s="403"/>
    </row>
    <row r="453">
      <c r="A453" s="415"/>
      <c r="B453" s="415"/>
      <c r="C453" s="410"/>
      <c r="D453" s="429"/>
      <c r="E453" s="416"/>
      <c r="F453" s="413"/>
      <c r="G453" s="413"/>
      <c r="H453" s="415"/>
      <c r="I453" s="415"/>
      <c r="J453" s="415"/>
      <c r="K453" s="415"/>
      <c r="L453" s="417"/>
      <c r="M453" s="403"/>
      <c r="N453" s="403"/>
      <c r="O453" s="403"/>
      <c r="P453" s="403"/>
      <c r="Q453" s="403"/>
      <c r="R453" s="403"/>
      <c r="S453" s="403"/>
      <c r="T453" s="403"/>
      <c r="U453" s="403"/>
      <c r="V453" s="403"/>
      <c r="W453" s="404"/>
      <c r="X453" s="405"/>
      <c r="Y453" s="405"/>
      <c r="Z453" s="405"/>
      <c r="AA453" s="405"/>
      <c r="AB453" s="405"/>
      <c r="AC453" s="405"/>
      <c r="AD453" s="405"/>
      <c r="AE453" s="405"/>
      <c r="AF453" s="405"/>
      <c r="AG453" s="405"/>
      <c r="AH453" s="405"/>
      <c r="AI453" s="405"/>
      <c r="AJ453" s="405"/>
      <c r="AK453" s="405"/>
      <c r="AL453" s="405"/>
      <c r="AM453" s="406"/>
      <c r="AN453" s="406"/>
      <c r="AO453" s="406"/>
      <c r="AP453" s="406"/>
      <c r="AQ453" s="403"/>
      <c r="AR453" s="403"/>
      <c r="AS453" s="403"/>
      <c r="AT453" s="403"/>
      <c r="AU453" s="403"/>
      <c r="AV453" s="403"/>
      <c r="AW453" s="403"/>
      <c r="AX453" s="403"/>
      <c r="AY453" s="403"/>
    </row>
    <row r="454">
      <c r="A454" s="415"/>
      <c r="B454" s="415"/>
      <c r="C454" s="410"/>
      <c r="D454" s="429"/>
      <c r="E454" s="416"/>
      <c r="F454" s="413"/>
      <c r="G454" s="413"/>
      <c r="H454" s="415"/>
      <c r="I454" s="415"/>
      <c r="J454" s="415"/>
      <c r="K454" s="415"/>
      <c r="L454" s="417"/>
      <c r="M454" s="403"/>
      <c r="N454" s="403"/>
      <c r="O454" s="403"/>
      <c r="P454" s="403"/>
      <c r="Q454" s="403"/>
      <c r="R454" s="403"/>
      <c r="S454" s="403"/>
      <c r="T454" s="403"/>
      <c r="U454" s="403"/>
      <c r="V454" s="403"/>
      <c r="W454" s="404"/>
      <c r="X454" s="405"/>
      <c r="Y454" s="405"/>
      <c r="Z454" s="405"/>
      <c r="AA454" s="405"/>
      <c r="AB454" s="405"/>
      <c r="AC454" s="405"/>
      <c r="AD454" s="405"/>
      <c r="AE454" s="405"/>
      <c r="AF454" s="405"/>
      <c r="AG454" s="405"/>
      <c r="AH454" s="405"/>
      <c r="AI454" s="405"/>
      <c r="AJ454" s="405"/>
      <c r="AK454" s="405"/>
      <c r="AL454" s="405"/>
      <c r="AM454" s="406"/>
      <c r="AN454" s="406"/>
      <c r="AO454" s="406"/>
      <c r="AP454" s="406"/>
      <c r="AQ454" s="403"/>
      <c r="AR454" s="403"/>
      <c r="AS454" s="403"/>
      <c r="AT454" s="403"/>
      <c r="AU454" s="403"/>
      <c r="AV454" s="403"/>
      <c r="AW454" s="403"/>
      <c r="AX454" s="403"/>
      <c r="AY454" s="403"/>
    </row>
    <row r="455">
      <c r="A455" s="415"/>
      <c r="B455" s="415"/>
      <c r="C455" s="410"/>
      <c r="D455" s="429"/>
      <c r="E455" s="416"/>
      <c r="F455" s="413"/>
      <c r="G455" s="413"/>
      <c r="H455" s="415"/>
      <c r="I455" s="415"/>
      <c r="J455" s="415"/>
      <c r="K455" s="415"/>
      <c r="L455" s="417"/>
      <c r="M455" s="403"/>
      <c r="N455" s="403"/>
      <c r="O455" s="403"/>
      <c r="P455" s="403"/>
      <c r="Q455" s="403"/>
      <c r="R455" s="403"/>
      <c r="S455" s="403"/>
      <c r="T455" s="403"/>
      <c r="U455" s="403"/>
      <c r="V455" s="403"/>
      <c r="W455" s="404"/>
      <c r="X455" s="405"/>
      <c r="Y455" s="405"/>
      <c r="Z455" s="405"/>
      <c r="AA455" s="405"/>
      <c r="AB455" s="405"/>
      <c r="AC455" s="405"/>
      <c r="AD455" s="405"/>
      <c r="AE455" s="405"/>
      <c r="AF455" s="405"/>
      <c r="AG455" s="405"/>
      <c r="AH455" s="405"/>
      <c r="AI455" s="405"/>
      <c r="AJ455" s="405"/>
      <c r="AK455" s="405"/>
      <c r="AL455" s="405"/>
      <c r="AM455" s="406"/>
      <c r="AN455" s="406"/>
      <c r="AO455" s="406"/>
      <c r="AP455" s="406"/>
      <c r="AQ455" s="403"/>
      <c r="AR455" s="403"/>
      <c r="AS455" s="403"/>
      <c r="AT455" s="403"/>
      <c r="AU455" s="403"/>
      <c r="AV455" s="403"/>
      <c r="AW455" s="403"/>
      <c r="AX455" s="403"/>
      <c r="AY455" s="403"/>
    </row>
    <row r="456">
      <c r="A456" s="415"/>
      <c r="B456" s="415"/>
      <c r="C456" s="410"/>
      <c r="D456" s="429"/>
      <c r="E456" s="416"/>
      <c r="F456" s="413"/>
      <c r="G456" s="413"/>
      <c r="H456" s="415"/>
      <c r="I456" s="415"/>
      <c r="J456" s="415"/>
      <c r="K456" s="415"/>
      <c r="L456" s="417"/>
      <c r="M456" s="403"/>
      <c r="N456" s="403"/>
      <c r="O456" s="403"/>
      <c r="P456" s="403"/>
      <c r="Q456" s="403"/>
      <c r="R456" s="403"/>
      <c r="S456" s="403"/>
      <c r="T456" s="403"/>
      <c r="U456" s="403"/>
      <c r="V456" s="403"/>
      <c r="W456" s="404"/>
      <c r="X456" s="405"/>
      <c r="Y456" s="405"/>
      <c r="Z456" s="405"/>
      <c r="AA456" s="405"/>
      <c r="AB456" s="405"/>
      <c r="AC456" s="405"/>
      <c r="AD456" s="405"/>
      <c r="AE456" s="405"/>
      <c r="AF456" s="405"/>
      <c r="AG456" s="405"/>
      <c r="AH456" s="405"/>
      <c r="AI456" s="405"/>
      <c r="AJ456" s="405"/>
      <c r="AK456" s="405"/>
      <c r="AL456" s="405"/>
      <c r="AM456" s="406"/>
      <c r="AN456" s="406"/>
      <c r="AO456" s="406"/>
      <c r="AP456" s="406"/>
      <c r="AQ456" s="403"/>
      <c r="AR456" s="403"/>
      <c r="AS456" s="403"/>
      <c r="AT456" s="403"/>
      <c r="AU456" s="403"/>
      <c r="AV456" s="403"/>
      <c r="AW456" s="403"/>
      <c r="AX456" s="403"/>
      <c r="AY456" s="403"/>
    </row>
    <row r="457">
      <c r="A457" s="415"/>
      <c r="B457" s="415"/>
      <c r="C457" s="410"/>
      <c r="D457" s="429"/>
      <c r="E457" s="416"/>
      <c r="F457" s="413"/>
      <c r="G457" s="413"/>
      <c r="H457" s="415"/>
      <c r="I457" s="415"/>
      <c r="J457" s="415"/>
      <c r="K457" s="415"/>
      <c r="L457" s="417"/>
      <c r="M457" s="403"/>
      <c r="N457" s="403"/>
      <c r="O457" s="403"/>
      <c r="P457" s="403"/>
      <c r="Q457" s="403"/>
      <c r="R457" s="403"/>
      <c r="S457" s="403"/>
      <c r="T457" s="403"/>
      <c r="U457" s="403"/>
      <c r="V457" s="403"/>
      <c r="W457" s="404"/>
      <c r="X457" s="405"/>
      <c r="Y457" s="405"/>
      <c r="Z457" s="405"/>
      <c r="AA457" s="405"/>
      <c r="AB457" s="405"/>
      <c r="AC457" s="405"/>
      <c r="AD457" s="405"/>
      <c r="AE457" s="405"/>
      <c r="AF457" s="405"/>
      <c r="AG457" s="405"/>
      <c r="AH457" s="405"/>
      <c r="AI457" s="405"/>
      <c r="AJ457" s="405"/>
      <c r="AK457" s="405"/>
      <c r="AL457" s="405"/>
      <c r="AM457" s="406"/>
      <c r="AN457" s="406"/>
      <c r="AO457" s="406"/>
      <c r="AP457" s="406"/>
      <c r="AQ457" s="403"/>
      <c r="AR457" s="403"/>
      <c r="AS457" s="403"/>
      <c r="AT457" s="403"/>
      <c r="AU457" s="403"/>
      <c r="AV457" s="403"/>
      <c r="AW457" s="403"/>
      <c r="AX457" s="403"/>
      <c r="AY457" s="403"/>
    </row>
    <row r="458">
      <c r="A458" s="415"/>
      <c r="B458" s="415"/>
      <c r="C458" s="410"/>
      <c r="D458" s="429"/>
      <c r="E458" s="416"/>
      <c r="F458" s="413"/>
      <c r="G458" s="413"/>
      <c r="H458" s="415"/>
      <c r="I458" s="415"/>
      <c r="J458" s="415"/>
      <c r="K458" s="415"/>
      <c r="L458" s="417"/>
      <c r="M458" s="403"/>
      <c r="N458" s="403"/>
      <c r="O458" s="403"/>
      <c r="P458" s="403"/>
      <c r="Q458" s="403"/>
      <c r="R458" s="403"/>
      <c r="S458" s="403"/>
      <c r="T458" s="403"/>
      <c r="U458" s="403"/>
      <c r="V458" s="403"/>
      <c r="W458" s="404"/>
      <c r="X458" s="405"/>
      <c r="Y458" s="405"/>
      <c r="Z458" s="405"/>
      <c r="AA458" s="405"/>
      <c r="AB458" s="405"/>
      <c r="AC458" s="405"/>
      <c r="AD458" s="405"/>
      <c r="AE458" s="405"/>
      <c r="AF458" s="405"/>
      <c r="AG458" s="405"/>
      <c r="AH458" s="405"/>
      <c r="AI458" s="405"/>
      <c r="AJ458" s="405"/>
      <c r="AK458" s="405"/>
      <c r="AL458" s="405"/>
      <c r="AM458" s="406"/>
      <c r="AN458" s="406"/>
      <c r="AO458" s="406"/>
      <c r="AP458" s="406"/>
      <c r="AQ458" s="403"/>
      <c r="AR458" s="403"/>
      <c r="AS458" s="403"/>
      <c r="AT458" s="403"/>
      <c r="AU458" s="403"/>
      <c r="AV458" s="403"/>
      <c r="AW458" s="403"/>
      <c r="AX458" s="403"/>
      <c r="AY458" s="403"/>
    </row>
    <row r="459">
      <c r="A459" s="415"/>
      <c r="B459" s="415"/>
      <c r="C459" s="410"/>
      <c r="D459" s="429"/>
      <c r="E459" s="416"/>
      <c r="F459" s="413"/>
      <c r="G459" s="413"/>
      <c r="H459" s="415"/>
      <c r="I459" s="415"/>
      <c r="J459" s="415"/>
      <c r="K459" s="415"/>
      <c r="L459" s="417"/>
      <c r="M459" s="403"/>
      <c r="N459" s="403"/>
      <c r="O459" s="403"/>
      <c r="P459" s="403"/>
      <c r="Q459" s="403"/>
      <c r="R459" s="403"/>
      <c r="S459" s="403"/>
      <c r="T459" s="403"/>
      <c r="U459" s="403"/>
      <c r="V459" s="403"/>
      <c r="W459" s="404"/>
      <c r="X459" s="405"/>
      <c r="Y459" s="405"/>
      <c r="Z459" s="405"/>
      <c r="AA459" s="405"/>
      <c r="AB459" s="405"/>
      <c r="AC459" s="405"/>
      <c r="AD459" s="405"/>
      <c r="AE459" s="405"/>
      <c r="AF459" s="405"/>
      <c r="AG459" s="405"/>
      <c r="AH459" s="405"/>
      <c r="AI459" s="405"/>
      <c r="AJ459" s="405"/>
      <c r="AK459" s="405"/>
      <c r="AL459" s="405"/>
      <c r="AM459" s="406"/>
      <c r="AN459" s="406"/>
      <c r="AO459" s="406"/>
      <c r="AP459" s="406"/>
      <c r="AQ459" s="403"/>
      <c r="AR459" s="403"/>
      <c r="AS459" s="403"/>
      <c r="AT459" s="403"/>
      <c r="AU459" s="403"/>
      <c r="AV459" s="403"/>
      <c r="AW459" s="403"/>
      <c r="AX459" s="403"/>
      <c r="AY459" s="403"/>
    </row>
    <row r="460">
      <c r="A460" s="415"/>
      <c r="B460" s="415"/>
      <c r="C460" s="410"/>
      <c r="D460" s="429"/>
      <c r="E460" s="416"/>
      <c r="F460" s="413"/>
      <c r="G460" s="413"/>
      <c r="H460" s="415"/>
      <c r="I460" s="415"/>
      <c r="J460" s="415"/>
      <c r="K460" s="415"/>
      <c r="L460" s="417"/>
      <c r="M460" s="403"/>
      <c r="N460" s="403"/>
      <c r="O460" s="403"/>
      <c r="P460" s="403"/>
      <c r="Q460" s="403"/>
      <c r="R460" s="403"/>
      <c r="S460" s="403"/>
      <c r="T460" s="403"/>
      <c r="U460" s="403"/>
      <c r="V460" s="403"/>
      <c r="W460" s="404"/>
      <c r="X460" s="405"/>
      <c r="Y460" s="405"/>
      <c r="Z460" s="405"/>
      <c r="AA460" s="405"/>
      <c r="AB460" s="405"/>
      <c r="AC460" s="405"/>
      <c r="AD460" s="405"/>
      <c r="AE460" s="405"/>
      <c r="AF460" s="405"/>
      <c r="AG460" s="405"/>
      <c r="AH460" s="405"/>
      <c r="AI460" s="405"/>
      <c r="AJ460" s="405"/>
      <c r="AK460" s="405"/>
      <c r="AL460" s="405"/>
      <c r="AM460" s="406"/>
      <c r="AN460" s="406"/>
      <c r="AO460" s="406"/>
      <c r="AP460" s="406"/>
      <c r="AQ460" s="403"/>
      <c r="AR460" s="403"/>
      <c r="AS460" s="403"/>
      <c r="AT460" s="403"/>
      <c r="AU460" s="403"/>
      <c r="AV460" s="403"/>
      <c r="AW460" s="403"/>
      <c r="AX460" s="403"/>
      <c r="AY460" s="403"/>
    </row>
    <row r="461">
      <c r="A461" s="415"/>
      <c r="B461" s="415"/>
      <c r="C461" s="410"/>
      <c r="D461" s="429"/>
      <c r="E461" s="416"/>
      <c r="F461" s="413"/>
      <c r="G461" s="413"/>
      <c r="H461" s="415"/>
      <c r="I461" s="415"/>
      <c r="J461" s="415"/>
      <c r="K461" s="415"/>
      <c r="L461" s="417"/>
      <c r="M461" s="403"/>
      <c r="N461" s="403"/>
      <c r="O461" s="403"/>
      <c r="P461" s="403"/>
      <c r="Q461" s="403"/>
      <c r="R461" s="403"/>
      <c r="S461" s="403"/>
      <c r="T461" s="403"/>
      <c r="U461" s="403"/>
      <c r="V461" s="403"/>
      <c r="W461" s="404"/>
      <c r="X461" s="405"/>
      <c r="Y461" s="405"/>
      <c r="Z461" s="405"/>
      <c r="AA461" s="405"/>
      <c r="AB461" s="405"/>
      <c r="AC461" s="405"/>
      <c r="AD461" s="405"/>
      <c r="AE461" s="405"/>
      <c r="AF461" s="405"/>
      <c r="AG461" s="405"/>
      <c r="AH461" s="405"/>
      <c r="AI461" s="405"/>
      <c r="AJ461" s="405"/>
      <c r="AK461" s="405"/>
      <c r="AL461" s="405"/>
      <c r="AM461" s="406"/>
      <c r="AN461" s="406"/>
      <c r="AO461" s="406"/>
      <c r="AP461" s="406"/>
      <c r="AQ461" s="403"/>
      <c r="AR461" s="403"/>
      <c r="AS461" s="403"/>
      <c r="AT461" s="403"/>
      <c r="AU461" s="403"/>
      <c r="AV461" s="403"/>
      <c r="AW461" s="403"/>
      <c r="AX461" s="403"/>
      <c r="AY461" s="403"/>
    </row>
    <row r="462">
      <c r="A462" s="415"/>
      <c r="B462" s="415"/>
      <c r="C462" s="410"/>
      <c r="D462" s="429"/>
      <c r="E462" s="416"/>
      <c r="F462" s="413"/>
      <c r="G462" s="413"/>
      <c r="H462" s="415"/>
      <c r="I462" s="415"/>
      <c r="J462" s="415"/>
      <c r="K462" s="415"/>
      <c r="L462" s="417"/>
      <c r="M462" s="403"/>
      <c r="N462" s="403"/>
      <c r="O462" s="403"/>
      <c r="P462" s="403"/>
      <c r="Q462" s="403"/>
      <c r="R462" s="403"/>
      <c r="S462" s="403"/>
      <c r="T462" s="403"/>
      <c r="U462" s="403"/>
      <c r="V462" s="403"/>
      <c r="W462" s="404"/>
      <c r="X462" s="405"/>
      <c r="Y462" s="405"/>
      <c r="Z462" s="405"/>
      <c r="AA462" s="405"/>
      <c r="AB462" s="405"/>
      <c r="AC462" s="405"/>
      <c r="AD462" s="405"/>
      <c r="AE462" s="405"/>
      <c r="AF462" s="405"/>
      <c r="AG462" s="405"/>
      <c r="AH462" s="405"/>
      <c r="AI462" s="405"/>
      <c r="AJ462" s="405"/>
      <c r="AK462" s="405"/>
      <c r="AL462" s="405"/>
      <c r="AM462" s="406"/>
      <c r="AN462" s="406"/>
      <c r="AO462" s="406"/>
      <c r="AP462" s="406"/>
      <c r="AQ462" s="403"/>
      <c r="AR462" s="403"/>
      <c r="AS462" s="403"/>
      <c r="AT462" s="403"/>
      <c r="AU462" s="403"/>
      <c r="AV462" s="403"/>
      <c r="AW462" s="403"/>
      <c r="AX462" s="403"/>
      <c r="AY462" s="403"/>
    </row>
    <row r="463">
      <c r="A463" s="415"/>
      <c r="B463" s="415"/>
      <c r="C463" s="410"/>
      <c r="D463" s="429"/>
      <c r="E463" s="416"/>
      <c r="F463" s="413"/>
      <c r="G463" s="413"/>
      <c r="H463" s="415"/>
      <c r="I463" s="415"/>
      <c r="J463" s="415"/>
      <c r="K463" s="415"/>
      <c r="L463" s="417"/>
      <c r="M463" s="403"/>
      <c r="N463" s="403"/>
      <c r="O463" s="403"/>
      <c r="P463" s="403"/>
      <c r="Q463" s="403"/>
      <c r="R463" s="403"/>
      <c r="S463" s="403"/>
      <c r="T463" s="403"/>
      <c r="U463" s="403"/>
      <c r="V463" s="403"/>
      <c r="W463" s="404"/>
      <c r="X463" s="405"/>
      <c r="Y463" s="405"/>
      <c r="Z463" s="405"/>
      <c r="AA463" s="405"/>
      <c r="AB463" s="405"/>
      <c r="AC463" s="405"/>
      <c r="AD463" s="405"/>
      <c r="AE463" s="405"/>
      <c r="AF463" s="405"/>
      <c r="AG463" s="405"/>
      <c r="AH463" s="405"/>
      <c r="AI463" s="405"/>
      <c r="AJ463" s="405"/>
      <c r="AK463" s="405"/>
      <c r="AL463" s="405"/>
      <c r="AM463" s="406"/>
      <c r="AN463" s="406"/>
      <c r="AO463" s="406"/>
      <c r="AP463" s="406"/>
      <c r="AQ463" s="403"/>
      <c r="AR463" s="403"/>
      <c r="AS463" s="403"/>
      <c r="AT463" s="403"/>
      <c r="AU463" s="403"/>
      <c r="AV463" s="403"/>
      <c r="AW463" s="403"/>
      <c r="AX463" s="403"/>
      <c r="AY463" s="403"/>
    </row>
    <row r="464">
      <c r="A464" s="415"/>
      <c r="B464" s="415"/>
      <c r="C464" s="410"/>
      <c r="D464" s="429"/>
      <c r="E464" s="416"/>
      <c r="F464" s="413"/>
      <c r="G464" s="413"/>
      <c r="H464" s="415"/>
      <c r="I464" s="415"/>
      <c r="J464" s="415"/>
      <c r="K464" s="415"/>
      <c r="L464" s="417"/>
      <c r="M464" s="403"/>
      <c r="N464" s="403"/>
      <c r="O464" s="403"/>
      <c r="P464" s="403"/>
      <c r="Q464" s="403"/>
      <c r="R464" s="403"/>
      <c r="S464" s="403"/>
      <c r="T464" s="403"/>
      <c r="U464" s="403"/>
      <c r="V464" s="403"/>
      <c r="W464" s="404"/>
      <c r="X464" s="405"/>
      <c r="Y464" s="405"/>
      <c r="Z464" s="405"/>
      <c r="AA464" s="405"/>
      <c r="AB464" s="405"/>
      <c r="AC464" s="405"/>
      <c r="AD464" s="405"/>
      <c r="AE464" s="405"/>
      <c r="AF464" s="405"/>
      <c r="AG464" s="405"/>
      <c r="AH464" s="405"/>
      <c r="AI464" s="405"/>
      <c r="AJ464" s="405"/>
      <c r="AK464" s="405"/>
      <c r="AL464" s="405"/>
      <c r="AM464" s="406"/>
      <c r="AN464" s="406"/>
      <c r="AO464" s="406"/>
      <c r="AP464" s="406"/>
      <c r="AQ464" s="403"/>
      <c r="AR464" s="403"/>
      <c r="AS464" s="403"/>
      <c r="AT464" s="403"/>
      <c r="AU464" s="403"/>
      <c r="AV464" s="403"/>
      <c r="AW464" s="403"/>
      <c r="AX464" s="403"/>
      <c r="AY464" s="403"/>
    </row>
    <row r="465">
      <c r="A465" s="415"/>
      <c r="B465" s="415"/>
      <c r="C465" s="410"/>
      <c r="D465" s="429"/>
      <c r="E465" s="416"/>
      <c r="F465" s="413"/>
      <c r="G465" s="413"/>
      <c r="H465" s="415"/>
      <c r="I465" s="415"/>
      <c r="J465" s="415"/>
      <c r="K465" s="415"/>
      <c r="L465" s="417"/>
      <c r="M465" s="403"/>
      <c r="N465" s="403"/>
      <c r="O465" s="403"/>
      <c r="P465" s="403"/>
      <c r="Q465" s="403"/>
      <c r="R465" s="403"/>
      <c r="S465" s="403"/>
      <c r="T465" s="403"/>
      <c r="U465" s="403"/>
      <c r="V465" s="403"/>
      <c r="W465" s="404"/>
      <c r="X465" s="405"/>
      <c r="Y465" s="405"/>
      <c r="Z465" s="405"/>
      <c r="AA465" s="405"/>
      <c r="AB465" s="405"/>
      <c r="AC465" s="405"/>
      <c r="AD465" s="405"/>
      <c r="AE465" s="405"/>
      <c r="AF465" s="405"/>
      <c r="AG465" s="405"/>
      <c r="AH465" s="405"/>
      <c r="AI465" s="405"/>
      <c r="AJ465" s="405"/>
      <c r="AK465" s="405"/>
      <c r="AL465" s="405"/>
      <c r="AM465" s="406"/>
      <c r="AN465" s="406"/>
      <c r="AO465" s="406"/>
      <c r="AP465" s="406"/>
      <c r="AQ465" s="403"/>
      <c r="AR465" s="403"/>
      <c r="AS465" s="403"/>
      <c r="AT465" s="403"/>
      <c r="AU465" s="403"/>
      <c r="AV465" s="403"/>
      <c r="AW465" s="403"/>
      <c r="AX465" s="403"/>
      <c r="AY465" s="403"/>
    </row>
    <row r="466">
      <c r="A466" s="415"/>
      <c r="B466" s="415"/>
      <c r="C466" s="410"/>
      <c r="D466" s="429"/>
      <c r="E466" s="416"/>
      <c r="F466" s="413"/>
      <c r="G466" s="413"/>
      <c r="H466" s="415"/>
      <c r="I466" s="415"/>
      <c r="J466" s="415"/>
      <c r="K466" s="415"/>
      <c r="L466" s="417"/>
      <c r="M466" s="403"/>
      <c r="N466" s="403"/>
      <c r="O466" s="403"/>
      <c r="P466" s="403"/>
      <c r="Q466" s="403"/>
      <c r="R466" s="403"/>
      <c r="S466" s="403"/>
      <c r="T466" s="403"/>
      <c r="U466" s="403"/>
      <c r="V466" s="403"/>
      <c r="W466" s="404"/>
      <c r="X466" s="405"/>
      <c r="Y466" s="405"/>
      <c r="Z466" s="405"/>
      <c r="AA466" s="405"/>
      <c r="AB466" s="405"/>
      <c r="AC466" s="405"/>
      <c r="AD466" s="405"/>
      <c r="AE466" s="405"/>
      <c r="AF466" s="405"/>
      <c r="AG466" s="405"/>
      <c r="AH466" s="405"/>
      <c r="AI466" s="405"/>
      <c r="AJ466" s="405"/>
      <c r="AK466" s="405"/>
      <c r="AL466" s="405"/>
      <c r="AM466" s="406"/>
      <c r="AN466" s="406"/>
      <c r="AO466" s="406"/>
      <c r="AP466" s="406"/>
      <c r="AQ466" s="403"/>
      <c r="AR466" s="403"/>
      <c r="AS466" s="403"/>
      <c r="AT466" s="403"/>
      <c r="AU466" s="403"/>
      <c r="AV466" s="403"/>
      <c r="AW466" s="403"/>
      <c r="AX466" s="403"/>
      <c r="AY466" s="403"/>
    </row>
    <row r="467">
      <c r="A467" s="415"/>
      <c r="B467" s="415"/>
      <c r="C467" s="410"/>
      <c r="D467" s="429"/>
      <c r="E467" s="416"/>
      <c r="F467" s="413"/>
      <c r="G467" s="413"/>
      <c r="H467" s="415"/>
      <c r="I467" s="415"/>
      <c r="J467" s="415"/>
      <c r="K467" s="415"/>
      <c r="L467" s="417"/>
      <c r="M467" s="403"/>
      <c r="N467" s="403"/>
      <c r="O467" s="403"/>
      <c r="P467" s="403"/>
      <c r="Q467" s="403"/>
      <c r="R467" s="403"/>
      <c r="S467" s="403"/>
      <c r="T467" s="403"/>
      <c r="U467" s="403"/>
      <c r="V467" s="403"/>
      <c r="W467" s="404"/>
      <c r="X467" s="405"/>
      <c r="Y467" s="405"/>
      <c r="Z467" s="405"/>
      <c r="AA467" s="405"/>
      <c r="AB467" s="405"/>
      <c r="AC467" s="405"/>
      <c r="AD467" s="405"/>
      <c r="AE467" s="405"/>
      <c r="AF467" s="405"/>
      <c r="AG467" s="405"/>
      <c r="AH467" s="405"/>
      <c r="AI467" s="405"/>
      <c r="AJ467" s="405"/>
      <c r="AK467" s="405"/>
      <c r="AL467" s="405"/>
      <c r="AM467" s="406"/>
      <c r="AN467" s="406"/>
      <c r="AO467" s="406"/>
      <c r="AP467" s="406"/>
      <c r="AQ467" s="403"/>
      <c r="AR467" s="403"/>
      <c r="AS467" s="403"/>
      <c r="AT467" s="403"/>
      <c r="AU467" s="403"/>
      <c r="AV467" s="403"/>
      <c r="AW467" s="403"/>
      <c r="AX467" s="403"/>
      <c r="AY467" s="403"/>
    </row>
    <row r="468">
      <c r="A468" s="415"/>
      <c r="B468" s="415"/>
      <c r="C468" s="410"/>
      <c r="D468" s="429"/>
      <c r="E468" s="416"/>
      <c r="F468" s="413"/>
      <c r="G468" s="413"/>
      <c r="H468" s="415"/>
      <c r="I468" s="415"/>
      <c r="J468" s="415"/>
      <c r="K468" s="415"/>
      <c r="L468" s="417"/>
      <c r="M468" s="403"/>
      <c r="N468" s="403"/>
      <c r="O468" s="403"/>
      <c r="P468" s="403"/>
      <c r="Q468" s="403"/>
      <c r="R468" s="403"/>
      <c r="S468" s="403"/>
      <c r="T468" s="403"/>
      <c r="U468" s="403"/>
      <c r="V468" s="403"/>
      <c r="W468" s="404"/>
      <c r="X468" s="405"/>
      <c r="Y468" s="405"/>
      <c r="Z468" s="405"/>
      <c r="AA468" s="405"/>
      <c r="AB468" s="405"/>
      <c r="AC468" s="405"/>
      <c r="AD468" s="405"/>
      <c r="AE468" s="405"/>
      <c r="AF468" s="405"/>
      <c r="AG468" s="405"/>
      <c r="AH468" s="405"/>
      <c r="AI468" s="405"/>
      <c r="AJ468" s="405"/>
      <c r="AK468" s="405"/>
      <c r="AL468" s="405"/>
      <c r="AM468" s="406"/>
      <c r="AN468" s="406"/>
      <c r="AO468" s="406"/>
      <c r="AP468" s="406"/>
      <c r="AQ468" s="403"/>
      <c r="AR468" s="403"/>
      <c r="AS468" s="403"/>
      <c r="AT468" s="403"/>
      <c r="AU468" s="403"/>
      <c r="AV468" s="403"/>
      <c r="AW468" s="403"/>
      <c r="AX468" s="403"/>
      <c r="AY468" s="403"/>
    </row>
    <row r="469">
      <c r="A469" s="415"/>
      <c r="B469" s="415"/>
      <c r="C469" s="410"/>
      <c r="D469" s="429"/>
      <c r="E469" s="416"/>
      <c r="F469" s="413"/>
      <c r="G469" s="413"/>
      <c r="H469" s="415"/>
      <c r="I469" s="415"/>
      <c r="J469" s="415"/>
      <c r="K469" s="415"/>
      <c r="L469" s="417"/>
      <c r="M469" s="403"/>
      <c r="N469" s="403"/>
      <c r="O469" s="403"/>
      <c r="P469" s="403"/>
      <c r="Q469" s="403"/>
      <c r="R469" s="403"/>
      <c r="S469" s="403"/>
      <c r="T469" s="403"/>
      <c r="U469" s="403"/>
      <c r="V469" s="403"/>
      <c r="W469" s="404"/>
      <c r="X469" s="405"/>
      <c r="Y469" s="405"/>
      <c r="Z469" s="405"/>
      <c r="AA469" s="405"/>
      <c r="AB469" s="405"/>
      <c r="AC469" s="405"/>
      <c r="AD469" s="405"/>
      <c r="AE469" s="405"/>
      <c r="AF469" s="405"/>
      <c r="AG469" s="405"/>
      <c r="AH469" s="405"/>
      <c r="AI469" s="405"/>
      <c r="AJ469" s="405"/>
      <c r="AK469" s="405"/>
      <c r="AL469" s="405"/>
      <c r="AM469" s="406"/>
      <c r="AN469" s="406"/>
      <c r="AO469" s="406"/>
      <c r="AP469" s="406"/>
      <c r="AQ469" s="403"/>
      <c r="AR469" s="403"/>
      <c r="AS469" s="403"/>
      <c r="AT469" s="403"/>
      <c r="AU469" s="403"/>
      <c r="AV469" s="403"/>
      <c r="AW469" s="403"/>
      <c r="AX469" s="403"/>
      <c r="AY469" s="403"/>
    </row>
    <row r="470">
      <c r="A470" s="415"/>
      <c r="B470" s="415"/>
      <c r="C470" s="410"/>
      <c r="D470" s="429"/>
      <c r="E470" s="416"/>
      <c r="F470" s="413"/>
      <c r="G470" s="413"/>
      <c r="H470" s="415"/>
      <c r="I470" s="415"/>
      <c r="J470" s="415"/>
      <c r="K470" s="415"/>
      <c r="L470" s="417"/>
      <c r="M470" s="403"/>
      <c r="N470" s="403"/>
      <c r="O470" s="403"/>
      <c r="P470" s="403"/>
      <c r="Q470" s="403"/>
      <c r="R470" s="403"/>
      <c r="S470" s="403"/>
      <c r="T470" s="403"/>
      <c r="U470" s="403"/>
      <c r="V470" s="403"/>
      <c r="W470" s="404"/>
      <c r="X470" s="405"/>
      <c r="Y470" s="405"/>
      <c r="Z470" s="405"/>
      <c r="AA470" s="405"/>
      <c r="AB470" s="405"/>
      <c r="AC470" s="405"/>
      <c r="AD470" s="405"/>
      <c r="AE470" s="405"/>
      <c r="AF470" s="405"/>
      <c r="AG470" s="405"/>
      <c r="AH470" s="405"/>
      <c r="AI470" s="405"/>
      <c r="AJ470" s="405"/>
      <c r="AK470" s="405"/>
      <c r="AL470" s="405"/>
      <c r="AM470" s="406"/>
      <c r="AN470" s="406"/>
      <c r="AO470" s="406"/>
      <c r="AP470" s="406"/>
      <c r="AQ470" s="403"/>
      <c r="AR470" s="403"/>
      <c r="AS470" s="403"/>
      <c r="AT470" s="403"/>
      <c r="AU470" s="403"/>
      <c r="AV470" s="403"/>
      <c r="AW470" s="403"/>
      <c r="AX470" s="403"/>
      <c r="AY470" s="403"/>
    </row>
    <row r="471">
      <c r="A471" s="415"/>
      <c r="B471" s="415"/>
      <c r="C471" s="410"/>
      <c r="D471" s="429"/>
      <c r="E471" s="416"/>
      <c r="F471" s="413"/>
      <c r="G471" s="413"/>
      <c r="H471" s="415"/>
      <c r="I471" s="415"/>
      <c r="J471" s="415"/>
      <c r="K471" s="415"/>
      <c r="L471" s="417"/>
      <c r="M471" s="403"/>
      <c r="N471" s="403"/>
      <c r="O471" s="403"/>
      <c r="P471" s="403"/>
      <c r="Q471" s="403"/>
      <c r="R471" s="403"/>
      <c r="S471" s="403"/>
      <c r="T471" s="403"/>
      <c r="U471" s="403"/>
      <c r="V471" s="403"/>
      <c r="W471" s="404"/>
      <c r="X471" s="405"/>
      <c r="Y471" s="405"/>
      <c r="Z471" s="405"/>
      <c r="AA471" s="405"/>
      <c r="AB471" s="405"/>
      <c r="AC471" s="405"/>
      <c r="AD471" s="405"/>
      <c r="AE471" s="405"/>
      <c r="AF471" s="405"/>
      <c r="AG471" s="405"/>
      <c r="AH471" s="405"/>
      <c r="AI471" s="405"/>
      <c r="AJ471" s="405"/>
      <c r="AK471" s="405"/>
      <c r="AL471" s="405"/>
      <c r="AM471" s="406"/>
      <c r="AN471" s="406"/>
      <c r="AO471" s="406"/>
      <c r="AP471" s="406"/>
      <c r="AQ471" s="403"/>
      <c r="AR471" s="403"/>
      <c r="AS471" s="403"/>
      <c r="AT471" s="403"/>
      <c r="AU471" s="403"/>
      <c r="AV471" s="403"/>
      <c r="AW471" s="403"/>
      <c r="AX471" s="403"/>
      <c r="AY471" s="403"/>
    </row>
    <row r="472">
      <c r="A472" s="415"/>
      <c r="B472" s="415"/>
      <c r="C472" s="410"/>
      <c r="D472" s="429"/>
      <c r="E472" s="416"/>
      <c r="F472" s="413"/>
      <c r="G472" s="413"/>
      <c r="H472" s="415"/>
      <c r="I472" s="415"/>
      <c r="J472" s="415"/>
      <c r="K472" s="415"/>
      <c r="L472" s="417"/>
      <c r="M472" s="403"/>
      <c r="N472" s="403"/>
      <c r="O472" s="403"/>
      <c r="P472" s="403"/>
      <c r="Q472" s="403"/>
      <c r="R472" s="403"/>
      <c r="S472" s="403"/>
      <c r="T472" s="403"/>
      <c r="U472" s="403"/>
      <c r="V472" s="403"/>
      <c r="W472" s="404"/>
      <c r="X472" s="405"/>
      <c r="Y472" s="405"/>
      <c r="Z472" s="405"/>
      <c r="AA472" s="405"/>
      <c r="AB472" s="405"/>
      <c r="AC472" s="405"/>
      <c r="AD472" s="405"/>
      <c r="AE472" s="405"/>
      <c r="AF472" s="405"/>
      <c r="AG472" s="405"/>
      <c r="AH472" s="405"/>
      <c r="AI472" s="405"/>
      <c r="AJ472" s="405"/>
      <c r="AK472" s="405"/>
      <c r="AL472" s="405"/>
      <c r="AM472" s="406"/>
      <c r="AN472" s="406"/>
      <c r="AO472" s="406"/>
      <c r="AP472" s="406"/>
      <c r="AQ472" s="403"/>
      <c r="AR472" s="403"/>
      <c r="AS472" s="403"/>
      <c r="AT472" s="403"/>
      <c r="AU472" s="403"/>
      <c r="AV472" s="403"/>
      <c r="AW472" s="403"/>
      <c r="AX472" s="403"/>
      <c r="AY472" s="403"/>
    </row>
    <row r="473">
      <c r="A473" s="415"/>
      <c r="B473" s="415"/>
      <c r="C473" s="410"/>
      <c r="D473" s="429"/>
      <c r="E473" s="416"/>
      <c r="F473" s="413"/>
      <c r="G473" s="413"/>
      <c r="H473" s="415"/>
      <c r="I473" s="415"/>
      <c r="J473" s="415"/>
      <c r="K473" s="415"/>
      <c r="L473" s="417"/>
      <c r="M473" s="403"/>
      <c r="N473" s="403"/>
      <c r="O473" s="403"/>
      <c r="P473" s="403"/>
      <c r="Q473" s="403"/>
      <c r="R473" s="403"/>
      <c r="S473" s="403"/>
      <c r="T473" s="403"/>
      <c r="U473" s="403"/>
      <c r="V473" s="403"/>
      <c r="W473" s="404"/>
      <c r="X473" s="405"/>
      <c r="Y473" s="405"/>
      <c r="Z473" s="405"/>
      <c r="AA473" s="405"/>
      <c r="AB473" s="405"/>
      <c r="AC473" s="405"/>
      <c r="AD473" s="405"/>
      <c r="AE473" s="405"/>
      <c r="AF473" s="405"/>
      <c r="AG473" s="405"/>
      <c r="AH473" s="405"/>
      <c r="AI473" s="405"/>
      <c r="AJ473" s="405"/>
      <c r="AK473" s="405"/>
      <c r="AL473" s="405"/>
      <c r="AM473" s="406"/>
      <c r="AN473" s="406"/>
      <c r="AO473" s="406"/>
      <c r="AP473" s="406"/>
      <c r="AQ473" s="403"/>
      <c r="AR473" s="403"/>
      <c r="AS473" s="403"/>
      <c r="AT473" s="403"/>
      <c r="AU473" s="403"/>
      <c r="AV473" s="403"/>
      <c r="AW473" s="403"/>
      <c r="AX473" s="403"/>
      <c r="AY473" s="403"/>
    </row>
    <row r="474">
      <c r="A474" s="415"/>
      <c r="B474" s="415"/>
      <c r="C474" s="410"/>
      <c r="D474" s="429"/>
      <c r="E474" s="416"/>
      <c r="F474" s="413"/>
      <c r="G474" s="413"/>
      <c r="H474" s="415"/>
      <c r="I474" s="415"/>
      <c r="J474" s="415"/>
      <c r="K474" s="415"/>
      <c r="L474" s="417"/>
      <c r="M474" s="403"/>
      <c r="N474" s="403"/>
      <c r="O474" s="403"/>
      <c r="P474" s="403"/>
      <c r="Q474" s="403"/>
      <c r="R474" s="403"/>
      <c r="S474" s="403"/>
      <c r="T474" s="403"/>
      <c r="U474" s="403"/>
      <c r="V474" s="403"/>
      <c r="W474" s="404"/>
      <c r="X474" s="405"/>
      <c r="Y474" s="405"/>
      <c r="Z474" s="405"/>
      <c r="AA474" s="405"/>
      <c r="AB474" s="405"/>
      <c r="AC474" s="405"/>
      <c r="AD474" s="405"/>
      <c r="AE474" s="405"/>
      <c r="AF474" s="405"/>
      <c r="AG474" s="405"/>
      <c r="AH474" s="405"/>
      <c r="AI474" s="405"/>
      <c r="AJ474" s="405"/>
      <c r="AK474" s="405"/>
      <c r="AL474" s="405"/>
      <c r="AM474" s="406"/>
      <c r="AN474" s="406"/>
      <c r="AO474" s="406"/>
      <c r="AP474" s="406"/>
      <c r="AQ474" s="403"/>
      <c r="AR474" s="403"/>
      <c r="AS474" s="403"/>
      <c r="AT474" s="403"/>
      <c r="AU474" s="403"/>
      <c r="AV474" s="403"/>
      <c r="AW474" s="403"/>
      <c r="AX474" s="403"/>
      <c r="AY474" s="403"/>
    </row>
    <row r="475">
      <c r="A475" s="415"/>
      <c r="B475" s="415"/>
      <c r="C475" s="410"/>
      <c r="D475" s="429"/>
      <c r="E475" s="416"/>
      <c r="F475" s="413"/>
      <c r="G475" s="413"/>
      <c r="H475" s="415"/>
      <c r="I475" s="415"/>
      <c r="J475" s="415"/>
      <c r="K475" s="415"/>
      <c r="L475" s="417"/>
      <c r="M475" s="403"/>
      <c r="N475" s="403"/>
      <c r="O475" s="403"/>
      <c r="P475" s="403"/>
      <c r="Q475" s="403"/>
      <c r="R475" s="403"/>
      <c r="S475" s="403"/>
      <c r="T475" s="403"/>
      <c r="U475" s="403"/>
      <c r="V475" s="403"/>
      <c r="W475" s="404"/>
      <c r="X475" s="405"/>
      <c r="Y475" s="405"/>
      <c r="Z475" s="405"/>
      <c r="AA475" s="405"/>
      <c r="AB475" s="405"/>
      <c r="AC475" s="405"/>
      <c r="AD475" s="405"/>
      <c r="AE475" s="405"/>
      <c r="AF475" s="405"/>
      <c r="AG475" s="405"/>
      <c r="AH475" s="405"/>
      <c r="AI475" s="405"/>
      <c r="AJ475" s="405"/>
      <c r="AK475" s="405"/>
      <c r="AL475" s="405"/>
      <c r="AM475" s="406"/>
      <c r="AN475" s="406"/>
      <c r="AO475" s="406"/>
      <c r="AP475" s="406"/>
      <c r="AQ475" s="403"/>
      <c r="AR475" s="403"/>
      <c r="AS475" s="403"/>
      <c r="AT475" s="403"/>
      <c r="AU475" s="403"/>
      <c r="AV475" s="403"/>
      <c r="AW475" s="403"/>
      <c r="AX475" s="403"/>
      <c r="AY475" s="403"/>
    </row>
    <row r="476">
      <c r="A476" s="415"/>
      <c r="B476" s="415"/>
      <c r="C476" s="410"/>
      <c r="D476" s="429"/>
      <c r="E476" s="416"/>
      <c r="F476" s="413"/>
      <c r="G476" s="413"/>
      <c r="H476" s="415"/>
      <c r="I476" s="415"/>
      <c r="J476" s="415"/>
      <c r="K476" s="415"/>
      <c r="L476" s="417"/>
      <c r="M476" s="403"/>
      <c r="N476" s="403"/>
      <c r="O476" s="403"/>
      <c r="P476" s="403"/>
      <c r="Q476" s="403"/>
      <c r="R476" s="403"/>
      <c r="S476" s="403"/>
      <c r="T476" s="403"/>
      <c r="U476" s="403"/>
      <c r="V476" s="403"/>
      <c r="W476" s="404"/>
      <c r="X476" s="405"/>
      <c r="Y476" s="405"/>
      <c r="Z476" s="405"/>
      <c r="AA476" s="405"/>
      <c r="AB476" s="405"/>
      <c r="AC476" s="405"/>
      <c r="AD476" s="405"/>
      <c r="AE476" s="405"/>
      <c r="AF476" s="405"/>
      <c r="AG476" s="405"/>
      <c r="AH476" s="405"/>
      <c r="AI476" s="405"/>
      <c r="AJ476" s="405"/>
      <c r="AK476" s="405"/>
      <c r="AL476" s="405"/>
      <c r="AM476" s="406"/>
      <c r="AN476" s="406"/>
      <c r="AO476" s="406"/>
      <c r="AP476" s="406"/>
      <c r="AQ476" s="403"/>
      <c r="AR476" s="403"/>
      <c r="AS476" s="403"/>
      <c r="AT476" s="403"/>
      <c r="AU476" s="403"/>
      <c r="AV476" s="403"/>
      <c r="AW476" s="403"/>
      <c r="AX476" s="403"/>
      <c r="AY476" s="403"/>
    </row>
    <row r="477">
      <c r="A477" s="415"/>
      <c r="B477" s="415"/>
      <c r="C477" s="410"/>
      <c r="D477" s="429"/>
      <c r="E477" s="416"/>
      <c r="F477" s="413"/>
      <c r="G477" s="413"/>
      <c r="H477" s="415"/>
      <c r="I477" s="415"/>
      <c r="J477" s="415"/>
      <c r="K477" s="415"/>
      <c r="L477" s="417"/>
      <c r="M477" s="403"/>
      <c r="N477" s="403"/>
      <c r="O477" s="403"/>
      <c r="P477" s="403"/>
      <c r="Q477" s="403"/>
      <c r="R477" s="403"/>
      <c r="S477" s="403"/>
      <c r="T477" s="403"/>
      <c r="U477" s="403"/>
      <c r="V477" s="403"/>
      <c r="W477" s="404"/>
      <c r="X477" s="405"/>
      <c r="Y477" s="405"/>
      <c r="Z477" s="405"/>
      <c r="AA477" s="405"/>
      <c r="AB477" s="405"/>
      <c r="AC477" s="405"/>
      <c r="AD477" s="405"/>
      <c r="AE477" s="405"/>
      <c r="AF477" s="405"/>
      <c r="AG477" s="405"/>
      <c r="AH477" s="405"/>
      <c r="AI477" s="405"/>
      <c r="AJ477" s="405"/>
      <c r="AK477" s="405"/>
      <c r="AL477" s="405"/>
      <c r="AM477" s="406"/>
      <c r="AN477" s="406"/>
      <c r="AO477" s="406"/>
      <c r="AP477" s="406"/>
      <c r="AQ477" s="403"/>
      <c r="AR477" s="403"/>
      <c r="AS477" s="403"/>
      <c r="AT477" s="403"/>
      <c r="AU477" s="403"/>
      <c r="AV477" s="403"/>
      <c r="AW477" s="403"/>
      <c r="AX477" s="403"/>
      <c r="AY477" s="403"/>
    </row>
    <row r="478">
      <c r="A478" s="415"/>
      <c r="B478" s="415"/>
      <c r="C478" s="410"/>
      <c r="D478" s="429"/>
      <c r="E478" s="416"/>
      <c r="F478" s="413"/>
      <c r="G478" s="413"/>
      <c r="H478" s="415"/>
      <c r="I478" s="415"/>
      <c r="J478" s="415"/>
      <c r="K478" s="415"/>
      <c r="L478" s="417"/>
      <c r="M478" s="403"/>
      <c r="N478" s="403"/>
      <c r="O478" s="403"/>
      <c r="P478" s="403"/>
      <c r="Q478" s="403"/>
      <c r="R478" s="403"/>
      <c r="S478" s="403"/>
      <c r="T478" s="403"/>
      <c r="U478" s="403"/>
      <c r="V478" s="403"/>
      <c r="W478" s="404"/>
      <c r="X478" s="405"/>
      <c r="Y478" s="405"/>
      <c r="Z478" s="405"/>
      <c r="AA478" s="405"/>
      <c r="AB478" s="405"/>
      <c r="AC478" s="405"/>
      <c r="AD478" s="405"/>
      <c r="AE478" s="405"/>
      <c r="AF478" s="405"/>
      <c r="AG478" s="405"/>
      <c r="AH478" s="405"/>
      <c r="AI478" s="405"/>
      <c r="AJ478" s="405"/>
      <c r="AK478" s="405"/>
      <c r="AL478" s="405"/>
      <c r="AM478" s="406"/>
      <c r="AN478" s="406"/>
      <c r="AO478" s="406"/>
      <c r="AP478" s="406"/>
      <c r="AQ478" s="403"/>
      <c r="AR478" s="403"/>
      <c r="AS478" s="403"/>
      <c r="AT478" s="403"/>
      <c r="AU478" s="403"/>
      <c r="AV478" s="403"/>
      <c r="AW478" s="403"/>
      <c r="AX478" s="403"/>
      <c r="AY478" s="403"/>
    </row>
    <row r="479">
      <c r="A479" s="415"/>
      <c r="B479" s="415"/>
      <c r="C479" s="410"/>
      <c r="D479" s="429"/>
      <c r="E479" s="416"/>
      <c r="F479" s="413"/>
      <c r="G479" s="413"/>
      <c r="H479" s="415"/>
      <c r="I479" s="415"/>
      <c r="J479" s="415"/>
      <c r="K479" s="415"/>
      <c r="L479" s="417"/>
      <c r="M479" s="403"/>
      <c r="N479" s="403"/>
      <c r="O479" s="403"/>
      <c r="P479" s="403"/>
      <c r="Q479" s="403"/>
      <c r="R479" s="403"/>
      <c r="S479" s="403"/>
      <c r="T479" s="403"/>
      <c r="U479" s="403"/>
      <c r="V479" s="403"/>
      <c r="W479" s="404"/>
      <c r="X479" s="405"/>
      <c r="Y479" s="405"/>
      <c r="Z479" s="405"/>
      <c r="AA479" s="405"/>
      <c r="AB479" s="405"/>
      <c r="AC479" s="405"/>
      <c r="AD479" s="405"/>
      <c r="AE479" s="405"/>
      <c r="AF479" s="405"/>
      <c r="AG479" s="405"/>
      <c r="AH479" s="405"/>
      <c r="AI479" s="405"/>
      <c r="AJ479" s="405"/>
      <c r="AK479" s="405"/>
      <c r="AL479" s="405"/>
      <c r="AM479" s="406"/>
      <c r="AN479" s="406"/>
      <c r="AO479" s="406"/>
      <c r="AP479" s="406"/>
      <c r="AQ479" s="403"/>
      <c r="AR479" s="403"/>
      <c r="AS479" s="403"/>
      <c r="AT479" s="403"/>
      <c r="AU479" s="403"/>
      <c r="AV479" s="403"/>
      <c r="AW479" s="403"/>
      <c r="AX479" s="403"/>
      <c r="AY479" s="403"/>
    </row>
    <row r="480">
      <c r="A480" s="415"/>
      <c r="B480" s="415"/>
      <c r="C480" s="410"/>
      <c r="D480" s="429"/>
      <c r="E480" s="416"/>
      <c r="F480" s="413"/>
      <c r="G480" s="413"/>
      <c r="H480" s="415"/>
      <c r="I480" s="415"/>
      <c r="J480" s="415"/>
      <c r="K480" s="415"/>
      <c r="L480" s="417"/>
      <c r="M480" s="403"/>
      <c r="N480" s="403"/>
      <c r="O480" s="403"/>
      <c r="P480" s="403"/>
      <c r="Q480" s="403"/>
      <c r="R480" s="403"/>
      <c r="S480" s="403"/>
      <c r="T480" s="403"/>
      <c r="U480" s="403"/>
      <c r="V480" s="403"/>
      <c r="W480" s="404"/>
      <c r="X480" s="405"/>
      <c r="Y480" s="405"/>
      <c r="Z480" s="405"/>
      <c r="AA480" s="405"/>
      <c r="AB480" s="405"/>
      <c r="AC480" s="405"/>
      <c r="AD480" s="405"/>
      <c r="AE480" s="405"/>
      <c r="AF480" s="405"/>
      <c r="AG480" s="405"/>
      <c r="AH480" s="405"/>
      <c r="AI480" s="405"/>
      <c r="AJ480" s="405"/>
      <c r="AK480" s="405"/>
      <c r="AL480" s="405"/>
      <c r="AM480" s="406"/>
      <c r="AN480" s="406"/>
      <c r="AO480" s="406"/>
      <c r="AP480" s="406"/>
      <c r="AQ480" s="403"/>
      <c r="AR480" s="403"/>
      <c r="AS480" s="403"/>
      <c r="AT480" s="403"/>
      <c r="AU480" s="403"/>
      <c r="AV480" s="403"/>
      <c r="AW480" s="403"/>
      <c r="AX480" s="403"/>
      <c r="AY480" s="403"/>
    </row>
    <row r="481">
      <c r="A481" s="415"/>
      <c r="B481" s="415"/>
      <c r="C481" s="410"/>
      <c r="D481" s="429"/>
      <c r="E481" s="416"/>
      <c r="F481" s="413"/>
      <c r="G481" s="413"/>
      <c r="H481" s="415"/>
      <c r="I481" s="415"/>
      <c r="J481" s="415"/>
      <c r="K481" s="415"/>
      <c r="L481" s="417"/>
      <c r="M481" s="403"/>
      <c r="N481" s="403"/>
      <c r="O481" s="403"/>
      <c r="P481" s="403"/>
      <c r="Q481" s="403"/>
      <c r="R481" s="403"/>
      <c r="S481" s="403"/>
      <c r="T481" s="403"/>
      <c r="U481" s="403"/>
      <c r="V481" s="403"/>
      <c r="W481" s="404"/>
      <c r="X481" s="405"/>
      <c r="Y481" s="405"/>
      <c r="Z481" s="405"/>
      <c r="AA481" s="405"/>
      <c r="AB481" s="405"/>
      <c r="AC481" s="405"/>
      <c r="AD481" s="405"/>
      <c r="AE481" s="405"/>
      <c r="AF481" s="405"/>
      <c r="AG481" s="405"/>
      <c r="AH481" s="405"/>
      <c r="AI481" s="405"/>
      <c r="AJ481" s="405"/>
      <c r="AK481" s="405"/>
      <c r="AL481" s="405"/>
      <c r="AM481" s="406"/>
      <c r="AN481" s="406"/>
      <c r="AO481" s="406"/>
      <c r="AP481" s="406"/>
      <c r="AQ481" s="403"/>
      <c r="AR481" s="403"/>
      <c r="AS481" s="403"/>
      <c r="AT481" s="403"/>
      <c r="AU481" s="403"/>
      <c r="AV481" s="403"/>
      <c r="AW481" s="403"/>
      <c r="AX481" s="403"/>
      <c r="AY481" s="403"/>
    </row>
    <row r="482">
      <c r="A482" s="415"/>
      <c r="B482" s="415"/>
      <c r="C482" s="410"/>
      <c r="D482" s="429"/>
      <c r="E482" s="416"/>
      <c r="F482" s="413"/>
      <c r="G482" s="413"/>
      <c r="H482" s="415"/>
      <c r="I482" s="415"/>
      <c r="J482" s="415"/>
      <c r="K482" s="415"/>
      <c r="L482" s="417"/>
      <c r="M482" s="403"/>
      <c r="N482" s="403"/>
      <c r="O482" s="403"/>
      <c r="P482" s="403"/>
      <c r="Q482" s="403"/>
      <c r="R482" s="403"/>
      <c r="S482" s="403"/>
      <c r="T482" s="403"/>
      <c r="U482" s="403"/>
      <c r="V482" s="403"/>
      <c r="W482" s="404"/>
      <c r="X482" s="405"/>
      <c r="Y482" s="405"/>
      <c r="Z482" s="405"/>
      <c r="AA482" s="405"/>
      <c r="AB482" s="405"/>
      <c r="AC482" s="405"/>
      <c r="AD482" s="405"/>
      <c r="AE482" s="405"/>
      <c r="AF482" s="405"/>
      <c r="AG482" s="405"/>
      <c r="AH482" s="405"/>
      <c r="AI482" s="405"/>
      <c r="AJ482" s="405"/>
      <c r="AK482" s="405"/>
      <c r="AL482" s="405"/>
      <c r="AM482" s="406"/>
      <c r="AN482" s="406"/>
      <c r="AO482" s="406"/>
      <c r="AP482" s="406"/>
      <c r="AQ482" s="403"/>
      <c r="AR482" s="403"/>
      <c r="AS482" s="403"/>
      <c r="AT482" s="403"/>
      <c r="AU482" s="403"/>
      <c r="AV482" s="403"/>
      <c r="AW482" s="403"/>
      <c r="AX482" s="403"/>
      <c r="AY482" s="403"/>
    </row>
    <row r="483">
      <c r="A483" s="415"/>
      <c r="B483" s="415"/>
      <c r="C483" s="410"/>
      <c r="D483" s="429"/>
      <c r="E483" s="416"/>
      <c r="F483" s="413"/>
      <c r="G483" s="413"/>
      <c r="H483" s="415"/>
      <c r="I483" s="415"/>
      <c r="J483" s="415"/>
      <c r="K483" s="415"/>
      <c r="L483" s="417"/>
      <c r="M483" s="403"/>
      <c r="N483" s="403"/>
      <c r="O483" s="403"/>
      <c r="P483" s="403"/>
      <c r="Q483" s="403"/>
      <c r="R483" s="403"/>
      <c r="S483" s="403"/>
      <c r="T483" s="403"/>
      <c r="U483" s="403"/>
      <c r="V483" s="403"/>
      <c r="W483" s="404"/>
      <c r="X483" s="405"/>
      <c r="Y483" s="405"/>
      <c r="Z483" s="405"/>
      <c r="AA483" s="405"/>
      <c r="AB483" s="405"/>
      <c r="AC483" s="405"/>
      <c r="AD483" s="405"/>
      <c r="AE483" s="405"/>
      <c r="AF483" s="405"/>
      <c r="AG483" s="405"/>
      <c r="AH483" s="405"/>
      <c r="AI483" s="405"/>
      <c r="AJ483" s="405"/>
      <c r="AK483" s="405"/>
      <c r="AL483" s="405"/>
      <c r="AM483" s="406"/>
      <c r="AN483" s="406"/>
      <c r="AO483" s="406"/>
      <c r="AP483" s="406"/>
      <c r="AQ483" s="403"/>
      <c r="AR483" s="403"/>
      <c r="AS483" s="403"/>
      <c r="AT483" s="403"/>
      <c r="AU483" s="403"/>
      <c r="AV483" s="403"/>
      <c r="AW483" s="403"/>
      <c r="AX483" s="403"/>
      <c r="AY483" s="403"/>
    </row>
    <row r="484">
      <c r="A484" s="415"/>
      <c r="B484" s="415"/>
      <c r="C484" s="410"/>
      <c r="D484" s="429"/>
      <c r="E484" s="416"/>
      <c r="F484" s="413"/>
      <c r="G484" s="413"/>
      <c r="H484" s="415"/>
      <c r="I484" s="415"/>
      <c r="J484" s="415"/>
      <c r="K484" s="415"/>
      <c r="L484" s="417"/>
      <c r="M484" s="403"/>
      <c r="N484" s="403"/>
      <c r="O484" s="403"/>
      <c r="P484" s="403"/>
      <c r="Q484" s="403"/>
      <c r="R484" s="403"/>
      <c r="S484" s="403"/>
      <c r="T484" s="403"/>
      <c r="U484" s="403"/>
      <c r="V484" s="403"/>
      <c r="W484" s="404"/>
      <c r="X484" s="405"/>
      <c r="Y484" s="405"/>
      <c r="Z484" s="405"/>
      <c r="AA484" s="405"/>
      <c r="AB484" s="405"/>
      <c r="AC484" s="405"/>
      <c r="AD484" s="405"/>
      <c r="AE484" s="405"/>
      <c r="AF484" s="405"/>
      <c r="AG484" s="405"/>
      <c r="AH484" s="405"/>
      <c r="AI484" s="405"/>
      <c r="AJ484" s="405"/>
      <c r="AK484" s="405"/>
      <c r="AL484" s="405"/>
      <c r="AM484" s="406"/>
      <c r="AN484" s="406"/>
      <c r="AO484" s="406"/>
      <c r="AP484" s="406"/>
      <c r="AQ484" s="403"/>
      <c r="AR484" s="403"/>
      <c r="AS484" s="403"/>
      <c r="AT484" s="403"/>
      <c r="AU484" s="403"/>
      <c r="AV484" s="403"/>
      <c r="AW484" s="403"/>
      <c r="AX484" s="403"/>
      <c r="AY484" s="403"/>
    </row>
    <row r="485">
      <c r="A485" s="415"/>
      <c r="B485" s="415"/>
      <c r="C485" s="410"/>
      <c r="D485" s="429"/>
      <c r="E485" s="416"/>
      <c r="F485" s="413"/>
      <c r="G485" s="413"/>
      <c r="H485" s="415"/>
      <c r="I485" s="415"/>
      <c r="J485" s="415"/>
      <c r="K485" s="415"/>
      <c r="L485" s="417"/>
      <c r="M485" s="403"/>
      <c r="N485" s="403"/>
      <c r="O485" s="403"/>
      <c r="P485" s="403"/>
      <c r="Q485" s="403"/>
      <c r="R485" s="403"/>
      <c r="S485" s="403"/>
      <c r="T485" s="403"/>
      <c r="U485" s="403"/>
      <c r="V485" s="403"/>
      <c r="W485" s="404"/>
      <c r="X485" s="405"/>
      <c r="Y485" s="405"/>
      <c r="Z485" s="405"/>
      <c r="AA485" s="405"/>
      <c r="AB485" s="405"/>
      <c r="AC485" s="405"/>
      <c r="AD485" s="405"/>
      <c r="AE485" s="405"/>
      <c r="AF485" s="405"/>
      <c r="AG485" s="405"/>
      <c r="AH485" s="405"/>
      <c r="AI485" s="405"/>
      <c r="AJ485" s="405"/>
      <c r="AK485" s="405"/>
      <c r="AL485" s="405"/>
      <c r="AM485" s="406"/>
      <c r="AN485" s="406"/>
      <c r="AO485" s="406"/>
      <c r="AP485" s="406"/>
      <c r="AQ485" s="403"/>
      <c r="AR485" s="403"/>
      <c r="AS485" s="403"/>
      <c r="AT485" s="403"/>
      <c r="AU485" s="403"/>
      <c r="AV485" s="403"/>
      <c r="AW485" s="403"/>
      <c r="AX485" s="403"/>
      <c r="AY485" s="403"/>
    </row>
    <row r="486">
      <c r="A486" s="415"/>
      <c r="B486" s="415"/>
      <c r="C486" s="410"/>
      <c r="D486" s="429"/>
      <c r="E486" s="416"/>
      <c r="F486" s="413"/>
      <c r="G486" s="413"/>
      <c r="H486" s="415"/>
      <c r="I486" s="415"/>
      <c r="J486" s="415"/>
      <c r="K486" s="415"/>
      <c r="L486" s="417"/>
      <c r="M486" s="403"/>
      <c r="N486" s="403"/>
      <c r="O486" s="403"/>
      <c r="P486" s="403"/>
      <c r="Q486" s="403"/>
      <c r="R486" s="403"/>
      <c r="S486" s="403"/>
      <c r="T486" s="403"/>
      <c r="U486" s="403"/>
      <c r="V486" s="403"/>
      <c r="W486" s="404"/>
      <c r="X486" s="405"/>
      <c r="Y486" s="405"/>
      <c r="Z486" s="405"/>
      <c r="AA486" s="405"/>
      <c r="AB486" s="405"/>
      <c r="AC486" s="405"/>
      <c r="AD486" s="405"/>
      <c r="AE486" s="405"/>
      <c r="AF486" s="405"/>
      <c r="AG486" s="405"/>
      <c r="AH486" s="405"/>
      <c r="AI486" s="405"/>
      <c r="AJ486" s="405"/>
      <c r="AK486" s="405"/>
      <c r="AL486" s="405"/>
      <c r="AM486" s="406"/>
      <c r="AN486" s="406"/>
      <c r="AO486" s="406"/>
      <c r="AP486" s="406"/>
      <c r="AQ486" s="403"/>
      <c r="AR486" s="403"/>
      <c r="AS486" s="403"/>
      <c r="AT486" s="403"/>
      <c r="AU486" s="403"/>
      <c r="AV486" s="403"/>
      <c r="AW486" s="403"/>
      <c r="AX486" s="403"/>
      <c r="AY486" s="403"/>
    </row>
    <row r="487">
      <c r="A487" s="415"/>
      <c r="B487" s="415"/>
      <c r="C487" s="410"/>
      <c r="D487" s="429"/>
      <c r="E487" s="416"/>
      <c r="F487" s="413"/>
      <c r="G487" s="413"/>
      <c r="H487" s="415"/>
      <c r="I487" s="415"/>
      <c r="J487" s="415"/>
      <c r="K487" s="415"/>
      <c r="L487" s="417"/>
      <c r="M487" s="403"/>
      <c r="N487" s="403"/>
      <c r="O487" s="403"/>
      <c r="P487" s="403"/>
      <c r="Q487" s="403"/>
      <c r="R487" s="403"/>
      <c r="S487" s="403"/>
      <c r="T487" s="403"/>
      <c r="U487" s="403"/>
      <c r="V487" s="403"/>
      <c r="W487" s="404"/>
      <c r="X487" s="405"/>
      <c r="Y487" s="405"/>
      <c r="Z487" s="405"/>
      <c r="AA487" s="405"/>
      <c r="AB487" s="405"/>
      <c r="AC487" s="405"/>
      <c r="AD487" s="405"/>
      <c r="AE487" s="405"/>
      <c r="AF487" s="405"/>
      <c r="AG487" s="405"/>
      <c r="AH487" s="405"/>
      <c r="AI487" s="405"/>
      <c r="AJ487" s="405"/>
      <c r="AK487" s="405"/>
      <c r="AL487" s="405"/>
      <c r="AM487" s="406"/>
      <c r="AN487" s="406"/>
      <c r="AO487" s="406"/>
      <c r="AP487" s="406"/>
      <c r="AQ487" s="403"/>
      <c r="AR487" s="403"/>
      <c r="AS487" s="403"/>
      <c r="AT487" s="403"/>
      <c r="AU487" s="403"/>
      <c r="AV487" s="403"/>
      <c r="AW487" s="403"/>
      <c r="AX487" s="403"/>
      <c r="AY487" s="403"/>
    </row>
    <row r="488">
      <c r="A488" s="415"/>
      <c r="B488" s="415"/>
      <c r="C488" s="410"/>
      <c r="D488" s="429"/>
      <c r="E488" s="416"/>
      <c r="F488" s="413"/>
      <c r="G488" s="413"/>
      <c r="H488" s="415"/>
      <c r="I488" s="415"/>
      <c r="J488" s="415"/>
      <c r="K488" s="415"/>
      <c r="L488" s="417"/>
      <c r="M488" s="403"/>
      <c r="N488" s="403"/>
      <c r="O488" s="403"/>
      <c r="P488" s="403"/>
      <c r="Q488" s="403"/>
      <c r="R488" s="403"/>
      <c r="S488" s="403"/>
      <c r="T488" s="403"/>
      <c r="U488" s="403"/>
      <c r="V488" s="403"/>
      <c r="W488" s="404"/>
      <c r="X488" s="405"/>
      <c r="Y488" s="405"/>
      <c r="Z488" s="405"/>
      <c r="AA488" s="405"/>
      <c r="AB488" s="405"/>
      <c r="AC488" s="405"/>
      <c r="AD488" s="405"/>
      <c r="AE488" s="405"/>
      <c r="AF488" s="405"/>
      <c r="AG488" s="405"/>
      <c r="AH488" s="405"/>
      <c r="AI488" s="405"/>
      <c r="AJ488" s="405"/>
      <c r="AK488" s="405"/>
      <c r="AL488" s="405"/>
      <c r="AM488" s="406"/>
      <c r="AN488" s="406"/>
      <c r="AO488" s="406"/>
      <c r="AP488" s="406"/>
      <c r="AQ488" s="403"/>
      <c r="AR488" s="403"/>
      <c r="AS488" s="403"/>
      <c r="AT488" s="403"/>
      <c r="AU488" s="403"/>
      <c r="AV488" s="403"/>
      <c r="AW488" s="403"/>
      <c r="AX488" s="403"/>
      <c r="AY488" s="403"/>
    </row>
    <row r="489">
      <c r="A489" s="415"/>
      <c r="B489" s="415"/>
      <c r="C489" s="410"/>
      <c r="D489" s="429"/>
      <c r="E489" s="416"/>
      <c r="F489" s="413"/>
      <c r="G489" s="413"/>
      <c r="H489" s="415"/>
      <c r="I489" s="415"/>
      <c r="J489" s="415"/>
      <c r="K489" s="415"/>
      <c r="L489" s="417"/>
      <c r="M489" s="403"/>
      <c r="N489" s="403"/>
      <c r="O489" s="403"/>
      <c r="P489" s="403"/>
      <c r="Q489" s="403"/>
      <c r="R489" s="403"/>
      <c r="S489" s="403"/>
      <c r="T489" s="403"/>
      <c r="U489" s="403"/>
      <c r="V489" s="403"/>
      <c r="W489" s="404"/>
      <c r="X489" s="405"/>
      <c r="Y489" s="405"/>
      <c r="Z489" s="405"/>
      <c r="AA489" s="405"/>
      <c r="AB489" s="405"/>
      <c r="AC489" s="405"/>
      <c r="AD489" s="405"/>
      <c r="AE489" s="405"/>
      <c r="AF489" s="405"/>
      <c r="AG489" s="405"/>
      <c r="AH489" s="405"/>
      <c r="AI489" s="405"/>
      <c r="AJ489" s="405"/>
      <c r="AK489" s="405"/>
      <c r="AL489" s="405"/>
      <c r="AM489" s="406"/>
      <c r="AN489" s="406"/>
      <c r="AO489" s="406"/>
      <c r="AP489" s="406"/>
      <c r="AQ489" s="403"/>
      <c r="AR489" s="403"/>
      <c r="AS489" s="403"/>
      <c r="AT489" s="403"/>
      <c r="AU489" s="403"/>
      <c r="AV489" s="403"/>
      <c r="AW489" s="403"/>
      <c r="AX489" s="403"/>
      <c r="AY489" s="403"/>
    </row>
    <row r="490">
      <c r="A490" s="415"/>
      <c r="B490" s="415"/>
      <c r="C490" s="410"/>
      <c r="D490" s="429"/>
      <c r="E490" s="416"/>
      <c r="F490" s="413"/>
      <c r="G490" s="413"/>
      <c r="H490" s="415"/>
      <c r="I490" s="415"/>
      <c r="J490" s="415"/>
      <c r="K490" s="415"/>
      <c r="L490" s="417"/>
      <c r="M490" s="403"/>
      <c r="N490" s="403"/>
      <c r="O490" s="403"/>
      <c r="P490" s="403"/>
      <c r="Q490" s="403"/>
      <c r="R490" s="403"/>
      <c r="S490" s="403"/>
      <c r="T490" s="403"/>
      <c r="U490" s="403"/>
      <c r="V490" s="403"/>
      <c r="W490" s="404"/>
      <c r="X490" s="405"/>
      <c r="Y490" s="405"/>
      <c r="Z490" s="405"/>
      <c r="AA490" s="405"/>
      <c r="AB490" s="405"/>
      <c r="AC490" s="405"/>
      <c r="AD490" s="405"/>
      <c r="AE490" s="405"/>
      <c r="AF490" s="405"/>
      <c r="AG490" s="405"/>
      <c r="AH490" s="405"/>
      <c r="AI490" s="405"/>
      <c r="AJ490" s="405"/>
      <c r="AK490" s="405"/>
      <c r="AL490" s="405"/>
      <c r="AM490" s="406"/>
      <c r="AN490" s="406"/>
      <c r="AO490" s="406"/>
      <c r="AP490" s="406"/>
      <c r="AQ490" s="403"/>
      <c r="AR490" s="403"/>
      <c r="AS490" s="403"/>
      <c r="AT490" s="403"/>
      <c r="AU490" s="403"/>
      <c r="AV490" s="403"/>
      <c r="AW490" s="403"/>
      <c r="AX490" s="403"/>
      <c r="AY490" s="403"/>
    </row>
    <row r="491">
      <c r="A491" s="415"/>
      <c r="B491" s="415"/>
      <c r="C491" s="410"/>
      <c r="D491" s="429"/>
      <c r="E491" s="416"/>
      <c r="F491" s="413"/>
      <c r="G491" s="413"/>
      <c r="H491" s="415"/>
      <c r="I491" s="415"/>
      <c r="J491" s="415"/>
      <c r="K491" s="415"/>
      <c r="L491" s="417"/>
      <c r="M491" s="403"/>
      <c r="N491" s="403"/>
      <c r="O491" s="403"/>
      <c r="P491" s="403"/>
      <c r="Q491" s="403"/>
      <c r="R491" s="403"/>
      <c r="S491" s="403"/>
      <c r="T491" s="403"/>
      <c r="U491" s="403"/>
      <c r="V491" s="403"/>
      <c r="W491" s="404"/>
      <c r="X491" s="405"/>
      <c r="Y491" s="405"/>
      <c r="Z491" s="405"/>
      <c r="AA491" s="405"/>
      <c r="AB491" s="405"/>
      <c r="AC491" s="405"/>
      <c r="AD491" s="405"/>
      <c r="AE491" s="405"/>
      <c r="AF491" s="405"/>
      <c r="AG491" s="405"/>
      <c r="AH491" s="405"/>
      <c r="AI491" s="405"/>
      <c r="AJ491" s="405"/>
      <c r="AK491" s="405"/>
      <c r="AL491" s="405"/>
      <c r="AM491" s="406"/>
      <c r="AN491" s="406"/>
      <c r="AO491" s="406"/>
      <c r="AP491" s="406"/>
      <c r="AQ491" s="403"/>
      <c r="AR491" s="403"/>
      <c r="AS491" s="403"/>
      <c r="AT491" s="403"/>
      <c r="AU491" s="403"/>
      <c r="AV491" s="403"/>
      <c r="AW491" s="403"/>
      <c r="AX491" s="403"/>
      <c r="AY491" s="403"/>
    </row>
    <row r="492">
      <c r="A492" s="415"/>
      <c r="B492" s="415"/>
      <c r="C492" s="410"/>
      <c r="D492" s="429"/>
      <c r="E492" s="416"/>
      <c r="F492" s="413"/>
      <c r="G492" s="413"/>
      <c r="H492" s="415"/>
      <c r="I492" s="415"/>
      <c r="J492" s="415"/>
      <c r="K492" s="415"/>
      <c r="L492" s="417"/>
      <c r="M492" s="403"/>
      <c r="N492" s="403"/>
      <c r="O492" s="403"/>
      <c r="P492" s="403"/>
      <c r="Q492" s="403"/>
      <c r="R492" s="403"/>
      <c r="S492" s="403"/>
      <c r="T492" s="403"/>
      <c r="U492" s="403"/>
      <c r="V492" s="403"/>
      <c r="W492" s="404"/>
      <c r="X492" s="405"/>
      <c r="Y492" s="405"/>
      <c r="Z492" s="405"/>
      <c r="AA492" s="405"/>
      <c r="AB492" s="405"/>
      <c r="AC492" s="405"/>
      <c r="AD492" s="405"/>
      <c r="AE492" s="405"/>
      <c r="AF492" s="405"/>
      <c r="AG492" s="405"/>
      <c r="AH492" s="405"/>
      <c r="AI492" s="405"/>
      <c r="AJ492" s="405"/>
      <c r="AK492" s="405"/>
      <c r="AL492" s="405"/>
      <c r="AM492" s="406"/>
      <c r="AN492" s="406"/>
      <c r="AO492" s="406"/>
      <c r="AP492" s="406"/>
      <c r="AQ492" s="403"/>
      <c r="AR492" s="403"/>
      <c r="AS492" s="403"/>
      <c r="AT492" s="403"/>
      <c r="AU492" s="403"/>
      <c r="AV492" s="403"/>
      <c r="AW492" s="403"/>
      <c r="AX492" s="403"/>
      <c r="AY492" s="403"/>
    </row>
    <row r="493">
      <c r="A493" s="415"/>
      <c r="B493" s="415"/>
      <c r="C493" s="410"/>
      <c r="D493" s="429"/>
      <c r="E493" s="416"/>
      <c r="F493" s="413"/>
      <c r="G493" s="413"/>
      <c r="H493" s="415"/>
      <c r="I493" s="415"/>
      <c r="J493" s="415"/>
      <c r="K493" s="415"/>
      <c r="L493" s="417"/>
      <c r="M493" s="403"/>
      <c r="N493" s="403"/>
      <c r="O493" s="403"/>
      <c r="P493" s="403"/>
      <c r="Q493" s="403"/>
      <c r="R493" s="403"/>
      <c r="S493" s="403"/>
      <c r="T493" s="403"/>
      <c r="U493" s="403"/>
      <c r="V493" s="403"/>
      <c r="W493" s="404"/>
      <c r="X493" s="405"/>
      <c r="Y493" s="405"/>
      <c r="Z493" s="405"/>
      <c r="AA493" s="405"/>
      <c r="AB493" s="405"/>
      <c r="AC493" s="405"/>
      <c r="AD493" s="405"/>
      <c r="AE493" s="405"/>
      <c r="AF493" s="405"/>
      <c r="AG493" s="405"/>
      <c r="AH493" s="405"/>
      <c r="AI493" s="405"/>
      <c r="AJ493" s="405"/>
      <c r="AK493" s="405"/>
      <c r="AL493" s="405"/>
      <c r="AM493" s="406"/>
      <c r="AN493" s="406"/>
      <c r="AO493" s="406"/>
      <c r="AP493" s="406"/>
      <c r="AQ493" s="403"/>
      <c r="AR493" s="403"/>
      <c r="AS493" s="403"/>
      <c r="AT493" s="403"/>
      <c r="AU493" s="403"/>
      <c r="AV493" s="403"/>
      <c r="AW493" s="403"/>
      <c r="AX493" s="403"/>
      <c r="AY493" s="403"/>
    </row>
    <row r="494">
      <c r="A494" s="415"/>
      <c r="B494" s="415"/>
      <c r="C494" s="410"/>
      <c r="D494" s="429"/>
      <c r="E494" s="416"/>
      <c r="F494" s="413"/>
      <c r="G494" s="413"/>
      <c r="H494" s="415"/>
      <c r="I494" s="415"/>
      <c r="J494" s="415"/>
      <c r="K494" s="415"/>
      <c r="L494" s="417"/>
      <c r="M494" s="403"/>
      <c r="N494" s="403"/>
      <c r="O494" s="403"/>
      <c r="P494" s="403"/>
      <c r="Q494" s="403"/>
      <c r="R494" s="403"/>
      <c r="S494" s="403"/>
      <c r="T494" s="403"/>
      <c r="U494" s="403"/>
      <c r="V494" s="403"/>
      <c r="W494" s="404"/>
      <c r="X494" s="405"/>
      <c r="Y494" s="405"/>
      <c r="Z494" s="405"/>
      <c r="AA494" s="405"/>
      <c r="AB494" s="405"/>
      <c r="AC494" s="405"/>
      <c r="AD494" s="405"/>
      <c r="AE494" s="405"/>
      <c r="AF494" s="405"/>
      <c r="AG494" s="405"/>
      <c r="AH494" s="405"/>
      <c r="AI494" s="405"/>
      <c r="AJ494" s="405"/>
      <c r="AK494" s="405"/>
      <c r="AL494" s="405"/>
      <c r="AM494" s="406"/>
      <c r="AN494" s="406"/>
      <c r="AO494" s="406"/>
      <c r="AP494" s="406"/>
      <c r="AQ494" s="403"/>
      <c r="AR494" s="403"/>
      <c r="AS494" s="403"/>
      <c r="AT494" s="403"/>
      <c r="AU494" s="403"/>
      <c r="AV494" s="403"/>
      <c r="AW494" s="403"/>
      <c r="AX494" s="403"/>
      <c r="AY494" s="403"/>
    </row>
    <row r="495">
      <c r="A495" s="415"/>
      <c r="B495" s="415"/>
      <c r="C495" s="410"/>
      <c r="D495" s="429"/>
      <c r="E495" s="416"/>
      <c r="F495" s="413"/>
      <c r="G495" s="413"/>
      <c r="H495" s="415"/>
      <c r="I495" s="415"/>
      <c r="J495" s="415"/>
      <c r="K495" s="415"/>
      <c r="L495" s="417"/>
      <c r="M495" s="403"/>
      <c r="N495" s="403"/>
      <c r="O495" s="403"/>
      <c r="P495" s="403"/>
      <c r="Q495" s="403"/>
      <c r="R495" s="403"/>
      <c r="S495" s="403"/>
      <c r="T495" s="403"/>
      <c r="U495" s="403"/>
      <c r="V495" s="403"/>
      <c r="W495" s="404"/>
      <c r="X495" s="405"/>
      <c r="Y495" s="405"/>
      <c r="Z495" s="405"/>
      <c r="AA495" s="405"/>
      <c r="AB495" s="405"/>
      <c r="AC495" s="405"/>
      <c r="AD495" s="405"/>
      <c r="AE495" s="405"/>
      <c r="AF495" s="405"/>
      <c r="AG495" s="405"/>
      <c r="AH495" s="405"/>
      <c r="AI495" s="405"/>
      <c r="AJ495" s="405"/>
      <c r="AK495" s="405"/>
      <c r="AL495" s="405"/>
      <c r="AM495" s="406"/>
      <c r="AN495" s="406"/>
      <c r="AO495" s="406"/>
      <c r="AP495" s="406"/>
      <c r="AQ495" s="403"/>
      <c r="AR495" s="403"/>
      <c r="AS495" s="403"/>
      <c r="AT495" s="403"/>
      <c r="AU495" s="403"/>
      <c r="AV495" s="403"/>
      <c r="AW495" s="403"/>
      <c r="AX495" s="403"/>
      <c r="AY495" s="403"/>
    </row>
    <row r="496">
      <c r="A496" s="415"/>
      <c r="B496" s="415"/>
      <c r="C496" s="410"/>
      <c r="D496" s="429"/>
      <c r="E496" s="416"/>
      <c r="F496" s="413"/>
      <c r="G496" s="413"/>
      <c r="H496" s="415"/>
      <c r="I496" s="415"/>
      <c r="J496" s="415"/>
      <c r="K496" s="415"/>
      <c r="L496" s="417"/>
      <c r="M496" s="403"/>
      <c r="N496" s="403"/>
      <c r="O496" s="403"/>
      <c r="P496" s="403"/>
      <c r="Q496" s="403"/>
      <c r="R496" s="403"/>
      <c r="S496" s="403"/>
      <c r="T496" s="403"/>
      <c r="U496" s="403"/>
      <c r="V496" s="403"/>
      <c r="W496" s="404"/>
      <c r="X496" s="405"/>
      <c r="Y496" s="405"/>
      <c r="Z496" s="405"/>
      <c r="AA496" s="405"/>
      <c r="AB496" s="405"/>
      <c r="AC496" s="405"/>
      <c r="AD496" s="405"/>
      <c r="AE496" s="405"/>
      <c r="AF496" s="405"/>
      <c r="AG496" s="405"/>
      <c r="AH496" s="405"/>
      <c r="AI496" s="405"/>
      <c r="AJ496" s="405"/>
      <c r="AK496" s="405"/>
      <c r="AL496" s="405"/>
      <c r="AM496" s="406"/>
      <c r="AN496" s="406"/>
      <c r="AO496" s="406"/>
      <c r="AP496" s="406"/>
      <c r="AQ496" s="403"/>
      <c r="AR496" s="403"/>
      <c r="AS496" s="403"/>
      <c r="AT496" s="403"/>
      <c r="AU496" s="403"/>
      <c r="AV496" s="403"/>
      <c r="AW496" s="403"/>
      <c r="AX496" s="403"/>
      <c r="AY496" s="403"/>
    </row>
    <row r="497">
      <c r="A497" s="415"/>
      <c r="B497" s="415"/>
      <c r="C497" s="410"/>
      <c r="D497" s="429"/>
      <c r="E497" s="416"/>
      <c r="F497" s="413"/>
      <c r="G497" s="413"/>
      <c r="H497" s="415"/>
      <c r="I497" s="415"/>
      <c r="J497" s="415"/>
      <c r="K497" s="415"/>
      <c r="L497" s="417"/>
      <c r="M497" s="403"/>
      <c r="N497" s="403"/>
      <c r="O497" s="403"/>
      <c r="P497" s="403"/>
      <c r="Q497" s="403"/>
      <c r="R497" s="403"/>
      <c r="S497" s="403"/>
      <c r="T497" s="403"/>
      <c r="U497" s="403"/>
      <c r="V497" s="403"/>
      <c r="W497" s="404"/>
      <c r="X497" s="405"/>
      <c r="Y497" s="405"/>
      <c r="Z497" s="405"/>
      <c r="AA497" s="405"/>
      <c r="AB497" s="405"/>
      <c r="AC497" s="405"/>
      <c r="AD497" s="405"/>
      <c r="AE497" s="405"/>
      <c r="AF497" s="405"/>
      <c r="AG497" s="405"/>
      <c r="AH497" s="405"/>
      <c r="AI497" s="405"/>
      <c r="AJ497" s="405"/>
      <c r="AK497" s="405"/>
      <c r="AL497" s="405"/>
      <c r="AM497" s="406"/>
      <c r="AN497" s="406"/>
      <c r="AO497" s="406"/>
      <c r="AP497" s="406"/>
      <c r="AQ497" s="403"/>
      <c r="AR497" s="403"/>
      <c r="AS497" s="403"/>
      <c r="AT497" s="403"/>
      <c r="AU497" s="403"/>
      <c r="AV497" s="403"/>
      <c r="AW497" s="403"/>
      <c r="AX497" s="403"/>
      <c r="AY497" s="403"/>
    </row>
    <row r="498">
      <c r="A498" s="415"/>
      <c r="B498" s="415"/>
      <c r="C498" s="410"/>
      <c r="D498" s="429"/>
      <c r="E498" s="416"/>
      <c r="F498" s="413"/>
      <c r="G498" s="413"/>
      <c r="H498" s="415"/>
      <c r="I498" s="415"/>
      <c r="J498" s="415"/>
      <c r="K498" s="415"/>
      <c r="L498" s="417"/>
      <c r="M498" s="403"/>
      <c r="N498" s="403"/>
      <c r="O498" s="403"/>
      <c r="P498" s="403"/>
      <c r="Q498" s="403"/>
      <c r="R498" s="403"/>
      <c r="S498" s="403"/>
      <c r="T498" s="403"/>
      <c r="U498" s="403"/>
      <c r="V498" s="403"/>
      <c r="W498" s="404"/>
      <c r="X498" s="405"/>
      <c r="Y498" s="405"/>
      <c r="Z498" s="405"/>
      <c r="AA498" s="405"/>
      <c r="AB498" s="405"/>
      <c r="AC498" s="405"/>
      <c r="AD498" s="405"/>
      <c r="AE498" s="405"/>
      <c r="AF498" s="405"/>
      <c r="AG498" s="405"/>
      <c r="AH498" s="405"/>
      <c r="AI498" s="405"/>
      <c r="AJ498" s="405"/>
      <c r="AK498" s="405"/>
      <c r="AL498" s="405"/>
      <c r="AM498" s="406"/>
      <c r="AN498" s="406"/>
      <c r="AO498" s="406"/>
      <c r="AP498" s="406"/>
      <c r="AQ498" s="403"/>
      <c r="AR498" s="403"/>
      <c r="AS498" s="403"/>
      <c r="AT498" s="403"/>
      <c r="AU498" s="403"/>
      <c r="AV498" s="403"/>
      <c r="AW498" s="403"/>
      <c r="AX498" s="403"/>
      <c r="AY498" s="403"/>
    </row>
    <row r="499">
      <c r="A499" s="415"/>
      <c r="B499" s="415"/>
      <c r="C499" s="410"/>
      <c r="D499" s="429"/>
      <c r="E499" s="416"/>
      <c r="F499" s="413"/>
      <c r="G499" s="413"/>
      <c r="H499" s="415"/>
      <c r="I499" s="415"/>
      <c r="J499" s="415"/>
      <c r="K499" s="415"/>
      <c r="L499" s="417"/>
      <c r="M499" s="403"/>
      <c r="N499" s="403"/>
      <c r="O499" s="403"/>
      <c r="P499" s="403"/>
      <c r="Q499" s="403"/>
      <c r="R499" s="403"/>
      <c r="S499" s="403"/>
      <c r="T499" s="403"/>
      <c r="U499" s="403"/>
      <c r="V499" s="403"/>
      <c r="W499" s="404"/>
      <c r="X499" s="405"/>
      <c r="Y499" s="405"/>
      <c r="Z499" s="405"/>
      <c r="AA499" s="405"/>
      <c r="AB499" s="405"/>
      <c r="AC499" s="405"/>
      <c r="AD499" s="405"/>
      <c r="AE499" s="405"/>
      <c r="AF499" s="405"/>
      <c r="AG499" s="405"/>
      <c r="AH499" s="405"/>
      <c r="AI499" s="405"/>
      <c r="AJ499" s="405"/>
      <c r="AK499" s="405"/>
      <c r="AL499" s="405"/>
      <c r="AM499" s="406"/>
      <c r="AN499" s="406"/>
      <c r="AO499" s="406"/>
      <c r="AP499" s="406"/>
      <c r="AQ499" s="403"/>
      <c r="AR499" s="403"/>
      <c r="AS499" s="403"/>
      <c r="AT499" s="403"/>
      <c r="AU499" s="403"/>
      <c r="AV499" s="403"/>
      <c r="AW499" s="403"/>
      <c r="AX499" s="403"/>
      <c r="AY499" s="403"/>
    </row>
    <row r="500">
      <c r="A500" s="415"/>
      <c r="B500" s="415"/>
      <c r="C500" s="410"/>
      <c r="D500" s="429"/>
      <c r="E500" s="416"/>
      <c r="F500" s="413"/>
      <c r="G500" s="413"/>
      <c r="H500" s="415"/>
      <c r="I500" s="415"/>
      <c r="J500" s="415"/>
      <c r="K500" s="415"/>
      <c r="L500" s="417"/>
      <c r="M500" s="403"/>
      <c r="N500" s="403"/>
      <c r="O500" s="403"/>
      <c r="P500" s="403"/>
      <c r="Q500" s="403"/>
      <c r="R500" s="403"/>
      <c r="S500" s="403"/>
      <c r="T500" s="403"/>
      <c r="U500" s="403"/>
      <c r="V500" s="403"/>
      <c r="W500" s="404"/>
      <c r="X500" s="405"/>
      <c r="Y500" s="405"/>
      <c r="Z500" s="405"/>
      <c r="AA500" s="405"/>
      <c r="AB500" s="405"/>
      <c r="AC500" s="405"/>
      <c r="AD500" s="405"/>
      <c r="AE500" s="405"/>
      <c r="AF500" s="405"/>
      <c r="AG500" s="405"/>
      <c r="AH500" s="405"/>
      <c r="AI500" s="405"/>
      <c r="AJ500" s="405"/>
      <c r="AK500" s="405"/>
      <c r="AL500" s="405"/>
      <c r="AM500" s="406"/>
      <c r="AN500" s="406"/>
      <c r="AO500" s="406"/>
      <c r="AP500" s="406"/>
      <c r="AQ500" s="403"/>
      <c r="AR500" s="403"/>
      <c r="AS500" s="403"/>
      <c r="AT500" s="403"/>
      <c r="AU500" s="403"/>
      <c r="AV500" s="403"/>
      <c r="AW500" s="403"/>
      <c r="AX500" s="403"/>
      <c r="AY500" s="403"/>
    </row>
    <row r="501">
      <c r="A501" s="415"/>
      <c r="B501" s="415"/>
      <c r="C501" s="410"/>
      <c r="D501" s="429"/>
      <c r="E501" s="416"/>
      <c r="F501" s="413"/>
      <c r="G501" s="413"/>
      <c r="H501" s="415"/>
      <c r="I501" s="415"/>
      <c r="J501" s="415"/>
      <c r="K501" s="415"/>
      <c r="L501" s="417"/>
      <c r="M501" s="403"/>
      <c r="N501" s="403"/>
      <c r="O501" s="403"/>
      <c r="P501" s="403"/>
      <c r="Q501" s="403"/>
      <c r="R501" s="403"/>
      <c r="S501" s="403"/>
      <c r="T501" s="403"/>
      <c r="U501" s="403"/>
      <c r="V501" s="403"/>
      <c r="W501" s="404"/>
      <c r="X501" s="405"/>
      <c r="Y501" s="405"/>
      <c r="Z501" s="405"/>
      <c r="AA501" s="405"/>
      <c r="AB501" s="405"/>
      <c r="AC501" s="405"/>
      <c r="AD501" s="405"/>
      <c r="AE501" s="405"/>
      <c r="AF501" s="405"/>
      <c r="AG501" s="405"/>
      <c r="AH501" s="405"/>
      <c r="AI501" s="405"/>
      <c r="AJ501" s="405"/>
      <c r="AK501" s="405"/>
      <c r="AL501" s="405"/>
      <c r="AM501" s="406"/>
      <c r="AN501" s="406"/>
      <c r="AO501" s="406"/>
      <c r="AP501" s="406"/>
      <c r="AQ501" s="403"/>
      <c r="AR501" s="403"/>
      <c r="AS501" s="403"/>
      <c r="AT501" s="403"/>
      <c r="AU501" s="403"/>
      <c r="AV501" s="403"/>
      <c r="AW501" s="403"/>
      <c r="AX501" s="403"/>
      <c r="AY501" s="403"/>
    </row>
    <row r="502">
      <c r="A502" s="415"/>
      <c r="B502" s="415"/>
      <c r="C502" s="410"/>
      <c r="D502" s="429"/>
      <c r="E502" s="416"/>
      <c r="F502" s="413"/>
      <c r="G502" s="413"/>
      <c r="H502" s="415"/>
      <c r="I502" s="415"/>
      <c r="J502" s="415"/>
      <c r="K502" s="415"/>
      <c r="L502" s="417"/>
      <c r="M502" s="403"/>
      <c r="N502" s="403"/>
      <c r="O502" s="403"/>
      <c r="P502" s="403"/>
      <c r="Q502" s="403"/>
      <c r="R502" s="403"/>
      <c r="S502" s="403"/>
      <c r="T502" s="403"/>
      <c r="U502" s="403"/>
      <c r="V502" s="403"/>
      <c r="W502" s="404"/>
      <c r="X502" s="405"/>
      <c r="Y502" s="405"/>
      <c r="Z502" s="405"/>
      <c r="AA502" s="405"/>
      <c r="AB502" s="405"/>
      <c r="AC502" s="405"/>
      <c r="AD502" s="405"/>
      <c r="AE502" s="405"/>
      <c r="AF502" s="405"/>
      <c r="AG502" s="405"/>
      <c r="AH502" s="405"/>
      <c r="AI502" s="405"/>
      <c r="AJ502" s="405"/>
      <c r="AK502" s="405"/>
      <c r="AL502" s="405"/>
      <c r="AM502" s="406"/>
      <c r="AN502" s="406"/>
      <c r="AO502" s="406"/>
      <c r="AP502" s="406"/>
      <c r="AQ502" s="403"/>
      <c r="AR502" s="403"/>
      <c r="AS502" s="403"/>
      <c r="AT502" s="403"/>
      <c r="AU502" s="403"/>
      <c r="AV502" s="403"/>
      <c r="AW502" s="403"/>
      <c r="AX502" s="403"/>
      <c r="AY502" s="403"/>
    </row>
    <row r="503">
      <c r="A503" s="415"/>
      <c r="B503" s="415"/>
      <c r="C503" s="410"/>
      <c r="D503" s="429"/>
      <c r="E503" s="416"/>
      <c r="F503" s="413"/>
      <c r="G503" s="413"/>
      <c r="H503" s="415"/>
      <c r="I503" s="415"/>
      <c r="J503" s="415"/>
      <c r="K503" s="415"/>
      <c r="L503" s="417"/>
      <c r="M503" s="403"/>
      <c r="N503" s="403"/>
      <c r="O503" s="403"/>
      <c r="P503" s="403"/>
      <c r="Q503" s="403"/>
      <c r="R503" s="403"/>
      <c r="S503" s="403"/>
      <c r="T503" s="403"/>
      <c r="U503" s="403"/>
      <c r="V503" s="403"/>
      <c r="W503" s="404"/>
      <c r="X503" s="405"/>
      <c r="Y503" s="405"/>
      <c r="Z503" s="405"/>
      <c r="AA503" s="405"/>
      <c r="AB503" s="405"/>
      <c r="AC503" s="405"/>
      <c r="AD503" s="405"/>
      <c r="AE503" s="405"/>
      <c r="AF503" s="405"/>
      <c r="AG503" s="405"/>
      <c r="AH503" s="405"/>
      <c r="AI503" s="405"/>
      <c r="AJ503" s="405"/>
      <c r="AK503" s="405"/>
      <c r="AL503" s="405"/>
      <c r="AM503" s="406"/>
      <c r="AN503" s="406"/>
      <c r="AO503" s="406"/>
      <c r="AP503" s="406"/>
      <c r="AQ503" s="403"/>
      <c r="AR503" s="403"/>
      <c r="AS503" s="403"/>
      <c r="AT503" s="403"/>
      <c r="AU503" s="403"/>
      <c r="AV503" s="403"/>
      <c r="AW503" s="403"/>
      <c r="AX503" s="403"/>
      <c r="AY503" s="403"/>
    </row>
    <row r="504">
      <c r="A504" s="415"/>
      <c r="B504" s="415"/>
      <c r="C504" s="410"/>
      <c r="D504" s="429"/>
      <c r="E504" s="416"/>
      <c r="F504" s="413"/>
      <c r="G504" s="413"/>
      <c r="H504" s="415"/>
      <c r="I504" s="415"/>
      <c r="J504" s="415"/>
      <c r="K504" s="415"/>
      <c r="L504" s="417"/>
      <c r="M504" s="403"/>
      <c r="N504" s="403"/>
      <c r="O504" s="403"/>
      <c r="P504" s="403"/>
      <c r="Q504" s="403"/>
      <c r="R504" s="403"/>
      <c r="S504" s="403"/>
      <c r="T504" s="403"/>
      <c r="U504" s="403"/>
      <c r="V504" s="403"/>
      <c r="W504" s="404"/>
      <c r="X504" s="405"/>
      <c r="Y504" s="405"/>
      <c r="Z504" s="405"/>
      <c r="AA504" s="405"/>
      <c r="AB504" s="405"/>
      <c r="AC504" s="405"/>
      <c r="AD504" s="405"/>
      <c r="AE504" s="405"/>
      <c r="AF504" s="405"/>
      <c r="AG504" s="405"/>
      <c r="AH504" s="405"/>
      <c r="AI504" s="405"/>
      <c r="AJ504" s="405"/>
      <c r="AK504" s="405"/>
      <c r="AL504" s="405"/>
      <c r="AM504" s="406"/>
      <c r="AN504" s="406"/>
      <c r="AO504" s="406"/>
      <c r="AP504" s="406"/>
      <c r="AQ504" s="403"/>
      <c r="AR504" s="403"/>
      <c r="AS504" s="403"/>
      <c r="AT504" s="403"/>
      <c r="AU504" s="403"/>
      <c r="AV504" s="403"/>
      <c r="AW504" s="403"/>
      <c r="AX504" s="403"/>
      <c r="AY504" s="403"/>
    </row>
    <row r="505">
      <c r="A505" s="415"/>
      <c r="B505" s="415"/>
      <c r="C505" s="410"/>
      <c r="D505" s="429"/>
      <c r="E505" s="416"/>
      <c r="F505" s="413"/>
      <c r="G505" s="413"/>
      <c r="H505" s="415"/>
      <c r="I505" s="415"/>
      <c r="J505" s="415"/>
      <c r="K505" s="415"/>
      <c r="L505" s="417"/>
      <c r="M505" s="403"/>
      <c r="N505" s="403"/>
      <c r="O505" s="403"/>
      <c r="P505" s="403"/>
      <c r="Q505" s="403"/>
      <c r="R505" s="403"/>
      <c r="S505" s="403"/>
      <c r="T505" s="403"/>
      <c r="U505" s="403"/>
      <c r="V505" s="403"/>
      <c r="W505" s="404"/>
      <c r="X505" s="405"/>
      <c r="Y505" s="405"/>
      <c r="Z505" s="405"/>
      <c r="AA505" s="405"/>
      <c r="AB505" s="405"/>
      <c r="AC505" s="405"/>
      <c r="AD505" s="405"/>
      <c r="AE505" s="405"/>
      <c r="AF505" s="405"/>
      <c r="AG505" s="405"/>
      <c r="AH505" s="405"/>
      <c r="AI505" s="405"/>
      <c r="AJ505" s="405"/>
      <c r="AK505" s="405"/>
      <c r="AL505" s="405"/>
      <c r="AM505" s="406"/>
      <c r="AN505" s="406"/>
      <c r="AO505" s="406"/>
      <c r="AP505" s="406"/>
      <c r="AQ505" s="403"/>
      <c r="AR505" s="403"/>
      <c r="AS505" s="403"/>
      <c r="AT505" s="403"/>
      <c r="AU505" s="403"/>
      <c r="AV505" s="403"/>
      <c r="AW505" s="403"/>
      <c r="AX505" s="403"/>
      <c r="AY505" s="403"/>
    </row>
    <row r="506">
      <c r="A506" s="415"/>
      <c r="B506" s="415"/>
      <c r="C506" s="410"/>
      <c r="D506" s="429"/>
      <c r="E506" s="416"/>
      <c r="F506" s="413"/>
      <c r="G506" s="413"/>
      <c r="H506" s="415"/>
      <c r="I506" s="415"/>
      <c r="J506" s="415"/>
      <c r="K506" s="415"/>
      <c r="L506" s="417"/>
      <c r="M506" s="403"/>
      <c r="N506" s="403"/>
      <c r="O506" s="403"/>
      <c r="P506" s="403"/>
      <c r="Q506" s="403"/>
      <c r="R506" s="403"/>
      <c r="S506" s="403"/>
      <c r="T506" s="403"/>
      <c r="U506" s="403"/>
      <c r="V506" s="403"/>
      <c r="W506" s="404"/>
      <c r="X506" s="405"/>
      <c r="Y506" s="405"/>
      <c r="Z506" s="405"/>
      <c r="AA506" s="405"/>
      <c r="AB506" s="405"/>
      <c r="AC506" s="405"/>
      <c r="AD506" s="405"/>
      <c r="AE506" s="405"/>
      <c r="AF506" s="405"/>
      <c r="AG506" s="405"/>
      <c r="AH506" s="405"/>
      <c r="AI506" s="405"/>
      <c r="AJ506" s="405"/>
      <c r="AK506" s="405"/>
      <c r="AL506" s="405"/>
      <c r="AM506" s="406"/>
      <c r="AN506" s="406"/>
      <c r="AO506" s="406"/>
      <c r="AP506" s="406"/>
      <c r="AQ506" s="403"/>
      <c r="AR506" s="403"/>
      <c r="AS506" s="403"/>
      <c r="AT506" s="403"/>
      <c r="AU506" s="403"/>
      <c r="AV506" s="403"/>
      <c r="AW506" s="403"/>
      <c r="AX506" s="403"/>
      <c r="AY506" s="403"/>
    </row>
    <row r="507">
      <c r="A507" s="415"/>
      <c r="B507" s="415"/>
      <c r="C507" s="410"/>
      <c r="D507" s="429"/>
      <c r="E507" s="416"/>
      <c r="F507" s="413"/>
      <c r="G507" s="413"/>
      <c r="H507" s="415"/>
      <c r="I507" s="415"/>
      <c r="J507" s="415"/>
      <c r="K507" s="415"/>
      <c r="L507" s="417"/>
      <c r="M507" s="403"/>
      <c r="N507" s="403"/>
      <c r="O507" s="403"/>
      <c r="P507" s="403"/>
      <c r="Q507" s="403"/>
      <c r="R507" s="403"/>
      <c r="S507" s="403"/>
      <c r="T507" s="403"/>
      <c r="U507" s="403"/>
      <c r="V507" s="403"/>
      <c r="W507" s="404"/>
      <c r="X507" s="405"/>
      <c r="Y507" s="405"/>
      <c r="Z507" s="405"/>
      <c r="AA507" s="405"/>
      <c r="AB507" s="405"/>
      <c r="AC507" s="405"/>
      <c r="AD507" s="405"/>
      <c r="AE507" s="405"/>
      <c r="AF507" s="405"/>
      <c r="AG507" s="405"/>
      <c r="AH507" s="405"/>
      <c r="AI507" s="405"/>
      <c r="AJ507" s="405"/>
      <c r="AK507" s="405"/>
      <c r="AL507" s="405"/>
      <c r="AM507" s="406"/>
      <c r="AN507" s="406"/>
      <c r="AO507" s="406"/>
      <c r="AP507" s="406"/>
      <c r="AQ507" s="403"/>
      <c r="AR507" s="403"/>
      <c r="AS507" s="403"/>
      <c r="AT507" s="403"/>
      <c r="AU507" s="403"/>
      <c r="AV507" s="403"/>
      <c r="AW507" s="403"/>
      <c r="AX507" s="403"/>
      <c r="AY507" s="403"/>
    </row>
    <row r="508">
      <c r="A508" s="415"/>
      <c r="B508" s="415"/>
      <c r="C508" s="410"/>
      <c r="D508" s="429"/>
      <c r="E508" s="416"/>
      <c r="F508" s="413"/>
      <c r="G508" s="413"/>
      <c r="H508" s="415"/>
      <c r="I508" s="415"/>
      <c r="J508" s="415"/>
      <c r="K508" s="415"/>
      <c r="L508" s="417"/>
      <c r="M508" s="403"/>
      <c r="N508" s="403"/>
      <c r="O508" s="403"/>
      <c r="P508" s="403"/>
      <c r="Q508" s="403"/>
      <c r="R508" s="403"/>
      <c r="S508" s="403"/>
      <c r="T508" s="403"/>
      <c r="U508" s="403"/>
      <c r="V508" s="403"/>
      <c r="W508" s="404"/>
      <c r="X508" s="405"/>
      <c r="Y508" s="405"/>
      <c r="Z508" s="405"/>
      <c r="AA508" s="405"/>
      <c r="AB508" s="405"/>
      <c r="AC508" s="405"/>
      <c r="AD508" s="405"/>
      <c r="AE508" s="405"/>
      <c r="AF508" s="405"/>
      <c r="AG508" s="405"/>
      <c r="AH508" s="405"/>
      <c r="AI508" s="405"/>
      <c r="AJ508" s="405"/>
      <c r="AK508" s="405"/>
      <c r="AL508" s="405"/>
      <c r="AM508" s="406"/>
      <c r="AN508" s="406"/>
      <c r="AO508" s="406"/>
      <c r="AP508" s="406"/>
      <c r="AQ508" s="403"/>
      <c r="AR508" s="403"/>
      <c r="AS508" s="403"/>
      <c r="AT508" s="403"/>
      <c r="AU508" s="403"/>
      <c r="AV508" s="403"/>
      <c r="AW508" s="403"/>
      <c r="AX508" s="403"/>
      <c r="AY508" s="403"/>
    </row>
    <row r="509">
      <c r="A509" s="415"/>
      <c r="B509" s="415"/>
      <c r="C509" s="410"/>
      <c r="D509" s="429"/>
      <c r="E509" s="416"/>
      <c r="F509" s="413"/>
      <c r="G509" s="413"/>
      <c r="H509" s="415"/>
      <c r="I509" s="415"/>
      <c r="J509" s="415"/>
      <c r="K509" s="415"/>
      <c r="L509" s="417"/>
      <c r="M509" s="403"/>
      <c r="N509" s="403"/>
      <c r="O509" s="403"/>
      <c r="P509" s="403"/>
      <c r="Q509" s="403"/>
      <c r="R509" s="403"/>
      <c r="S509" s="403"/>
      <c r="T509" s="403"/>
      <c r="U509" s="403"/>
      <c r="V509" s="403"/>
      <c r="W509" s="404"/>
      <c r="X509" s="405"/>
      <c r="Y509" s="405"/>
      <c r="Z509" s="405"/>
      <c r="AA509" s="405"/>
      <c r="AB509" s="405"/>
      <c r="AC509" s="405"/>
      <c r="AD509" s="405"/>
      <c r="AE509" s="405"/>
      <c r="AF509" s="405"/>
      <c r="AG509" s="405"/>
      <c r="AH509" s="405"/>
      <c r="AI509" s="405"/>
      <c r="AJ509" s="405"/>
      <c r="AK509" s="405"/>
      <c r="AL509" s="405"/>
      <c r="AM509" s="406"/>
      <c r="AN509" s="406"/>
      <c r="AO509" s="406"/>
      <c r="AP509" s="406"/>
      <c r="AQ509" s="403"/>
      <c r="AR509" s="403"/>
      <c r="AS509" s="403"/>
      <c r="AT509" s="403"/>
      <c r="AU509" s="403"/>
      <c r="AV509" s="403"/>
      <c r="AW509" s="403"/>
      <c r="AX509" s="403"/>
      <c r="AY509" s="403"/>
    </row>
    <row r="510">
      <c r="A510" s="415"/>
      <c r="B510" s="415"/>
      <c r="C510" s="410"/>
      <c r="D510" s="429"/>
      <c r="E510" s="416"/>
      <c r="F510" s="413"/>
      <c r="G510" s="413"/>
      <c r="H510" s="415"/>
      <c r="I510" s="415"/>
      <c r="J510" s="415"/>
      <c r="K510" s="415"/>
      <c r="L510" s="417"/>
      <c r="M510" s="403"/>
      <c r="N510" s="403"/>
      <c r="O510" s="403"/>
      <c r="P510" s="403"/>
      <c r="Q510" s="403"/>
      <c r="R510" s="403"/>
      <c r="S510" s="403"/>
      <c r="T510" s="403"/>
      <c r="U510" s="403"/>
      <c r="V510" s="403"/>
      <c r="W510" s="404"/>
      <c r="X510" s="405"/>
      <c r="Y510" s="405"/>
      <c r="Z510" s="405"/>
      <c r="AA510" s="405"/>
      <c r="AB510" s="405"/>
      <c r="AC510" s="405"/>
      <c r="AD510" s="405"/>
      <c r="AE510" s="405"/>
      <c r="AF510" s="405"/>
      <c r="AG510" s="405"/>
      <c r="AH510" s="405"/>
      <c r="AI510" s="405"/>
      <c r="AJ510" s="405"/>
      <c r="AK510" s="405"/>
      <c r="AL510" s="405"/>
      <c r="AM510" s="406"/>
      <c r="AN510" s="406"/>
      <c r="AO510" s="406"/>
      <c r="AP510" s="406"/>
      <c r="AQ510" s="403"/>
      <c r="AR510" s="403"/>
      <c r="AS510" s="403"/>
      <c r="AT510" s="403"/>
      <c r="AU510" s="403"/>
      <c r="AV510" s="403"/>
      <c r="AW510" s="403"/>
      <c r="AX510" s="403"/>
      <c r="AY510" s="403"/>
    </row>
    <row r="511">
      <c r="A511" s="415"/>
      <c r="B511" s="415"/>
      <c r="C511" s="410"/>
      <c r="D511" s="429"/>
      <c r="E511" s="416"/>
      <c r="F511" s="413"/>
      <c r="G511" s="413"/>
      <c r="H511" s="415"/>
      <c r="I511" s="415"/>
      <c r="J511" s="415"/>
      <c r="K511" s="415"/>
      <c r="L511" s="417"/>
      <c r="M511" s="403"/>
      <c r="N511" s="403"/>
      <c r="O511" s="403"/>
      <c r="P511" s="403"/>
      <c r="Q511" s="403"/>
      <c r="R511" s="403"/>
      <c r="S511" s="403"/>
      <c r="T511" s="403"/>
      <c r="U511" s="403"/>
      <c r="V511" s="403"/>
      <c r="W511" s="404"/>
      <c r="X511" s="405"/>
      <c r="Y511" s="405"/>
      <c r="Z511" s="405"/>
      <c r="AA511" s="405"/>
      <c r="AB511" s="405"/>
      <c r="AC511" s="405"/>
      <c r="AD511" s="405"/>
      <c r="AE511" s="405"/>
      <c r="AF511" s="405"/>
      <c r="AG511" s="405"/>
      <c r="AH511" s="405"/>
      <c r="AI511" s="405"/>
      <c r="AJ511" s="405"/>
      <c r="AK511" s="405"/>
      <c r="AL511" s="405"/>
      <c r="AM511" s="406"/>
      <c r="AN511" s="406"/>
      <c r="AO511" s="406"/>
      <c r="AP511" s="406"/>
      <c r="AQ511" s="403"/>
      <c r="AR511" s="403"/>
      <c r="AS511" s="403"/>
      <c r="AT511" s="403"/>
      <c r="AU511" s="403"/>
      <c r="AV511" s="403"/>
      <c r="AW511" s="403"/>
      <c r="AX511" s="403"/>
      <c r="AY511" s="403"/>
    </row>
    <row r="512">
      <c r="A512" s="415"/>
      <c r="B512" s="415"/>
      <c r="C512" s="410"/>
      <c r="D512" s="429"/>
      <c r="E512" s="416"/>
      <c r="F512" s="413"/>
      <c r="G512" s="413"/>
      <c r="H512" s="415"/>
      <c r="I512" s="415"/>
      <c r="J512" s="415"/>
      <c r="K512" s="415"/>
      <c r="L512" s="417"/>
      <c r="M512" s="403"/>
      <c r="N512" s="403"/>
      <c r="O512" s="403"/>
      <c r="P512" s="403"/>
      <c r="Q512" s="403"/>
      <c r="R512" s="403"/>
      <c r="S512" s="403"/>
      <c r="T512" s="403"/>
      <c r="U512" s="403"/>
      <c r="V512" s="403"/>
      <c r="W512" s="404"/>
      <c r="X512" s="405"/>
      <c r="Y512" s="405"/>
      <c r="Z512" s="405"/>
      <c r="AA512" s="405"/>
      <c r="AB512" s="405"/>
      <c r="AC512" s="405"/>
      <c r="AD512" s="405"/>
      <c r="AE512" s="405"/>
      <c r="AF512" s="405"/>
      <c r="AG512" s="405"/>
      <c r="AH512" s="405"/>
      <c r="AI512" s="405"/>
      <c r="AJ512" s="405"/>
      <c r="AK512" s="405"/>
      <c r="AL512" s="405"/>
      <c r="AM512" s="406"/>
      <c r="AN512" s="406"/>
      <c r="AO512" s="406"/>
      <c r="AP512" s="406"/>
      <c r="AQ512" s="403"/>
      <c r="AR512" s="403"/>
      <c r="AS512" s="403"/>
      <c r="AT512" s="403"/>
      <c r="AU512" s="403"/>
      <c r="AV512" s="403"/>
      <c r="AW512" s="403"/>
      <c r="AX512" s="403"/>
      <c r="AY512" s="403"/>
    </row>
    <row r="513">
      <c r="A513" s="415"/>
      <c r="B513" s="415"/>
      <c r="C513" s="410"/>
      <c r="D513" s="429"/>
      <c r="E513" s="416"/>
      <c r="F513" s="413"/>
      <c r="G513" s="413"/>
      <c r="H513" s="415"/>
      <c r="I513" s="415"/>
      <c r="J513" s="415"/>
      <c r="K513" s="415"/>
      <c r="L513" s="417"/>
      <c r="M513" s="403"/>
      <c r="N513" s="403"/>
      <c r="O513" s="403"/>
      <c r="P513" s="403"/>
      <c r="Q513" s="403"/>
      <c r="R513" s="403"/>
      <c r="S513" s="403"/>
      <c r="T513" s="403"/>
      <c r="U513" s="403"/>
      <c r="V513" s="403"/>
      <c r="W513" s="404"/>
      <c r="X513" s="405"/>
      <c r="Y513" s="405"/>
      <c r="Z513" s="405"/>
      <c r="AA513" s="405"/>
      <c r="AB513" s="405"/>
      <c r="AC513" s="405"/>
      <c r="AD513" s="405"/>
      <c r="AE513" s="405"/>
      <c r="AF513" s="405"/>
      <c r="AG513" s="405"/>
      <c r="AH513" s="405"/>
      <c r="AI513" s="405"/>
      <c r="AJ513" s="405"/>
      <c r="AK513" s="405"/>
      <c r="AL513" s="405"/>
      <c r="AM513" s="406"/>
      <c r="AN513" s="406"/>
      <c r="AO513" s="406"/>
      <c r="AP513" s="406"/>
      <c r="AQ513" s="403"/>
      <c r="AR513" s="403"/>
      <c r="AS513" s="403"/>
      <c r="AT513" s="403"/>
      <c r="AU513" s="403"/>
      <c r="AV513" s="403"/>
      <c r="AW513" s="403"/>
      <c r="AX513" s="403"/>
      <c r="AY513" s="403"/>
    </row>
    <row r="514">
      <c r="A514" s="415"/>
      <c r="B514" s="415"/>
      <c r="C514" s="410"/>
      <c r="D514" s="429"/>
      <c r="E514" s="416"/>
      <c r="F514" s="413"/>
      <c r="G514" s="413"/>
      <c r="H514" s="415"/>
      <c r="I514" s="415"/>
      <c r="J514" s="415"/>
      <c r="K514" s="415"/>
      <c r="L514" s="417"/>
      <c r="M514" s="403"/>
      <c r="N514" s="403"/>
      <c r="O514" s="403"/>
      <c r="P514" s="403"/>
      <c r="Q514" s="403"/>
      <c r="R514" s="403"/>
      <c r="S514" s="403"/>
      <c r="T514" s="403"/>
      <c r="U514" s="403"/>
      <c r="V514" s="403"/>
      <c r="W514" s="404"/>
      <c r="X514" s="405"/>
      <c r="Y514" s="405"/>
      <c r="Z514" s="405"/>
      <c r="AA514" s="405"/>
      <c r="AB514" s="405"/>
      <c r="AC514" s="405"/>
      <c r="AD514" s="405"/>
      <c r="AE514" s="405"/>
      <c r="AF514" s="405"/>
      <c r="AG514" s="405"/>
      <c r="AH514" s="405"/>
      <c r="AI514" s="405"/>
      <c r="AJ514" s="405"/>
      <c r="AK514" s="405"/>
      <c r="AL514" s="405"/>
      <c r="AM514" s="406"/>
      <c r="AN514" s="406"/>
      <c r="AO514" s="406"/>
      <c r="AP514" s="406"/>
      <c r="AQ514" s="403"/>
      <c r="AR514" s="403"/>
      <c r="AS514" s="403"/>
      <c r="AT514" s="403"/>
      <c r="AU514" s="403"/>
      <c r="AV514" s="403"/>
      <c r="AW514" s="403"/>
      <c r="AX514" s="403"/>
      <c r="AY514" s="403"/>
    </row>
    <row r="515">
      <c r="A515" s="415"/>
      <c r="B515" s="415"/>
      <c r="C515" s="410"/>
      <c r="D515" s="429"/>
      <c r="E515" s="416"/>
      <c r="F515" s="413"/>
      <c r="G515" s="413"/>
      <c r="H515" s="415"/>
      <c r="I515" s="415"/>
      <c r="J515" s="415"/>
      <c r="K515" s="415"/>
      <c r="L515" s="417"/>
      <c r="M515" s="403"/>
      <c r="N515" s="403"/>
      <c r="O515" s="403"/>
      <c r="P515" s="403"/>
      <c r="Q515" s="403"/>
      <c r="R515" s="403"/>
      <c r="S515" s="403"/>
      <c r="T515" s="403"/>
      <c r="U515" s="403"/>
      <c r="V515" s="403"/>
      <c r="W515" s="404"/>
      <c r="X515" s="405"/>
      <c r="Y515" s="405"/>
      <c r="Z515" s="405"/>
      <c r="AA515" s="405"/>
      <c r="AB515" s="405"/>
      <c r="AC515" s="405"/>
      <c r="AD515" s="405"/>
      <c r="AE515" s="405"/>
      <c r="AF515" s="405"/>
      <c r="AG515" s="405"/>
      <c r="AH515" s="405"/>
      <c r="AI515" s="405"/>
      <c r="AJ515" s="405"/>
      <c r="AK515" s="405"/>
      <c r="AL515" s="405"/>
      <c r="AM515" s="406"/>
      <c r="AN515" s="406"/>
      <c r="AO515" s="406"/>
      <c r="AP515" s="406"/>
      <c r="AQ515" s="403"/>
      <c r="AR515" s="403"/>
      <c r="AS515" s="403"/>
      <c r="AT515" s="403"/>
      <c r="AU515" s="403"/>
      <c r="AV515" s="403"/>
      <c r="AW515" s="403"/>
      <c r="AX515" s="403"/>
      <c r="AY515" s="403"/>
    </row>
    <row r="516">
      <c r="A516" s="415"/>
      <c r="B516" s="415"/>
      <c r="C516" s="410"/>
      <c r="D516" s="429"/>
      <c r="E516" s="416"/>
      <c r="F516" s="413"/>
      <c r="G516" s="413"/>
      <c r="H516" s="415"/>
      <c r="I516" s="415"/>
      <c r="J516" s="415"/>
      <c r="K516" s="415"/>
      <c r="L516" s="417"/>
      <c r="M516" s="403"/>
      <c r="N516" s="403"/>
      <c r="O516" s="403"/>
      <c r="P516" s="403"/>
      <c r="Q516" s="403"/>
      <c r="R516" s="403"/>
      <c r="S516" s="403"/>
      <c r="T516" s="403"/>
      <c r="U516" s="403"/>
      <c r="V516" s="403"/>
      <c r="W516" s="404"/>
      <c r="X516" s="405"/>
      <c r="Y516" s="405"/>
      <c r="Z516" s="405"/>
      <c r="AA516" s="405"/>
      <c r="AB516" s="405"/>
      <c r="AC516" s="405"/>
      <c r="AD516" s="405"/>
      <c r="AE516" s="405"/>
      <c r="AF516" s="405"/>
      <c r="AG516" s="405"/>
      <c r="AH516" s="405"/>
      <c r="AI516" s="405"/>
      <c r="AJ516" s="405"/>
      <c r="AK516" s="405"/>
      <c r="AL516" s="405"/>
      <c r="AM516" s="406"/>
      <c r="AN516" s="406"/>
      <c r="AO516" s="406"/>
      <c r="AP516" s="406"/>
      <c r="AQ516" s="403"/>
      <c r="AR516" s="403"/>
      <c r="AS516" s="403"/>
      <c r="AT516" s="403"/>
      <c r="AU516" s="403"/>
      <c r="AV516" s="403"/>
      <c r="AW516" s="403"/>
      <c r="AX516" s="403"/>
      <c r="AY516" s="403"/>
    </row>
    <row r="517">
      <c r="A517" s="415"/>
      <c r="B517" s="415"/>
      <c r="C517" s="410"/>
      <c r="D517" s="429"/>
      <c r="E517" s="416"/>
      <c r="F517" s="413"/>
      <c r="G517" s="413"/>
      <c r="H517" s="415"/>
      <c r="I517" s="415"/>
      <c r="J517" s="415"/>
      <c r="K517" s="415"/>
      <c r="L517" s="417"/>
      <c r="M517" s="403"/>
      <c r="N517" s="403"/>
      <c r="O517" s="403"/>
      <c r="P517" s="403"/>
      <c r="Q517" s="403"/>
      <c r="R517" s="403"/>
      <c r="S517" s="403"/>
      <c r="T517" s="403"/>
      <c r="U517" s="403"/>
      <c r="V517" s="403"/>
      <c r="W517" s="404"/>
      <c r="X517" s="405"/>
      <c r="Y517" s="405"/>
      <c r="Z517" s="405"/>
      <c r="AA517" s="405"/>
      <c r="AB517" s="405"/>
      <c r="AC517" s="405"/>
      <c r="AD517" s="405"/>
      <c r="AE517" s="405"/>
      <c r="AF517" s="405"/>
      <c r="AG517" s="405"/>
      <c r="AH517" s="405"/>
      <c r="AI517" s="405"/>
      <c r="AJ517" s="405"/>
      <c r="AK517" s="405"/>
      <c r="AL517" s="405"/>
      <c r="AM517" s="406"/>
      <c r="AN517" s="406"/>
      <c r="AO517" s="406"/>
      <c r="AP517" s="406"/>
      <c r="AQ517" s="403"/>
      <c r="AR517" s="403"/>
      <c r="AS517" s="403"/>
      <c r="AT517" s="403"/>
      <c r="AU517" s="403"/>
      <c r="AV517" s="403"/>
      <c r="AW517" s="403"/>
      <c r="AX517" s="403"/>
      <c r="AY517" s="403"/>
    </row>
    <row r="518">
      <c r="A518" s="415"/>
      <c r="B518" s="415"/>
      <c r="C518" s="410"/>
      <c r="D518" s="429"/>
      <c r="E518" s="416"/>
      <c r="F518" s="413"/>
      <c r="G518" s="413"/>
      <c r="H518" s="415"/>
      <c r="I518" s="415"/>
      <c r="J518" s="415"/>
      <c r="K518" s="415"/>
      <c r="L518" s="417"/>
      <c r="M518" s="403"/>
      <c r="N518" s="403"/>
      <c r="O518" s="403"/>
      <c r="P518" s="403"/>
      <c r="Q518" s="403"/>
      <c r="R518" s="403"/>
      <c r="S518" s="403"/>
      <c r="T518" s="403"/>
      <c r="U518" s="403"/>
      <c r="V518" s="403"/>
      <c r="W518" s="404"/>
      <c r="X518" s="405"/>
      <c r="Y518" s="405"/>
      <c r="Z518" s="405"/>
      <c r="AA518" s="405"/>
      <c r="AB518" s="405"/>
      <c r="AC518" s="405"/>
      <c r="AD518" s="405"/>
      <c r="AE518" s="405"/>
      <c r="AF518" s="405"/>
      <c r="AG518" s="405"/>
      <c r="AH518" s="405"/>
      <c r="AI518" s="405"/>
      <c r="AJ518" s="405"/>
      <c r="AK518" s="405"/>
      <c r="AL518" s="405"/>
      <c r="AM518" s="406"/>
      <c r="AN518" s="406"/>
      <c r="AO518" s="406"/>
      <c r="AP518" s="406"/>
      <c r="AQ518" s="403"/>
      <c r="AR518" s="403"/>
      <c r="AS518" s="403"/>
      <c r="AT518" s="403"/>
      <c r="AU518" s="403"/>
      <c r="AV518" s="403"/>
      <c r="AW518" s="403"/>
      <c r="AX518" s="403"/>
      <c r="AY518" s="403"/>
    </row>
    <row r="519">
      <c r="A519" s="415"/>
      <c r="B519" s="415"/>
      <c r="C519" s="410"/>
      <c r="D519" s="429"/>
      <c r="E519" s="416"/>
      <c r="F519" s="413"/>
      <c r="G519" s="413"/>
      <c r="H519" s="415"/>
      <c r="I519" s="415"/>
      <c r="J519" s="415"/>
      <c r="K519" s="415"/>
      <c r="L519" s="417"/>
      <c r="M519" s="403"/>
      <c r="N519" s="403"/>
      <c r="O519" s="403"/>
      <c r="P519" s="403"/>
      <c r="Q519" s="403"/>
      <c r="R519" s="403"/>
      <c r="S519" s="403"/>
      <c r="T519" s="403"/>
      <c r="U519" s="403"/>
      <c r="V519" s="403"/>
      <c r="W519" s="404"/>
      <c r="X519" s="405"/>
      <c r="Y519" s="405"/>
      <c r="Z519" s="405"/>
      <c r="AA519" s="405"/>
      <c r="AB519" s="405"/>
      <c r="AC519" s="405"/>
      <c r="AD519" s="405"/>
      <c r="AE519" s="405"/>
      <c r="AF519" s="405"/>
      <c r="AG519" s="405"/>
      <c r="AH519" s="405"/>
      <c r="AI519" s="405"/>
      <c r="AJ519" s="405"/>
      <c r="AK519" s="405"/>
      <c r="AL519" s="405"/>
      <c r="AM519" s="406"/>
      <c r="AN519" s="406"/>
      <c r="AO519" s="406"/>
      <c r="AP519" s="406"/>
      <c r="AQ519" s="403"/>
      <c r="AR519" s="403"/>
      <c r="AS519" s="403"/>
      <c r="AT519" s="403"/>
      <c r="AU519" s="403"/>
      <c r="AV519" s="403"/>
      <c r="AW519" s="403"/>
      <c r="AX519" s="403"/>
      <c r="AY519" s="403"/>
    </row>
    <row r="520">
      <c r="A520" s="415"/>
      <c r="B520" s="415"/>
      <c r="C520" s="410"/>
      <c r="D520" s="429"/>
      <c r="E520" s="416"/>
      <c r="F520" s="413"/>
      <c r="G520" s="413"/>
      <c r="H520" s="415"/>
      <c r="I520" s="415"/>
      <c r="J520" s="415"/>
      <c r="K520" s="415"/>
      <c r="L520" s="417"/>
      <c r="M520" s="403"/>
      <c r="N520" s="403"/>
      <c r="O520" s="403"/>
      <c r="P520" s="403"/>
      <c r="Q520" s="403"/>
      <c r="R520" s="403"/>
      <c r="S520" s="403"/>
      <c r="T520" s="403"/>
      <c r="U520" s="403"/>
      <c r="V520" s="403"/>
      <c r="W520" s="404"/>
      <c r="X520" s="405"/>
      <c r="Y520" s="405"/>
      <c r="Z520" s="405"/>
      <c r="AA520" s="405"/>
      <c r="AB520" s="405"/>
      <c r="AC520" s="405"/>
      <c r="AD520" s="405"/>
      <c r="AE520" s="405"/>
      <c r="AF520" s="405"/>
      <c r="AG520" s="405"/>
      <c r="AH520" s="405"/>
      <c r="AI520" s="405"/>
      <c r="AJ520" s="405"/>
      <c r="AK520" s="405"/>
      <c r="AL520" s="405"/>
      <c r="AM520" s="406"/>
      <c r="AN520" s="406"/>
      <c r="AO520" s="406"/>
      <c r="AP520" s="406"/>
      <c r="AQ520" s="403"/>
      <c r="AR520" s="403"/>
      <c r="AS520" s="403"/>
      <c r="AT520" s="403"/>
      <c r="AU520" s="403"/>
      <c r="AV520" s="403"/>
      <c r="AW520" s="403"/>
      <c r="AX520" s="403"/>
      <c r="AY520" s="403"/>
    </row>
    <row r="521">
      <c r="A521" s="415"/>
      <c r="B521" s="415"/>
      <c r="C521" s="410"/>
      <c r="D521" s="429"/>
      <c r="E521" s="416"/>
      <c r="F521" s="413"/>
      <c r="G521" s="413"/>
      <c r="H521" s="415"/>
      <c r="I521" s="415"/>
      <c r="J521" s="415"/>
      <c r="K521" s="415"/>
      <c r="L521" s="417"/>
      <c r="M521" s="403"/>
      <c r="N521" s="403"/>
      <c r="O521" s="403"/>
      <c r="P521" s="403"/>
      <c r="Q521" s="403"/>
      <c r="R521" s="403"/>
      <c r="S521" s="403"/>
      <c r="T521" s="403"/>
      <c r="U521" s="403"/>
      <c r="V521" s="403"/>
      <c r="W521" s="404"/>
      <c r="X521" s="405"/>
      <c r="Y521" s="405"/>
      <c r="Z521" s="405"/>
      <c r="AA521" s="405"/>
      <c r="AB521" s="405"/>
      <c r="AC521" s="405"/>
      <c r="AD521" s="405"/>
      <c r="AE521" s="405"/>
      <c r="AF521" s="405"/>
      <c r="AG521" s="405"/>
      <c r="AH521" s="405"/>
      <c r="AI521" s="405"/>
      <c r="AJ521" s="405"/>
      <c r="AK521" s="405"/>
      <c r="AL521" s="405"/>
      <c r="AM521" s="406"/>
      <c r="AN521" s="406"/>
      <c r="AO521" s="406"/>
      <c r="AP521" s="406"/>
      <c r="AQ521" s="403"/>
      <c r="AR521" s="403"/>
      <c r="AS521" s="403"/>
      <c r="AT521" s="403"/>
      <c r="AU521" s="403"/>
      <c r="AV521" s="403"/>
      <c r="AW521" s="403"/>
      <c r="AX521" s="403"/>
      <c r="AY521" s="403"/>
    </row>
    <row r="522">
      <c r="A522" s="415"/>
      <c r="B522" s="415"/>
      <c r="C522" s="410"/>
      <c r="D522" s="429"/>
      <c r="E522" s="416"/>
      <c r="F522" s="413"/>
      <c r="G522" s="413"/>
      <c r="H522" s="415"/>
      <c r="I522" s="415"/>
      <c r="J522" s="415"/>
      <c r="K522" s="415"/>
      <c r="L522" s="417"/>
      <c r="M522" s="403"/>
      <c r="N522" s="403"/>
      <c r="O522" s="403"/>
      <c r="P522" s="403"/>
      <c r="Q522" s="403"/>
      <c r="R522" s="403"/>
      <c r="S522" s="403"/>
      <c r="T522" s="403"/>
      <c r="U522" s="403"/>
      <c r="V522" s="403"/>
      <c r="W522" s="404"/>
      <c r="X522" s="405"/>
      <c r="Y522" s="405"/>
      <c r="Z522" s="405"/>
      <c r="AA522" s="405"/>
      <c r="AB522" s="405"/>
      <c r="AC522" s="405"/>
      <c r="AD522" s="405"/>
      <c r="AE522" s="405"/>
      <c r="AF522" s="405"/>
      <c r="AG522" s="405"/>
      <c r="AH522" s="405"/>
      <c r="AI522" s="405"/>
      <c r="AJ522" s="405"/>
      <c r="AK522" s="405"/>
      <c r="AL522" s="405"/>
      <c r="AM522" s="406"/>
      <c r="AN522" s="406"/>
      <c r="AO522" s="406"/>
      <c r="AP522" s="406"/>
      <c r="AQ522" s="403"/>
      <c r="AR522" s="403"/>
      <c r="AS522" s="403"/>
      <c r="AT522" s="403"/>
      <c r="AU522" s="403"/>
      <c r="AV522" s="403"/>
      <c r="AW522" s="403"/>
      <c r="AX522" s="403"/>
      <c r="AY522" s="403"/>
    </row>
    <row r="523">
      <c r="A523" s="415"/>
      <c r="B523" s="415"/>
      <c r="C523" s="410"/>
      <c r="D523" s="429"/>
      <c r="E523" s="416"/>
      <c r="F523" s="413"/>
      <c r="G523" s="413"/>
      <c r="H523" s="415"/>
      <c r="I523" s="415"/>
      <c r="J523" s="415"/>
      <c r="K523" s="415"/>
      <c r="L523" s="417"/>
      <c r="M523" s="403"/>
      <c r="N523" s="403"/>
      <c r="O523" s="403"/>
      <c r="P523" s="403"/>
      <c r="Q523" s="403"/>
      <c r="R523" s="403"/>
      <c r="S523" s="403"/>
      <c r="T523" s="403"/>
      <c r="U523" s="403"/>
      <c r="V523" s="403"/>
      <c r="W523" s="404"/>
      <c r="X523" s="405"/>
      <c r="Y523" s="405"/>
      <c r="Z523" s="405"/>
      <c r="AA523" s="405"/>
      <c r="AB523" s="405"/>
      <c r="AC523" s="405"/>
      <c r="AD523" s="405"/>
      <c r="AE523" s="405"/>
      <c r="AF523" s="405"/>
      <c r="AG523" s="405"/>
      <c r="AH523" s="405"/>
      <c r="AI523" s="405"/>
      <c r="AJ523" s="405"/>
      <c r="AK523" s="405"/>
      <c r="AL523" s="405"/>
      <c r="AM523" s="406"/>
      <c r="AN523" s="406"/>
      <c r="AO523" s="406"/>
      <c r="AP523" s="406"/>
      <c r="AQ523" s="403"/>
      <c r="AR523" s="403"/>
      <c r="AS523" s="403"/>
      <c r="AT523" s="403"/>
      <c r="AU523" s="403"/>
      <c r="AV523" s="403"/>
      <c r="AW523" s="403"/>
      <c r="AX523" s="403"/>
      <c r="AY523" s="403"/>
    </row>
    <row r="524">
      <c r="A524" s="415"/>
      <c r="B524" s="415"/>
      <c r="C524" s="410"/>
      <c r="D524" s="429"/>
      <c r="E524" s="416"/>
      <c r="F524" s="413"/>
      <c r="G524" s="413"/>
      <c r="H524" s="415"/>
      <c r="I524" s="415"/>
      <c r="J524" s="415"/>
      <c r="K524" s="415"/>
      <c r="L524" s="417"/>
      <c r="M524" s="403"/>
      <c r="N524" s="403"/>
      <c r="O524" s="403"/>
      <c r="P524" s="403"/>
      <c r="Q524" s="403"/>
      <c r="R524" s="403"/>
      <c r="S524" s="403"/>
      <c r="T524" s="403"/>
      <c r="U524" s="403"/>
      <c r="V524" s="403"/>
      <c r="W524" s="404"/>
      <c r="X524" s="405"/>
      <c r="Y524" s="405"/>
      <c r="Z524" s="405"/>
      <c r="AA524" s="405"/>
      <c r="AB524" s="405"/>
      <c r="AC524" s="405"/>
      <c r="AD524" s="405"/>
      <c r="AE524" s="405"/>
      <c r="AF524" s="405"/>
      <c r="AG524" s="405"/>
      <c r="AH524" s="405"/>
      <c r="AI524" s="405"/>
      <c r="AJ524" s="405"/>
      <c r="AK524" s="405"/>
      <c r="AL524" s="405"/>
      <c r="AM524" s="406"/>
      <c r="AN524" s="406"/>
      <c r="AO524" s="406"/>
      <c r="AP524" s="406"/>
      <c r="AQ524" s="403"/>
      <c r="AR524" s="403"/>
      <c r="AS524" s="403"/>
      <c r="AT524" s="403"/>
      <c r="AU524" s="403"/>
      <c r="AV524" s="403"/>
      <c r="AW524" s="403"/>
      <c r="AX524" s="403"/>
      <c r="AY524" s="403"/>
    </row>
    <row r="525">
      <c r="A525" s="415"/>
      <c r="B525" s="415"/>
      <c r="C525" s="410"/>
      <c r="D525" s="429"/>
      <c r="E525" s="416"/>
      <c r="F525" s="413"/>
      <c r="G525" s="413"/>
      <c r="H525" s="415"/>
      <c r="I525" s="415"/>
      <c r="J525" s="415"/>
      <c r="K525" s="415"/>
      <c r="L525" s="417"/>
      <c r="M525" s="403"/>
      <c r="N525" s="403"/>
      <c r="O525" s="403"/>
      <c r="P525" s="403"/>
      <c r="Q525" s="403"/>
      <c r="R525" s="403"/>
      <c r="S525" s="403"/>
      <c r="T525" s="403"/>
      <c r="U525" s="403"/>
      <c r="V525" s="403"/>
      <c r="W525" s="404"/>
      <c r="X525" s="405"/>
      <c r="Y525" s="405"/>
      <c r="Z525" s="405"/>
      <c r="AA525" s="405"/>
      <c r="AB525" s="405"/>
      <c r="AC525" s="405"/>
      <c r="AD525" s="405"/>
      <c r="AE525" s="405"/>
      <c r="AF525" s="405"/>
      <c r="AG525" s="405"/>
      <c r="AH525" s="405"/>
      <c r="AI525" s="405"/>
      <c r="AJ525" s="405"/>
      <c r="AK525" s="405"/>
      <c r="AL525" s="405"/>
      <c r="AM525" s="406"/>
      <c r="AN525" s="406"/>
      <c r="AO525" s="406"/>
      <c r="AP525" s="406"/>
      <c r="AQ525" s="403"/>
      <c r="AR525" s="403"/>
      <c r="AS525" s="403"/>
      <c r="AT525" s="403"/>
      <c r="AU525" s="403"/>
      <c r="AV525" s="403"/>
      <c r="AW525" s="403"/>
      <c r="AX525" s="403"/>
      <c r="AY525" s="403"/>
    </row>
    <row r="526">
      <c r="A526" s="415"/>
      <c r="B526" s="415"/>
      <c r="C526" s="410"/>
      <c r="D526" s="429"/>
      <c r="E526" s="416"/>
      <c r="F526" s="413"/>
      <c r="G526" s="413"/>
      <c r="H526" s="415"/>
      <c r="I526" s="415"/>
      <c r="J526" s="415"/>
      <c r="K526" s="415"/>
      <c r="L526" s="417"/>
      <c r="M526" s="403"/>
      <c r="N526" s="403"/>
      <c r="O526" s="403"/>
      <c r="P526" s="403"/>
      <c r="Q526" s="403"/>
      <c r="R526" s="403"/>
      <c r="S526" s="403"/>
      <c r="T526" s="403"/>
      <c r="U526" s="403"/>
      <c r="V526" s="403"/>
      <c r="W526" s="404"/>
      <c r="X526" s="405"/>
      <c r="Y526" s="405"/>
      <c r="Z526" s="405"/>
      <c r="AA526" s="405"/>
      <c r="AB526" s="405"/>
      <c r="AC526" s="405"/>
      <c r="AD526" s="405"/>
      <c r="AE526" s="405"/>
      <c r="AF526" s="405"/>
      <c r="AG526" s="405"/>
      <c r="AH526" s="405"/>
      <c r="AI526" s="405"/>
      <c r="AJ526" s="405"/>
      <c r="AK526" s="405"/>
      <c r="AL526" s="405"/>
      <c r="AM526" s="406"/>
      <c r="AN526" s="406"/>
      <c r="AO526" s="406"/>
      <c r="AP526" s="406"/>
      <c r="AQ526" s="403"/>
      <c r="AR526" s="403"/>
      <c r="AS526" s="403"/>
      <c r="AT526" s="403"/>
      <c r="AU526" s="403"/>
      <c r="AV526" s="403"/>
      <c r="AW526" s="403"/>
      <c r="AX526" s="403"/>
      <c r="AY526" s="403"/>
    </row>
    <row r="527">
      <c r="A527" s="415"/>
      <c r="B527" s="415"/>
      <c r="C527" s="410"/>
      <c r="D527" s="429"/>
      <c r="E527" s="416"/>
      <c r="F527" s="413"/>
      <c r="G527" s="413"/>
      <c r="H527" s="415"/>
      <c r="I527" s="415"/>
      <c r="J527" s="415"/>
      <c r="K527" s="415"/>
      <c r="L527" s="417"/>
      <c r="M527" s="403"/>
      <c r="N527" s="403"/>
      <c r="O527" s="403"/>
      <c r="P527" s="403"/>
      <c r="Q527" s="403"/>
      <c r="R527" s="403"/>
      <c r="S527" s="403"/>
      <c r="T527" s="403"/>
      <c r="U527" s="403"/>
      <c r="V527" s="403"/>
      <c r="W527" s="404"/>
      <c r="X527" s="405"/>
      <c r="Y527" s="405"/>
      <c r="Z527" s="405"/>
      <c r="AA527" s="405"/>
      <c r="AB527" s="405"/>
      <c r="AC527" s="405"/>
      <c r="AD527" s="405"/>
      <c r="AE527" s="405"/>
      <c r="AF527" s="405"/>
      <c r="AG527" s="405"/>
      <c r="AH527" s="405"/>
      <c r="AI527" s="405"/>
      <c r="AJ527" s="405"/>
      <c r="AK527" s="405"/>
      <c r="AL527" s="405"/>
      <c r="AM527" s="406"/>
      <c r="AN527" s="406"/>
      <c r="AO527" s="406"/>
      <c r="AP527" s="406"/>
      <c r="AQ527" s="403"/>
      <c r="AR527" s="403"/>
      <c r="AS527" s="403"/>
      <c r="AT527" s="403"/>
      <c r="AU527" s="403"/>
      <c r="AV527" s="403"/>
      <c r="AW527" s="403"/>
      <c r="AX527" s="403"/>
      <c r="AY527" s="403"/>
    </row>
    <row r="528">
      <c r="A528" s="415"/>
      <c r="B528" s="415"/>
      <c r="C528" s="410"/>
      <c r="D528" s="429"/>
      <c r="E528" s="416"/>
      <c r="F528" s="413"/>
      <c r="G528" s="413"/>
      <c r="H528" s="415"/>
      <c r="I528" s="415"/>
      <c r="J528" s="415"/>
      <c r="K528" s="415"/>
      <c r="L528" s="417"/>
      <c r="M528" s="403"/>
      <c r="N528" s="403"/>
      <c r="O528" s="403"/>
      <c r="P528" s="403"/>
      <c r="Q528" s="403"/>
      <c r="R528" s="403"/>
      <c r="S528" s="403"/>
      <c r="T528" s="403"/>
      <c r="U528" s="403"/>
      <c r="V528" s="403"/>
      <c r="W528" s="404"/>
      <c r="X528" s="405"/>
      <c r="Y528" s="405"/>
      <c r="Z528" s="405"/>
      <c r="AA528" s="405"/>
      <c r="AB528" s="405"/>
      <c r="AC528" s="405"/>
      <c r="AD528" s="405"/>
      <c r="AE528" s="405"/>
      <c r="AF528" s="405"/>
      <c r="AG528" s="405"/>
      <c r="AH528" s="405"/>
      <c r="AI528" s="405"/>
      <c r="AJ528" s="405"/>
      <c r="AK528" s="405"/>
      <c r="AL528" s="405"/>
      <c r="AM528" s="406"/>
      <c r="AN528" s="406"/>
      <c r="AO528" s="406"/>
      <c r="AP528" s="406"/>
      <c r="AQ528" s="403"/>
      <c r="AR528" s="403"/>
      <c r="AS528" s="403"/>
      <c r="AT528" s="403"/>
      <c r="AU528" s="403"/>
      <c r="AV528" s="403"/>
      <c r="AW528" s="403"/>
      <c r="AX528" s="403"/>
      <c r="AY528" s="403"/>
    </row>
    <row r="529">
      <c r="A529" s="415"/>
      <c r="B529" s="415"/>
      <c r="C529" s="410"/>
      <c r="D529" s="429"/>
      <c r="E529" s="416"/>
      <c r="F529" s="413"/>
      <c r="G529" s="413"/>
      <c r="H529" s="415"/>
      <c r="I529" s="415"/>
      <c r="J529" s="415"/>
      <c r="K529" s="415"/>
      <c r="L529" s="417"/>
      <c r="M529" s="403"/>
      <c r="N529" s="403"/>
      <c r="O529" s="403"/>
      <c r="P529" s="403"/>
      <c r="Q529" s="403"/>
      <c r="R529" s="403"/>
      <c r="S529" s="403"/>
      <c r="T529" s="403"/>
      <c r="U529" s="403"/>
      <c r="V529" s="403"/>
      <c r="W529" s="404"/>
      <c r="X529" s="405"/>
      <c r="Y529" s="405"/>
      <c r="Z529" s="405"/>
      <c r="AA529" s="405"/>
      <c r="AB529" s="405"/>
      <c r="AC529" s="405"/>
      <c r="AD529" s="405"/>
      <c r="AE529" s="405"/>
      <c r="AF529" s="405"/>
      <c r="AG529" s="405"/>
      <c r="AH529" s="405"/>
      <c r="AI529" s="405"/>
      <c r="AJ529" s="405"/>
      <c r="AK529" s="405"/>
      <c r="AL529" s="405"/>
      <c r="AM529" s="406"/>
      <c r="AN529" s="406"/>
      <c r="AO529" s="406"/>
      <c r="AP529" s="406"/>
      <c r="AQ529" s="403"/>
      <c r="AR529" s="403"/>
      <c r="AS529" s="403"/>
      <c r="AT529" s="403"/>
      <c r="AU529" s="403"/>
      <c r="AV529" s="403"/>
      <c r="AW529" s="403"/>
      <c r="AX529" s="403"/>
      <c r="AY529" s="403"/>
    </row>
    <row r="530">
      <c r="A530" s="415"/>
      <c r="B530" s="415"/>
      <c r="C530" s="410"/>
      <c r="D530" s="429"/>
      <c r="E530" s="416"/>
      <c r="F530" s="413"/>
      <c r="G530" s="413"/>
      <c r="H530" s="415"/>
      <c r="I530" s="415"/>
      <c r="J530" s="415"/>
      <c r="K530" s="415"/>
      <c r="L530" s="417"/>
      <c r="M530" s="403"/>
      <c r="N530" s="403"/>
      <c r="O530" s="403"/>
      <c r="P530" s="403"/>
      <c r="Q530" s="403"/>
      <c r="R530" s="403"/>
      <c r="S530" s="403"/>
      <c r="T530" s="403"/>
      <c r="U530" s="403"/>
      <c r="V530" s="403"/>
      <c r="W530" s="404"/>
      <c r="X530" s="405"/>
      <c r="Y530" s="405"/>
      <c r="Z530" s="405"/>
      <c r="AA530" s="405"/>
      <c r="AB530" s="405"/>
      <c r="AC530" s="405"/>
      <c r="AD530" s="405"/>
      <c r="AE530" s="405"/>
      <c r="AF530" s="405"/>
      <c r="AG530" s="405"/>
      <c r="AH530" s="405"/>
      <c r="AI530" s="405"/>
      <c r="AJ530" s="405"/>
      <c r="AK530" s="405"/>
      <c r="AL530" s="405"/>
      <c r="AM530" s="406"/>
      <c r="AN530" s="406"/>
      <c r="AO530" s="406"/>
      <c r="AP530" s="406"/>
      <c r="AQ530" s="403"/>
      <c r="AR530" s="403"/>
      <c r="AS530" s="403"/>
      <c r="AT530" s="403"/>
      <c r="AU530" s="403"/>
      <c r="AV530" s="403"/>
      <c r="AW530" s="403"/>
      <c r="AX530" s="403"/>
      <c r="AY530" s="403"/>
    </row>
    <row r="531">
      <c r="A531" s="415"/>
      <c r="B531" s="415"/>
      <c r="C531" s="410"/>
      <c r="D531" s="429"/>
      <c r="E531" s="416"/>
      <c r="F531" s="413"/>
      <c r="G531" s="413"/>
      <c r="H531" s="415"/>
      <c r="I531" s="415"/>
      <c r="J531" s="415"/>
      <c r="K531" s="415"/>
      <c r="L531" s="417"/>
      <c r="M531" s="403"/>
      <c r="N531" s="403"/>
      <c r="O531" s="403"/>
      <c r="P531" s="403"/>
      <c r="Q531" s="403"/>
      <c r="R531" s="403"/>
      <c r="S531" s="403"/>
      <c r="T531" s="403"/>
      <c r="U531" s="403"/>
      <c r="V531" s="403"/>
      <c r="W531" s="404"/>
      <c r="X531" s="405"/>
      <c r="Y531" s="405"/>
      <c r="Z531" s="405"/>
      <c r="AA531" s="405"/>
      <c r="AB531" s="405"/>
      <c r="AC531" s="405"/>
      <c r="AD531" s="405"/>
      <c r="AE531" s="405"/>
      <c r="AF531" s="405"/>
      <c r="AG531" s="405"/>
      <c r="AH531" s="405"/>
      <c r="AI531" s="405"/>
      <c r="AJ531" s="405"/>
      <c r="AK531" s="405"/>
      <c r="AL531" s="405"/>
      <c r="AM531" s="406"/>
      <c r="AN531" s="406"/>
      <c r="AO531" s="406"/>
      <c r="AP531" s="406"/>
      <c r="AQ531" s="403"/>
      <c r="AR531" s="403"/>
      <c r="AS531" s="403"/>
      <c r="AT531" s="403"/>
      <c r="AU531" s="403"/>
      <c r="AV531" s="403"/>
      <c r="AW531" s="403"/>
      <c r="AX531" s="403"/>
      <c r="AY531" s="403"/>
    </row>
    <row r="532">
      <c r="A532" s="415"/>
      <c r="B532" s="415"/>
      <c r="C532" s="410"/>
      <c r="D532" s="429"/>
      <c r="E532" s="416"/>
      <c r="F532" s="413"/>
      <c r="G532" s="413"/>
      <c r="H532" s="415"/>
      <c r="I532" s="415"/>
      <c r="J532" s="415"/>
      <c r="K532" s="415"/>
      <c r="L532" s="417"/>
      <c r="M532" s="403"/>
      <c r="N532" s="403"/>
      <c r="O532" s="403"/>
      <c r="P532" s="403"/>
      <c r="Q532" s="403"/>
      <c r="R532" s="403"/>
      <c r="S532" s="403"/>
      <c r="T532" s="403"/>
      <c r="U532" s="403"/>
      <c r="V532" s="403"/>
      <c r="W532" s="404"/>
      <c r="X532" s="405"/>
      <c r="Y532" s="405"/>
      <c r="Z532" s="405"/>
      <c r="AA532" s="405"/>
      <c r="AB532" s="405"/>
      <c r="AC532" s="405"/>
      <c r="AD532" s="405"/>
      <c r="AE532" s="405"/>
      <c r="AF532" s="405"/>
      <c r="AG532" s="405"/>
      <c r="AH532" s="405"/>
      <c r="AI532" s="405"/>
      <c r="AJ532" s="405"/>
      <c r="AK532" s="405"/>
      <c r="AL532" s="405"/>
      <c r="AM532" s="406"/>
      <c r="AN532" s="406"/>
      <c r="AO532" s="406"/>
      <c r="AP532" s="406"/>
      <c r="AQ532" s="403"/>
      <c r="AR532" s="403"/>
      <c r="AS532" s="403"/>
      <c r="AT532" s="403"/>
      <c r="AU532" s="403"/>
      <c r="AV532" s="403"/>
      <c r="AW532" s="403"/>
      <c r="AX532" s="403"/>
      <c r="AY532" s="403"/>
    </row>
    <row r="533">
      <c r="A533" s="415"/>
      <c r="B533" s="415"/>
      <c r="C533" s="410"/>
      <c r="D533" s="429"/>
      <c r="E533" s="416"/>
      <c r="F533" s="413"/>
      <c r="G533" s="413"/>
      <c r="H533" s="415"/>
      <c r="I533" s="415"/>
      <c r="J533" s="415"/>
      <c r="K533" s="415"/>
      <c r="L533" s="417"/>
      <c r="M533" s="403"/>
      <c r="N533" s="403"/>
      <c r="O533" s="403"/>
      <c r="P533" s="403"/>
      <c r="Q533" s="403"/>
      <c r="R533" s="403"/>
      <c r="S533" s="403"/>
      <c r="T533" s="403"/>
      <c r="U533" s="403"/>
      <c r="V533" s="403"/>
      <c r="W533" s="404"/>
      <c r="X533" s="405"/>
      <c r="Y533" s="405"/>
      <c r="Z533" s="405"/>
      <c r="AA533" s="405"/>
      <c r="AB533" s="405"/>
      <c r="AC533" s="405"/>
      <c r="AD533" s="405"/>
      <c r="AE533" s="405"/>
      <c r="AF533" s="405"/>
      <c r="AG533" s="405"/>
      <c r="AH533" s="405"/>
      <c r="AI533" s="405"/>
      <c r="AJ533" s="405"/>
      <c r="AK533" s="405"/>
      <c r="AL533" s="405"/>
      <c r="AM533" s="406"/>
      <c r="AN533" s="406"/>
      <c r="AO533" s="406"/>
      <c r="AP533" s="406"/>
      <c r="AQ533" s="403"/>
      <c r="AR533" s="403"/>
      <c r="AS533" s="403"/>
      <c r="AT533" s="403"/>
      <c r="AU533" s="403"/>
      <c r="AV533" s="403"/>
      <c r="AW533" s="403"/>
      <c r="AX533" s="403"/>
      <c r="AY533" s="403"/>
    </row>
    <row r="534">
      <c r="A534" s="415"/>
      <c r="B534" s="415"/>
      <c r="C534" s="410"/>
      <c r="D534" s="429"/>
      <c r="E534" s="416"/>
      <c r="F534" s="413"/>
      <c r="G534" s="413"/>
      <c r="H534" s="415"/>
      <c r="I534" s="415"/>
      <c r="J534" s="415"/>
      <c r="K534" s="415"/>
      <c r="L534" s="417"/>
      <c r="M534" s="403"/>
      <c r="N534" s="403"/>
      <c r="O534" s="403"/>
      <c r="P534" s="403"/>
      <c r="Q534" s="403"/>
      <c r="R534" s="403"/>
      <c r="S534" s="403"/>
      <c r="T534" s="403"/>
      <c r="U534" s="403"/>
      <c r="V534" s="403"/>
      <c r="W534" s="404"/>
      <c r="X534" s="405"/>
      <c r="Y534" s="405"/>
      <c r="Z534" s="405"/>
      <c r="AA534" s="405"/>
      <c r="AB534" s="405"/>
      <c r="AC534" s="405"/>
      <c r="AD534" s="405"/>
      <c r="AE534" s="405"/>
      <c r="AF534" s="405"/>
      <c r="AG534" s="405"/>
      <c r="AH534" s="405"/>
      <c r="AI534" s="405"/>
      <c r="AJ534" s="405"/>
      <c r="AK534" s="405"/>
      <c r="AL534" s="405"/>
      <c r="AM534" s="406"/>
      <c r="AN534" s="406"/>
      <c r="AO534" s="406"/>
      <c r="AP534" s="406"/>
      <c r="AQ534" s="403"/>
      <c r="AR534" s="403"/>
      <c r="AS534" s="403"/>
      <c r="AT534" s="403"/>
      <c r="AU534" s="403"/>
      <c r="AV534" s="403"/>
      <c r="AW534" s="403"/>
      <c r="AX534" s="403"/>
      <c r="AY534" s="403"/>
    </row>
    <row r="535">
      <c r="A535" s="415"/>
      <c r="B535" s="415"/>
      <c r="C535" s="410"/>
      <c r="D535" s="429"/>
      <c r="E535" s="416"/>
      <c r="F535" s="413"/>
      <c r="G535" s="413"/>
      <c r="H535" s="415"/>
      <c r="I535" s="415"/>
      <c r="J535" s="415"/>
      <c r="K535" s="415"/>
      <c r="L535" s="417"/>
      <c r="M535" s="403"/>
      <c r="N535" s="403"/>
      <c r="O535" s="403"/>
      <c r="P535" s="403"/>
      <c r="Q535" s="403"/>
      <c r="R535" s="403"/>
      <c r="S535" s="403"/>
      <c r="T535" s="403"/>
      <c r="U535" s="403"/>
      <c r="V535" s="403"/>
      <c r="W535" s="404"/>
      <c r="X535" s="405"/>
      <c r="Y535" s="405"/>
      <c r="Z535" s="405"/>
      <c r="AA535" s="405"/>
      <c r="AB535" s="405"/>
      <c r="AC535" s="405"/>
      <c r="AD535" s="405"/>
      <c r="AE535" s="405"/>
      <c r="AF535" s="405"/>
      <c r="AG535" s="405"/>
      <c r="AH535" s="405"/>
      <c r="AI535" s="405"/>
      <c r="AJ535" s="405"/>
      <c r="AK535" s="405"/>
      <c r="AL535" s="405"/>
      <c r="AM535" s="406"/>
      <c r="AN535" s="406"/>
      <c r="AO535" s="406"/>
      <c r="AP535" s="406"/>
      <c r="AQ535" s="403"/>
      <c r="AR535" s="403"/>
      <c r="AS535" s="403"/>
      <c r="AT535" s="403"/>
      <c r="AU535" s="403"/>
      <c r="AV535" s="403"/>
      <c r="AW535" s="403"/>
      <c r="AX535" s="403"/>
      <c r="AY535" s="403"/>
    </row>
    <row r="536">
      <c r="A536" s="415"/>
      <c r="B536" s="415"/>
      <c r="C536" s="410"/>
      <c r="D536" s="429"/>
      <c r="E536" s="416"/>
      <c r="F536" s="413"/>
      <c r="G536" s="413"/>
      <c r="H536" s="415"/>
      <c r="I536" s="415"/>
      <c r="J536" s="415"/>
      <c r="K536" s="415"/>
      <c r="L536" s="417"/>
      <c r="M536" s="403"/>
      <c r="N536" s="403"/>
      <c r="O536" s="403"/>
      <c r="P536" s="403"/>
      <c r="Q536" s="403"/>
      <c r="R536" s="403"/>
      <c r="S536" s="403"/>
      <c r="T536" s="403"/>
      <c r="U536" s="403"/>
      <c r="V536" s="403"/>
      <c r="W536" s="404"/>
      <c r="X536" s="405"/>
      <c r="Y536" s="405"/>
      <c r="Z536" s="405"/>
      <c r="AA536" s="405"/>
      <c r="AB536" s="405"/>
      <c r="AC536" s="405"/>
      <c r="AD536" s="405"/>
      <c r="AE536" s="405"/>
      <c r="AF536" s="405"/>
      <c r="AG536" s="405"/>
      <c r="AH536" s="405"/>
      <c r="AI536" s="405"/>
      <c r="AJ536" s="405"/>
      <c r="AK536" s="405"/>
      <c r="AL536" s="405"/>
      <c r="AM536" s="406"/>
      <c r="AN536" s="406"/>
      <c r="AO536" s="406"/>
      <c r="AP536" s="406"/>
      <c r="AQ536" s="403"/>
      <c r="AR536" s="403"/>
      <c r="AS536" s="403"/>
      <c r="AT536" s="403"/>
      <c r="AU536" s="403"/>
      <c r="AV536" s="403"/>
      <c r="AW536" s="403"/>
      <c r="AX536" s="403"/>
      <c r="AY536" s="403"/>
    </row>
    <row r="537">
      <c r="A537" s="415"/>
      <c r="B537" s="415"/>
      <c r="C537" s="410"/>
      <c r="D537" s="429"/>
      <c r="E537" s="416"/>
      <c r="F537" s="413"/>
      <c r="G537" s="413"/>
      <c r="H537" s="415"/>
      <c r="I537" s="415"/>
      <c r="J537" s="415"/>
      <c r="K537" s="415"/>
      <c r="L537" s="417"/>
      <c r="M537" s="403"/>
      <c r="N537" s="403"/>
      <c r="O537" s="403"/>
      <c r="P537" s="403"/>
      <c r="Q537" s="403"/>
      <c r="R537" s="403"/>
      <c r="S537" s="403"/>
      <c r="T537" s="403"/>
      <c r="U537" s="403"/>
      <c r="V537" s="403"/>
      <c r="W537" s="404"/>
      <c r="X537" s="405"/>
      <c r="Y537" s="405"/>
      <c r="Z537" s="405"/>
      <c r="AA537" s="405"/>
      <c r="AB537" s="405"/>
      <c r="AC537" s="405"/>
      <c r="AD537" s="405"/>
      <c r="AE537" s="405"/>
      <c r="AF537" s="405"/>
      <c r="AG537" s="405"/>
      <c r="AH537" s="405"/>
      <c r="AI537" s="405"/>
      <c r="AJ537" s="405"/>
      <c r="AK537" s="405"/>
      <c r="AL537" s="405"/>
      <c r="AM537" s="406"/>
      <c r="AN537" s="406"/>
      <c r="AO537" s="406"/>
      <c r="AP537" s="406"/>
      <c r="AQ537" s="403"/>
      <c r="AR537" s="403"/>
      <c r="AS537" s="403"/>
      <c r="AT537" s="403"/>
      <c r="AU537" s="403"/>
      <c r="AV537" s="403"/>
      <c r="AW537" s="403"/>
      <c r="AX537" s="403"/>
      <c r="AY537" s="403"/>
    </row>
    <row r="538">
      <c r="A538" s="415"/>
      <c r="B538" s="415"/>
      <c r="C538" s="410"/>
      <c r="D538" s="429"/>
      <c r="E538" s="416"/>
      <c r="F538" s="413"/>
      <c r="G538" s="413"/>
      <c r="H538" s="415"/>
      <c r="I538" s="415"/>
      <c r="J538" s="415"/>
      <c r="K538" s="415"/>
      <c r="L538" s="417"/>
      <c r="M538" s="403"/>
      <c r="N538" s="403"/>
      <c r="O538" s="403"/>
      <c r="P538" s="403"/>
      <c r="Q538" s="403"/>
      <c r="R538" s="403"/>
      <c r="S538" s="403"/>
      <c r="T538" s="403"/>
      <c r="U538" s="403"/>
      <c r="V538" s="403"/>
      <c r="W538" s="404"/>
      <c r="X538" s="405"/>
      <c r="Y538" s="405"/>
      <c r="Z538" s="405"/>
      <c r="AA538" s="405"/>
      <c r="AB538" s="405"/>
      <c r="AC538" s="405"/>
      <c r="AD538" s="405"/>
      <c r="AE538" s="405"/>
      <c r="AF538" s="405"/>
      <c r="AG538" s="405"/>
      <c r="AH538" s="405"/>
      <c r="AI538" s="405"/>
      <c r="AJ538" s="405"/>
      <c r="AK538" s="405"/>
      <c r="AL538" s="405"/>
      <c r="AM538" s="406"/>
      <c r="AN538" s="406"/>
      <c r="AO538" s="406"/>
      <c r="AP538" s="406"/>
      <c r="AQ538" s="403"/>
      <c r="AR538" s="403"/>
      <c r="AS538" s="403"/>
      <c r="AT538" s="403"/>
      <c r="AU538" s="403"/>
      <c r="AV538" s="403"/>
      <c r="AW538" s="403"/>
      <c r="AX538" s="403"/>
      <c r="AY538" s="403"/>
    </row>
    <row r="539">
      <c r="A539" s="415"/>
      <c r="B539" s="415"/>
      <c r="C539" s="410"/>
      <c r="D539" s="429"/>
      <c r="E539" s="416"/>
      <c r="F539" s="413"/>
      <c r="G539" s="413"/>
      <c r="H539" s="415"/>
      <c r="I539" s="415"/>
      <c r="J539" s="415"/>
      <c r="K539" s="415"/>
      <c r="L539" s="417"/>
      <c r="M539" s="403"/>
      <c r="N539" s="403"/>
      <c r="O539" s="403"/>
      <c r="P539" s="403"/>
      <c r="Q539" s="403"/>
      <c r="R539" s="403"/>
      <c r="S539" s="403"/>
      <c r="T539" s="403"/>
      <c r="U539" s="403"/>
      <c r="V539" s="403"/>
      <c r="W539" s="404"/>
      <c r="X539" s="405"/>
      <c r="Y539" s="405"/>
      <c r="Z539" s="405"/>
      <c r="AA539" s="405"/>
      <c r="AB539" s="405"/>
      <c r="AC539" s="405"/>
      <c r="AD539" s="405"/>
      <c r="AE539" s="405"/>
      <c r="AF539" s="405"/>
      <c r="AG539" s="405"/>
      <c r="AH539" s="405"/>
      <c r="AI539" s="405"/>
      <c r="AJ539" s="405"/>
      <c r="AK539" s="405"/>
      <c r="AL539" s="405"/>
      <c r="AM539" s="406"/>
      <c r="AN539" s="406"/>
      <c r="AO539" s="406"/>
      <c r="AP539" s="406"/>
      <c r="AQ539" s="403"/>
      <c r="AR539" s="403"/>
      <c r="AS539" s="403"/>
      <c r="AT539" s="403"/>
      <c r="AU539" s="403"/>
      <c r="AV539" s="403"/>
      <c r="AW539" s="403"/>
      <c r="AX539" s="403"/>
      <c r="AY539" s="403"/>
    </row>
    <row r="540">
      <c r="A540" s="415"/>
      <c r="B540" s="415"/>
      <c r="C540" s="410"/>
      <c r="D540" s="429"/>
      <c r="E540" s="416"/>
      <c r="F540" s="413"/>
      <c r="G540" s="413"/>
      <c r="H540" s="415"/>
      <c r="I540" s="415"/>
      <c r="J540" s="415"/>
      <c r="K540" s="415"/>
      <c r="L540" s="417"/>
      <c r="M540" s="403"/>
      <c r="N540" s="403"/>
      <c r="O540" s="403"/>
      <c r="P540" s="403"/>
      <c r="Q540" s="403"/>
      <c r="R540" s="403"/>
      <c r="S540" s="403"/>
      <c r="T540" s="403"/>
      <c r="U540" s="403"/>
      <c r="V540" s="403"/>
      <c r="W540" s="404"/>
      <c r="X540" s="405"/>
      <c r="Y540" s="405"/>
      <c r="Z540" s="405"/>
      <c r="AA540" s="405"/>
      <c r="AB540" s="405"/>
      <c r="AC540" s="405"/>
      <c r="AD540" s="405"/>
      <c r="AE540" s="405"/>
      <c r="AF540" s="405"/>
      <c r="AG540" s="405"/>
      <c r="AH540" s="405"/>
      <c r="AI540" s="405"/>
      <c r="AJ540" s="405"/>
      <c r="AK540" s="405"/>
      <c r="AL540" s="405"/>
      <c r="AM540" s="406"/>
      <c r="AN540" s="406"/>
      <c r="AO540" s="406"/>
      <c r="AP540" s="406"/>
      <c r="AQ540" s="403"/>
      <c r="AR540" s="403"/>
      <c r="AS540" s="403"/>
      <c r="AT540" s="403"/>
      <c r="AU540" s="403"/>
      <c r="AV540" s="403"/>
      <c r="AW540" s="403"/>
      <c r="AX540" s="403"/>
      <c r="AY540" s="403"/>
    </row>
    <row r="541">
      <c r="A541" s="415"/>
      <c r="B541" s="415"/>
      <c r="C541" s="410"/>
      <c r="D541" s="429"/>
      <c r="E541" s="416"/>
      <c r="F541" s="413"/>
      <c r="G541" s="413"/>
      <c r="H541" s="415"/>
      <c r="I541" s="415"/>
      <c r="J541" s="415"/>
      <c r="K541" s="415"/>
      <c r="L541" s="417"/>
      <c r="M541" s="403"/>
      <c r="N541" s="403"/>
      <c r="O541" s="403"/>
      <c r="P541" s="403"/>
      <c r="Q541" s="403"/>
      <c r="R541" s="403"/>
      <c r="S541" s="403"/>
      <c r="T541" s="403"/>
      <c r="U541" s="403"/>
      <c r="V541" s="403"/>
      <c r="W541" s="404"/>
      <c r="X541" s="405"/>
      <c r="Y541" s="405"/>
      <c r="Z541" s="405"/>
      <c r="AA541" s="405"/>
      <c r="AB541" s="405"/>
      <c r="AC541" s="405"/>
      <c r="AD541" s="405"/>
      <c r="AE541" s="405"/>
      <c r="AF541" s="405"/>
      <c r="AG541" s="405"/>
      <c r="AH541" s="405"/>
      <c r="AI541" s="405"/>
      <c r="AJ541" s="405"/>
      <c r="AK541" s="405"/>
      <c r="AL541" s="405"/>
      <c r="AM541" s="406"/>
      <c r="AN541" s="406"/>
      <c r="AO541" s="406"/>
      <c r="AP541" s="406"/>
      <c r="AQ541" s="403"/>
      <c r="AR541" s="403"/>
      <c r="AS541" s="403"/>
      <c r="AT541" s="403"/>
      <c r="AU541" s="403"/>
      <c r="AV541" s="403"/>
      <c r="AW541" s="403"/>
      <c r="AX541" s="403"/>
      <c r="AY541" s="403"/>
    </row>
    <row r="542">
      <c r="A542" s="415"/>
      <c r="B542" s="415"/>
      <c r="C542" s="410"/>
      <c r="D542" s="429"/>
      <c r="E542" s="416"/>
      <c r="F542" s="413"/>
      <c r="G542" s="413"/>
      <c r="H542" s="415"/>
      <c r="I542" s="415"/>
      <c r="J542" s="415"/>
      <c r="K542" s="415"/>
      <c r="L542" s="417"/>
      <c r="M542" s="403"/>
      <c r="N542" s="403"/>
      <c r="O542" s="403"/>
      <c r="P542" s="403"/>
      <c r="Q542" s="403"/>
      <c r="R542" s="403"/>
      <c r="S542" s="403"/>
      <c r="T542" s="403"/>
      <c r="U542" s="403"/>
      <c r="V542" s="403"/>
      <c r="W542" s="404"/>
      <c r="X542" s="405"/>
      <c r="Y542" s="405"/>
      <c r="Z542" s="405"/>
      <c r="AA542" s="405"/>
      <c r="AB542" s="405"/>
      <c r="AC542" s="405"/>
      <c r="AD542" s="405"/>
      <c r="AE542" s="405"/>
      <c r="AF542" s="405"/>
      <c r="AG542" s="405"/>
      <c r="AH542" s="405"/>
      <c r="AI542" s="405"/>
      <c r="AJ542" s="405"/>
      <c r="AK542" s="405"/>
      <c r="AL542" s="405"/>
      <c r="AM542" s="406"/>
      <c r="AN542" s="406"/>
      <c r="AO542" s="406"/>
      <c r="AP542" s="406"/>
      <c r="AQ542" s="403"/>
      <c r="AR542" s="403"/>
      <c r="AS542" s="403"/>
      <c r="AT542" s="403"/>
      <c r="AU542" s="403"/>
      <c r="AV542" s="403"/>
      <c r="AW542" s="403"/>
      <c r="AX542" s="403"/>
      <c r="AY542" s="403"/>
    </row>
    <row r="543">
      <c r="A543" s="415"/>
      <c r="B543" s="415"/>
      <c r="C543" s="410"/>
      <c r="D543" s="429"/>
      <c r="E543" s="416"/>
      <c r="F543" s="413"/>
      <c r="G543" s="413"/>
      <c r="H543" s="415"/>
      <c r="I543" s="415"/>
      <c r="J543" s="415"/>
      <c r="K543" s="415"/>
      <c r="L543" s="417"/>
      <c r="M543" s="403"/>
      <c r="N543" s="403"/>
      <c r="O543" s="403"/>
      <c r="P543" s="403"/>
      <c r="Q543" s="403"/>
      <c r="R543" s="403"/>
      <c r="S543" s="403"/>
      <c r="T543" s="403"/>
      <c r="U543" s="403"/>
      <c r="V543" s="403"/>
      <c r="W543" s="404"/>
      <c r="X543" s="405"/>
      <c r="Y543" s="405"/>
      <c r="Z543" s="405"/>
      <c r="AA543" s="405"/>
      <c r="AB543" s="405"/>
      <c r="AC543" s="405"/>
      <c r="AD543" s="405"/>
      <c r="AE543" s="405"/>
      <c r="AF543" s="405"/>
      <c r="AG543" s="405"/>
      <c r="AH543" s="405"/>
      <c r="AI543" s="405"/>
      <c r="AJ543" s="405"/>
      <c r="AK543" s="405"/>
      <c r="AL543" s="405"/>
      <c r="AM543" s="406"/>
      <c r="AN543" s="406"/>
      <c r="AO543" s="406"/>
      <c r="AP543" s="406"/>
      <c r="AQ543" s="403"/>
      <c r="AR543" s="403"/>
      <c r="AS543" s="403"/>
      <c r="AT543" s="403"/>
      <c r="AU543" s="403"/>
      <c r="AV543" s="403"/>
      <c r="AW543" s="403"/>
      <c r="AX543" s="403"/>
      <c r="AY543" s="403"/>
    </row>
    <row r="544">
      <c r="A544" s="415"/>
      <c r="B544" s="415"/>
      <c r="C544" s="410"/>
      <c r="D544" s="429"/>
      <c r="E544" s="416"/>
      <c r="F544" s="413"/>
      <c r="G544" s="413"/>
      <c r="H544" s="415"/>
      <c r="I544" s="415"/>
      <c r="J544" s="415"/>
      <c r="K544" s="415"/>
      <c r="L544" s="417"/>
      <c r="M544" s="403"/>
      <c r="N544" s="403"/>
      <c r="O544" s="403"/>
      <c r="P544" s="403"/>
      <c r="Q544" s="403"/>
      <c r="R544" s="403"/>
      <c r="S544" s="403"/>
      <c r="T544" s="403"/>
      <c r="U544" s="403"/>
      <c r="V544" s="403"/>
      <c r="W544" s="404"/>
      <c r="X544" s="405"/>
      <c r="Y544" s="405"/>
      <c r="Z544" s="405"/>
      <c r="AA544" s="405"/>
      <c r="AB544" s="405"/>
      <c r="AC544" s="405"/>
      <c r="AD544" s="405"/>
      <c r="AE544" s="405"/>
      <c r="AF544" s="405"/>
      <c r="AG544" s="405"/>
      <c r="AH544" s="405"/>
      <c r="AI544" s="405"/>
      <c r="AJ544" s="405"/>
      <c r="AK544" s="405"/>
      <c r="AL544" s="405"/>
      <c r="AM544" s="406"/>
      <c r="AN544" s="406"/>
      <c r="AO544" s="406"/>
      <c r="AP544" s="406"/>
      <c r="AQ544" s="403"/>
      <c r="AR544" s="403"/>
      <c r="AS544" s="403"/>
      <c r="AT544" s="403"/>
      <c r="AU544" s="403"/>
      <c r="AV544" s="403"/>
      <c r="AW544" s="403"/>
      <c r="AX544" s="403"/>
      <c r="AY544" s="403"/>
    </row>
    <row r="545">
      <c r="A545" s="415"/>
      <c r="B545" s="415"/>
      <c r="C545" s="410"/>
      <c r="D545" s="429"/>
      <c r="E545" s="416"/>
      <c r="F545" s="413"/>
      <c r="G545" s="413"/>
      <c r="H545" s="415"/>
      <c r="I545" s="415"/>
      <c r="J545" s="415"/>
      <c r="K545" s="415"/>
      <c r="L545" s="417"/>
      <c r="M545" s="403"/>
      <c r="N545" s="403"/>
      <c r="O545" s="403"/>
      <c r="P545" s="403"/>
      <c r="Q545" s="403"/>
      <c r="R545" s="403"/>
      <c r="S545" s="403"/>
      <c r="T545" s="403"/>
      <c r="U545" s="403"/>
      <c r="V545" s="403"/>
      <c r="W545" s="404"/>
      <c r="X545" s="405"/>
      <c r="Y545" s="405"/>
      <c r="Z545" s="405"/>
      <c r="AA545" s="405"/>
      <c r="AB545" s="405"/>
      <c r="AC545" s="405"/>
      <c r="AD545" s="405"/>
      <c r="AE545" s="405"/>
      <c r="AF545" s="405"/>
      <c r="AG545" s="405"/>
      <c r="AH545" s="405"/>
      <c r="AI545" s="405"/>
      <c r="AJ545" s="405"/>
      <c r="AK545" s="405"/>
      <c r="AL545" s="405"/>
      <c r="AM545" s="406"/>
      <c r="AN545" s="406"/>
      <c r="AO545" s="406"/>
      <c r="AP545" s="406"/>
      <c r="AQ545" s="403"/>
      <c r="AR545" s="403"/>
      <c r="AS545" s="403"/>
      <c r="AT545" s="403"/>
      <c r="AU545" s="403"/>
      <c r="AV545" s="403"/>
      <c r="AW545" s="403"/>
      <c r="AX545" s="403"/>
      <c r="AY545" s="403"/>
    </row>
    <row r="546">
      <c r="A546" s="415"/>
      <c r="B546" s="415"/>
      <c r="C546" s="410"/>
      <c r="D546" s="429"/>
      <c r="E546" s="416"/>
      <c r="F546" s="413"/>
      <c r="G546" s="413"/>
      <c r="H546" s="415"/>
      <c r="I546" s="415"/>
      <c r="J546" s="415"/>
      <c r="K546" s="415"/>
      <c r="L546" s="417"/>
      <c r="M546" s="403"/>
      <c r="N546" s="403"/>
      <c r="O546" s="403"/>
      <c r="P546" s="403"/>
      <c r="Q546" s="403"/>
      <c r="R546" s="403"/>
      <c r="S546" s="403"/>
      <c r="T546" s="403"/>
      <c r="U546" s="403"/>
      <c r="V546" s="403"/>
      <c r="W546" s="404"/>
      <c r="X546" s="405"/>
      <c r="Y546" s="405"/>
      <c r="Z546" s="405"/>
      <c r="AA546" s="405"/>
      <c r="AB546" s="405"/>
      <c r="AC546" s="405"/>
      <c r="AD546" s="405"/>
      <c r="AE546" s="405"/>
      <c r="AF546" s="405"/>
      <c r="AG546" s="405"/>
      <c r="AH546" s="405"/>
      <c r="AI546" s="405"/>
      <c r="AJ546" s="405"/>
      <c r="AK546" s="405"/>
      <c r="AL546" s="405"/>
      <c r="AM546" s="406"/>
      <c r="AN546" s="406"/>
      <c r="AO546" s="406"/>
      <c r="AP546" s="406"/>
      <c r="AQ546" s="403"/>
      <c r="AR546" s="403"/>
      <c r="AS546" s="403"/>
      <c r="AT546" s="403"/>
      <c r="AU546" s="403"/>
      <c r="AV546" s="403"/>
      <c r="AW546" s="403"/>
      <c r="AX546" s="403"/>
      <c r="AY546" s="403"/>
    </row>
    <row r="547">
      <c r="A547" s="415"/>
      <c r="B547" s="415"/>
      <c r="C547" s="410"/>
      <c r="D547" s="429"/>
      <c r="E547" s="416"/>
      <c r="F547" s="413"/>
      <c r="G547" s="413"/>
      <c r="H547" s="415"/>
      <c r="I547" s="415"/>
      <c r="J547" s="415"/>
      <c r="K547" s="415"/>
      <c r="L547" s="417"/>
      <c r="M547" s="403"/>
      <c r="N547" s="403"/>
      <c r="O547" s="403"/>
      <c r="P547" s="403"/>
      <c r="Q547" s="403"/>
      <c r="R547" s="403"/>
      <c r="S547" s="403"/>
      <c r="T547" s="403"/>
      <c r="U547" s="403"/>
      <c r="V547" s="403"/>
      <c r="W547" s="404"/>
      <c r="X547" s="405"/>
      <c r="Y547" s="405"/>
      <c r="Z547" s="405"/>
      <c r="AA547" s="405"/>
      <c r="AB547" s="405"/>
      <c r="AC547" s="405"/>
      <c r="AD547" s="405"/>
      <c r="AE547" s="405"/>
      <c r="AF547" s="405"/>
      <c r="AG547" s="405"/>
      <c r="AH547" s="405"/>
      <c r="AI547" s="405"/>
      <c r="AJ547" s="405"/>
      <c r="AK547" s="405"/>
      <c r="AL547" s="405"/>
      <c r="AM547" s="406"/>
      <c r="AN547" s="406"/>
      <c r="AO547" s="406"/>
      <c r="AP547" s="406"/>
      <c r="AQ547" s="403"/>
      <c r="AR547" s="403"/>
      <c r="AS547" s="403"/>
      <c r="AT547" s="403"/>
      <c r="AU547" s="403"/>
      <c r="AV547" s="403"/>
      <c r="AW547" s="403"/>
      <c r="AX547" s="403"/>
      <c r="AY547" s="403"/>
    </row>
    <row r="548">
      <c r="A548" s="415"/>
      <c r="B548" s="415"/>
      <c r="C548" s="410"/>
      <c r="D548" s="429"/>
      <c r="E548" s="416"/>
      <c r="F548" s="413"/>
      <c r="G548" s="413"/>
      <c r="H548" s="415"/>
      <c r="I548" s="415"/>
      <c r="J548" s="415"/>
      <c r="K548" s="415"/>
      <c r="L548" s="417"/>
      <c r="M548" s="403"/>
      <c r="N548" s="403"/>
      <c r="O548" s="403"/>
      <c r="P548" s="403"/>
      <c r="Q548" s="403"/>
      <c r="R548" s="403"/>
      <c r="S548" s="403"/>
      <c r="T548" s="403"/>
      <c r="U548" s="403"/>
      <c r="V548" s="403"/>
      <c r="W548" s="404"/>
      <c r="X548" s="405"/>
      <c r="Y548" s="405"/>
      <c r="Z548" s="405"/>
      <c r="AA548" s="405"/>
      <c r="AB548" s="405"/>
      <c r="AC548" s="405"/>
      <c r="AD548" s="405"/>
      <c r="AE548" s="405"/>
      <c r="AF548" s="405"/>
      <c r="AG548" s="405"/>
      <c r="AH548" s="405"/>
      <c r="AI548" s="405"/>
      <c r="AJ548" s="405"/>
      <c r="AK548" s="405"/>
      <c r="AL548" s="405"/>
      <c r="AM548" s="406"/>
      <c r="AN548" s="406"/>
      <c r="AO548" s="406"/>
      <c r="AP548" s="406"/>
      <c r="AQ548" s="403"/>
      <c r="AR548" s="403"/>
      <c r="AS548" s="403"/>
      <c r="AT548" s="403"/>
      <c r="AU548" s="403"/>
      <c r="AV548" s="403"/>
      <c r="AW548" s="403"/>
      <c r="AX548" s="403"/>
      <c r="AY548" s="403"/>
    </row>
    <row r="549">
      <c r="A549" s="415"/>
      <c r="B549" s="415"/>
      <c r="C549" s="410"/>
      <c r="D549" s="429"/>
      <c r="E549" s="416"/>
      <c r="F549" s="413"/>
      <c r="G549" s="413"/>
      <c r="H549" s="415"/>
      <c r="I549" s="415"/>
      <c r="J549" s="415"/>
      <c r="K549" s="415"/>
      <c r="L549" s="417"/>
      <c r="M549" s="403"/>
      <c r="N549" s="403"/>
      <c r="O549" s="403"/>
      <c r="P549" s="403"/>
      <c r="Q549" s="403"/>
      <c r="R549" s="403"/>
      <c r="S549" s="403"/>
      <c r="T549" s="403"/>
      <c r="U549" s="403"/>
      <c r="V549" s="403"/>
      <c r="W549" s="404"/>
      <c r="X549" s="405"/>
      <c r="Y549" s="405"/>
      <c r="Z549" s="405"/>
      <c r="AA549" s="405"/>
      <c r="AB549" s="405"/>
      <c r="AC549" s="405"/>
      <c r="AD549" s="405"/>
      <c r="AE549" s="405"/>
      <c r="AF549" s="405"/>
      <c r="AG549" s="405"/>
      <c r="AH549" s="405"/>
      <c r="AI549" s="405"/>
      <c r="AJ549" s="405"/>
      <c r="AK549" s="405"/>
      <c r="AL549" s="405"/>
      <c r="AM549" s="406"/>
      <c r="AN549" s="406"/>
      <c r="AO549" s="406"/>
      <c r="AP549" s="406"/>
      <c r="AQ549" s="403"/>
      <c r="AR549" s="403"/>
      <c r="AS549" s="403"/>
      <c r="AT549" s="403"/>
      <c r="AU549" s="403"/>
      <c r="AV549" s="403"/>
      <c r="AW549" s="403"/>
      <c r="AX549" s="403"/>
      <c r="AY549" s="403"/>
    </row>
    <row r="550">
      <c r="A550" s="415"/>
      <c r="B550" s="415"/>
      <c r="C550" s="410"/>
      <c r="D550" s="429"/>
      <c r="E550" s="416"/>
      <c r="F550" s="413"/>
      <c r="G550" s="413"/>
      <c r="H550" s="415"/>
      <c r="I550" s="415"/>
      <c r="J550" s="415"/>
      <c r="K550" s="415"/>
      <c r="L550" s="417"/>
      <c r="M550" s="403"/>
      <c r="N550" s="403"/>
      <c r="O550" s="403"/>
      <c r="P550" s="403"/>
      <c r="Q550" s="403"/>
      <c r="R550" s="403"/>
      <c r="S550" s="403"/>
      <c r="T550" s="403"/>
      <c r="U550" s="403"/>
      <c r="V550" s="403"/>
      <c r="W550" s="404"/>
      <c r="X550" s="405"/>
      <c r="Y550" s="405"/>
      <c r="Z550" s="405"/>
      <c r="AA550" s="405"/>
      <c r="AB550" s="405"/>
      <c r="AC550" s="405"/>
      <c r="AD550" s="405"/>
      <c r="AE550" s="405"/>
      <c r="AF550" s="405"/>
      <c r="AG550" s="405"/>
      <c r="AH550" s="405"/>
      <c r="AI550" s="405"/>
      <c r="AJ550" s="405"/>
      <c r="AK550" s="405"/>
      <c r="AL550" s="405"/>
      <c r="AM550" s="406"/>
      <c r="AN550" s="406"/>
      <c r="AO550" s="406"/>
      <c r="AP550" s="406"/>
      <c r="AQ550" s="403"/>
      <c r="AR550" s="403"/>
      <c r="AS550" s="403"/>
      <c r="AT550" s="403"/>
      <c r="AU550" s="403"/>
      <c r="AV550" s="403"/>
      <c r="AW550" s="403"/>
      <c r="AX550" s="403"/>
      <c r="AY550" s="403"/>
    </row>
    <row r="551">
      <c r="A551" s="415"/>
      <c r="B551" s="415"/>
      <c r="C551" s="410"/>
      <c r="D551" s="429"/>
      <c r="E551" s="416"/>
      <c r="F551" s="413"/>
      <c r="G551" s="413"/>
      <c r="H551" s="415"/>
      <c r="I551" s="415"/>
      <c r="J551" s="415"/>
      <c r="K551" s="415"/>
      <c r="L551" s="417"/>
      <c r="M551" s="403"/>
      <c r="N551" s="403"/>
      <c r="O551" s="403"/>
      <c r="P551" s="403"/>
      <c r="Q551" s="403"/>
      <c r="R551" s="403"/>
      <c r="S551" s="403"/>
      <c r="T551" s="403"/>
      <c r="U551" s="403"/>
      <c r="V551" s="403"/>
      <c r="W551" s="404"/>
      <c r="X551" s="405"/>
      <c r="Y551" s="405"/>
      <c r="Z551" s="405"/>
      <c r="AA551" s="405"/>
      <c r="AB551" s="405"/>
      <c r="AC551" s="405"/>
      <c r="AD551" s="405"/>
      <c r="AE551" s="405"/>
      <c r="AF551" s="405"/>
      <c r="AG551" s="405"/>
      <c r="AH551" s="405"/>
      <c r="AI551" s="405"/>
      <c r="AJ551" s="405"/>
      <c r="AK551" s="405"/>
      <c r="AL551" s="405"/>
      <c r="AM551" s="406"/>
      <c r="AN551" s="406"/>
      <c r="AO551" s="406"/>
      <c r="AP551" s="406"/>
      <c r="AQ551" s="403"/>
      <c r="AR551" s="403"/>
      <c r="AS551" s="403"/>
      <c r="AT551" s="403"/>
      <c r="AU551" s="403"/>
      <c r="AV551" s="403"/>
      <c r="AW551" s="403"/>
      <c r="AX551" s="403"/>
      <c r="AY551" s="403"/>
    </row>
    <row r="552">
      <c r="A552" s="415"/>
      <c r="B552" s="415"/>
      <c r="C552" s="410"/>
      <c r="D552" s="429"/>
      <c r="E552" s="416"/>
      <c r="F552" s="413"/>
      <c r="G552" s="413"/>
      <c r="H552" s="415"/>
      <c r="I552" s="415"/>
      <c r="J552" s="415"/>
      <c r="K552" s="415"/>
      <c r="L552" s="417"/>
      <c r="M552" s="403"/>
      <c r="N552" s="403"/>
      <c r="O552" s="403"/>
      <c r="P552" s="403"/>
      <c r="Q552" s="403"/>
      <c r="R552" s="403"/>
      <c r="S552" s="403"/>
      <c r="T552" s="403"/>
      <c r="U552" s="403"/>
      <c r="V552" s="403"/>
      <c r="W552" s="404"/>
      <c r="X552" s="405"/>
      <c r="Y552" s="405"/>
      <c r="Z552" s="405"/>
      <c r="AA552" s="405"/>
      <c r="AB552" s="405"/>
      <c r="AC552" s="405"/>
      <c r="AD552" s="405"/>
      <c r="AE552" s="405"/>
      <c r="AF552" s="405"/>
      <c r="AG552" s="405"/>
      <c r="AH552" s="405"/>
      <c r="AI552" s="405"/>
      <c r="AJ552" s="405"/>
      <c r="AK552" s="405"/>
      <c r="AL552" s="405"/>
      <c r="AM552" s="406"/>
      <c r="AN552" s="406"/>
      <c r="AO552" s="406"/>
      <c r="AP552" s="406"/>
      <c r="AQ552" s="403"/>
      <c r="AR552" s="403"/>
      <c r="AS552" s="403"/>
      <c r="AT552" s="403"/>
      <c r="AU552" s="403"/>
      <c r="AV552" s="403"/>
      <c r="AW552" s="403"/>
      <c r="AX552" s="403"/>
      <c r="AY552" s="403"/>
    </row>
    <row r="553">
      <c r="A553" s="415"/>
      <c r="B553" s="415"/>
      <c r="C553" s="410"/>
      <c r="D553" s="429"/>
      <c r="E553" s="416"/>
      <c r="F553" s="413"/>
      <c r="G553" s="413"/>
      <c r="H553" s="415"/>
      <c r="I553" s="415"/>
      <c r="J553" s="415"/>
      <c r="K553" s="415"/>
      <c r="L553" s="417"/>
      <c r="M553" s="403"/>
      <c r="N553" s="403"/>
      <c r="O553" s="403"/>
      <c r="P553" s="403"/>
      <c r="Q553" s="403"/>
      <c r="R553" s="403"/>
      <c r="S553" s="403"/>
      <c r="T553" s="403"/>
      <c r="U553" s="403"/>
      <c r="V553" s="403"/>
      <c r="W553" s="404"/>
      <c r="X553" s="405"/>
      <c r="Y553" s="405"/>
      <c r="Z553" s="405"/>
      <c r="AA553" s="405"/>
      <c r="AB553" s="405"/>
      <c r="AC553" s="405"/>
      <c r="AD553" s="405"/>
      <c r="AE553" s="405"/>
      <c r="AF553" s="405"/>
      <c r="AG553" s="405"/>
      <c r="AH553" s="405"/>
      <c r="AI553" s="405"/>
      <c r="AJ553" s="405"/>
      <c r="AK553" s="405"/>
      <c r="AL553" s="405"/>
      <c r="AM553" s="406"/>
      <c r="AN553" s="406"/>
      <c r="AO553" s="406"/>
      <c r="AP553" s="406"/>
      <c r="AQ553" s="403"/>
      <c r="AR553" s="403"/>
      <c r="AS553" s="403"/>
      <c r="AT553" s="403"/>
      <c r="AU553" s="403"/>
      <c r="AV553" s="403"/>
      <c r="AW553" s="403"/>
      <c r="AX553" s="403"/>
      <c r="AY553" s="403"/>
    </row>
    <row r="554">
      <c r="A554" s="415"/>
      <c r="B554" s="415"/>
      <c r="C554" s="410"/>
      <c r="D554" s="429"/>
      <c r="E554" s="416"/>
      <c r="F554" s="413"/>
      <c r="G554" s="413"/>
      <c r="H554" s="415"/>
      <c r="I554" s="415"/>
      <c r="J554" s="415"/>
      <c r="K554" s="415"/>
      <c r="L554" s="417"/>
      <c r="M554" s="403"/>
      <c r="N554" s="403"/>
      <c r="O554" s="403"/>
      <c r="P554" s="403"/>
      <c r="Q554" s="403"/>
      <c r="R554" s="403"/>
      <c r="S554" s="403"/>
      <c r="T554" s="403"/>
      <c r="U554" s="403"/>
      <c r="V554" s="403"/>
      <c r="W554" s="404"/>
      <c r="X554" s="405"/>
      <c r="Y554" s="405"/>
      <c r="Z554" s="405"/>
      <c r="AA554" s="405"/>
      <c r="AB554" s="405"/>
      <c r="AC554" s="405"/>
      <c r="AD554" s="405"/>
      <c r="AE554" s="405"/>
      <c r="AF554" s="405"/>
      <c r="AG554" s="405"/>
      <c r="AH554" s="405"/>
      <c r="AI554" s="405"/>
      <c r="AJ554" s="405"/>
      <c r="AK554" s="405"/>
      <c r="AL554" s="405"/>
      <c r="AM554" s="406"/>
      <c r="AN554" s="406"/>
      <c r="AO554" s="406"/>
      <c r="AP554" s="406"/>
      <c r="AQ554" s="403"/>
      <c r="AR554" s="403"/>
      <c r="AS554" s="403"/>
      <c r="AT554" s="403"/>
      <c r="AU554" s="403"/>
      <c r="AV554" s="403"/>
      <c r="AW554" s="403"/>
      <c r="AX554" s="403"/>
      <c r="AY554" s="403"/>
    </row>
    <row r="555">
      <c r="A555" s="415"/>
      <c r="B555" s="415"/>
      <c r="C555" s="410"/>
      <c r="D555" s="429"/>
      <c r="E555" s="416"/>
      <c r="F555" s="413"/>
      <c r="G555" s="413"/>
      <c r="H555" s="415"/>
      <c r="I555" s="415"/>
      <c r="J555" s="415"/>
      <c r="K555" s="415"/>
      <c r="L555" s="417"/>
      <c r="M555" s="403"/>
      <c r="N555" s="403"/>
      <c r="O555" s="403"/>
      <c r="P555" s="403"/>
      <c r="Q555" s="403"/>
      <c r="R555" s="403"/>
      <c r="S555" s="403"/>
      <c r="T555" s="403"/>
      <c r="U555" s="403"/>
      <c r="V555" s="403"/>
      <c r="W555" s="404"/>
      <c r="X555" s="405"/>
      <c r="Y555" s="405"/>
      <c r="Z555" s="405"/>
      <c r="AA555" s="405"/>
      <c r="AB555" s="405"/>
      <c r="AC555" s="405"/>
      <c r="AD555" s="405"/>
      <c r="AE555" s="405"/>
      <c r="AF555" s="405"/>
      <c r="AG555" s="405"/>
      <c r="AH555" s="405"/>
      <c r="AI555" s="405"/>
      <c r="AJ555" s="405"/>
      <c r="AK555" s="405"/>
      <c r="AL555" s="405"/>
      <c r="AM555" s="406"/>
      <c r="AN555" s="406"/>
      <c r="AO555" s="406"/>
      <c r="AP555" s="406"/>
      <c r="AQ555" s="403"/>
      <c r="AR555" s="403"/>
      <c r="AS555" s="403"/>
      <c r="AT555" s="403"/>
      <c r="AU555" s="403"/>
      <c r="AV555" s="403"/>
      <c r="AW555" s="403"/>
      <c r="AX555" s="403"/>
      <c r="AY555" s="403"/>
    </row>
    <row r="556">
      <c r="A556" s="415"/>
      <c r="B556" s="415"/>
      <c r="C556" s="410"/>
      <c r="D556" s="429"/>
      <c r="E556" s="416"/>
      <c r="F556" s="413"/>
      <c r="G556" s="413"/>
      <c r="H556" s="415"/>
      <c r="I556" s="415"/>
      <c r="J556" s="415"/>
      <c r="K556" s="415"/>
      <c r="L556" s="417"/>
      <c r="M556" s="403"/>
      <c r="N556" s="403"/>
      <c r="O556" s="403"/>
      <c r="P556" s="403"/>
      <c r="Q556" s="403"/>
      <c r="R556" s="403"/>
      <c r="S556" s="403"/>
      <c r="T556" s="403"/>
      <c r="U556" s="403"/>
      <c r="V556" s="403"/>
      <c r="W556" s="404"/>
      <c r="X556" s="405"/>
      <c r="Y556" s="405"/>
      <c r="Z556" s="405"/>
      <c r="AA556" s="405"/>
      <c r="AB556" s="405"/>
      <c r="AC556" s="405"/>
      <c r="AD556" s="405"/>
      <c r="AE556" s="405"/>
      <c r="AF556" s="405"/>
      <c r="AG556" s="405"/>
      <c r="AH556" s="405"/>
      <c r="AI556" s="405"/>
      <c r="AJ556" s="405"/>
      <c r="AK556" s="405"/>
      <c r="AL556" s="405"/>
      <c r="AM556" s="406"/>
      <c r="AN556" s="406"/>
      <c r="AO556" s="406"/>
      <c r="AP556" s="406"/>
      <c r="AQ556" s="403"/>
      <c r="AR556" s="403"/>
      <c r="AS556" s="403"/>
      <c r="AT556" s="403"/>
      <c r="AU556" s="403"/>
      <c r="AV556" s="403"/>
      <c r="AW556" s="403"/>
      <c r="AX556" s="403"/>
      <c r="AY556" s="403"/>
    </row>
    <row r="557">
      <c r="A557" s="415"/>
      <c r="B557" s="415"/>
      <c r="C557" s="410"/>
      <c r="D557" s="429"/>
      <c r="E557" s="416"/>
      <c r="F557" s="413"/>
      <c r="G557" s="413"/>
      <c r="H557" s="415"/>
      <c r="I557" s="415"/>
      <c r="J557" s="415"/>
      <c r="K557" s="415"/>
      <c r="L557" s="417"/>
      <c r="M557" s="403"/>
      <c r="N557" s="403"/>
      <c r="O557" s="403"/>
      <c r="P557" s="403"/>
      <c r="Q557" s="403"/>
      <c r="R557" s="403"/>
      <c r="S557" s="403"/>
      <c r="T557" s="403"/>
      <c r="U557" s="403"/>
      <c r="V557" s="403"/>
      <c r="W557" s="404"/>
      <c r="X557" s="405"/>
      <c r="Y557" s="405"/>
      <c r="Z557" s="405"/>
      <c r="AA557" s="405"/>
      <c r="AB557" s="405"/>
      <c r="AC557" s="405"/>
      <c r="AD557" s="405"/>
      <c r="AE557" s="405"/>
      <c r="AF557" s="405"/>
      <c r="AG557" s="405"/>
      <c r="AH557" s="405"/>
      <c r="AI557" s="405"/>
      <c r="AJ557" s="405"/>
      <c r="AK557" s="405"/>
      <c r="AL557" s="405"/>
      <c r="AM557" s="406"/>
      <c r="AN557" s="406"/>
      <c r="AO557" s="406"/>
      <c r="AP557" s="406"/>
      <c r="AQ557" s="403"/>
      <c r="AR557" s="403"/>
      <c r="AS557" s="403"/>
      <c r="AT557" s="403"/>
      <c r="AU557" s="403"/>
      <c r="AV557" s="403"/>
      <c r="AW557" s="403"/>
      <c r="AX557" s="403"/>
      <c r="AY557" s="403"/>
    </row>
    <row r="558">
      <c r="A558" s="415"/>
      <c r="B558" s="415"/>
      <c r="C558" s="410"/>
      <c r="D558" s="429"/>
      <c r="E558" s="416"/>
      <c r="F558" s="413"/>
      <c r="G558" s="413"/>
      <c r="H558" s="415"/>
      <c r="I558" s="415"/>
      <c r="J558" s="415"/>
      <c r="K558" s="415"/>
      <c r="L558" s="417"/>
      <c r="M558" s="403"/>
      <c r="N558" s="403"/>
      <c r="O558" s="403"/>
      <c r="P558" s="403"/>
      <c r="Q558" s="403"/>
      <c r="R558" s="403"/>
      <c r="S558" s="403"/>
      <c r="T558" s="403"/>
      <c r="U558" s="403"/>
      <c r="V558" s="403"/>
      <c r="W558" s="404"/>
      <c r="X558" s="405"/>
      <c r="Y558" s="405"/>
      <c r="Z558" s="405"/>
      <c r="AA558" s="405"/>
      <c r="AB558" s="405"/>
      <c r="AC558" s="405"/>
      <c r="AD558" s="405"/>
      <c r="AE558" s="405"/>
      <c r="AF558" s="405"/>
      <c r="AG558" s="405"/>
      <c r="AH558" s="405"/>
      <c r="AI558" s="405"/>
      <c r="AJ558" s="405"/>
      <c r="AK558" s="405"/>
      <c r="AL558" s="405"/>
      <c r="AM558" s="406"/>
      <c r="AN558" s="406"/>
      <c r="AO558" s="406"/>
      <c r="AP558" s="406"/>
      <c r="AQ558" s="403"/>
      <c r="AR558" s="403"/>
      <c r="AS558" s="403"/>
      <c r="AT558" s="403"/>
      <c r="AU558" s="403"/>
      <c r="AV558" s="403"/>
      <c r="AW558" s="403"/>
      <c r="AX558" s="403"/>
      <c r="AY558" s="403"/>
    </row>
    <row r="559">
      <c r="A559" s="415"/>
      <c r="B559" s="415"/>
      <c r="C559" s="410"/>
      <c r="D559" s="429"/>
      <c r="E559" s="416"/>
      <c r="F559" s="413"/>
      <c r="G559" s="413"/>
      <c r="H559" s="415"/>
      <c r="I559" s="415"/>
      <c r="J559" s="415"/>
      <c r="K559" s="415"/>
      <c r="L559" s="417"/>
      <c r="M559" s="403"/>
      <c r="N559" s="403"/>
      <c r="O559" s="403"/>
      <c r="P559" s="403"/>
      <c r="Q559" s="403"/>
      <c r="R559" s="403"/>
      <c r="S559" s="403"/>
      <c r="T559" s="403"/>
      <c r="U559" s="403"/>
      <c r="V559" s="403"/>
      <c r="W559" s="404"/>
      <c r="X559" s="405"/>
      <c r="Y559" s="405"/>
      <c r="Z559" s="405"/>
      <c r="AA559" s="405"/>
      <c r="AB559" s="405"/>
      <c r="AC559" s="405"/>
      <c r="AD559" s="405"/>
      <c r="AE559" s="405"/>
      <c r="AF559" s="405"/>
      <c r="AG559" s="405"/>
      <c r="AH559" s="405"/>
      <c r="AI559" s="405"/>
      <c r="AJ559" s="405"/>
      <c r="AK559" s="405"/>
      <c r="AL559" s="405"/>
      <c r="AM559" s="406"/>
      <c r="AN559" s="406"/>
      <c r="AO559" s="406"/>
      <c r="AP559" s="406"/>
      <c r="AQ559" s="403"/>
      <c r="AR559" s="403"/>
      <c r="AS559" s="403"/>
      <c r="AT559" s="403"/>
      <c r="AU559" s="403"/>
      <c r="AV559" s="403"/>
      <c r="AW559" s="403"/>
      <c r="AX559" s="403"/>
      <c r="AY559" s="403"/>
    </row>
    <row r="560">
      <c r="A560" s="415"/>
      <c r="B560" s="415"/>
      <c r="C560" s="410"/>
      <c r="D560" s="429"/>
      <c r="E560" s="416"/>
      <c r="F560" s="413"/>
      <c r="G560" s="413"/>
      <c r="H560" s="415"/>
      <c r="I560" s="415"/>
      <c r="J560" s="415"/>
      <c r="K560" s="415"/>
      <c r="L560" s="417"/>
      <c r="M560" s="403"/>
      <c r="N560" s="403"/>
      <c r="O560" s="403"/>
      <c r="P560" s="403"/>
      <c r="Q560" s="403"/>
      <c r="R560" s="403"/>
      <c r="S560" s="403"/>
      <c r="T560" s="403"/>
      <c r="U560" s="403"/>
      <c r="V560" s="403"/>
      <c r="W560" s="404"/>
      <c r="X560" s="405"/>
      <c r="Y560" s="405"/>
      <c r="Z560" s="405"/>
      <c r="AA560" s="405"/>
      <c r="AB560" s="405"/>
      <c r="AC560" s="405"/>
      <c r="AD560" s="405"/>
      <c r="AE560" s="405"/>
      <c r="AF560" s="405"/>
      <c r="AG560" s="405"/>
      <c r="AH560" s="405"/>
      <c r="AI560" s="405"/>
      <c r="AJ560" s="405"/>
      <c r="AK560" s="405"/>
      <c r="AL560" s="405"/>
      <c r="AM560" s="406"/>
      <c r="AN560" s="406"/>
      <c r="AO560" s="406"/>
      <c r="AP560" s="406"/>
      <c r="AQ560" s="403"/>
      <c r="AR560" s="403"/>
      <c r="AS560" s="403"/>
      <c r="AT560" s="403"/>
      <c r="AU560" s="403"/>
      <c r="AV560" s="403"/>
      <c r="AW560" s="403"/>
      <c r="AX560" s="403"/>
      <c r="AY560" s="403"/>
    </row>
    <row r="561">
      <c r="A561" s="415"/>
      <c r="B561" s="415"/>
      <c r="C561" s="410"/>
      <c r="D561" s="429"/>
      <c r="E561" s="416"/>
      <c r="F561" s="413"/>
      <c r="G561" s="413"/>
      <c r="H561" s="415"/>
      <c r="I561" s="415"/>
      <c r="J561" s="415"/>
      <c r="K561" s="415"/>
      <c r="L561" s="417"/>
      <c r="M561" s="403"/>
      <c r="N561" s="403"/>
      <c r="O561" s="403"/>
      <c r="P561" s="403"/>
      <c r="Q561" s="403"/>
      <c r="R561" s="403"/>
      <c r="S561" s="403"/>
      <c r="T561" s="403"/>
      <c r="U561" s="403"/>
      <c r="V561" s="403"/>
      <c r="W561" s="404"/>
      <c r="X561" s="405"/>
      <c r="Y561" s="405"/>
      <c r="Z561" s="405"/>
      <c r="AA561" s="405"/>
      <c r="AB561" s="405"/>
      <c r="AC561" s="405"/>
      <c r="AD561" s="405"/>
      <c r="AE561" s="405"/>
      <c r="AF561" s="405"/>
      <c r="AG561" s="405"/>
      <c r="AH561" s="405"/>
      <c r="AI561" s="405"/>
      <c r="AJ561" s="405"/>
      <c r="AK561" s="405"/>
      <c r="AL561" s="405"/>
      <c r="AM561" s="406"/>
      <c r="AN561" s="406"/>
      <c r="AO561" s="406"/>
      <c r="AP561" s="406"/>
      <c r="AQ561" s="403"/>
      <c r="AR561" s="403"/>
      <c r="AS561" s="403"/>
      <c r="AT561" s="403"/>
      <c r="AU561" s="403"/>
      <c r="AV561" s="403"/>
      <c r="AW561" s="403"/>
      <c r="AX561" s="403"/>
      <c r="AY561" s="403"/>
    </row>
    <row r="562">
      <c r="A562" s="415"/>
      <c r="B562" s="415"/>
      <c r="C562" s="410"/>
      <c r="D562" s="429"/>
      <c r="E562" s="416"/>
      <c r="F562" s="413"/>
      <c r="G562" s="413"/>
      <c r="H562" s="415"/>
      <c r="I562" s="415"/>
      <c r="J562" s="415"/>
      <c r="K562" s="415"/>
      <c r="L562" s="417"/>
      <c r="M562" s="403"/>
      <c r="N562" s="403"/>
      <c r="O562" s="403"/>
      <c r="P562" s="403"/>
      <c r="Q562" s="403"/>
      <c r="R562" s="403"/>
      <c r="S562" s="403"/>
      <c r="T562" s="403"/>
      <c r="U562" s="403"/>
      <c r="V562" s="403"/>
      <c r="W562" s="404"/>
      <c r="X562" s="405"/>
      <c r="Y562" s="405"/>
      <c r="Z562" s="405"/>
      <c r="AA562" s="405"/>
      <c r="AB562" s="405"/>
      <c r="AC562" s="405"/>
      <c r="AD562" s="405"/>
      <c r="AE562" s="405"/>
      <c r="AF562" s="405"/>
      <c r="AG562" s="405"/>
      <c r="AH562" s="405"/>
      <c r="AI562" s="405"/>
      <c r="AJ562" s="405"/>
      <c r="AK562" s="405"/>
      <c r="AL562" s="405"/>
      <c r="AM562" s="406"/>
      <c r="AN562" s="406"/>
      <c r="AO562" s="406"/>
      <c r="AP562" s="406"/>
      <c r="AQ562" s="403"/>
      <c r="AR562" s="403"/>
      <c r="AS562" s="403"/>
      <c r="AT562" s="403"/>
      <c r="AU562" s="403"/>
      <c r="AV562" s="403"/>
      <c r="AW562" s="403"/>
      <c r="AX562" s="403"/>
      <c r="AY562" s="403"/>
    </row>
    <row r="563">
      <c r="A563" s="415"/>
      <c r="B563" s="415"/>
      <c r="C563" s="410"/>
      <c r="D563" s="429"/>
      <c r="E563" s="416"/>
      <c r="F563" s="413"/>
      <c r="G563" s="413"/>
      <c r="H563" s="415"/>
      <c r="I563" s="415"/>
      <c r="J563" s="415"/>
      <c r="K563" s="415"/>
      <c r="L563" s="417"/>
      <c r="M563" s="403"/>
      <c r="N563" s="403"/>
      <c r="O563" s="403"/>
      <c r="P563" s="403"/>
      <c r="Q563" s="403"/>
      <c r="R563" s="403"/>
      <c r="S563" s="403"/>
      <c r="T563" s="403"/>
      <c r="U563" s="403"/>
      <c r="V563" s="403"/>
      <c r="W563" s="404"/>
      <c r="X563" s="405"/>
      <c r="Y563" s="405"/>
      <c r="Z563" s="405"/>
      <c r="AA563" s="405"/>
      <c r="AB563" s="405"/>
      <c r="AC563" s="405"/>
      <c r="AD563" s="405"/>
      <c r="AE563" s="405"/>
      <c r="AF563" s="405"/>
      <c r="AG563" s="405"/>
      <c r="AH563" s="405"/>
      <c r="AI563" s="405"/>
      <c r="AJ563" s="405"/>
      <c r="AK563" s="405"/>
      <c r="AL563" s="405"/>
      <c r="AM563" s="406"/>
      <c r="AN563" s="406"/>
      <c r="AO563" s="406"/>
      <c r="AP563" s="406"/>
      <c r="AQ563" s="403"/>
      <c r="AR563" s="403"/>
      <c r="AS563" s="403"/>
      <c r="AT563" s="403"/>
      <c r="AU563" s="403"/>
      <c r="AV563" s="403"/>
      <c r="AW563" s="403"/>
      <c r="AX563" s="403"/>
      <c r="AY563" s="403"/>
    </row>
    <row r="564">
      <c r="A564" s="415"/>
      <c r="B564" s="415"/>
      <c r="C564" s="410"/>
      <c r="D564" s="429"/>
      <c r="E564" s="416"/>
      <c r="F564" s="413"/>
      <c r="G564" s="413"/>
      <c r="H564" s="415"/>
      <c r="I564" s="415"/>
      <c r="J564" s="415"/>
      <c r="K564" s="415"/>
      <c r="L564" s="417"/>
      <c r="M564" s="403"/>
      <c r="N564" s="403"/>
      <c r="O564" s="403"/>
      <c r="P564" s="403"/>
      <c r="Q564" s="403"/>
      <c r="R564" s="403"/>
      <c r="S564" s="403"/>
      <c r="T564" s="403"/>
      <c r="U564" s="403"/>
      <c r="V564" s="403"/>
      <c r="W564" s="404"/>
      <c r="X564" s="405"/>
      <c r="Y564" s="405"/>
      <c r="Z564" s="405"/>
      <c r="AA564" s="405"/>
      <c r="AB564" s="405"/>
      <c r="AC564" s="405"/>
      <c r="AD564" s="405"/>
      <c r="AE564" s="405"/>
      <c r="AF564" s="405"/>
      <c r="AG564" s="405"/>
      <c r="AH564" s="405"/>
      <c r="AI564" s="405"/>
      <c r="AJ564" s="405"/>
      <c r="AK564" s="405"/>
      <c r="AL564" s="405"/>
      <c r="AM564" s="406"/>
      <c r="AN564" s="406"/>
      <c r="AO564" s="406"/>
      <c r="AP564" s="406"/>
      <c r="AQ564" s="403"/>
      <c r="AR564" s="403"/>
      <c r="AS564" s="403"/>
      <c r="AT564" s="403"/>
      <c r="AU564" s="403"/>
      <c r="AV564" s="403"/>
      <c r="AW564" s="403"/>
      <c r="AX564" s="403"/>
      <c r="AY564" s="403"/>
    </row>
    <row r="565">
      <c r="A565" s="415"/>
      <c r="B565" s="415"/>
      <c r="C565" s="410"/>
      <c r="D565" s="429"/>
      <c r="E565" s="416"/>
      <c r="F565" s="413"/>
      <c r="G565" s="413"/>
      <c r="H565" s="415"/>
      <c r="I565" s="415"/>
      <c r="J565" s="415"/>
      <c r="K565" s="415"/>
      <c r="L565" s="417"/>
      <c r="M565" s="403"/>
      <c r="N565" s="403"/>
      <c r="O565" s="403"/>
      <c r="P565" s="403"/>
      <c r="Q565" s="403"/>
      <c r="R565" s="403"/>
      <c r="S565" s="403"/>
      <c r="T565" s="403"/>
      <c r="U565" s="403"/>
      <c r="V565" s="403"/>
      <c r="W565" s="404"/>
      <c r="X565" s="405"/>
      <c r="Y565" s="405"/>
      <c r="Z565" s="405"/>
      <c r="AA565" s="405"/>
      <c r="AB565" s="405"/>
      <c r="AC565" s="405"/>
      <c r="AD565" s="405"/>
      <c r="AE565" s="405"/>
      <c r="AF565" s="405"/>
      <c r="AG565" s="405"/>
      <c r="AH565" s="405"/>
      <c r="AI565" s="405"/>
      <c r="AJ565" s="405"/>
      <c r="AK565" s="405"/>
      <c r="AL565" s="405"/>
      <c r="AM565" s="406"/>
      <c r="AN565" s="406"/>
      <c r="AO565" s="406"/>
      <c r="AP565" s="406"/>
      <c r="AQ565" s="403"/>
      <c r="AR565" s="403"/>
      <c r="AS565" s="403"/>
      <c r="AT565" s="403"/>
      <c r="AU565" s="403"/>
      <c r="AV565" s="403"/>
      <c r="AW565" s="403"/>
      <c r="AX565" s="403"/>
      <c r="AY565" s="403"/>
    </row>
    <row r="566">
      <c r="A566" s="415"/>
      <c r="B566" s="415"/>
      <c r="C566" s="410"/>
      <c r="D566" s="429"/>
      <c r="E566" s="416"/>
      <c r="F566" s="413"/>
      <c r="G566" s="413"/>
      <c r="H566" s="415"/>
      <c r="I566" s="415"/>
      <c r="J566" s="415"/>
      <c r="K566" s="415"/>
      <c r="L566" s="417"/>
      <c r="M566" s="403"/>
      <c r="N566" s="403"/>
      <c r="O566" s="403"/>
      <c r="P566" s="403"/>
      <c r="Q566" s="403"/>
      <c r="R566" s="403"/>
      <c r="S566" s="403"/>
      <c r="T566" s="403"/>
      <c r="U566" s="403"/>
      <c r="V566" s="403"/>
      <c r="W566" s="404"/>
      <c r="X566" s="405"/>
      <c r="Y566" s="405"/>
      <c r="Z566" s="405"/>
      <c r="AA566" s="405"/>
      <c r="AB566" s="405"/>
      <c r="AC566" s="405"/>
      <c r="AD566" s="405"/>
      <c r="AE566" s="405"/>
      <c r="AF566" s="405"/>
      <c r="AG566" s="405"/>
      <c r="AH566" s="405"/>
      <c r="AI566" s="405"/>
      <c r="AJ566" s="405"/>
      <c r="AK566" s="405"/>
      <c r="AL566" s="405"/>
      <c r="AM566" s="406"/>
      <c r="AN566" s="406"/>
      <c r="AO566" s="406"/>
      <c r="AP566" s="406"/>
      <c r="AQ566" s="403"/>
      <c r="AR566" s="403"/>
      <c r="AS566" s="403"/>
      <c r="AT566" s="403"/>
      <c r="AU566" s="403"/>
      <c r="AV566" s="403"/>
      <c r="AW566" s="403"/>
      <c r="AX566" s="403"/>
      <c r="AY566" s="403"/>
    </row>
    <row r="567">
      <c r="A567" s="415"/>
      <c r="B567" s="415"/>
      <c r="C567" s="410"/>
      <c r="D567" s="429"/>
      <c r="E567" s="416"/>
      <c r="F567" s="413"/>
      <c r="G567" s="413"/>
      <c r="H567" s="415"/>
      <c r="I567" s="415"/>
      <c r="J567" s="415"/>
      <c r="K567" s="415"/>
      <c r="L567" s="417"/>
      <c r="M567" s="403"/>
      <c r="N567" s="403"/>
      <c r="O567" s="403"/>
      <c r="P567" s="403"/>
      <c r="Q567" s="403"/>
      <c r="R567" s="403"/>
      <c r="S567" s="403"/>
      <c r="T567" s="403"/>
      <c r="U567" s="403"/>
      <c r="V567" s="403"/>
      <c r="W567" s="404"/>
      <c r="X567" s="405"/>
      <c r="Y567" s="405"/>
      <c r="Z567" s="405"/>
      <c r="AA567" s="405"/>
      <c r="AB567" s="405"/>
      <c r="AC567" s="405"/>
      <c r="AD567" s="405"/>
      <c r="AE567" s="405"/>
      <c r="AF567" s="405"/>
      <c r="AG567" s="405"/>
      <c r="AH567" s="405"/>
      <c r="AI567" s="405"/>
      <c r="AJ567" s="405"/>
      <c r="AK567" s="405"/>
      <c r="AL567" s="405"/>
      <c r="AM567" s="406"/>
      <c r="AN567" s="406"/>
      <c r="AO567" s="406"/>
      <c r="AP567" s="406"/>
      <c r="AQ567" s="403"/>
      <c r="AR567" s="403"/>
      <c r="AS567" s="403"/>
      <c r="AT567" s="403"/>
      <c r="AU567" s="403"/>
      <c r="AV567" s="403"/>
      <c r="AW567" s="403"/>
      <c r="AX567" s="403"/>
      <c r="AY567" s="403"/>
    </row>
    <row r="568">
      <c r="A568" s="415"/>
      <c r="B568" s="415"/>
      <c r="C568" s="410"/>
      <c r="D568" s="429"/>
      <c r="E568" s="416"/>
      <c r="F568" s="413"/>
      <c r="G568" s="413"/>
      <c r="H568" s="415"/>
      <c r="I568" s="415"/>
      <c r="J568" s="415"/>
      <c r="K568" s="415"/>
      <c r="L568" s="417"/>
      <c r="M568" s="403"/>
      <c r="N568" s="403"/>
      <c r="O568" s="403"/>
      <c r="P568" s="403"/>
      <c r="Q568" s="403"/>
      <c r="R568" s="403"/>
      <c r="S568" s="403"/>
      <c r="T568" s="403"/>
      <c r="U568" s="403"/>
      <c r="V568" s="403"/>
      <c r="W568" s="404"/>
      <c r="X568" s="405"/>
      <c r="Y568" s="405"/>
      <c r="Z568" s="405"/>
      <c r="AA568" s="405"/>
      <c r="AB568" s="405"/>
      <c r="AC568" s="405"/>
      <c r="AD568" s="405"/>
      <c r="AE568" s="405"/>
      <c r="AF568" s="405"/>
      <c r="AG568" s="405"/>
      <c r="AH568" s="405"/>
      <c r="AI568" s="405"/>
      <c r="AJ568" s="405"/>
      <c r="AK568" s="405"/>
      <c r="AL568" s="405"/>
      <c r="AM568" s="406"/>
      <c r="AN568" s="406"/>
      <c r="AO568" s="406"/>
      <c r="AP568" s="406"/>
      <c r="AQ568" s="403"/>
      <c r="AR568" s="403"/>
      <c r="AS568" s="403"/>
      <c r="AT568" s="403"/>
      <c r="AU568" s="403"/>
      <c r="AV568" s="403"/>
      <c r="AW568" s="403"/>
      <c r="AX568" s="403"/>
      <c r="AY568" s="403"/>
    </row>
    <row r="569">
      <c r="A569" s="415"/>
      <c r="B569" s="415"/>
      <c r="C569" s="410"/>
      <c r="D569" s="429"/>
      <c r="E569" s="416"/>
      <c r="F569" s="413"/>
      <c r="G569" s="413"/>
      <c r="H569" s="415"/>
      <c r="I569" s="415"/>
      <c r="J569" s="415"/>
      <c r="K569" s="415"/>
      <c r="L569" s="417"/>
      <c r="M569" s="403"/>
      <c r="N569" s="403"/>
      <c r="O569" s="403"/>
      <c r="P569" s="403"/>
      <c r="Q569" s="403"/>
      <c r="R569" s="403"/>
      <c r="S569" s="403"/>
      <c r="T569" s="403"/>
      <c r="U569" s="403"/>
      <c r="V569" s="403"/>
      <c r="W569" s="404"/>
      <c r="X569" s="405"/>
      <c r="Y569" s="405"/>
      <c r="Z569" s="405"/>
      <c r="AA569" s="405"/>
      <c r="AB569" s="405"/>
      <c r="AC569" s="405"/>
      <c r="AD569" s="405"/>
      <c r="AE569" s="405"/>
      <c r="AF569" s="405"/>
      <c r="AG569" s="405"/>
      <c r="AH569" s="405"/>
      <c r="AI569" s="405"/>
      <c r="AJ569" s="405"/>
      <c r="AK569" s="405"/>
      <c r="AL569" s="405"/>
      <c r="AM569" s="406"/>
      <c r="AN569" s="406"/>
      <c r="AO569" s="406"/>
      <c r="AP569" s="406"/>
      <c r="AQ569" s="403"/>
      <c r="AR569" s="403"/>
      <c r="AS569" s="403"/>
      <c r="AT569" s="403"/>
      <c r="AU569" s="403"/>
      <c r="AV569" s="403"/>
      <c r="AW569" s="403"/>
      <c r="AX569" s="403"/>
      <c r="AY569" s="403"/>
    </row>
    <row r="570">
      <c r="A570" s="415"/>
      <c r="B570" s="415"/>
      <c r="C570" s="410"/>
      <c r="D570" s="429"/>
      <c r="E570" s="416"/>
      <c r="F570" s="413"/>
      <c r="G570" s="413"/>
      <c r="H570" s="415"/>
      <c r="I570" s="415"/>
      <c r="J570" s="415"/>
      <c r="K570" s="415"/>
      <c r="L570" s="417"/>
      <c r="M570" s="403"/>
      <c r="N570" s="403"/>
      <c r="O570" s="403"/>
      <c r="P570" s="403"/>
      <c r="Q570" s="403"/>
      <c r="R570" s="403"/>
      <c r="S570" s="403"/>
      <c r="T570" s="403"/>
      <c r="U570" s="403"/>
      <c r="V570" s="403"/>
      <c r="W570" s="404"/>
      <c r="X570" s="405"/>
      <c r="Y570" s="405"/>
      <c r="Z570" s="405"/>
      <c r="AA570" s="405"/>
      <c r="AB570" s="405"/>
      <c r="AC570" s="405"/>
      <c r="AD570" s="405"/>
      <c r="AE570" s="405"/>
      <c r="AF570" s="405"/>
      <c r="AG570" s="405"/>
      <c r="AH570" s="405"/>
      <c r="AI570" s="405"/>
      <c r="AJ570" s="405"/>
      <c r="AK570" s="405"/>
      <c r="AL570" s="405"/>
      <c r="AM570" s="406"/>
      <c r="AN570" s="406"/>
      <c r="AO570" s="406"/>
      <c r="AP570" s="406"/>
      <c r="AQ570" s="403"/>
      <c r="AR570" s="403"/>
      <c r="AS570" s="403"/>
      <c r="AT570" s="403"/>
      <c r="AU570" s="403"/>
      <c r="AV570" s="403"/>
      <c r="AW570" s="403"/>
      <c r="AX570" s="403"/>
      <c r="AY570" s="403"/>
    </row>
    <row r="571">
      <c r="A571" s="415"/>
      <c r="B571" s="415"/>
      <c r="C571" s="410"/>
      <c r="D571" s="429"/>
      <c r="E571" s="416"/>
      <c r="F571" s="413"/>
      <c r="G571" s="413"/>
      <c r="H571" s="415"/>
      <c r="I571" s="415"/>
      <c r="J571" s="415"/>
      <c r="K571" s="415"/>
      <c r="L571" s="417"/>
      <c r="M571" s="403"/>
      <c r="N571" s="403"/>
      <c r="O571" s="403"/>
      <c r="P571" s="403"/>
      <c r="Q571" s="403"/>
      <c r="R571" s="403"/>
      <c r="S571" s="403"/>
      <c r="T571" s="403"/>
      <c r="U571" s="403"/>
      <c r="V571" s="403"/>
      <c r="W571" s="404"/>
      <c r="X571" s="405"/>
      <c r="Y571" s="405"/>
      <c r="Z571" s="405"/>
      <c r="AA571" s="405"/>
      <c r="AB571" s="405"/>
      <c r="AC571" s="405"/>
      <c r="AD571" s="405"/>
      <c r="AE571" s="405"/>
      <c r="AF571" s="405"/>
      <c r="AG571" s="405"/>
      <c r="AH571" s="405"/>
      <c r="AI571" s="405"/>
      <c r="AJ571" s="405"/>
      <c r="AK571" s="405"/>
      <c r="AL571" s="405"/>
      <c r="AM571" s="406"/>
      <c r="AN571" s="406"/>
      <c r="AO571" s="406"/>
      <c r="AP571" s="406"/>
      <c r="AQ571" s="403"/>
      <c r="AR571" s="403"/>
      <c r="AS571" s="403"/>
      <c r="AT571" s="403"/>
      <c r="AU571" s="403"/>
      <c r="AV571" s="403"/>
      <c r="AW571" s="403"/>
      <c r="AX571" s="403"/>
      <c r="AY571" s="403"/>
    </row>
    <row r="572">
      <c r="A572" s="415"/>
      <c r="B572" s="415"/>
      <c r="C572" s="410"/>
      <c r="D572" s="429"/>
      <c r="E572" s="416"/>
      <c r="F572" s="413"/>
      <c r="G572" s="413"/>
      <c r="H572" s="415"/>
      <c r="I572" s="415"/>
      <c r="J572" s="415"/>
      <c r="K572" s="415"/>
      <c r="L572" s="417"/>
      <c r="M572" s="403"/>
      <c r="N572" s="403"/>
      <c r="O572" s="403"/>
      <c r="P572" s="403"/>
      <c r="Q572" s="403"/>
      <c r="R572" s="403"/>
      <c r="S572" s="403"/>
      <c r="T572" s="403"/>
      <c r="U572" s="403"/>
      <c r="V572" s="403"/>
      <c r="W572" s="404"/>
      <c r="X572" s="405"/>
      <c r="Y572" s="405"/>
      <c r="Z572" s="405"/>
      <c r="AA572" s="405"/>
      <c r="AB572" s="405"/>
      <c r="AC572" s="405"/>
      <c r="AD572" s="405"/>
      <c r="AE572" s="405"/>
      <c r="AF572" s="405"/>
      <c r="AG572" s="405"/>
      <c r="AH572" s="405"/>
      <c r="AI572" s="405"/>
      <c r="AJ572" s="405"/>
      <c r="AK572" s="405"/>
      <c r="AL572" s="405"/>
      <c r="AM572" s="406"/>
      <c r="AN572" s="406"/>
      <c r="AO572" s="406"/>
      <c r="AP572" s="406"/>
      <c r="AQ572" s="403"/>
      <c r="AR572" s="403"/>
      <c r="AS572" s="403"/>
      <c r="AT572" s="403"/>
      <c r="AU572" s="403"/>
      <c r="AV572" s="403"/>
      <c r="AW572" s="403"/>
      <c r="AX572" s="403"/>
      <c r="AY572" s="403"/>
    </row>
    <row r="573">
      <c r="A573" s="415"/>
      <c r="B573" s="415"/>
      <c r="C573" s="410"/>
      <c r="D573" s="429"/>
      <c r="E573" s="416"/>
      <c r="F573" s="413"/>
      <c r="G573" s="413"/>
      <c r="H573" s="415"/>
      <c r="I573" s="415"/>
      <c r="J573" s="415"/>
      <c r="K573" s="415"/>
      <c r="L573" s="417"/>
      <c r="M573" s="403"/>
      <c r="N573" s="403"/>
      <c r="O573" s="403"/>
      <c r="P573" s="403"/>
      <c r="Q573" s="403"/>
      <c r="R573" s="403"/>
      <c r="S573" s="403"/>
      <c r="T573" s="403"/>
      <c r="U573" s="403"/>
      <c r="V573" s="403"/>
      <c r="W573" s="404"/>
      <c r="X573" s="405"/>
      <c r="Y573" s="405"/>
      <c r="Z573" s="405"/>
      <c r="AA573" s="405"/>
      <c r="AB573" s="405"/>
      <c r="AC573" s="405"/>
      <c r="AD573" s="405"/>
      <c r="AE573" s="405"/>
      <c r="AF573" s="405"/>
      <c r="AG573" s="405"/>
      <c r="AH573" s="405"/>
      <c r="AI573" s="405"/>
      <c r="AJ573" s="405"/>
      <c r="AK573" s="405"/>
      <c r="AL573" s="405"/>
      <c r="AM573" s="406"/>
      <c r="AN573" s="406"/>
      <c r="AO573" s="406"/>
      <c r="AP573" s="406"/>
      <c r="AQ573" s="403"/>
      <c r="AR573" s="403"/>
      <c r="AS573" s="403"/>
      <c r="AT573" s="403"/>
      <c r="AU573" s="403"/>
      <c r="AV573" s="403"/>
      <c r="AW573" s="403"/>
      <c r="AX573" s="403"/>
      <c r="AY573" s="403"/>
    </row>
    <row r="574">
      <c r="A574" s="415"/>
      <c r="B574" s="415"/>
      <c r="C574" s="410"/>
      <c r="D574" s="429"/>
      <c r="E574" s="416"/>
      <c r="F574" s="413"/>
      <c r="G574" s="413"/>
      <c r="H574" s="415"/>
      <c r="I574" s="415"/>
      <c r="J574" s="415"/>
      <c r="K574" s="415"/>
      <c r="L574" s="417"/>
      <c r="M574" s="403"/>
      <c r="N574" s="403"/>
      <c r="O574" s="403"/>
      <c r="P574" s="403"/>
      <c r="Q574" s="403"/>
      <c r="R574" s="403"/>
      <c r="S574" s="403"/>
      <c r="T574" s="403"/>
      <c r="U574" s="403"/>
      <c r="V574" s="403"/>
      <c r="W574" s="404"/>
      <c r="X574" s="405"/>
      <c r="Y574" s="405"/>
      <c r="Z574" s="405"/>
      <c r="AA574" s="405"/>
      <c r="AB574" s="405"/>
      <c r="AC574" s="405"/>
      <c r="AD574" s="405"/>
      <c r="AE574" s="405"/>
      <c r="AF574" s="405"/>
      <c r="AG574" s="405"/>
      <c r="AH574" s="405"/>
      <c r="AI574" s="405"/>
      <c r="AJ574" s="405"/>
      <c r="AK574" s="405"/>
      <c r="AL574" s="405"/>
      <c r="AM574" s="406"/>
      <c r="AN574" s="406"/>
      <c r="AO574" s="406"/>
      <c r="AP574" s="406"/>
      <c r="AQ574" s="403"/>
      <c r="AR574" s="403"/>
      <c r="AS574" s="403"/>
      <c r="AT574" s="403"/>
      <c r="AU574" s="403"/>
      <c r="AV574" s="403"/>
      <c r="AW574" s="403"/>
      <c r="AX574" s="403"/>
      <c r="AY574" s="403"/>
    </row>
    <row r="575">
      <c r="A575" s="415"/>
      <c r="B575" s="415"/>
      <c r="C575" s="410"/>
      <c r="D575" s="429"/>
      <c r="E575" s="416"/>
      <c r="F575" s="413"/>
      <c r="G575" s="413"/>
      <c r="H575" s="415"/>
      <c r="I575" s="415"/>
      <c r="J575" s="415"/>
      <c r="K575" s="415"/>
      <c r="L575" s="417"/>
      <c r="M575" s="403"/>
      <c r="N575" s="403"/>
      <c r="O575" s="403"/>
      <c r="P575" s="403"/>
      <c r="Q575" s="403"/>
      <c r="R575" s="403"/>
      <c r="S575" s="403"/>
      <c r="T575" s="403"/>
      <c r="U575" s="403"/>
      <c r="V575" s="403"/>
      <c r="W575" s="404"/>
      <c r="X575" s="405"/>
      <c r="Y575" s="405"/>
      <c r="Z575" s="405"/>
      <c r="AA575" s="405"/>
      <c r="AB575" s="405"/>
      <c r="AC575" s="405"/>
      <c r="AD575" s="405"/>
      <c r="AE575" s="405"/>
      <c r="AF575" s="405"/>
      <c r="AG575" s="405"/>
      <c r="AH575" s="405"/>
      <c r="AI575" s="405"/>
      <c r="AJ575" s="405"/>
      <c r="AK575" s="405"/>
      <c r="AL575" s="405"/>
      <c r="AM575" s="406"/>
      <c r="AN575" s="406"/>
      <c r="AO575" s="406"/>
      <c r="AP575" s="406"/>
      <c r="AQ575" s="403"/>
      <c r="AR575" s="403"/>
      <c r="AS575" s="403"/>
      <c r="AT575" s="403"/>
      <c r="AU575" s="403"/>
      <c r="AV575" s="403"/>
      <c r="AW575" s="403"/>
      <c r="AX575" s="403"/>
      <c r="AY575" s="403"/>
    </row>
    <row r="576">
      <c r="A576" s="415"/>
      <c r="B576" s="415"/>
      <c r="C576" s="410"/>
      <c r="D576" s="429"/>
      <c r="E576" s="416"/>
      <c r="F576" s="413"/>
      <c r="G576" s="413"/>
      <c r="H576" s="415"/>
      <c r="I576" s="415"/>
      <c r="J576" s="415"/>
      <c r="K576" s="415"/>
      <c r="L576" s="417"/>
      <c r="M576" s="403"/>
      <c r="N576" s="403"/>
      <c r="O576" s="403"/>
      <c r="P576" s="403"/>
      <c r="Q576" s="403"/>
      <c r="R576" s="403"/>
      <c r="S576" s="403"/>
      <c r="T576" s="403"/>
      <c r="U576" s="403"/>
      <c r="V576" s="403"/>
      <c r="W576" s="404"/>
      <c r="X576" s="405"/>
      <c r="Y576" s="405"/>
      <c r="Z576" s="405"/>
      <c r="AA576" s="405"/>
      <c r="AB576" s="405"/>
      <c r="AC576" s="405"/>
      <c r="AD576" s="405"/>
      <c r="AE576" s="405"/>
      <c r="AF576" s="405"/>
      <c r="AG576" s="405"/>
      <c r="AH576" s="405"/>
      <c r="AI576" s="405"/>
      <c r="AJ576" s="405"/>
      <c r="AK576" s="405"/>
      <c r="AL576" s="405"/>
      <c r="AM576" s="406"/>
      <c r="AN576" s="406"/>
      <c r="AO576" s="406"/>
      <c r="AP576" s="406"/>
      <c r="AQ576" s="403"/>
      <c r="AR576" s="403"/>
      <c r="AS576" s="403"/>
      <c r="AT576" s="403"/>
      <c r="AU576" s="403"/>
      <c r="AV576" s="403"/>
      <c r="AW576" s="403"/>
      <c r="AX576" s="403"/>
      <c r="AY576" s="403"/>
    </row>
    <row r="577">
      <c r="A577" s="415"/>
      <c r="B577" s="415"/>
      <c r="C577" s="410"/>
      <c r="D577" s="429"/>
      <c r="E577" s="416"/>
      <c r="F577" s="413"/>
      <c r="G577" s="413"/>
      <c r="H577" s="415"/>
      <c r="I577" s="415"/>
      <c r="J577" s="415"/>
      <c r="K577" s="415"/>
      <c r="L577" s="417"/>
      <c r="M577" s="403"/>
      <c r="N577" s="403"/>
      <c r="O577" s="403"/>
      <c r="P577" s="403"/>
      <c r="Q577" s="403"/>
      <c r="R577" s="403"/>
      <c r="S577" s="403"/>
      <c r="T577" s="403"/>
      <c r="U577" s="403"/>
      <c r="V577" s="403"/>
      <c r="W577" s="404"/>
      <c r="X577" s="405"/>
      <c r="Y577" s="405"/>
      <c r="Z577" s="405"/>
      <c r="AA577" s="405"/>
      <c r="AB577" s="405"/>
      <c r="AC577" s="405"/>
      <c r="AD577" s="405"/>
      <c r="AE577" s="405"/>
      <c r="AF577" s="405"/>
      <c r="AG577" s="405"/>
      <c r="AH577" s="405"/>
      <c r="AI577" s="405"/>
      <c r="AJ577" s="405"/>
      <c r="AK577" s="405"/>
      <c r="AL577" s="405"/>
      <c r="AM577" s="406"/>
      <c r="AN577" s="406"/>
      <c r="AO577" s="406"/>
      <c r="AP577" s="406"/>
      <c r="AQ577" s="403"/>
      <c r="AR577" s="403"/>
      <c r="AS577" s="403"/>
      <c r="AT577" s="403"/>
      <c r="AU577" s="403"/>
      <c r="AV577" s="403"/>
      <c r="AW577" s="403"/>
      <c r="AX577" s="403"/>
      <c r="AY577" s="403"/>
    </row>
    <row r="578">
      <c r="A578" s="415"/>
      <c r="B578" s="415"/>
      <c r="C578" s="410"/>
      <c r="D578" s="429"/>
      <c r="E578" s="416"/>
      <c r="F578" s="413"/>
      <c r="G578" s="413"/>
      <c r="H578" s="415"/>
      <c r="I578" s="415"/>
      <c r="J578" s="415"/>
      <c r="K578" s="415"/>
      <c r="L578" s="417"/>
      <c r="M578" s="403"/>
      <c r="N578" s="403"/>
      <c r="O578" s="403"/>
      <c r="P578" s="403"/>
      <c r="Q578" s="403"/>
      <c r="R578" s="403"/>
      <c r="S578" s="403"/>
      <c r="T578" s="403"/>
      <c r="U578" s="403"/>
      <c r="V578" s="403"/>
      <c r="W578" s="404"/>
      <c r="X578" s="405"/>
      <c r="Y578" s="405"/>
      <c r="Z578" s="405"/>
      <c r="AA578" s="405"/>
      <c r="AB578" s="405"/>
      <c r="AC578" s="405"/>
      <c r="AD578" s="405"/>
      <c r="AE578" s="405"/>
      <c r="AF578" s="405"/>
      <c r="AG578" s="405"/>
      <c r="AH578" s="405"/>
      <c r="AI578" s="405"/>
      <c r="AJ578" s="405"/>
      <c r="AK578" s="405"/>
      <c r="AL578" s="405"/>
      <c r="AM578" s="406"/>
      <c r="AN578" s="406"/>
      <c r="AO578" s="406"/>
      <c r="AP578" s="406"/>
      <c r="AQ578" s="403"/>
      <c r="AR578" s="403"/>
      <c r="AS578" s="403"/>
      <c r="AT578" s="403"/>
      <c r="AU578" s="403"/>
      <c r="AV578" s="403"/>
      <c r="AW578" s="403"/>
      <c r="AX578" s="403"/>
      <c r="AY578" s="403"/>
    </row>
    <row r="579">
      <c r="A579" s="415"/>
      <c r="B579" s="415"/>
      <c r="C579" s="410"/>
      <c r="D579" s="429"/>
      <c r="E579" s="416"/>
      <c r="F579" s="413"/>
      <c r="G579" s="413"/>
      <c r="H579" s="415"/>
      <c r="I579" s="415"/>
      <c r="J579" s="415"/>
      <c r="K579" s="415"/>
      <c r="L579" s="417"/>
      <c r="M579" s="403"/>
      <c r="N579" s="403"/>
      <c r="O579" s="403"/>
      <c r="P579" s="403"/>
      <c r="Q579" s="403"/>
      <c r="R579" s="403"/>
      <c r="S579" s="403"/>
      <c r="T579" s="403"/>
      <c r="U579" s="403"/>
      <c r="V579" s="403"/>
      <c r="W579" s="404"/>
      <c r="X579" s="405"/>
      <c r="Y579" s="405"/>
      <c r="Z579" s="405"/>
      <c r="AA579" s="405"/>
      <c r="AB579" s="405"/>
      <c r="AC579" s="405"/>
      <c r="AD579" s="405"/>
      <c r="AE579" s="405"/>
      <c r="AF579" s="405"/>
      <c r="AG579" s="405"/>
      <c r="AH579" s="405"/>
      <c r="AI579" s="405"/>
      <c r="AJ579" s="405"/>
      <c r="AK579" s="405"/>
      <c r="AL579" s="405"/>
      <c r="AM579" s="406"/>
      <c r="AN579" s="406"/>
      <c r="AO579" s="406"/>
      <c r="AP579" s="406"/>
      <c r="AQ579" s="403"/>
      <c r="AR579" s="403"/>
      <c r="AS579" s="403"/>
      <c r="AT579" s="403"/>
      <c r="AU579" s="403"/>
      <c r="AV579" s="403"/>
      <c r="AW579" s="403"/>
      <c r="AX579" s="403"/>
      <c r="AY579" s="403"/>
    </row>
    <row r="580">
      <c r="A580" s="415"/>
      <c r="B580" s="415"/>
      <c r="C580" s="410"/>
      <c r="D580" s="429"/>
      <c r="E580" s="416"/>
      <c r="F580" s="413"/>
      <c r="G580" s="413"/>
      <c r="H580" s="415"/>
      <c r="I580" s="415"/>
      <c r="J580" s="415"/>
      <c r="K580" s="415"/>
      <c r="L580" s="417"/>
      <c r="M580" s="403"/>
      <c r="N580" s="403"/>
      <c r="O580" s="403"/>
      <c r="P580" s="403"/>
      <c r="Q580" s="403"/>
      <c r="R580" s="403"/>
      <c r="S580" s="403"/>
      <c r="T580" s="403"/>
      <c r="U580" s="403"/>
      <c r="V580" s="403"/>
      <c r="W580" s="404"/>
      <c r="X580" s="405"/>
      <c r="Y580" s="405"/>
      <c r="Z580" s="405"/>
      <c r="AA580" s="405"/>
      <c r="AB580" s="405"/>
      <c r="AC580" s="405"/>
      <c r="AD580" s="405"/>
      <c r="AE580" s="405"/>
      <c r="AF580" s="405"/>
      <c r="AG580" s="405"/>
      <c r="AH580" s="405"/>
      <c r="AI580" s="405"/>
      <c r="AJ580" s="405"/>
      <c r="AK580" s="405"/>
      <c r="AL580" s="405"/>
      <c r="AM580" s="406"/>
      <c r="AN580" s="406"/>
      <c r="AO580" s="406"/>
      <c r="AP580" s="406"/>
      <c r="AQ580" s="403"/>
      <c r="AR580" s="403"/>
      <c r="AS580" s="403"/>
      <c r="AT580" s="403"/>
      <c r="AU580" s="403"/>
      <c r="AV580" s="403"/>
      <c r="AW580" s="403"/>
      <c r="AX580" s="403"/>
      <c r="AY580" s="403"/>
    </row>
    <row r="581">
      <c r="A581" s="415"/>
      <c r="B581" s="415"/>
      <c r="C581" s="410"/>
      <c r="D581" s="429"/>
      <c r="E581" s="416"/>
      <c r="F581" s="413"/>
      <c r="G581" s="413"/>
      <c r="H581" s="415"/>
      <c r="I581" s="415"/>
      <c r="J581" s="415"/>
      <c r="K581" s="415"/>
      <c r="L581" s="417"/>
      <c r="M581" s="403"/>
      <c r="N581" s="403"/>
      <c r="O581" s="403"/>
      <c r="P581" s="403"/>
      <c r="Q581" s="403"/>
      <c r="R581" s="403"/>
      <c r="S581" s="403"/>
      <c r="T581" s="403"/>
      <c r="U581" s="403"/>
      <c r="V581" s="403"/>
      <c r="W581" s="404"/>
      <c r="X581" s="405"/>
      <c r="Y581" s="405"/>
      <c r="Z581" s="405"/>
      <c r="AA581" s="405"/>
      <c r="AB581" s="405"/>
      <c r="AC581" s="405"/>
      <c r="AD581" s="405"/>
      <c r="AE581" s="405"/>
      <c r="AF581" s="405"/>
      <c r="AG581" s="405"/>
      <c r="AH581" s="405"/>
      <c r="AI581" s="405"/>
      <c r="AJ581" s="405"/>
      <c r="AK581" s="405"/>
      <c r="AL581" s="405"/>
      <c r="AM581" s="406"/>
      <c r="AN581" s="406"/>
      <c r="AO581" s="406"/>
      <c r="AP581" s="406"/>
      <c r="AQ581" s="403"/>
      <c r="AR581" s="403"/>
      <c r="AS581" s="403"/>
      <c r="AT581" s="403"/>
      <c r="AU581" s="403"/>
      <c r="AV581" s="403"/>
      <c r="AW581" s="403"/>
      <c r="AX581" s="403"/>
      <c r="AY581" s="403"/>
    </row>
    <row r="582">
      <c r="A582" s="415"/>
      <c r="B582" s="415"/>
      <c r="C582" s="410"/>
      <c r="D582" s="429"/>
      <c r="E582" s="416"/>
      <c r="F582" s="413"/>
      <c r="G582" s="413"/>
      <c r="H582" s="415"/>
      <c r="I582" s="415"/>
      <c r="J582" s="415"/>
      <c r="K582" s="415"/>
      <c r="L582" s="417"/>
      <c r="M582" s="403"/>
      <c r="N582" s="403"/>
      <c r="O582" s="403"/>
      <c r="P582" s="403"/>
      <c r="Q582" s="403"/>
      <c r="R582" s="403"/>
      <c r="S582" s="403"/>
      <c r="T582" s="403"/>
      <c r="U582" s="403"/>
      <c r="V582" s="403"/>
      <c r="W582" s="404"/>
      <c r="X582" s="405"/>
      <c r="Y582" s="405"/>
      <c r="Z582" s="405"/>
      <c r="AA582" s="405"/>
      <c r="AB582" s="405"/>
      <c r="AC582" s="405"/>
      <c r="AD582" s="405"/>
      <c r="AE582" s="405"/>
      <c r="AF582" s="405"/>
      <c r="AG582" s="405"/>
      <c r="AH582" s="405"/>
      <c r="AI582" s="405"/>
      <c r="AJ582" s="405"/>
      <c r="AK582" s="405"/>
      <c r="AL582" s="405"/>
      <c r="AM582" s="406"/>
      <c r="AN582" s="406"/>
      <c r="AO582" s="406"/>
      <c r="AP582" s="406"/>
      <c r="AQ582" s="403"/>
      <c r="AR582" s="403"/>
      <c r="AS582" s="403"/>
      <c r="AT582" s="403"/>
      <c r="AU582" s="403"/>
      <c r="AV582" s="403"/>
      <c r="AW582" s="403"/>
      <c r="AX582" s="403"/>
      <c r="AY582" s="403"/>
    </row>
    <row r="583">
      <c r="A583" s="415"/>
      <c r="B583" s="415"/>
      <c r="C583" s="410"/>
      <c r="D583" s="429"/>
      <c r="E583" s="416"/>
      <c r="F583" s="413"/>
      <c r="G583" s="413"/>
      <c r="H583" s="415"/>
      <c r="I583" s="415"/>
      <c r="J583" s="415"/>
      <c r="K583" s="415"/>
      <c r="L583" s="417"/>
      <c r="M583" s="403"/>
      <c r="N583" s="403"/>
      <c r="O583" s="403"/>
      <c r="P583" s="403"/>
      <c r="Q583" s="403"/>
      <c r="R583" s="403"/>
      <c r="S583" s="403"/>
      <c r="T583" s="403"/>
      <c r="U583" s="403"/>
      <c r="V583" s="403"/>
      <c r="W583" s="404"/>
      <c r="X583" s="405"/>
      <c r="Y583" s="405"/>
      <c r="Z583" s="405"/>
      <c r="AA583" s="405"/>
      <c r="AB583" s="405"/>
      <c r="AC583" s="405"/>
      <c r="AD583" s="405"/>
      <c r="AE583" s="405"/>
      <c r="AF583" s="405"/>
      <c r="AG583" s="405"/>
      <c r="AH583" s="405"/>
      <c r="AI583" s="405"/>
      <c r="AJ583" s="405"/>
      <c r="AK583" s="405"/>
      <c r="AL583" s="405"/>
      <c r="AM583" s="406"/>
      <c r="AN583" s="406"/>
      <c r="AO583" s="406"/>
      <c r="AP583" s="406"/>
      <c r="AQ583" s="403"/>
      <c r="AR583" s="403"/>
      <c r="AS583" s="403"/>
      <c r="AT583" s="403"/>
      <c r="AU583" s="403"/>
      <c r="AV583" s="403"/>
      <c r="AW583" s="403"/>
      <c r="AX583" s="403"/>
      <c r="AY583" s="403"/>
    </row>
    <row r="584">
      <c r="A584" s="415"/>
      <c r="B584" s="415"/>
      <c r="C584" s="410"/>
      <c r="D584" s="429"/>
      <c r="E584" s="416"/>
      <c r="F584" s="413"/>
      <c r="G584" s="413"/>
      <c r="H584" s="415"/>
      <c r="I584" s="415"/>
      <c r="J584" s="415"/>
      <c r="K584" s="415"/>
      <c r="L584" s="417"/>
      <c r="M584" s="403"/>
      <c r="N584" s="403"/>
      <c r="O584" s="403"/>
      <c r="P584" s="403"/>
      <c r="Q584" s="403"/>
      <c r="R584" s="403"/>
      <c r="S584" s="403"/>
      <c r="T584" s="403"/>
      <c r="U584" s="403"/>
      <c r="V584" s="403"/>
      <c r="W584" s="404"/>
      <c r="X584" s="405"/>
      <c r="Y584" s="405"/>
      <c r="Z584" s="405"/>
      <c r="AA584" s="405"/>
      <c r="AB584" s="405"/>
      <c r="AC584" s="405"/>
      <c r="AD584" s="405"/>
      <c r="AE584" s="405"/>
      <c r="AF584" s="405"/>
      <c r="AG584" s="405"/>
      <c r="AH584" s="405"/>
      <c r="AI584" s="405"/>
      <c r="AJ584" s="405"/>
      <c r="AK584" s="405"/>
      <c r="AL584" s="405"/>
      <c r="AM584" s="406"/>
      <c r="AN584" s="406"/>
      <c r="AO584" s="406"/>
      <c r="AP584" s="406"/>
      <c r="AQ584" s="403"/>
      <c r="AR584" s="403"/>
      <c r="AS584" s="403"/>
      <c r="AT584" s="403"/>
      <c r="AU584" s="403"/>
      <c r="AV584" s="403"/>
      <c r="AW584" s="403"/>
      <c r="AX584" s="403"/>
      <c r="AY584" s="403"/>
    </row>
    <row r="585">
      <c r="A585" s="415"/>
      <c r="B585" s="415"/>
      <c r="C585" s="410"/>
      <c r="D585" s="429"/>
      <c r="E585" s="416"/>
      <c r="F585" s="413"/>
      <c r="G585" s="413"/>
      <c r="H585" s="415"/>
      <c r="I585" s="415"/>
      <c r="J585" s="415"/>
      <c r="K585" s="415"/>
      <c r="L585" s="417"/>
      <c r="M585" s="403"/>
      <c r="N585" s="403"/>
      <c r="O585" s="403"/>
      <c r="P585" s="403"/>
      <c r="Q585" s="403"/>
      <c r="R585" s="403"/>
      <c r="S585" s="403"/>
      <c r="T585" s="403"/>
      <c r="U585" s="403"/>
      <c r="V585" s="403"/>
      <c r="W585" s="404"/>
      <c r="X585" s="405"/>
      <c r="Y585" s="405"/>
      <c r="Z585" s="405"/>
      <c r="AA585" s="405"/>
      <c r="AB585" s="405"/>
      <c r="AC585" s="405"/>
      <c r="AD585" s="405"/>
      <c r="AE585" s="405"/>
      <c r="AF585" s="405"/>
      <c r="AG585" s="405"/>
      <c r="AH585" s="405"/>
      <c r="AI585" s="405"/>
      <c r="AJ585" s="405"/>
      <c r="AK585" s="405"/>
      <c r="AL585" s="405"/>
      <c r="AM585" s="406"/>
      <c r="AN585" s="406"/>
      <c r="AO585" s="406"/>
      <c r="AP585" s="406"/>
      <c r="AQ585" s="403"/>
      <c r="AR585" s="403"/>
      <c r="AS585" s="403"/>
      <c r="AT585" s="403"/>
      <c r="AU585" s="403"/>
      <c r="AV585" s="403"/>
      <c r="AW585" s="403"/>
      <c r="AX585" s="403"/>
      <c r="AY585" s="403"/>
    </row>
    <row r="586">
      <c r="A586" s="415"/>
      <c r="B586" s="415"/>
      <c r="C586" s="410"/>
      <c r="D586" s="429"/>
      <c r="E586" s="416"/>
      <c r="F586" s="413"/>
      <c r="G586" s="413"/>
      <c r="H586" s="415"/>
      <c r="I586" s="415"/>
      <c r="J586" s="415"/>
      <c r="K586" s="415"/>
      <c r="L586" s="417"/>
      <c r="M586" s="403"/>
      <c r="N586" s="403"/>
      <c r="O586" s="403"/>
      <c r="P586" s="403"/>
      <c r="Q586" s="403"/>
      <c r="R586" s="403"/>
      <c r="S586" s="403"/>
      <c r="T586" s="403"/>
      <c r="U586" s="403"/>
      <c r="V586" s="403"/>
      <c r="W586" s="404"/>
      <c r="X586" s="405"/>
      <c r="Y586" s="405"/>
      <c r="Z586" s="405"/>
      <c r="AA586" s="405"/>
      <c r="AB586" s="405"/>
      <c r="AC586" s="405"/>
      <c r="AD586" s="405"/>
      <c r="AE586" s="405"/>
      <c r="AF586" s="405"/>
      <c r="AG586" s="405"/>
      <c r="AH586" s="405"/>
      <c r="AI586" s="405"/>
      <c r="AJ586" s="405"/>
      <c r="AK586" s="405"/>
      <c r="AL586" s="405"/>
      <c r="AM586" s="406"/>
      <c r="AN586" s="406"/>
      <c r="AO586" s="406"/>
      <c r="AP586" s="406"/>
      <c r="AQ586" s="403"/>
      <c r="AR586" s="403"/>
      <c r="AS586" s="403"/>
      <c r="AT586" s="403"/>
      <c r="AU586" s="403"/>
      <c r="AV586" s="403"/>
      <c r="AW586" s="403"/>
      <c r="AX586" s="403"/>
      <c r="AY586" s="403"/>
    </row>
    <row r="587">
      <c r="A587" s="415"/>
      <c r="B587" s="415"/>
      <c r="C587" s="410"/>
      <c r="D587" s="429"/>
      <c r="E587" s="416"/>
      <c r="F587" s="413"/>
      <c r="G587" s="413"/>
      <c r="H587" s="415"/>
      <c r="I587" s="415"/>
      <c r="J587" s="415"/>
      <c r="K587" s="415"/>
      <c r="L587" s="417"/>
      <c r="M587" s="403"/>
      <c r="N587" s="403"/>
      <c r="O587" s="403"/>
      <c r="P587" s="403"/>
      <c r="Q587" s="403"/>
      <c r="R587" s="403"/>
      <c r="S587" s="403"/>
      <c r="T587" s="403"/>
      <c r="U587" s="403"/>
      <c r="V587" s="403"/>
      <c r="W587" s="404"/>
      <c r="X587" s="405"/>
      <c r="Y587" s="405"/>
      <c r="Z587" s="405"/>
      <c r="AA587" s="405"/>
      <c r="AB587" s="405"/>
      <c r="AC587" s="405"/>
      <c r="AD587" s="405"/>
      <c r="AE587" s="405"/>
      <c r="AF587" s="405"/>
      <c r="AG587" s="405"/>
      <c r="AH587" s="405"/>
      <c r="AI587" s="405"/>
      <c r="AJ587" s="405"/>
      <c r="AK587" s="405"/>
      <c r="AL587" s="405"/>
      <c r="AM587" s="406"/>
      <c r="AN587" s="406"/>
      <c r="AO587" s="406"/>
      <c r="AP587" s="406"/>
      <c r="AQ587" s="403"/>
      <c r="AR587" s="403"/>
      <c r="AS587" s="403"/>
      <c r="AT587" s="403"/>
      <c r="AU587" s="403"/>
      <c r="AV587" s="403"/>
      <c r="AW587" s="403"/>
      <c r="AX587" s="403"/>
      <c r="AY587" s="403"/>
    </row>
    <row r="588">
      <c r="A588" s="415"/>
      <c r="B588" s="415"/>
      <c r="C588" s="410"/>
      <c r="D588" s="429"/>
      <c r="E588" s="416"/>
      <c r="F588" s="413"/>
      <c r="G588" s="413"/>
      <c r="H588" s="415"/>
      <c r="I588" s="415"/>
      <c r="J588" s="415"/>
      <c r="K588" s="415"/>
      <c r="L588" s="417"/>
      <c r="M588" s="403"/>
      <c r="N588" s="403"/>
      <c r="O588" s="403"/>
      <c r="P588" s="403"/>
      <c r="Q588" s="403"/>
      <c r="R588" s="403"/>
      <c r="S588" s="403"/>
      <c r="T588" s="403"/>
      <c r="U588" s="403"/>
      <c r="V588" s="403"/>
      <c r="W588" s="404"/>
      <c r="X588" s="405"/>
      <c r="Y588" s="405"/>
      <c r="Z588" s="405"/>
      <c r="AA588" s="405"/>
      <c r="AB588" s="405"/>
      <c r="AC588" s="405"/>
      <c r="AD588" s="405"/>
      <c r="AE588" s="405"/>
      <c r="AF588" s="405"/>
      <c r="AG588" s="405"/>
      <c r="AH588" s="405"/>
      <c r="AI588" s="405"/>
      <c r="AJ588" s="405"/>
      <c r="AK588" s="405"/>
      <c r="AL588" s="405"/>
      <c r="AM588" s="406"/>
      <c r="AN588" s="406"/>
      <c r="AO588" s="406"/>
      <c r="AP588" s="406"/>
      <c r="AQ588" s="403"/>
      <c r="AR588" s="403"/>
      <c r="AS588" s="403"/>
      <c r="AT588" s="403"/>
      <c r="AU588" s="403"/>
      <c r="AV588" s="403"/>
      <c r="AW588" s="403"/>
      <c r="AX588" s="403"/>
      <c r="AY588" s="403"/>
    </row>
    <row r="589">
      <c r="A589" s="415"/>
      <c r="B589" s="415"/>
      <c r="C589" s="410"/>
      <c r="D589" s="429"/>
      <c r="E589" s="416"/>
      <c r="F589" s="413"/>
      <c r="G589" s="413"/>
      <c r="H589" s="415"/>
      <c r="I589" s="415"/>
      <c r="J589" s="415"/>
      <c r="K589" s="415"/>
      <c r="L589" s="417"/>
      <c r="M589" s="403"/>
      <c r="N589" s="403"/>
      <c r="O589" s="403"/>
      <c r="P589" s="403"/>
      <c r="Q589" s="403"/>
      <c r="R589" s="403"/>
      <c r="S589" s="403"/>
      <c r="T589" s="403"/>
      <c r="U589" s="403"/>
      <c r="V589" s="403"/>
      <c r="W589" s="404"/>
      <c r="X589" s="405"/>
      <c r="Y589" s="405"/>
      <c r="Z589" s="405"/>
      <c r="AA589" s="405"/>
      <c r="AB589" s="405"/>
      <c r="AC589" s="405"/>
      <c r="AD589" s="405"/>
      <c r="AE589" s="405"/>
      <c r="AF589" s="405"/>
      <c r="AG589" s="405"/>
      <c r="AH589" s="405"/>
      <c r="AI589" s="405"/>
      <c r="AJ589" s="405"/>
      <c r="AK589" s="405"/>
      <c r="AL589" s="405"/>
      <c r="AM589" s="406"/>
      <c r="AN589" s="406"/>
      <c r="AO589" s="406"/>
      <c r="AP589" s="406"/>
      <c r="AQ589" s="403"/>
      <c r="AR589" s="403"/>
      <c r="AS589" s="403"/>
      <c r="AT589" s="403"/>
      <c r="AU589" s="403"/>
      <c r="AV589" s="403"/>
      <c r="AW589" s="403"/>
      <c r="AX589" s="403"/>
      <c r="AY589" s="403"/>
    </row>
    <row r="590">
      <c r="A590" s="415"/>
      <c r="B590" s="415"/>
      <c r="C590" s="410"/>
      <c r="D590" s="429"/>
      <c r="E590" s="416"/>
      <c r="F590" s="413"/>
      <c r="G590" s="413"/>
      <c r="H590" s="415"/>
      <c r="I590" s="415"/>
      <c r="J590" s="415"/>
      <c r="K590" s="415"/>
      <c r="L590" s="417"/>
      <c r="M590" s="403"/>
      <c r="N590" s="403"/>
      <c r="O590" s="403"/>
      <c r="P590" s="403"/>
      <c r="Q590" s="403"/>
      <c r="R590" s="403"/>
      <c r="S590" s="403"/>
      <c r="T590" s="403"/>
      <c r="U590" s="403"/>
      <c r="V590" s="403"/>
      <c r="W590" s="404"/>
      <c r="X590" s="405"/>
      <c r="Y590" s="405"/>
      <c r="Z590" s="405"/>
      <c r="AA590" s="405"/>
      <c r="AB590" s="405"/>
      <c r="AC590" s="405"/>
      <c r="AD590" s="405"/>
      <c r="AE590" s="405"/>
      <c r="AF590" s="405"/>
      <c r="AG590" s="405"/>
      <c r="AH590" s="405"/>
      <c r="AI590" s="405"/>
      <c r="AJ590" s="405"/>
      <c r="AK590" s="405"/>
      <c r="AL590" s="405"/>
      <c r="AM590" s="406"/>
      <c r="AN590" s="406"/>
      <c r="AO590" s="406"/>
      <c r="AP590" s="406"/>
      <c r="AQ590" s="403"/>
      <c r="AR590" s="403"/>
      <c r="AS590" s="403"/>
      <c r="AT590" s="403"/>
      <c r="AU590" s="403"/>
      <c r="AV590" s="403"/>
      <c r="AW590" s="403"/>
      <c r="AX590" s="403"/>
      <c r="AY590" s="403"/>
    </row>
    <row r="591">
      <c r="A591" s="415"/>
      <c r="B591" s="415"/>
      <c r="C591" s="410"/>
      <c r="D591" s="429"/>
      <c r="E591" s="416"/>
      <c r="F591" s="413"/>
      <c r="G591" s="413"/>
      <c r="H591" s="415"/>
      <c r="I591" s="415"/>
      <c r="J591" s="415"/>
      <c r="K591" s="415"/>
      <c r="L591" s="417"/>
      <c r="M591" s="403"/>
      <c r="N591" s="403"/>
      <c r="O591" s="403"/>
      <c r="P591" s="403"/>
      <c r="Q591" s="403"/>
      <c r="R591" s="403"/>
      <c r="S591" s="403"/>
      <c r="T591" s="403"/>
      <c r="U591" s="403"/>
      <c r="V591" s="403"/>
      <c r="W591" s="404"/>
      <c r="X591" s="405"/>
      <c r="Y591" s="405"/>
      <c r="Z591" s="405"/>
      <c r="AA591" s="405"/>
      <c r="AB591" s="405"/>
      <c r="AC591" s="405"/>
      <c r="AD591" s="405"/>
      <c r="AE591" s="405"/>
      <c r="AF591" s="405"/>
      <c r="AG591" s="405"/>
      <c r="AH591" s="405"/>
      <c r="AI591" s="405"/>
      <c r="AJ591" s="405"/>
      <c r="AK591" s="405"/>
      <c r="AL591" s="405"/>
      <c r="AM591" s="406"/>
      <c r="AN591" s="406"/>
      <c r="AO591" s="406"/>
      <c r="AP591" s="406"/>
      <c r="AQ591" s="403"/>
      <c r="AR591" s="403"/>
      <c r="AS591" s="403"/>
      <c r="AT591" s="403"/>
      <c r="AU591" s="403"/>
      <c r="AV591" s="403"/>
      <c r="AW591" s="403"/>
      <c r="AX591" s="403"/>
      <c r="AY591" s="403"/>
    </row>
    <row r="592">
      <c r="A592" s="415"/>
      <c r="B592" s="415"/>
      <c r="C592" s="410"/>
      <c r="D592" s="429"/>
      <c r="E592" s="416"/>
      <c r="F592" s="413"/>
      <c r="G592" s="413"/>
      <c r="H592" s="415"/>
      <c r="I592" s="415"/>
      <c r="J592" s="415"/>
      <c r="K592" s="415"/>
      <c r="L592" s="417"/>
      <c r="M592" s="403"/>
      <c r="N592" s="403"/>
      <c r="O592" s="403"/>
      <c r="P592" s="403"/>
      <c r="Q592" s="403"/>
      <c r="R592" s="403"/>
      <c r="S592" s="403"/>
      <c r="T592" s="403"/>
      <c r="U592" s="403"/>
      <c r="V592" s="403"/>
      <c r="W592" s="404"/>
      <c r="X592" s="405"/>
      <c r="Y592" s="405"/>
      <c r="Z592" s="405"/>
      <c r="AA592" s="405"/>
      <c r="AB592" s="405"/>
      <c r="AC592" s="405"/>
      <c r="AD592" s="405"/>
      <c r="AE592" s="405"/>
      <c r="AF592" s="405"/>
      <c r="AG592" s="405"/>
      <c r="AH592" s="405"/>
      <c r="AI592" s="405"/>
      <c r="AJ592" s="405"/>
      <c r="AK592" s="405"/>
      <c r="AL592" s="405"/>
      <c r="AM592" s="406"/>
      <c r="AN592" s="406"/>
      <c r="AO592" s="406"/>
      <c r="AP592" s="406"/>
      <c r="AQ592" s="403"/>
      <c r="AR592" s="403"/>
      <c r="AS592" s="403"/>
      <c r="AT592" s="403"/>
      <c r="AU592" s="403"/>
      <c r="AV592" s="403"/>
      <c r="AW592" s="403"/>
      <c r="AX592" s="403"/>
      <c r="AY592" s="403"/>
    </row>
    <row r="593">
      <c r="A593" s="415"/>
      <c r="B593" s="415"/>
      <c r="C593" s="410"/>
      <c r="D593" s="429"/>
      <c r="E593" s="416"/>
      <c r="F593" s="413"/>
      <c r="G593" s="413"/>
      <c r="H593" s="415"/>
      <c r="I593" s="415"/>
      <c r="J593" s="415"/>
      <c r="K593" s="415"/>
      <c r="L593" s="417"/>
      <c r="M593" s="403"/>
      <c r="N593" s="403"/>
      <c r="O593" s="403"/>
      <c r="P593" s="403"/>
      <c r="Q593" s="403"/>
      <c r="R593" s="403"/>
      <c r="S593" s="403"/>
      <c r="T593" s="403"/>
      <c r="U593" s="403"/>
      <c r="V593" s="403"/>
      <c r="W593" s="404"/>
      <c r="X593" s="405"/>
      <c r="Y593" s="405"/>
      <c r="Z593" s="405"/>
      <c r="AA593" s="405"/>
      <c r="AB593" s="405"/>
      <c r="AC593" s="405"/>
      <c r="AD593" s="405"/>
      <c r="AE593" s="405"/>
      <c r="AF593" s="405"/>
      <c r="AG593" s="405"/>
      <c r="AH593" s="405"/>
      <c r="AI593" s="405"/>
      <c r="AJ593" s="405"/>
      <c r="AK593" s="405"/>
      <c r="AL593" s="405"/>
      <c r="AM593" s="406"/>
      <c r="AN593" s="406"/>
      <c r="AO593" s="406"/>
      <c r="AP593" s="406"/>
      <c r="AQ593" s="403"/>
      <c r="AR593" s="403"/>
      <c r="AS593" s="403"/>
      <c r="AT593" s="403"/>
      <c r="AU593" s="403"/>
      <c r="AV593" s="403"/>
      <c r="AW593" s="403"/>
      <c r="AX593" s="403"/>
      <c r="AY593" s="403"/>
    </row>
    <row r="594">
      <c r="A594" s="415"/>
      <c r="B594" s="415"/>
      <c r="C594" s="410"/>
      <c r="D594" s="429"/>
      <c r="E594" s="416"/>
      <c r="F594" s="413"/>
      <c r="G594" s="413"/>
      <c r="H594" s="415"/>
      <c r="I594" s="415"/>
      <c r="J594" s="415"/>
      <c r="K594" s="415"/>
      <c r="L594" s="417"/>
      <c r="M594" s="403"/>
      <c r="N594" s="403"/>
      <c r="O594" s="403"/>
      <c r="P594" s="403"/>
      <c r="Q594" s="403"/>
      <c r="R594" s="403"/>
      <c r="S594" s="403"/>
      <c r="T594" s="403"/>
      <c r="U594" s="403"/>
      <c r="V594" s="403"/>
      <c r="W594" s="404"/>
      <c r="X594" s="405"/>
      <c r="Y594" s="405"/>
      <c r="Z594" s="405"/>
      <c r="AA594" s="405"/>
      <c r="AB594" s="405"/>
      <c r="AC594" s="405"/>
      <c r="AD594" s="405"/>
      <c r="AE594" s="405"/>
      <c r="AF594" s="405"/>
      <c r="AG594" s="405"/>
      <c r="AH594" s="405"/>
      <c r="AI594" s="405"/>
      <c r="AJ594" s="405"/>
      <c r="AK594" s="405"/>
      <c r="AL594" s="405"/>
      <c r="AM594" s="406"/>
      <c r="AN594" s="406"/>
      <c r="AO594" s="406"/>
      <c r="AP594" s="406"/>
      <c r="AQ594" s="403"/>
      <c r="AR594" s="403"/>
      <c r="AS594" s="403"/>
      <c r="AT594" s="403"/>
      <c r="AU594" s="403"/>
      <c r="AV594" s="403"/>
      <c r="AW594" s="403"/>
      <c r="AX594" s="403"/>
      <c r="AY594" s="403"/>
    </row>
    <row r="595">
      <c r="A595" s="415"/>
      <c r="B595" s="415"/>
      <c r="C595" s="410"/>
      <c r="D595" s="429"/>
      <c r="E595" s="416"/>
      <c r="F595" s="413"/>
      <c r="G595" s="413"/>
      <c r="H595" s="415"/>
      <c r="I595" s="415"/>
      <c r="J595" s="415"/>
      <c r="K595" s="415"/>
      <c r="L595" s="417"/>
      <c r="M595" s="403"/>
      <c r="N595" s="403"/>
      <c r="O595" s="403"/>
      <c r="P595" s="403"/>
      <c r="Q595" s="403"/>
      <c r="R595" s="403"/>
      <c r="S595" s="403"/>
      <c r="T595" s="403"/>
      <c r="U595" s="403"/>
      <c r="V595" s="403"/>
      <c r="W595" s="404"/>
      <c r="X595" s="405"/>
      <c r="Y595" s="405"/>
      <c r="Z595" s="405"/>
      <c r="AA595" s="405"/>
      <c r="AB595" s="405"/>
      <c r="AC595" s="405"/>
      <c r="AD595" s="405"/>
      <c r="AE595" s="405"/>
      <c r="AF595" s="405"/>
      <c r="AG595" s="405"/>
      <c r="AH595" s="405"/>
      <c r="AI595" s="405"/>
      <c r="AJ595" s="405"/>
      <c r="AK595" s="405"/>
      <c r="AL595" s="405"/>
      <c r="AM595" s="406"/>
      <c r="AN595" s="406"/>
      <c r="AO595" s="406"/>
      <c r="AP595" s="406"/>
      <c r="AQ595" s="403"/>
      <c r="AR595" s="403"/>
      <c r="AS595" s="403"/>
      <c r="AT595" s="403"/>
      <c r="AU595" s="403"/>
      <c r="AV595" s="403"/>
      <c r="AW595" s="403"/>
      <c r="AX595" s="403"/>
      <c r="AY595" s="403"/>
    </row>
    <row r="596">
      <c r="A596" s="415"/>
      <c r="B596" s="415"/>
      <c r="C596" s="410"/>
      <c r="D596" s="429"/>
      <c r="E596" s="416"/>
      <c r="F596" s="413"/>
      <c r="G596" s="413"/>
      <c r="H596" s="415"/>
      <c r="I596" s="415"/>
      <c r="J596" s="415"/>
      <c r="K596" s="415"/>
      <c r="L596" s="417"/>
      <c r="M596" s="403"/>
      <c r="N596" s="403"/>
      <c r="O596" s="403"/>
      <c r="P596" s="403"/>
      <c r="Q596" s="403"/>
      <c r="R596" s="403"/>
      <c r="S596" s="403"/>
      <c r="T596" s="403"/>
      <c r="U596" s="403"/>
      <c r="V596" s="403"/>
      <c r="W596" s="404"/>
      <c r="X596" s="405"/>
      <c r="Y596" s="405"/>
      <c r="Z596" s="405"/>
      <c r="AA596" s="405"/>
      <c r="AB596" s="405"/>
      <c r="AC596" s="405"/>
      <c r="AD596" s="405"/>
      <c r="AE596" s="405"/>
      <c r="AF596" s="405"/>
      <c r="AG596" s="405"/>
      <c r="AH596" s="405"/>
      <c r="AI596" s="405"/>
      <c r="AJ596" s="405"/>
      <c r="AK596" s="405"/>
      <c r="AL596" s="405"/>
      <c r="AM596" s="406"/>
      <c r="AN596" s="406"/>
      <c r="AO596" s="406"/>
      <c r="AP596" s="406"/>
      <c r="AQ596" s="403"/>
      <c r="AR596" s="403"/>
      <c r="AS596" s="403"/>
      <c r="AT596" s="403"/>
      <c r="AU596" s="403"/>
      <c r="AV596" s="403"/>
      <c r="AW596" s="403"/>
      <c r="AX596" s="403"/>
      <c r="AY596" s="403"/>
    </row>
    <row r="597">
      <c r="A597" s="415"/>
      <c r="B597" s="415"/>
      <c r="C597" s="410"/>
      <c r="D597" s="429"/>
      <c r="E597" s="416"/>
      <c r="F597" s="413"/>
      <c r="G597" s="413"/>
      <c r="H597" s="415"/>
      <c r="I597" s="415"/>
      <c r="J597" s="415"/>
      <c r="K597" s="415"/>
      <c r="L597" s="417"/>
      <c r="M597" s="403"/>
      <c r="N597" s="403"/>
      <c r="O597" s="403"/>
      <c r="P597" s="403"/>
      <c r="Q597" s="403"/>
      <c r="R597" s="403"/>
      <c r="S597" s="403"/>
      <c r="T597" s="403"/>
      <c r="U597" s="403"/>
      <c r="V597" s="403"/>
      <c r="W597" s="404"/>
      <c r="X597" s="405"/>
      <c r="Y597" s="405"/>
      <c r="Z597" s="405"/>
      <c r="AA597" s="405"/>
      <c r="AB597" s="405"/>
      <c r="AC597" s="405"/>
      <c r="AD597" s="405"/>
      <c r="AE597" s="405"/>
      <c r="AF597" s="405"/>
      <c r="AG597" s="405"/>
      <c r="AH597" s="405"/>
      <c r="AI597" s="405"/>
      <c r="AJ597" s="405"/>
      <c r="AK597" s="405"/>
      <c r="AL597" s="405"/>
      <c r="AM597" s="406"/>
      <c r="AN597" s="406"/>
      <c r="AO597" s="406"/>
      <c r="AP597" s="406"/>
      <c r="AQ597" s="403"/>
      <c r="AR597" s="403"/>
      <c r="AS597" s="403"/>
      <c r="AT597" s="403"/>
      <c r="AU597" s="403"/>
      <c r="AV597" s="403"/>
      <c r="AW597" s="403"/>
      <c r="AX597" s="403"/>
      <c r="AY597" s="403"/>
    </row>
    <row r="598">
      <c r="A598" s="415"/>
      <c r="B598" s="415"/>
      <c r="C598" s="410"/>
      <c r="D598" s="429"/>
      <c r="E598" s="416"/>
      <c r="F598" s="413"/>
      <c r="G598" s="413"/>
      <c r="H598" s="415"/>
      <c r="I598" s="415"/>
      <c r="J598" s="415"/>
      <c r="K598" s="415"/>
      <c r="L598" s="417"/>
      <c r="M598" s="403"/>
      <c r="N598" s="403"/>
      <c r="O598" s="403"/>
      <c r="P598" s="403"/>
      <c r="Q598" s="403"/>
      <c r="R598" s="403"/>
      <c r="S598" s="403"/>
      <c r="T598" s="403"/>
      <c r="U598" s="403"/>
      <c r="V598" s="403"/>
      <c r="W598" s="404"/>
      <c r="X598" s="405"/>
      <c r="Y598" s="405"/>
      <c r="Z598" s="405"/>
      <c r="AA598" s="405"/>
      <c r="AB598" s="405"/>
      <c r="AC598" s="405"/>
      <c r="AD598" s="405"/>
      <c r="AE598" s="405"/>
      <c r="AF598" s="405"/>
      <c r="AG598" s="405"/>
      <c r="AH598" s="405"/>
      <c r="AI598" s="405"/>
      <c r="AJ598" s="405"/>
      <c r="AK598" s="405"/>
      <c r="AL598" s="405"/>
      <c r="AM598" s="406"/>
      <c r="AN598" s="406"/>
      <c r="AO598" s="406"/>
      <c r="AP598" s="406"/>
      <c r="AQ598" s="403"/>
      <c r="AR598" s="403"/>
      <c r="AS598" s="403"/>
      <c r="AT598" s="403"/>
      <c r="AU598" s="403"/>
      <c r="AV598" s="403"/>
      <c r="AW598" s="403"/>
      <c r="AX598" s="403"/>
      <c r="AY598" s="403"/>
    </row>
    <row r="599">
      <c r="A599" s="415"/>
      <c r="B599" s="415"/>
      <c r="C599" s="410"/>
      <c r="D599" s="429"/>
      <c r="E599" s="416"/>
      <c r="F599" s="413"/>
      <c r="G599" s="413"/>
      <c r="H599" s="415"/>
      <c r="I599" s="415"/>
      <c r="J599" s="415"/>
      <c r="K599" s="415"/>
      <c r="L599" s="417"/>
      <c r="M599" s="403"/>
      <c r="N599" s="403"/>
      <c r="O599" s="403"/>
      <c r="P599" s="403"/>
      <c r="Q599" s="403"/>
      <c r="R599" s="403"/>
      <c r="S599" s="403"/>
      <c r="T599" s="403"/>
      <c r="U599" s="403"/>
      <c r="V599" s="403"/>
      <c r="W599" s="404"/>
      <c r="X599" s="405"/>
      <c r="Y599" s="405"/>
      <c r="Z599" s="405"/>
      <c r="AA599" s="405"/>
      <c r="AB599" s="405"/>
      <c r="AC599" s="405"/>
      <c r="AD599" s="405"/>
      <c r="AE599" s="405"/>
      <c r="AF599" s="405"/>
      <c r="AG599" s="405"/>
      <c r="AH599" s="405"/>
      <c r="AI599" s="405"/>
      <c r="AJ599" s="405"/>
      <c r="AK599" s="405"/>
      <c r="AL599" s="405"/>
      <c r="AM599" s="406"/>
      <c r="AN599" s="406"/>
      <c r="AO599" s="406"/>
      <c r="AP599" s="406"/>
      <c r="AQ599" s="403"/>
      <c r="AR599" s="403"/>
      <c r="AS599" s="403"/>
      <c r="AT599" s="403"/>
      <c r="AU599" s="403"/>
      <c r="AV599" s="403"/>
      <c r="AW599" s="403"/>
      <c r="AX599" s="403"/>
      <c r="AY599" s="403"/>
    </row>
    <row r="600">
      <c r="A600" s="415"/>
      <c r="B600" s="415"/>
      <c r="C600" s="410"/>
      <c r="D600" s="429"/>
      <c r="E600" s="416"/>
      <c r="F600" s="413"/>
      <c r="G600" s="413"/>
      <c r="H600" s="415"/>
      <c r="I600" s="415"/>
      <c r="J600" s="415"/>
      <c r="K600" s="415"/>
      <c r="L600" s="417"/>
      <c r="M600" s="403"/>
      <c r="N600" s="403"/>
      <c r="O600" s="403"/>
      <c r="P600" s="403"/>
      <c r="Q600" s="403"/>
      <c r="R600" s="403"/>
      <c r="S600" s="403"/>
      <c r="T600" s="403"/>
      <c r="U600" s="403"/>
      <c r="V600" s="403"/>
      <c r="W600" s="404"/>
      <c r="X600" s="405"/>
      <c r="Y600" s="405"/>
      <c r="Z600" s="405"/>
      <c r="AA600" s="405"/>
      <c r="AB600" s="405"/>
      <c r="AC600" s="405"/>
      <c r="AD600" s="405"/>
      <c r="AE600" s="405"/>
      <c r="AF600" s="405"/>
      <c r="AG600" s="405"/>
      <c r="AH600" s="405"/>
      <c r="AI600" s="405"/>
      <c r="AJ600" s="405"/>
      <c r="AK600" s="405"/>
      <c r="AL600" s="405"/>
      <c r="AM600" s="406"/>
      <c r="AN600" s="406"/>
      <c r="AO600" s="406"/>
      <c r="AP600" s="406"/>
      <c r="AQ600" s="403"/>
      <c r="AR600" s="403"/>
      <c r="AS600" s="403"/>
      <c r="AT600" s="403"/>
      <c r="AU600" s="403"/>
      <c r="AV600" s="403"/>
      <c r="AW600" s="403"/>
      <c r="AX600" s="403"/>
      <c r="AY600" s="403"/>
    </row>
    <row r="601">
      <c r="A601" s="415"/>
      <c r="B601" s="415"/>
      <c r="C601" s="410"/>
      <c r="D601" s="429"/>
      <c r="E601" s="416"/>
      <c r="F601" s="413"/>
      <c r="G601" s="413"/>
      <c r="H601" s="415"/>
      <c r="I601" s="415"/>
      <c r="J601" s="415"/>
      <c r="K601" s="415"/>
      <c r="L601" s="417"/>
      <c r="M601" s="403"/>
      <c r="N601" s="403"/>
      <c r="O601" s="403"/>
      <c r="P601" s="403"/>
      <c r="Q601" s="403"/>
      <c r="R601" s="403"/>
      <c r="S601" s="403"/>
      <c r="T601" s="403"/>
      <c r="U601" s="403"/>
      <c r="V601" s="403"/>
      <c r="W601" s="404"/>
      <c r="X601" s="405"/>
      <c r="Y601" s="405"/>
      <c r="Z601" s="405"/>
      <c r="AA601" s="405"/>
      <c r="AB601" s="405"/>
      <c r="AC601" s="405"/>
      <c r="AD601" s="405"/>
      <c r="AE601" s="405"/>
      <c r="AF601" s="405"/>
      <c r="AG601" s="405"/>
      <c r="AH601" s="405"/>
      <c r="AI601" s="405"/>
      <c r="AJ601" s="405"/>
      <c r="AK601" s="405"/>
      <c r="AL601" s="405"/>
      <c r="AM601" s="406"/>
      <c r="AN601" s="406"/>
      <c r="AO601" s="406"/>
      <c r="AP601" s="406"/>
      <c r="AQ601" s="403"/>
      <c r="AR601" s="403"/>
      <c r="AS601" s="403"/>
      <c r="AT601" s="403"/>
      <c r="AU601" s="403"/>
      <c r="AV601" s="403"/>
      <c r="AW601" s="403"/>
      <c r="AX601" s="403"/>
      <c r="AY601" s="403"/>
    </row>
    <row r="602">
      <c r="A602" s="415"/>
      <c r="B602" s="415"/>
      <c r="C602" s="410"/>
      <c r="D602" s="429"/>
      <c r="E602" s="416"/>
      <c r="F602" s="413"/>
      <c r="G602" s="413"/>
      <c r="H602" s="415"/>
      <c r="I602" s="415"/>
      <c r="J602" s="415"/>
      <c r="K602" s="415"/>
      <c r="L602" s="417"/>
      <c r="M602" s="403"/>
      <c r="N602" s="403"/>
      <c r="O602" s="403"/>
      <c r="P602" s="403"/>
      <c r="Q602" s="403"/>
      <c r="R602" s="403"/>
      <c r="S602" s="403"/>
      <c r="T602" s="403"/>
      <c r="U602" s="403"/>
      <c r="V602" s="403"/>
      <c r="W602" s="404"/>
      <c r="X602" s="405"/>
      <c r="Y602" s="405"/>
      <c r="Z602" s="405"/>
      <c r="AA602" s="405"/>
      <c r="AB602" s="405"/>
      <c r="AC602" s="405"/>
      <c r="AD602" s="405"/>
      <c r="AE602" s="405"/>
      <c r="AF602" s="405"/>
      <c r="AG602" s="405"/>
      <c r="AH602" s="405"/>
      <c r="AI602" s="405"/>
      <c r="AJ602" s="405"/>
      <c r="AK602" s="405"/>
      <c r="AL602" s="405"/>
      <c r="AM602" s="406"/>
      <c r="AN602" s="406"/>
      <c r="AO602" s="406"/>
      <c r="AP602" s="406"/>
      <c r="AQ602" s="403"/>
      <c r="AR602" s="403"/>
      <c r="AS602" s="403"/>
      <c r="AT602" s="403"/>
      <c r="AU602" s="403"/>
      <c r="AV602" s="403"/>
      <c r="AW602" s="403"/>
      <c r="AX602" s="403"/>
      <c r="AY602" s="403"/>
    </row>
    <row r="603">
      <c r="A603" s="415"/>
      <c r="B603" s="415"/>
      <c r="C603" s="410"/>
      <c r="D603" s="429"/>
      <c r="E603" s="416"/>
      <c r="F603" s="413"/>
      <c r="G603" s="413"/>
      <c r="H603" s="415"/>
      <c r="I603" s="415"/>
      <c r="J603" s="415"/>
      <c r="K603" s="415"/>
      <c r="L603" s="417"/>
      <c r="M603" s="403"/>
      <c r="N603" s="403"/>
      <c r="O603" s="403"/>
      <c r="P603" s="403"/>
      <c r="Q603" s="403"/>
      <c r="R603" s="403"/>
      <c r="S603" s="403"/>
      <c r="T603" s="403"/>
      <c r="U603" s="403"/>
      <c r="V603" s="403"/>
      <c r="W603" s="404"/>
      <c r="X603" s="405"/>
      <c r="Y603" s="405"/>
      <c r="Z603" s="405"/>
      <c r="AA603" s="405"/>
      <c r="AB603" s="405"/>
      <c r="AC603" s="405"/>
      <c r="AD603" s="405"/>
      <c r="AE603" s="405"/>
      <c r="AF603" s="405"/>
      <c r="AG603" s="405"/>
      <c r="AH603" s="405"/>
      <c r="AI603" s="405"/>
      <c r="AJ603" s="405"/>
      <c r="AK603" s="405"/>
      <c r="AL603" s="405"/>
      <c r="AM603" s="406"/>
      <c r="AN603" s="406"/>
      <c r="AO603" s="406"/>
      <c r="AP603" s="406"/>
      <c r="AQ603" s="403"/>
      <c r="AR603" s="403"/>
      <c r="AS603" s="403"/>
      <c r="AT603" s="403"/>
      <c r="AU603" s="403"/>
      <c r="AV603" s="403"/>
      <c r="AW603" s="403"/>
      <c r="AX603" s="403"/>
      <c r="AY603" s="403"/>
    </row>
    <row r="604">
      <c r="A604" s="415"/>
      <c r="B604" s="415"/>
      <c r="C604" s="410"/>
      <c r="D604" s="429"/>
      <c r="E604" s="416"/>
      <c r="F604" s="413"/>
      <c r="G604" s="413"/>
      <c r="H604" s="415"/>
      <c r="I604" s="415"/>
      <c r="J604" s="415"/>
      <c r="K604" s="415"/>
      <c r="L604" s="417"/>
      <c r="M604" s="403"/>
      <c r="N604" s="403"/>
      <c r="O604" s="403"/>
      <c r="P604" s="403"/>
      <c r="Q604" s="403"/>
      <c r="R604" s="403"/>
      <c r="S604" s="403"/>
      <c r="T604" s="403"/>
      <c r="U604" s="403"/>
      <c r="V604" s="403"/>
      <c r="W604" s="404"/>
      <c r="X604" s="405"/>
      <c r="Y604" s="405"/>
      <c r="Z604" s="405"/>
      <c r="AA604" s="405"/>
      <c r="AB604" s="405"/>
      <c r="AC604" s="405"/>
      <c r="AD604" s="405"/>
      <c r="AE604" s="405"/>
      <c r="AF604" s="405"/>
      <c r="AG604" s="405"/>
      <c r="AH604" s="405"/>
      <c r="AI604" s="405"/>
      <c r="AJ604" s="405"/>
      <c r="AK604" s="405"/>
      <c r="AL604" s="405"/>
      <c r="AM604" s="406"/>
      <c r="AN604" s="406"/>
      <c r="AO604" s="406"/>
      <c r="AP604" s="406"/>
      <c r="AQ604" s="403"/>
      <c r="AR604" s="403"/>
      <c r="AS604" s="403"/>
      <c r="AT604" s="403"/>
      <c r="AU604" s="403"/>
      <c r="AV604" s="403"/>
      <c r="AW604" s="403"/>
      <c r="AX604" s="403"/>
      <c r="AY604" s="403"/>
    </row>
    <row r="605">
      <c r="A605" s="415"/>
      <c r="B605" s="415"/>
      <c r="C605" s="410"/>
      <c r="D605" s="429"/>
      <c r="E605" s="416"/>
      <c r="F605" s="413"/>
      <c r="G605" s="413"/>
      <c r="H605" s="415"/>
      <c r="I605" s="415"/>
      <c r="J605" s="415"/>
      <c r="K605" s="415"/>
      <c r="L605" s="417"/>
      <c r="M605" s="403"/>
      <c r="N605" s="403"/>
      <c r="O605" s="403"/>
      <c r="P605" s="403"/>
      <c r="Q605" s="403"/>
      <c r="R605" s="403"/>
      <c r="S605" s="403"/>
      <c r="T605" s="403"/>
      <c r="U605" s="403"/>
      <c r="V605" s="403"/>
      <c r="W605" s="404"/>
      <c r="X605" s="405"/>
      <c r="Y605" s="405"/>
      <c r="Z605" s="405"/>
      <c r="AA605" s="405"/>
      <c r="AB605" s="405"/>
      <c r="AC605" s="405"/>
      <c r="AD605" s="405"/>
      <c r="AE605" s="405"/>
      <c r="AF605" s="405"/>
      <c r="AG605" s="405"/>
      <c r="AH605" s="405"/>
      <c r="AI605" s="405"/>
      <c r="AJ605" s="405"/>
      <c r="AK605" s="405"/>
      <c r="AL605" s="405"/>
      <c r="AM605" s="406"/>
      <c r="AN605" s="406"/>
      <c r="AO605" s="406"/>
      <c r="AP605" s="406"/>
      <c r="AQ605" s="403"/>
      <c r="AR605" s="403"/>
      <c r="AS605" s="403"/>
      <c r="AT605" s="403"/>
      <c r="AU605" s="403"/>
      <c r="AV605" s="403"/>
      <c r="AW605" s="403"/>
      <c r="AX605" s="403"/>
      <c r="AY605" s="403"/>
    </row>
    <row r="606">
      <c r="A606" s="415"/>
      <c r="B606" s="415"/>
      <c r="C606" s="410"/>
      <c r="D606" s="429"/>
      <c r="E606" s="416"/>
      <c r="F606" s="413"/>
      <c r="G606" s="413"/>
      <c r="H606" s="415"/>
      <c r="I606" s="415"/>
      <c r="J606" s="415"/>
      <c r="K606" s="415"/>
      <c r="L606" s="417"/>
      <c r="M606" s="403"/>
      <c r="N606" s="403"/>
      <c r="O606" s="403"/>
      <c r="P606" s="403"/>
      <c r="Q606" s="403"/>
      <c r="R606" s="403"/>
      <c r="S606" s="403"/>
      <c r="T606" s="403"/>
      <c r="U606" s="403"/>
      <c r="V606" s="403"/>
      <c r="W606" s="404"/>
      <c r="X606" s="405"/>
      <c r="Y606" s="405"/>
      <c r="Z606" s="405"/>
      <c r="AA606" s="405"/>
      <c r="AB606" s="405"/>
      <c r="AC606" s="405"/>
      <c r="AD606" s="405"/>
      <c r="AE606" s="405"/>
      <c r="AF606" s="405"/>
      <c r="AG606" s="405"/>
      <c r="AH606" s="405"/>
      <c r="AI606" s="405"/>
      <c r="AJ606" s="405"/>
      <c r="AK606" s="405"/>
      <c r="AL606" s="405"/>
      <c r="AM606" s="406"/>
      <c r="AN606" s="406"/>
      <c r="AO606" s="406"/>
      <c r="AP606" s="406"/>
      <c r="AQ606" s="403"/>
      <c r="AR606" s="403"/>
      <c r="AS606" s="403"/>
      <c r="AT606" s="403"/>
      <c r="AU606" s="403"/>
      <c r="AV606" s="403"/>
      <c r="AW606" s="403"/>
      <c r="AX606" s="403"/>
      <c r="AY606" s="403"/>
    </row>
    <row r="607">
      <c r="A607" s="415"/>
      <c r="B607" s="415"/>
      <c r="C607" s="410"/>
      <c r="D607" s="429"/>
      <c r="E607" s="416"/>
      <c r="F607" s="413"/>
      <c r="G607" s="413"/>
      <c r="H607" s="415"/>
      <c r="I607" s="415"/>
      <c r="J607" s="415"/>
      <c r="K607" s="415"/>
      <c r="L607" s="417"/>
      <c r="M607" s="403"/>
      <c r="N607" s="403"/>
      <c r="O607" s="403"/>
      <c r="P607" s="403"/>
      <c r="Q607" s="403"/>
      <c r="R607" s="403"/>
      <c r="S607" s="403"/>
      <c r="T607" s="403"/>
      <c r="U607" s="403"/>
      <c r="V607" s="403"/>
      <c r="W607" s="404"/>
      <c r="X607" s="405"/>
      <c r="Y607" s="405"/>
      <c r="Z607" s="405"/>
      <c r="AA607" s="405"/>
      <c r="AB607" s="405"/>
      <c r="AC607" s="405"/>
      <c r="AD607" s="405"/>
      <c r="AE607" s="405"/>
      <c r="AF607" s="405"/>
      <c r="AG607" s="405"/>
      <c r="AH607" s="405"/>
      <c r="AI607" s="405"/>
      <c r="AJ607" s="405"/>
      <c r="AK607" s="405"/>
      <c r="AL607" s="405"/>
      <c r="AM607" s="406"/>
      <c r="AN607" s="406"/>
      <c r="AO607" s="406"/>
      <c r="AP607" s="406"/>
      <c r="AQ607" s="403"/>
      <c r="AR607" s="403"/>
      <c r="AS607" s="403"/>
      <c r="AT607" s="403"/>
      <c r="AU607" s="403"/>
      <c r="AV607" s="403"/>
      <c r="AW607" s="403"/>
      <c r="AX607" s="403"/>
      <c r="AY607" s="403"/>
    </row>
    <row r="608">
      <c r="A608" s="415"/>
      <c r="B608" s="415"/>
      <c r="C608" s="410"/>
      <c r="D608" s="429"/>
      <c r="E608" s="416"/>
      <c r="F608" s="413"/>
      <c r="G608" s="413"/>
      <c r="H608" s="415"/>
      <c r="I608" s="415"/>
      <c r="J608" s="415"/>
      <c r="K608" s="415"/>
      <c r="L608" s="417"/>
      <c r="M608" s="403"/>
      <c r="N608" s="403"/>
      <c r="O608" s="403"/>
      <c r="P608" s="403"/>
      <c r="Q608" s="403"/>
      <c r="R608" s="403"/>
      <c r="S608" s="403"/>
      <c r="T608" s="403"/>
      <c r="U608" s="403"/>
      <c r="V608" s="403"/>
      <c r="W608" s="404"/>
      <c r="X608" s="405"/>
      <c r="Y608" s="405"/>
      <c r="Z608" s="405"/>
      <c r="AA608" s="405"/>
      <c r="AB608" s="405"/>
      <c r="AC608" s="405"/>
      <c r="AD608" s="405"/>
      <c r="AE608" s="405"/>
      <c r="AF608" s="405"/>
      <c r="AG608" s="405"/>
      <c r="AH608" s="405"/>
      <c r="AI608" s="405"/>
      <c r="AJ608" s="405"/>
      <c r="AK608" s="405"/>
      <c r="AL608" s="405"/>
      <c r="AM608" s="406"/>
      <c r="AN608" s="406"/>
      <c r="AO608" s="406"/>
      <c r="AP608" s="406"/>
      <c r="AQ608" s="403"/>
      <c r="AR608" s="403"/>
      <c r="AS608" s="403"/>
      <c r="AT608" s="403"/>
      <c r="AU608" s="403"/>
      <c r="AV608" s="403"/>
      <c r="AW608" s="403"/>
      <c r="AX608" s="403"/>
      <c r="AY608" s="403"/>
    </row>
    <row r="609">
      <c r="A609" s="415"/>
      <c r="B609" s="415"/>
      <c r="C609" s="410"/>
      <c r="D609" s="429"/>
      <c r="E609" s="416"/>
      <c r="F609" s="413"/>
      <c r="G609" s="413"/>
      <c r="H609" s="415"/>
      <c r="I609" s="415"/>
      <c r="J609" s="415"/>
      <c r="K609" s="415"/>
      <c r="L609" s="417"/>
      <c r="M609" s="403"/>
      <c r="N609" s="403"/>
      <c r="O609" s="403"/>
      <c r="P609" s="403"/>
      <c r="Q609" s="403"/>
      <c r="R609" s="403"/>
      <c r="S609" s="403"/>
      <c r="T609" s="403"/>
      <c r="U609" s="403"/>
      <c r="V609" s="403"/>
      <c r="W609" s="404"/>
      <c r="X609" s="405"/>
      <c r="Y609" s="405"/>
      <c r="Z609" s="405"/>
      <c r="AA609" s="405"/>
      <c r="AB609" s="405"/>
      <c r="AC609" s="405"/>
      <c r="AD609" s="405"/>
      <c r="AE609" s="405"/>
      <c r="AF609" s="405"/>
      <c r="AG609" s="405"/>
      <c r="AH609" s="405"/>
      <c r="AI609" s="405"/>
      <c r="AJ609" s="405"/>
      <c r="AK609" s="405"/>
      <c r="AL609" s="405"/>
      <c r="AM609" s="406"/>
      <c r="AN609" s="406"/>
      <c r="AO609" s="406"/>
      <c r="AP609" s="406"/>
      <c r="AQ609" s="403"/>
      <c r="AR609" s="403"/>
      <c r="AS609" s="403"/>
      <c r="AT609" s="403"/>
      <c r="AU609" s="403"/>
      <c r="AV609" s="403"/>
      <c r="AW609" s="403"/>
      <c r="AX609" s="403"/>
      <c r="AY609" s="403"/>
    </row>
    <row r="610">
      <c r="A610" s="415"/>
      <c r="B610" s="415"/>
      <c r="C610" s="410"/>
      <c r="D610" s="429"/>
      <c r="E610" s="416"/>
      <c r="F610" s="413"/>
      <c r="G610" s="413"/>
      <c r="H610" s="415"/>
      <c r="I610" s="415"/>
      <c r="J610" s="415"/>
      <c r="K610" s="415"/>
      <c r="L610" s="417"/>
      <c r="M610" s="403"/>
      <c r="N610" s="403"/>
      <c r="O610" s="403"/>
      <c r="P610" s="403"/>
      <c r="Q610" s="403"/>
      <c r="R610" s="403"/>
      <c r="S610" s="403"/>
      <c r="T610" s="403"/>
      <c r="U610" s="403"/>
      <c r="V610" s="403"/>
      <c r="W610" s="404"/>
      <c r="X610" s="405"/>
      <c r="Y610" s="405"/>
      <c r="Z610" s="405"/>
      <c r="AA610" s="405"/>
      <c r="AB610" s="405"/>
      <c r="AC610" s="405"/>
      <c r="AD610" s="405"/>
      <c r="AE610" s="405"/>
      <c r="AF610" s="405"/>
      <c r="AG610" s="405"/>
      <c r="AH610" s="405"/>
      <c r="AI610" s="405"/>
      <c r="AJ610" s="405"/>
      <c r="AK610" s="405"/>
      <c r="AL610" s="405"/>
      <c r="AM610" s="406"/>
      <c r="AN610" s="406"/>
      <c r="AO610" s="406"/>
      <c r="AP610" s="406"/>
      <c r="AQ610" s="403"/>
      <c r="AR610" s="403"/>
      <c r="AS610" s="403"/>
      <c r="AT610" s="403"/>
      <c r="AU610" s="403"/>
      <c r="AV610" s="403"/>
      <c r="AW610" s="403"/>
      <c r="AX610" s="403"/>
      <c r="AY610" s="403"/>
    </row>
    <row r="611">
      <c r="A611" s="415"/>
      <c r="B611" s="415"/>
      <c r="C611" s="410"/>
      <c r="D611" s="429"/>
      <c r="E611" s="416"/>
      <c r="F611" s="413"/>
      <c r="G611" s="413"/>
      <c r="H611" s="415"/>
      <c r="I611" s="415"/>
      <c r="J611" s="415"/>
      <c r="K611" s="415"/>
      <c r="L611" s="417"/>
      <c r="M611" s="403"/>
      <c r="N611" s="403"/>
      <c r="O611" s="403"/>
      <c r="P611" s="403"/>
      <c r="Q611" s="403"/>
      <c r="R611" s="403"/>
      <c r="S611" s="403"/>
      <c r="T611" s="403"/>
      <c r="U611" s="403"/>
      <c r="V611" s="403"/>
      <c r="W611" s="404"/>
      <c r="X611" s="405"/>
      <c r="Y611" s="405"/>
      <c r="Z611" s="405"/>
      <c r="AA611" s="405"/>
      <c r="AB611" s="405"/>
      <c r="AC611" s="405"/>
      <c r="AD611" s="405"/>
      <c r="AE611" s="405"/>
      <c r="AF611" s="405"/>
      <c r="AG611" s="405"/>
      <c r="AH611" s="405"/>
      <c r="AI611" s="405"/>
      <c r="AJ611" s="405"/>
      <c r="AK611" s="405"/>
      <c r="AL611" s="405"/>
      <c r="AM611" s="406"/>
      <c r="AN611" s="406"/>
      <c r="AO611" s="406"/>
      <c r="AP611" s="406"/>
      <c r="AQ611" s="403"/>
      <c r="AR611" s="403"/>
      <c r="AS611" s="403"/>
      <c r="AT611" s="403"/>
      <c r="AU611" s="403"/>
      <c r="AV611" s="403"/>
      <c r="AW611" s="403"/>
      <c r="AX611" s="403"/>
      <c r="AY611" s="403"/>
    </row>
    <row r="612">
      <c r="A612" s="415"/>
      <c r="B612" s="415"/>
      <c r="C612" s="410"/>
      <c r="D612" s="429"/>
      <c r="E612" s="416"/>
      <c r="F612" s="413"/>
      <c r="G612" s="413"/>
      <c r="H612" s="415"/>
      <c r="I612" s="415"/>
      <c r="J612" s="415"/>
      <c r="K612" s="415"/>
      <c r="L612" s="417"/>
      <c r="M612" s="403"/>
      <c r="N612" s="403"/>
      <c r="O612" s="403"/>
      <c r="P612" s="403"/>
      <c r="Q612" s="403"/>
      <c r="R612" s="403"/>
      <c r="S612" s="403"/>
      <c r="T612" s="403"/>
      <c r="U612" s="403"/>
      <c r="V612" s="403"/>
      <c r="W612" s="404"/>
      <c r="X612" s="405"/>
      <c r="Y612" s="405"/>
      <c r="Z612" s="405"/>
      <c r="AA612" s="405"/>
      <c r="AB612" s="405"/>
      <c r="AC612" s="405"/>
      <c r="AD612" s="405"/>
      <c r="AE612" s="405"/>
      <c r="AF612" s="405"/>
      <c r="AG612" s="405"/>
      <c r="AH612" s="405"/>
      <c r="AI612" s="405"/>
      <c r="AJ612" s="405"/>
      <c r="AK612" s="405"/>
      <c r="AL612" s="405"/>
      <c r="AM612" s="406"/>
      <c r="AN612" s="406"/>
      <c r="AO612" s="406"/>
      <c r="AP612" s="406"/>
      <c r="AQ612" s="403"/>
      <c r="AR612" s="403"/>
      <c r="AS612" s="403"/>
      <c r="AT612" s="403"/>
      <c r="AU612" s="403"/>
      <c r="AV612" s="403"/>
      <c r="AW612" s="403"/>
      <c r="AX612" s="403"/>
      <c r="AY612" s="403"/>
    </row>
    <row r="613">
      <c r="A613" s="415"/>
      <c r="B613" s="415"/>
      <c r="C613" s="410"/>
      <c r="D613" s="429"/>
      <c r="E613" s="416"/>
      <c r="F613" s="413"/>
      <c r="G613" s="413"/>
      <c r="H613" s="415"/>
      <c r="I613" s="415"/>
      <c r="J613" s="415"/>
      <c r="K613" s="415"/>
      <c r="L613" s="417"/>
      <c r="M613" s="403"/>
      <c r="N613" s="403"/>
      <c r="O613" s="403"/>
      <c r="P613" s="403"/>
      <c r="Q613" s="403"/>
      <c r="R613" s="403"/>
      <c r="S613" s="403"/>
      <c r="T613" s="403"/>
      <c r="U613" s="403"/>
      <c r="V613" s="403"/>
      <c r="W613" s="404"/>
      <c r="X613" s="405"/>
      <c r="Y613" s="405"/>
      <c r="Z613" s="405"/>
      <c r="AA613" s="405"/>
      <c r="AB613" s="405"/>
      <c r="AC613" s="405"/>
      <c r="AD613" s="405"/>
      <c r="AE613" s="405"/>
      <c r="AF613" s="405"/>
      <c r="AG613" s="405"/>
      <c r="AH613" s="405"/>
      <c r="AI613" s="405"/>
      <c r="AJ613" s="405"/>
      <c r="AK613" s="405"/>
      <c r="AL613" s="405"/>
      <c r="AM613" s="406"/>
      <c r="AN613" s="406"/>
      <c r="AO613" s="406"/>
      <c r="AP613" s="406"/>
      <c r="AQ613" s="403"/>
      <c r="AR613" s="403"/>
      <c r="AS613" s="403"/>
      <c r="AT613" s="403"/>
      <c r="AU613" s="403"/>
      <c r="AV613" s="403"/>
      <c r="AW613" s="403"/>
      <c r="AX613" s="403"/>
      <c r="AY613" s="403"/>
    </row>
    <row r="614">
      <c r="A614" s="415"/>
      <c r="B614" s="415"/>
      <c r="C614" s="410"/>
      <c r="D614" s="429"/>
      <c r="E614" s="416"/>
      <c r="F614" s="413"/>
      <c r="G614" s="413"/>
      <c r="H614" s="415"/>
      <c r="I614" s="415"/>
      <c r="J614" s="415"/>
      <c r="K614" s="415"/>
      <c r="L614" s="417"/>
      <c r="M614" s="403"/>
      <c r="N614" s="403"/>
      <c r="O614" s="403"/>
      <c r="P614" s="403"/>
      <c r="Q614" s="403"/>
      <c r="R614" s="403"/>
      <c r="S614" s="403"/>
      <c r="T614" s="403"/>
      <c r="U614" s="403"/>
      <c r="V614" s="403"/>
      <c r="W614" s="404"/>
      <c r="X614" s="405"/>
      <c r="Y614" s="405"/>
      <c r="Z614" s="405"/>
      <c r="AA614" s="405"/>
      <c r="AB614" s="405"/>
      <c r="AC614" s="405"/>
      <c r="AD614" s="405"/>
      <c r="AE614" s="405"/>
      <c r="AF614" s="405"/>
      <c r="AG614" s="405"/>
      <c r="AH614" s="405"/>
      <c r="AI614" s="405"/>
      <c r="AJ614" s="405"/>
      <c r="AK614" s="405"/>
      <c r="AL614" s="405"/>
      <c r="AM614" s="406"/>
      <c r="AN614" s="406"/>
      <c r="AO614" s="406"/>
      <c r="AP614" s="406"/>
      <c r="AQ614" s="403"/>
      <c r="AR614" s="403"/>
      <c r="AS614" s="403"/>
      <c r="AT614" s="403"/>
      <c r="AU614" s="403"/>
      <c r="AV614" s="403"/>
      <c r="AW614" s="403"/>
      <c r="AX614" s="403"/>
      <c r="AY614" s="403"/>
    </row>
    <row r="615">
      <c r="A615" s="415"/>
      <c r="B615" s="415"/>
      <c r="C615" s="410"/>
      <c r="D615" s="429"/>
      <c r="E615" s="416"/>
      <c r="F615" s="413"/>
      <c r="G615" s="413"/>
      <c r="H615" s="415"/>
      <c r="I615" s="415"/>
      <c r="J615" s="415"/>
      <c r="K615" s="415"/>
      <c r="L615" s="417"/>
      <c r="M615" s="403"/>
      <c r="N615" s="403"/>
      <c r="O615" s="403"/>
      <c r="P615" s="403"/>
      <c r="Q615" s="403"/>
      <c r="R615" s="403"/>
      <c r="S615" s="403"/>
      <c r="T615" s="403"/>
      <c r="U615" s="403"/>
      <c r="V615" s="403"/>
      <c r="W615" s="404"/>
      <c r="X615" s="405"/>
      <c r="Y615" s="405"/>
      <c r="Z615" s="405"/>
      <c r="AA615" s="405"/>
      <c r="AB615" s="405"/>
      <c r="AC615" s="405"/>
      <c r="AD615" s="405"/>
      <c r="AE615" s="405"/>
      <c r="AF615" s="405"/>
      <c r="AG615" s="405"/>
      <c r="AH615" s="405"/>
      <c r="AI615" s="405"/>
      <c r="AJ615" s="405"/>
      <c r="AK615" s="405"/>
      <c r="AL615" s="405"/>
      <c r="AM615" s="406"/>
      <c r="AN615" s="406"/>
      <c r="AO615" s="406"/>
      <c r="AP615" s="406"/>
      <c r="AQ615" s="403"/>
      <c r="AR615" s="403"/>
      <c r="AS615" s="403"/>
      <c r="AT615" s="403"/>
      <c r="AU615" s="403"/>
      <c r="AV615" s="403"/>
      <c r="AW615" s="403"/>
      <c r="AX615" s="403"/>
      <c r="AY615" s="403"/>
    </row>
    <row r="616">
      <c r="A616" s="415"/>
      <c r="B616" s="415"/>
      <c r="C616" s="410"/>
      <c r="D616" s="429"/>
      <c r="E616" s="416"/>
      <c r="F616" s="413"/>
      <c r="G616" s="413"/>
      <c r="H616" s="415"/>
      <c r="I616" s="415"/>
      <c r="J616" s="415"/>
      <c r="K616" s="415"/>
      <c r="L616" s="417"/>
      <c r="M616" s="403"/>
      <c r="N616" s="403"/>
      <c r="O616" s="403"/>
      <c r="P616" s="403"/>
      <c r="Q616" s="403"/>
      <c r="R616" s="403"/>
      <c r="S616" s="403"/>
      <c r="T616" s="403"/>
      <c r="U616" s="403"/>
      <c r="V616" s="403"/>
      <c r="W616" s="404"/>
      <c r="X616" s="405"/>
      <c r="Y616" s="405"/>
      <c r="Z616" s="405"/>
      <c r="AA616" s="405"/>
      <c r="AB616" s="405"/>
      <c r="AC616" s="405"/>
      <c r="AD616" s="405"/>
      <c r="AE616" s="405"/>
      <c r="AF616" s="405"/>
      <c r="AG616" s="405"/>
      <c r="AH616" s="405"/>
      <c r="AI616" s="405"/>
      <c r="AJ616" s="405"/>
      <c r="AK616" s="405"/>
      <c r="AL616" s="405"/>
      <c r="AM616" s="406"/>
      <c r="AN616" s="406"/>
      <c r="AO616" s="406"/>
      <c r="AP616" s="406"/>
      <c r="AQ616" s="403"/>
      <c r="AR616" s="403"/>
      <c r="AS616" s="403"/>
      <c r="AT616" s="403"/>
      <c r="AU616" s="403"/>
      <c r="AV616" s="403"/>
      <c r="AW616" s="403"/>
      <c r="AX616" s="403"/>
      <c r="AY616" s="403"/>
    </row>
    <row r="617">
      <c r="A617" s="415"/>
      <c r="B617" s="415"/>
      <c r="C617" s="410"/>
      <c r="D617" s="429"/>
      <c r="E617" s="416"/>
      <c r="F617" s="413"/>
      <c r="G617" s="413"/>
      <c r="H617" s="415"/>
      <c r="I617" s="415"/>
      <c r="J617" s="415"/>
      <c r="K617" s="415"/>
      <c r="L617" s="417"/>
      <c r="M617" s="403"/>
      <c r="N617" s="403"/>
      <c r="O617" s="403"/>
      <c r="P617" s="403"/>
      <c r="Q617" s="403"/>
      <c r="R617" s="403"/>
      <c r="S617" s="403"/>
      <c r="T617" s="403"/>
      <c r="U617" s="403"/>
      <c r="V617" s="403"/>
      <c r="W617" s="404"/>
      <c r="X617" s="405"/>
      <c r="Y617" s="405"/>
      <c r="Z617" s="405"/>
      <c r="AA617" s="405"/>
      <c r="AB617" s="405"/>
      <c r="AC617" s="405"/>
      <c r="AD617" s="405"/>
      <c r="AE617" s="405"/>
      <c r="AF617" s="405"/>
      <c r="AG617" s="405"/>
      <c r="AH617" s="405"/>
      <c r="AI617" s="405"/>
      <c r="AJ617" s="405"/>
      <c r="AK617" s="405"/>
      <c r="AL617" s="405"/>
      <c r="AM617" s="406"/>
      <c r="AN617" s="406"/>
      <c r="AO617" s="406"/>
      <c r="AP617" s="406"/>
      <c r="AQ617" s="403"/>
      <c r="AR617" s="403"/>
      <c r="AS617" s="403"/>
      <c r="AT617" s="403"/>
      <c r="AU617" s="403"/>
      <c r="AV617" s="403"/>
      <c r="AW617" s="403"/>
      <c r="AX617" s="403"/>
      <c r="AY617" s="403"/>
    </row>
    <row r="618">
      <c r="A618" s="415"/>
      <c r="B618" s="415"/>
      <c r="C618" s="410"/>
      <c r="D618" s="429"/>
      <c r="E618" s="416"/>
      <c r="F618" s="413"/>
      <c r="G618" s="413"/>
      <c r="H618" s="415"/>
      <c r="I618" s="415"/>
      <c r="J618" s="415"/>
      <c r="K618" s="415"/>
      <c r="L618" s="417"/>
      <c r="M618" s="403"/>
      <c r="N618" s="403"/>
      <c r="O618" s="403"/>
      <c r="P618" s="403"/>
      <c r="Q618" s="403"/>
      <c r="R618" s="403"/>
      <c r="S618" s="403"/>
      <c r="T618" s="403"/>
      <c r="U618" s="403"/>
      <c r="V618" s="403"/>
      <c r="W618" s="404"/>
      <c r="X618" s="405"/>
      <c r="Y618" s="405"/>
      <c r="Z618" s="405"/>
      <c r="AA618" s="405"/>
      <c r="AB618" s="405"/>
      <c r="AC618" s="405"/>
      <c r="AD618" s="405"/>
      <c r="AE618" s="405"/>
      <c r="AF618" s="405"/>
      <c r="AG618" s="405"/>
      <c r="AH618" s="405"/>
      <c r="AI618" s="405"/>
      <c r="AJ618" s="405"/>
      <c r="AK618" s="405"/>
      <c r="AL618" s="405"/>
      <c r="AM618" s="406"/>
      <c r="AN618" s="406"/>
      <c r="AO618" s="406"/>
      <c r="AP618" s="406"/>
      <c r="AQ618" s="403"/>
      <c r="AR618" s="403"/>
      <c r="AS618" s="403"/>
      <c r="AT618" s="403"/>
      <c r="AU618" s="403"/>
      <c r="AV618" s="403"/>
      <c r="AW618" s="403"/>
      <c r="AX618" s="403"/>
      <c r="AY618" s="403"/>
    </row>
    <row r="619">
      <c r="A619" s="415"/>
      <c r="B619" s="415"/>
      <c r="C619" s="410"/>
      <c r="D619" s="429"/>
      <c r="E619" s="416"/>
      <c r="F619" s="413"/>
      <c r="G619" s="413"/>
      <c r="H619" s="415"/>
      <c r="I619" s="415"/>
      <c r="J619" s="415"/>
      <c r="K619" s="415"/>
      <c r="L619" s="417"/>
      <c r="M619" s="403"/>
      <c r="N619" s="403"/>
      <c r="O619" s="403"/>
      <c r="P619" s="403"/>
      <c r="Q619" s="403"/>
      <c r="R619" s="403"/>
      <c r="S619" s="403"/>
      <c r="T619" s="403"/>
      <c r="U619" s="403"/>
      <c r="V619" s="403"/>
      <c r="W619" s="404"/>
      <c r="X619" s="405"/>
      <c r="Y619" s="405"/>
      <c r="Z619" s="405"/>
      <c r="AA619" s="405"/>
      <c r="AB619" s="405"/>
      <c r="AC619" s="405"/>
      <c r="AD619" s="405"/>
      <c r="AE619" s="405"/>
      <c r="AF619" s="405"/>
      <c r="AG619" s="405"/>
      <c r="AH619" s="405"/>
      <c r="AI619" s="405"/>
      <c r="AJ619" s="405"/>
      <c r="AK619" s="405"/>
      <c r="AL619" s="405"/>
      <c r="AM619" s="406"/>
      <c r="AN619" s="406"/>
      <c r="AO619" s="406"/>
      <c r="AP619" s="406"/>
      <c r="AQ619" s="403"/>
      <c r="AR619" s="403"/>
      <c r="AS619" s="403"/>
      <c r="AT619" s="403"/>
      <c r="AU619" s="403"/>
      <c r="AV619" s="403"/>
      <c r="AW619" s="403"/>
      <c r="AX619" s="403"/>
      <c r="AY619" s="403"/>
    </row>
    <row r="620">
      <c r="A620" s="415"/>
      <c r="B620" s="415"/>
      <c r="C620" s="410"/>
      <c r="D620" s="429"/>
      <c r="E620" s="416"/>
      <c r="F620" s="413"/>
      <c r="G620" s="413"/>
      <c r="H620" s="415"/>
      <c r="I620" s="415"/>
      <c r="J620" s="415"/>
      <c r="K620" s="415"/>
      <c r="L620" s="417"/>
      <c r="M620" s="403"/>
      <c r="N620" s="403"/>
      <c r="O620" s="403"/>
      <c r="P620" s="403"/>
      <c r="Q620" s="403"/>
      <c r="R620" s="403"/>
      <c r="S620" s="403"/>
      <c r="T620" s="403"/>
      <c r="U620" s="403"/>
      <c r="V620" s="403"/>
      <c r="W620" s="404"/>
      <c r="X620" s="405"/>
      <c r="Y620" s="405"/>
      <c r="Z620" s="405"/>
      <c r="AA620" s="405"/>
      <c r="AB620" s="405"/>
      <c r="AC620" s="405"/>
      <c r="AD620" s="405"/>
      <c r="AE620" s="405"/>
      <c r="AF620" s="405"/>
      <c r="AG620" s="405"/>
      <c r="AH620" s="405"/>
      <c r="AI620" s="405"/>
      <c r="AJ620" s="405"/>
      <c r="AK620" s="405"/>
      <c r="AL620" s="405"/>
      <c r="AM620" s="406"/>
      <c r="AN620" s="406"/>
      <c r="AO620" s="406"/>
      <c r="AP620" s="406"/>
      <c r="AQ620" s="403"/>
      <c r="AR620" s="403"/>
      <c r="AS620" s="403"/>
      <c r="AT620" s="403"/>
      <c r="AU620" s="403"/>
      <c r="AV620" s="403"/>
      <c r="AW620" s="403"/>
      <c r="AX620" s="403"/>
      <c r="AY620" s="403"/>
    </row>
    <row r="621">
      <c r="A621" s="415"/>
      <c r="B621" s="415"/>
      <c r="C621" s="410"/>
      <c r="D621" s="429"/>
      <c r="E621" s="416"/>
      <c r="F621" s="413"/>
      <c r="G621" s="413"/>
      <c r="H621" s="415"/>
      <c r="I621" s="415"/>
      <c r="J621" s="415"/>
      <c r="K621" s="415"/>
      <c r="L621" s="417"/>
      <c r="M621" s="403"/>
      <c r="N621" s="403"/>
      <c r="O621" s="403"/>
      <c r="P621" s="403"/>
      <c r="Q621" s="403"/>
      <c r="R621" s="403"/>
      <c r="S621" s="403"/>
      <c r="T621" s="403"/>
      <c r="U621" s="403"/>
      <c r="V621" s="403"/>
      <c r="W621" s="404"/>
      <c r="X621" s="405"/>
      <c r="Y621" s="405"/>
      <c r="Z621" s="405"/>
      <c r="AA621" s="405"/>
      <c r="AB621" s="405"/>
      <c r="AC621" s="405"/>
      <c r="AD621" s="405"/>
      <c r="AE621" s="405"/>
      <c r="AF621" s="405"/>
      <c r="AG621" s="405"/>
      <c r="AH621" s="405"/>
      <c r="AI621" s="405"/>
      <c r="AJ621" s="405"/>
      <c r="AK621" s="405"/>
      <c r="AL621" s="405"/>
      <c r="AM621" s="406"/>
      <c r="AN621" s="406"/>
      <c r="AO621" s="406"/>
      <c r="AP621" s="406"/>
      <c r="AQ621" s="403"/>
      <c r="AR621" s="403"/>
      <c r="AS621" s="403"/>
      <c r="AT621" s="403"/>
      <c r="AU621" s="403"/>
      <c r="AV621" s="403"/>
      <c r="AW621" s="403"/>
      <c r="AX621" s="403"/>
      <c r="AY621" s="403"/>
    </row>
    <row r="622">
      <c r="A622" s="415"/>
      <c r="B622" s="415"/>
      <c r="C622" s="410"/>
      <c r="D622" s="429"/>
      <c r="E622" s="416"/>
      <c r="F622" s="413"/>
      <c r="G622" s="413"/>
      <c r="H622" s="415"/>
      <c r="I622" s="415"/>
      <c r="J622" s="415"/>
      <c r="K622" s="415"/>
      <c r="L622" s="417"/>
      <c r="M622" s="403"/>
      <c r="N622" s="403"/>
      <c r="O622" s="403"/>
      <c r="P622" s="403"/>
      <c r="Q622" s="403"/>
      <c r="R622" s="403"/>
      <c r="S622" s="403"/>
      <c r="T622" s="403"/>
      <c r="U622" s="403"/>
      <c r="V622" s="403"/>
      <c r="W622" s="404"/>
      <c r="X622" s="405"/>
      <c r="Y622" s="405"/>
      <c r="Z622" s="405"/>
      <c r="AA622" s="405"/>
      <c r="AB622" s="405"/>
      <c r="AC622" s="405"/>
      <c r="AD622" s="405"/>
      <c r="AE622" s="405"/>
      <c r="AF622" s="405"/>
      <c r="AG622" s="405"/>
      <c r="AH622" s="405"/>
      <c r="AI622" s="405"/>
      <c r="AJ622" s="405"/>
      <c r="AK622" s="405"/>
      <c r="AL622" s="405"/>
      <c r="AM622" s="406"/>
      <c r="AN622" s="406"/>
      <c r="AO622" s="406"/>
      <c r="AP622" s="406"/>
      <c r="AQ622" s="403"/>
      <c r="AR622" s="403"/>
      <c r="AS622" s="403"/>
      <c r="AT622" s="403"/>
      <c r="AU622" s="403"/>
      <c r="AV622" s="403"/>
      <c r="AW622" s="403"/>
      <c r="AX622" s="403"/>
      <c r="AY622" s="403"/>
    </row>
    <row r="623">
      <c r="A623" s="415"/>
      <c r="B623" s="415"/>
      <c r="C623" s="410"/>
      <c r="D623" s="429"/>
      <c r="E623" s="416"/>
      <c r="F623" s="413"/>
      <c r="G623" s="413"/>
      <c r="H623" s="415"/>
      <c r="I623" s="415"/>
      <c r="J623" s="415"/>
      <c r="K623" s="415"/>
      <c r="L623" s="417"/>
      <c r="M623" s="403"/>
      <c r="N623" s="403"/>
      <c r="O623" s="403"/>
      <c r="P623" s="403"/>
      <c r="Q623" s="403"/>
      <c r="R623" s="403"/>
      <c r="S623" s="403"/>
      <c r="T623" s="403"/>
      <c r="U623" s="403"/>
      <c r="V623" s="403"/>
      <c r="W623" s="404"/>
      <c r="X623" s="405"/>
      <c r="Y623" s="405"/>
      <c r="Z623" s="405"/>
      <c r="AA623" s="405"/>
      <c r="AB623" s="405"/>
      <c r="AC623" s="405"/>
      <c r="AD623" s="405"/>
      <c r="AE623" s="405"/>
      <c r="AF623" s="405"/>
      <c r="AG623" s="405"/>
      <c r="AH623" s="405"/>
      <c r="AI623" s="405"/>
      <c r="AJ623" s="405"/>
      <c r="AK623" s="405"/>
      <c r="AL623" s="405"/>
      <c r="AM623" s="406"/>
      <c r="AN623" s="406"/>
      <c r="AO623" s="406"/>
      <c r="AP623" s="406"/>
      <c r="AQ623" s="403"/>
      <c r="AR623" s="403"/>
      <c r="AS623" s="403"/>
      <c r="AT623" s="403"/>
      <c r="AU623" s="403"/>
      <c r="AV623" s="403"/>
      <c r="AW623" s="403"/>
      <c r="AX623" s="403"/>
      <c r="AY623" s="403"/>
    </row>
    <row r="624">
      <c r="A624" s="415"/>
      <c r="B624" s="415"/>
      <c r="C624" s="410"/>
      <c r="D624" s="429"/>
      <c r="E624" s="416"/>
      <c r="F624" s="413"/>
      <c r="G624" s="413"/>
      <c r="H624" s="415"/>
      <c r="I624" s="415"/>
      <c r="J624" s="415"/>
      <c r="K624" s="415"/>
      <c r="L624" s="417"/>
      <c r="M624" s="403"/>
      <c r="N624" s="403"/>
      <c r="O624" s="403"/>
      <c r="P624" s="403"/>
      <c r="Q624" s="403"/>
      <c r="R624" s="403"/>
      <c r="S624" s="403"/>
      <c r="T624" s="403"/>
      <c r="U624" s="403"/>
      <c r="V624" s="403"/>
      <c r="W624" s="404"/>
      <c r="X624" s="405"/>
      <c r="Y624" s="405"/>
      <c r="Z624" s="405"/>
      <c r="AA624" s="405"/>
      <c r="AB624" s="405"/>
      <c r="AC624" s="405"/>
      <c r="AD624" s="405"/>
      <c r="AE624" s="405"/>
      <c r="AF624" s="405"/>
      <c r="AG624" s="405"/>
      <c r="AH624" s="405"/>
      <c r="AI624" s="405"/>
      <c r="AJ624" s="405"/>
      <c r="AK624" s="405"/>
      <c r="AL624" s="405"/>
      <c r="AM624" s="406"/>
      <c r="AN624" s="406"/>
      <c r="AO624" s="406"/>
      <c r="AP624" s="406"/>
      <c r="AQ624" s="403"/>
      <c r="AR624" s="403"/>
      <c r="AS624" s="403"/>
      <c r="AT624" s="403"/>
      <c r="AU624" s="403"/>
      <c r="AV624" s="403"/>
      <c r="AW624" s="403"/>
      <c r="AX624" s="403"/>
      <c r="AY624" s="403"/>
    </row>
    <row r="625">
      <c r="A625" s="415"/>
      <c r="B625" s="415"/>
      <c r="C625" s="410"/>
      <c r="D625" s="429"/>
      <c r="E625" s="416"/>
      <c r="F625" s="413"/>
      <c r="G625" s="413"/>
      <c r="H625" s="415"/>
      <c r="I625" s="415"/>
      <c r="J625" s="415"/>
      <c r="K625" s="415"/>
      <c r="L625" s="417"/>
      <c r="M625" s="403"/>
      <c r="N625" s="403"/>
      <c r="O625" s="403"/>
      <c r="P625" s="403"/>
      <c r="Q625" s="403"/>
      <c r="R625" s="403"/>
      <c r="S625" s="403"/>
      <c r="T625" s="403"/>
      <c r="U625" s="403"/>
      <c r="V625" s="403"/>
      <c r="W625" s="404"/>
      <c r="X625" s="405"/>
      <c r="Y625" s="405"/>
      <c r="Z625" s="405"/>
      <c r="AA625" s="405"/>
      <c r="AB625" s="405"/>
      <c r="AC625" s="405"/>
      <c r="AD625" s="405"/>
      <c r="AE625" s="405"/>
      <c r="AF625" s="405"/>
      <c r="AG625" s="405"/>
      <c r="AH625" s="405"/>
      <c r="AI625" s="405"/>
      <c r="AJ625" s="405"/>
      <c r="AK625" s="405"/>
      <c r="AL625" s="405"/>
      <c r="AM625" s="406"/>
      <c r="AN625" s="406"/>
      <c r="AO625" s="406"/>
      <c r="AP625" s="406"/>
      <c r="AQ625" s="403"/>
      <c r="AR625" s="403"/>
      <c r="AS625" s="403"/>
      <c r="AT625" s="403"/>
      <c r="AU625" s="403"/>
      <c r="AV625" s="403"/>
      <c r="AW625" s="403"/>
      <c r="AX625" s="403"/>
      <c r="AY625" s="403"/>
    </row>
    <row r="626">
      <c r="A626" s="415"/>
      <c r="B626" s="415"/>
      <c r="C626" s="410"/>
      <c r="D626" s="429"/>
      <c r="E626" s="416"/>
      <c r="F626" s="413"/>
      <c r="G626" s="413"/>
      <c r="H626" s="415"/>
      <c r="I626" s="415"/>
      <c r="J626" s="415"/>
      <c r="K626" s="415"/>
      <c r="L626" s="417"/>
      <c r="M626" s="403"/>
      <c r="N626" s="403"/>
      <c r="O626" s="403"/>
      <c r="P626" s="403"/>
      <c r="Q626" s="403"/>
      <c r="R626" s="403"/>
      <c r="S626" s="403"/>
      <c r="T626" s="403"/>
      <c r="U626" s="403"/>
      <c r="V626" s="403"/>
      <c r="W626" s="404"/>
      <c r="X626" s="405"/>
      <c r="Y626" s="405"/>
      <c r="Z626" s="405"/>
      <c r="AA626" s="405"/>
      <c r="AB626" s="405"/>
      <c r="AC626" s="405"/>
      <c r="AD626" s="405"/>
      <c r="AE626" s="405"/>
      <c r="AF626" s="405"/>
      <c r="AG626" s="405"/>
      <c r="AH626" s="405"/>
      <c r="AI626" s="405"/>
      <c r="AJ626" s="405"/>
      <c r="AK626" s="405"/>
      <c r="AL626" s="405"/>
      <c r="AM626" s="406"/>
      <c r="AN626" s="406"/>
      <c r="AO626" s="406"/>
      <c r="AP626" s="406"/>
      <c r="AQ626" s="403"/>
      <c r="AR626" s="403"/>
      <c r="AS626" s="403"/>
      <c r="AT626" s="403"/>
      <c r="AU626" s="403"/>
      <c r="AV626" s="403"/>
      <c r="AW626" s="403"/>
      <c r="AX626" s="403"/>
      <c r="AY626" s="403"/>
    </row>
    <row r="627">
      <c r="A627" s="415"/>
      <c r="B627" s="415"/>
      <c r="C627" s="410"/>
      <c r="D627" s="429"/>
      <c r="E627" s="416"/>
      <c r="F627" s="413"/>
      <c r="G627" s="413"/>
      <c r="H627" s="415"/>
      <c r="I627" s="415"/>
      <c r="J627" s="415"/>
      <c r="K627" s="415"/>
      <c r="L627" s="417"/>
      <c r="M627" s="403"/>
      <c r="N627" s="403"/>
      <c r="O627" s="403"/>
      <c r="P627" s="403"/>
      <c r="Q627" s="403"/>
      <c r="R627" s="403"/>
      <c r="S627" s="403"/>
      <c r="T627" s="403"/>
      <c r="U627" s="403"/>
      <c r="V627" s="403"/>
      <c r="W627" s="404"/>
      <c r="X627" s="405"/>
      <c r="Y627" s="405"/>
      <c r="Z627" s="405"/>
      <c r="AA627" s="405"/>
      <c r="AB627" s="405"/>
      <c r="AC627" s="405"/>
      <c r="AD627" s="405"/>
      <c r="AE627" s="405"/>
      <c r="AF627" s="405"/>
      <c r="AG627" s="405"/>
      <c r="AH627" s="405"/>
      <c r="AI627" s="405"/>
      <c r="AJ627" s="405"/>
      <c r="AK627" s="405"/>
      <c r="AL627" s="405"/>
      <c r="AM627" s="406"/>
      <c r="AN627" s="406"/>
      <c r="AO627" s="406"/>
      <c r="AP627" s="406"/>
      <c r="AQ627" s="403"/>
      <c r="AR627" s="403"/>
      <c r="AS627" s="403"/>
      <c r="AT627" s="403"/>
      <c r="AU627" s="403"/>
      <c r="AV627" s="403"/>
      <c r="AW627" s="403"/>
      <c r="AX627" s="403"/>
      <c r="AY627" s="403"/>
    </row>
    <row r="628">
      <c r="A628" s="415"/>
      <c r="B628" s="415"/>
      <c r="C628" s="410"/>
      <c r="D628" s="429"/>
      <c r="E628" s="416"/>
      <c r="F628" s="413"/>
      <c r="G628" s="413"/>
      <c r="H628" s="415"/>
      <c r="I628" s="415"/>
      <c r="J628" s="415"/>
      <c r="K628" s="415"/>
      <c r="L628" s="417"/>
      <c r="M628" s="403"/>
      <c r="N628" s="403"/>
      <c r="O628" s="403"/>
      <c r="P628" s="403"/>
      <c r="Q628" s="403"/>
      <c r="R628" s="403"/>
      <c r="S628" s="403"/>
      <c r="T628" s="403"/>
      <c r="U628" s="403"/>
      <c r="V628" s="403"/>
      <c r="W628" s="404"/>
      <c r="X628" s="405"/>
      <c r="Y628" s="405"/>
      <c r="Z628" s="405"/>
      <c r="AA628" s="405"/>
      <c r="AB628" s="405"/>
      <c r="AC628" s="405"/>
      <c r="AD628" s="405"/>
      <c r="AE628" s="405"/>
      <c r="AF628" s="405"/>
      <c r="AG628" s="405"/>
      <c r="AH628" s="405"/>
      <c r="AI628" s="405"/>
      <c r="AJ628" s="405"/>
      <c r="AK628" s="405"/>
      <c r="AL628" s="405"/>
      <c r="AM628" s="406"/>
      <c r="AN628" s="406"/>
      <c r="AO628" s="406"/>
      <c r="AP628" s="406"/>
      <c r="AQ628" s="403"/>
      <c r="AR628" s="403"/>
      <c r="AS628" s="403"/>
      <c r="AT628" s="403"/>
      <c r="AU628" s="403"/>
      <c r="AV628" s="403"/>
      <c r="AW628" s="403"/>
      <c r="AX628" s="403"/>
      <c r="AY628" s="403"/>
    </row>
    <row r="629">
      <c r="A629" s="415"/>
      <c r="B629" s="415"/>
      <c r="C629" s="410"/>
      <c r="D629" s="429"/>
      <c r="E629" s="416"/>
      <c r="F629" s="413"/>
      <c r="G629" s="413"/>
      <c r="H629" s="415"/>
      <c r="I629" s="415"/>
      <c r="J629" s="415"/>
      <c r="K629" s="415"/>
      <c r="L629" s="417"/>
      <c r="M629" s="403"/>
      <c r="N629" s="403"/>
      <c r="O629" s="403"/>
      <c r="P629" s="403"/>
      <c r="Q629" s="403"/>
      <c r="R629" s="403"/>
      <c r="S629" s="403"/>
      <c r="T629" s="403"/>
      <c r="U629" s="403"/>
      <c r="V629" s="403"/>
      <c r="W629" s="404"/>
      <c r="X629" s="405"/>
      <c r="Y629" s="405"/>
      <c r="Z629" s="405"/>
      <c r="AA629" s="405"/>
      <c r="AB629" s="405"/>
      <c r="AC629" s="405"/>
      <c r="AD629" s="405"/>
      <c r="AE629" s="405"/>
      <c r="AF629" s="405"/>
      <c r="AG629" s="405"/>
      <c r="AH629" s="405"/>
      <c r="AI629" s="405"/>
      <c r="AJ629" s="405"/>
      <c r="AK629" s="405"/>
      <c r="AL629" s="405"/>
      <c r="AM629" s="406"/>
      <c r="AN629" s="406"/>
      <c r="AO629" s="406"/>
      <c r="AP629" s="406"/>
      <c r="AQ629" s="403"/>
      <c r="AR629" s="403"/>
      <c r="AS629" s="403"/>
      <c r="AT629" s="403"/>
      <c r="AU629" s="403"/>
      <c r="AV629" s="403"/>
      <c r="AW629" s="403"/>
      <c r="AX629" s="403"/>
      <c r="AY629" s="403"/>
    </row>
    <row r="630">
      <c r="A630" s="415"/>
      <c r="B630" s="415"/>
      <c r="C630" s="410"/>
      <c r="D630" s="429"/>
      <c r="E630" s="416"/>
      <c r="F630" s="413"/>
      <c r="G630" s="413"/>
      <c r="H630" s="415"/>
      <c r="I630" s="415"/>
      <c r="J630" s="415"/>
      <c r="K630" s="415"/>
      <c r="L630" s="417"/>
      <c r="M630" s="403"/>
      <c r="N630" s="403"/>
      <c r="O630" s="403"/>
      <c r="P630" s="403"/>
      <c r="Q630" s="403"/>
      <c r="R630" s="403"/>
      <c r="S630" s="403"/>
      <c r="T630" s="403"/>
      <c r="U630" s="403"/>
      <c r="V630" s="403"/>
      <c r="W630" s="404"/>
      <c r="X630" s="405"/>
      <c r="Y630" s="405"/>
      <c r="Z630" s="405"/>
      <c r="AA630" s="405"/>
      <c r="AB630" s="405"/>
      <c r="AC630" s="405"/>
      <c r="AD630" s="405"/>
      <c r="AE630" s="405"/>
      <c r="AF630" s="405"/>
      <c r="AG630" s="405"/>
      <c r="AH630" s="405"/>
      <c r="AI630" s="405"/>
      <c r="AJ630" s="405"/>
      <c r="AK630" s="405"/>
      <c r="AL630" s="405"/>
      <c r="AM630" s="406"/>
      <c r="AN630" s="406"/>
      <c r="AO630" s="406"/>
      <c r="AP630" s="406"/>
      <c r="AQ630" s="403"/>
      <c r="AR630" s="403"/>
      <c r="AS630" s="403"/>
      <c r="AT630" s="403"/>
      <c r="AU630" s="403"/>
      <c r="AV630" s="403"/>
      <c r="AW630" s="403"/>
      <c r="AX630" s="403"/>
      <c r="AY630" s="403"/>
    </row>
    <row r="631">
      <c r="A631" s="415"/>
      <c r="B631" s="415"/>
      <c r="C631" s="410"/>
      <c r="D631" s="429"/>
      <c r="E631" s="416"/>
      <c r="F631" s="413"/>
      <c r="G631" s="413"/>
      <c r="H631" s="415"/>
      <c r="I631" s="415"/>
      <c r="J631" s="415"/>
      <c r="K631" s="415"/>
      <c r="L631" s="417"/>
      <c r="M631" s="403"/>
      <c r="N631" s="403"/>
      <c r="O631" s="403"/>
      <c r="P631" s="403"/>
      <c r="Q631" s="403"/>
      <c r="R631" s="403"/>
      <c r="S631" s="403"/>
      <c r="T631" s="403"/>
      <c r="U631" s="403"/>
      <c r="V631" s="403"/>
      <c r="W631" s="404"/>
      <c r="X631" s="405"/>
      <c r="Y631" s="405"/>
      <c r="Z631" s="405"/>
      <c r="AA631" s="405"/>
      <c r="AB631" s="405"/>
      <c r="AC631" s="405"/>
      <c r="AD631" s="405"/>
      <c r="AE631" s="405"/>
      <c r="AF631" s="405"/>
      <c r="AG631" s="405"/>
      <c r="AH631" s="405"/>
      <c r="AI631" s="405"/>
      <c r="AJ631" s="405"/>
      <c r="AK631" s="405"/>
      <c r="AL631" s="405"/>
      <c r="AM631" s="406"/>
      <c r="AN631" s="406"/>
      <c r="AO631" s="406"/>
      <c r="AP631" s="406"/>
      <c r="AQ631" s="403"/>
      <c r="AR631" s="403"/>
      <c r="AS631" s="403"/>
      <c r="AT631" s="403"/>
      <c r="AU631" s="403"/>
      <c r="AV631" s="403"/>
      <c r="AW631" s="403"/>
      <c r="AX631" s="403"/>
      <c r="AY631" s="403"/>
    </row>
    <row r="632">
      <c r="A632" s="415"/>
      <c r="B632" s="415"/>
      <c r="C632" s="410"/>
      <c r="D632" s="429"/>
      <c r="E632" s="416"/>
      <c r="F632" s="413"/>
      <c r="G632" s="413"/>
      <c r="H632" s="415"/>
      <c r="I632" s="415"/>
      <c r="J632" s="415"/>
      <c r="K632" s="415"/>
      <c r="L632" s="417"/>
      <c r="M632" s="403"/>
      <c r="N632" s="403"/>
      <c r="O632" s="403"/>
      <c r="P632" s="403"/>
      <c r="Q632" s="403"/>
      <c r="R632" s="403"/>
      <c r="S632" s="403"/>
      <c r="T632" s="403"/>
      <c r="U632" s="403"/>
      <c r="V632" s="403"/>
      <c r="W632" s="404"/>
      <c r="X632" s="405"/>
      <c r="Y632" s="405"/>
      <c r="Z632" s="405"/>
      <c r="AA632" s="405"/>
      <c r="AB632" s="405"/>
      <c r="AC632" s="405"/>
      <c r="AD632" s="405"/>
      <c r="AE632" s="405"/>
      <c r="AF632" s="405"/>
      <c r="AG632" s="405"/>
      <c r="AH632" s="405"/>
      <c r="AI632" s="405"/>
      <c r="AJ632" s="405"/>
      <c r="AK632" s="405"/>
      <c r="AL632" s="405"/>
      <c r="AM632" s="406"/>
      <c r="AN632" s="406"/>
      <c r="AO632" s="406"/>
      <c r="AP632" s="406"/>
      <c r="AQ632" s="403"/>
      <c r="AR632" s="403"/>
      <c r="AS632" s="403"/>
      <c r="AT632" s="403"/>
      <c r="AU632" s="403"/>
      <c r="AV632" s="403"/>
      <c r="AW632" s="403"/>
      <c r="AX632" s="403"/>
      <c r="AY632" s="403"/>
    </row>
    <row r="633">
      <c r="A633" s="415"/>
      <c r="B633" s="415"/>
      <c r="C633" s="410"/>
      <c r="D633" s="429"/>
      <c r="E633" s="416"/>
      <c r="F633" s="413"/>
      <c r="G633" s="413"/>
      <c r="H633" s="415"/>
      <c r="I633" s="415"/>
      <c r="J633" s="415"/>
      <c r="K633" s="415"/>
      <c r="L633" s="417"/>
      <c r="M633" s="403"/>
      <c r="N633" s="403"/>
      <c r="O633" s="403"/>
      <c r="P633" s="403"/>
      <c r="Q633" s="403"/>
      <c r="R633" s="403"/>
      <c r="S633" s="403"/>
      <c r="T633" s="403"/>
      <c r="U633" s="403"/>
      <c r="V633" s="403"/>
      <c r="W633" s="404"/>
      <c r="X633" s="405"/>
      <c r="Y633" s="405"/>
      <c r="Z633" s="405"/>
      <c r="AA633" s="405"/>
      <c r="AB633" s="405"/>
      <c r="AC633" s="405"/>
      <c r="AD633" s="405"/>
      <c r="AE633" s="405"/>
      <c r="AF633" s="405"/>
      <c r="AG633" s="405"/>
      <c r="AH633" s="405"/>
      <c r="AI633" s="405"/>
      <c r="AJ633" s="405"/>
      <c r="AK633" s="405"/>
      <c r="AL633" s="405"/>
      <c r="AM633" s="406"/>
      <c r="AN633" s="406"/>
      <c r="AO633" s="406"/>
      <c r="AP633" s="406"/>
      <c r="AQ633" s="403"/>
      <c r="AR633" s="403"/>
      <c r="AS633" s="403"/>
      <c r="AT633" s="403"/>
      <c r="AU633" s="403"/>
      <c r="AV633" s="403"/>
      <c r="AW633" s="403"/>
      <c r="AX633" s="403"/>
      <c r="AY633" s="403"/>
    </row>
    <row r="634">
      <c r="A634" s="415"/>
      <c r="B634" s="415"/>
      <c r="C634" s="410"/>
      <c r="D634" s="429"/>
      <c r="E634" s="416"/>
      <c r="F634" s="413"/>
      <c r="G634" s="413"/>
      <c r="H634" s="415"/>
      <c r="I634" s="415"/>
      <c r="J634" s="415"/>
      <c r="K634" s="415"/>
      <c r="L634" s="417"/>
      <c r="M634" s="403"/>
      <c r="N634" s="403"/>
      <c r="O634" s="403"/>
      <c r="P634" s="403"/>
      <c r="Q634" s="403"/>
      <c r="R634" s="403"/>
      <c r="S634" s="403"/>
      <c r="T634" s="403"/>
      <c r="U634" s="403"/>
      <c r="V634" s="403"/>
      <c r="W634" s="404"/>
      <c r="X634" s="405"/>
      <c r="Y634" s="405"/>
      <c r="Z634" s="405"/>
      <c r="AA634" s="405"/>
      <c r="AB634" s="405"/>
      <c r="AC634" s="405"/>
      <c r="AD634" s="405"/>
      <c r="AE634" s="405"/>
      <c r="AF634" s="405"/>
      <c r="AG634" s="405"/>
      <c r="AH634" s="405"/>
      <c r="AI634" s="405"/>
      <c r="AJ634" s="405"/>
      <c r="AK634" s="405"/>
      <c r="AL634" s="405"/>
      <c r="AM634" s="406"/>
      <c r="AN634" s="406"/>
      <c r="AO634" s="406"/>
      <c r="AP634" s="406"/>
      <c r="AQ634" s="403"/>
      <c r="AR634" s="403"/>
      <c r="AS634" s="403"/>
      <c r="AT634" s="403"/>
      <c r="AU634" s="403"/>
      <c r="AV634" s="403"/>
      <c r="AW634" s="403"/>
      <c r="AX634" s="403"/>
      <c r="AY634" s="403"/>
    </row>
    <row r="635">
      <c r="A635" s="415"/>
      <c r="B635" s="415"/>
      <c r="C635" s="410"/>
      <c r="D635" s="429"/>
      <c r="E635" s="416"/>
      <c r="F635" s="413"/>
      <c r="G635" s="413"/>
      <c r="H635" s="415"/>
      <c r="I635" s="415"/>
      <c r="J635" s="415"/>
      <c r="K635" s="415"/>
      <c r="L635" s="417"/>
      <c r="M635" s="403"/>
      <c r="N635" s="403"/>
      <c r="O635" s="403"/>
      <c r="P635" s="403"/>
      <c r="Q635" s="403"/>
      <c r="R635" s="403"/>
      <c r="S635" s="403"/>
      <c r="T635" s="403"/>
      <c r="U635" s="403"/>
      <c r="V635" s="403"/>
      <c r="W635" s="404"/>
      <c r="X635" s="405"/>
      <c r="Y635" s="405"/>
      <c r="Z635" s="405"/>
      <c r="AA635" s="405"/>
      <c r="AB635" s="405"/>
      <c r="AC635" s="405"/>
      <c r="AD635" s="405"/>
      <c r="AE635" s="405"/>
      <c r="AF635" s="405"/>
      <c r="AG635" s="405"/>
      <c r="AH635" s="405"/>
      <c r="AI635" s="405"/>
      <c r="AJ635" s="405"/>
      <c r="AK635" s="405"/>
      <c r="AL635" s="405"/>
      <c r="AM635" s="406"/>
      <c r="AN635" s="406"/>
      <c r="AO635" s="406"/>
      <c r="AP635" s="406"/>
      <c r="AQ635" s="403"/>
      <c r="AR635" s="403"/>
      <c r="AS635" s="403"/>
      <c r="AT635" s="403"/>
      <c r="AU635" s="403"/>
      <c r="AV635" s="403"/>
      <c r="AW635" s="403"/>
      <c r="AX635" s="403"/>
      <c r="AY635" s="403"/>
    </row>
    <row r="636">
      <c r="A636" s="415"/>
      <c r="B636" s="415"/>
      <c r="C636" s="410"/>
      <c r="D636" s="429"/>
      <c r="E636" s="416"/>
      <c r="F636" s="413"/>
      <c r="G636" s="413"/>
      <c r="H636" s="415"/>
      <c r="I636" s="415"/>
      <c r="J636" s="415"/>
      <c r="K636" s="415"/>
      <c r="L636" s="417"/>
      <c r="M636" s="403"/>
      <c r="N636" s="403"/>
      <c r="O636" s="403"/>
      <c r="P636" s="403"/>
      <c r="Q636" s="403"/>
      <c r="R636" s="403"/>
      <c r="S636" s="403"/>
      <c r="T636" s="403"/>
      <c r="U636" s="403"/>
      <c r="V636" s="403"/>
      <c r="W636" s="404"/>
      <c r="X636" s="405"/>
      <c r="Y636" s="405"/>
      <c r="Z636" s="405"/>
      <c r="AA636" s="405"/>
      <c r="AB636" s="405"/>
      <c r="AC636" s="405"/>
      <c r="AD636" s="405"/>
      <c r="AE636" s="405"/>
      <c r="AF636" s="405"/>
      <c r="AG636" s="405"/>
      <c r="AH636" s="405"/>
      <c r="AI636" s="405"/>
      <c r="AJ636" s="405"/>
      <c r="AK636" s="405"/>
      <c r="AL636" s="405"/>
      <c r="AM636" s="406"/>
      <c r="AN636" s="406"/>
      <c r="AO636" s="406"/>
      <c r="AP636" s="406"/>
      <c r="AQ636" s="403"/>
      <c r="AR636" s="403"/>
      <c r="AS636" s="403"/>
      <c r="AT636" s="403"/>
      <c r="AU636" s="403"/>
      <c r="AV636" s="403"/>
      <c r="AW636" s="403"/>
      <c r="AX636" s="403"/>
      <c r="AY636" s="403"/>
    </row>
    <row r="637">
      <c r="A637" s="415"/>
      <c r="B637" s="415"/>
      <c r="C637" s="410"/>
      <c r="D637" s="429"/>
      <c r="E637" s="416"/>
      <c r="F637" s="413"/>
      <c r="G637" s="413"/>
      <c r="H637" s="415"/>
      <c r="I637" s="415"/>
      <c r="J637" s="415"/>
      <c r="K637" s="415"/>
      <c r="L637" s="417"/>
      <c r="M637" s="403"/>
      <c r="N637" s="403"/>
      <c r="O637" s="403"/>
      <c r="P637" s="403"/>
      <c r="Q637" s="403"/>
      <c r="R637" s="403"/>
      <c r="S637" s="403"/>
      <c r="T637" s="403"/>
      <c r="U637" s="403"/>
      <c r="V637" s="403"/>
      <c r="W637" s="404"/>
      <c r="X637" s="405"/>
      <c r="Y637" s="405"/>
      <c r="Z637" s="405"/>
      <c r="AA637" s="405"/>
      <c r="AB637" s="405"/>
      <c r="AC637" s="405"/>
      <c r="AD637" s="405"/>
      <c r="AE637" s="405"/>
      <c r="AF637" s="405"/>
      <c r="AG637" s="405"/>
      <c r="AH637" s="405"/>
      <c r="AI637" s="405"/>
      <c r="AJ637" s="405"/>
      <c r="AK637" s="405"/>
      <c r="AL637" s="405"/>
      <c r="AM637" s="406"/>
      <c r="AN637" s="406"/>
      <c r="AO637" s="406"/>
      <c r="AP637" s="406"/>
      <c r="AQ637" s="403"/>
      <c r="AR637" s="403"/>
      <c r="AS637" s="403"/>
      <c r="AT637" s="403"/>
      <c r="AU637" s="403"/>
      <c r="AV637" s="403"/>
      <c r="AW637" s="403"/>
      <c r="AX637" s="403"/>
      <c r="AY637" s="403"/>
    </row>
    <row r="638">
      <c r="A638" s="415"/>
      <c r="B638" s="415"/>
      <c r="C638" s="410"/>
      <c r="D638" s="429"/>
      <c r="E638" s="416"/>
      <c r="F638" s="413"/>
      <c r="G638" s="413"/>
      <c r="H638" s="415"/>
      <c r="I638" s="415"/>
      <c r="J638" s="415"/>
      <c r="K638" s="415"/>
      <c r="L638" s="417"/>
      <c r="M638" s="403"/>
      <c r="N638" s="403"/>
      <c r="O638" s="403"/>
      <c r="P638" s="403"/>
      <c r="Q638" s="403"/>
      <c r="R638" s="403"/>
      <c r="S638" s="403"/>
      <c r="T638" s="403"/>
      <c r="U638" s="403"/>
      <c r="V638" s="403"/>
      <c r="W638" s="404"/>
      <c r="X638" s="405"/>
      <c r="Y638" s="405"/>
      <c r="Z638" s="405"/>
      <c r="AA638" s="405"/>
      <c r="AB638" s="405"/>
      <c r="AC638" s="405"/>
      <c r="AD638" s="405"/>
      <c r="AE638" s="405"/>
      <c r="AF638" s="405"/>
      <c r="AG638" s="405"/>
      <c r="AH638" s="405"/>
      <c r="AI638" s="405"/>
      <c r="AJ638" s="405"/>
      <c r="AK638" s="405"/>
      <c r="AL638" s="405"/>
      <c r="AM638" s="406"/>
      <c r="AN638" s="406"/>
      <c r="AO638" s="406"/>
      <c r="AP638" s="406"/>
      <c r="AQ638" s="403"/>
      <c r="AR638" s="403"/>
      <c r="AS638" s="403"/>
      <c r="AT638" s="403"/>
      <c r="AU638" s="403"/>
      <c r="AV638" s="403"/>
      <c r="AW638" s="403"/>
      <c r="AX638" s="403"/>
      <c r="AY638" s="403"/>
    </row>
    <row r="639">
      <c r="A639" s="415"/>
      <c r="B639" s="415"/>
      <c r="C639" s="410"/>
      <c r="D639" s="429"/>
      <c r="E639" s="416"/>
      <c r="F639" s="413"/>
      <c r="G639" s="413"/>
      <c r="H639" s="415"/>
      <c r="I639" s="415"/>
      <c r="J639" s="415"/>
      <c r="K639" s="415"/>
      <c r="L639" s="417"/>
      <c r="M639" s="403"/>
      <c r="N639" s="403"/>
      <c r="O639" s="403"/>
      <c r="P639" s="403"/>
      <c r="Q639" s="403"/>
      <c r="R639" s="403"/>
      <c r="S639" s="403"/>
      <c r="T639" s="403"/>
      <c r="U639" s="403"/>
      <c r="V639" s="403"/>
      <c r="W639" s="404"/>
      <c r="X639" s="405"/>
      <c r="Y639" s="405"/>
      <c r="Z639" s="405"/>
      <c r="AA639" s="405"/>
      <c r="AB639" s="405"/>
      <c r="AC639" s="405"/>
      <c r="AD639" s="405"/>
      <c r="AE639" s="405"/>
      <c r="AF639" s="405"/>
      <c r="AG639" s="405"/>
      <c r="AH639" s="405"/>
      <c r="AI639" s="405"/>
      <c r="AJ639" s="405"/>
      <c r="AK639" s="405"/>
      <c r="AL639" s="405"/>
      <c r="AM639" s="406"/>
      <c r="AN639" s="406"/>
      <c r="AO639" s="406"/>
      <c r="AP639" s="406"/>
      <c r="AQ639" s="403"/>
      <c r="AR639" s="403"/>
      <c r="AS639" s="403"/>
      <c r="AT639" s="403"/>
      <c r="AU639" s="403"/>
      <c r="AV639" s="403"/>
      <c r="AW639" s="403"/>
      <c r="AX639" s="403"/>
      <c r="AY639" s="403"/>
    </row>
    <row r="640">
      <c r="A640" s="415"/>
      <c r="B640" s="415"/>
      <c r="C640" s="410"/>
      <c r="D640" s="429"/>
      <c r="E640" s="416"/>
      <c r="F640" s="413"/>
      <c r="G640" s="413"/>
      <c r="H640" s="415"/>
      <c r="I640" s="415"/>
      <c r="J640" s="415"/>
      <c r="K640" s="415"/>
      <c r="L640" s="417"/>
      <c r="M640" s="403"/>
      <c r="N640" s="403"/>
      <c r="O640" s="403"/>
      <c r="P640" s="403"/>
      <c r="Q640" s="403"/>
      <c r="R640" s="403"/>
      <c r="S640" s="403"/>
      <c r="T640" s="403"/>
      <c r="U640" s="403"/>
      <c r="V640" s="403"/>
      <c r="W640" s="404"/>
      <c r="X640" s="405"/>
      <c r="Y640" s="405"/>
      <c r="Z640" s="405"/>
      <c r="AA640" s="405"/>
      <c r="AB640" s="405"/>
      <c r="AC640" s="405"/>
      <c r="AD640" s="405"/>
      <c r="AE640" s="405"/>
      <c r="AF640" s="405"/>
      <c r="AG640" s="405"/>
      <c r="AH640" s="405"/>
      <c r="AI640" s="405"/>
      <c r="AJ640" s="405"/>
      <c r="AK640" s="405"/>
      <c r="AL640" s="405"/>
      <c r="AM640" s="406"/>
      <c r="AN640" s="406"/>
      <c r="AO640" s="406"/>
      <c r="AP640" s="406"/>
      <c r="AQ640" s="403"/>
      <c r="AR640" s="403"/>
      <c r="AS640" s="403"/>
      <c r="AT640" s="403"/>
      <c r="AU640" s="403"/>
      <c r="AV640" s="403"/>
      <c r="AW640" s="403"/>
      <c r="AX640" s="403"/>
      <c r="AY640" s="403"/>
    </row>
    <row r="641">
      <c r="A641" s="415"/>
      <c r="B641" s="415"/>
      <c r="C641" s="410"/>
      <c r="D641" s="429"/>
      <c r="E641" s="416"/>
      <c r="F641" s="413"/>
      <c r="G641" s="413"/>
      <c r="H641" s="415"/>
      <c r="I641" s="415"/>
      <c r="J641" s="415"/>
      <c r="K641" s="415"/>
      <c r="L641" s="417"/>
      <c r="M641" s="403"/>
      <c r="N641" s="403"/>
      <c r="O641" s="403"/>
      <c r="P641" s="403"/>
      <c r="Q641" s="403"/>
      <c r="R641" s="403"/>
      <c r="S641" s="403"/>
      <c r="T641" s="403"/>
      <c r="U641" s="403"/>
      <c r="V641" s="403"/>
      <c r="W641" s="404"/>
      <c r="X641" s="405"/>
      <c r="Y641" s="405"/>
      <c r="Z641" s="405"/>
      <c r="AA641" s="405"/>
      <c r="AB641" s="405"/>
      <c r="AC641" s="405"/>
      <c r="AD641" s="405"/>
      <c r="AE641" s="405"/>
      <c r="AF641" s="405"/>
      <c r="AG641" s="405"/>
      <c r="AH641" s="405"/>
      <c r="AI641" s="405"/>
      <c r="AJ641" s="405"/>
      <c r="AK641" s="405"/>
      <c r="AL641" s="405"/>
      <c r="AM641" s="406"/>
      <c r="AN641" s="406"/>
      <c r="AO641" s="406"/>
      <c r="AP641" s="406"/>
      <c r="AQ641" s="403"/>
      <c r="AR641" s="403"/>
      <c r="AS641" s="403"/>
      <c r="AT641" s="403"/>
      <c r="AU641" s="403"/>
      <c r="AV641" s="403"/>
      <c r="AW641" s="403"/>
      <c r="AX641" s="403"/>
      <c r="AY641" s="403"/>
    </row>
    <row r="642">
      <c r="A642" s="415"/>
      <c r="B642" s="415"/>
      <c r="C642" s="410"/>
      <c r="D642" s="429"/>
      <c r="E642" s="416"/>
      <c r="F642" s="413"/>
      <c r="G642" s="413"/>
      <c r="H642" s="415"/>
      <c r="I642" s="415"/>
      <c r="J642" s="415"/>
      <c r="K642" s="415"/>
      <c r="L642" s="417"/>
      <c r="M642" s="403"/>
      <c r="N642" s="403"/>
      <c r="O642" s="403"/>
      <c r="P642" s="403"/>
      <c r="Q642" s="403"/>
      <c r="R642" s="403"/>
      <c r="S642" s="403"/>
      <c r="T642" s="403"/>
      <c r="U642" s="403"/>
      <c r="V642" s="403"/>
      <c r="W642" s="404"/>
      <c r="X642" s="405"/>
      <c r="Y642" s="405"/>
      <c r="Z642" s="405"/>
      <c r="AA642" s="405"/>
      <c r="AB642" s="405"/>
      <c r="AC642" s="405"/>
      <c r="AD642" s="405"/>
      <c r="AE642" s="405"/>
      <c r="AF642" s="405"/>
      <c r="AG642" s="405"/>
      <c r="AH642" s="405"/>
      <c r="AI642" s="405"/>
      <c r="AJ642" s="405"/>
      <c r="AK642" s="405"/>
      <c r="AL642" s="405"/>
      <c r="AM642" s="406"/>
      <c r="AN642" s="406"/>
      <c r="AO642" s="406"/>
      <c r="AP642" s="406"/>
      <c r="AQ642" s="403"/>
      <c r="AR642" s="403"/>
      <c r="AS642" s="403"/>
      <c r="AT642" s="403"/>
      <c r="AU642" s="403"/>
      <c r="AV642" s="403"/>
      <c r="AW642" s="403"/>
      <c r="AX642" s="403"/>
      <c r="AY642" s="403"/>
    </row>
    <row r="643">
      <c r="A643" s="415"/>
      <c r="B643" s="415"/>
      <c r="C643" s="410"/>
      <c r="D643" s="429"/>
      <c r="E643" s="416"/>
      <c r="F643" s="413"/>
      <c r="G643" s="413"/>
      <c r="H643" s="415"/>
      <c r="I643" s="415"/>
      <c r="J643" s="415"/>
      <c r="K643" s="415"/>
      <c r="L643" s="417"/>
      <c r="M643" s="403"/>
      <c r="N643" s="403"/>
      <c r="O643" s="403"/>
      <c r="P643" s="403"/>
      <c r="Q643" s="403"/>
      <c r="R643" s="403"/>
      <c r="S643" s="403"/>
      <c r="T643" s="403"/>
      <c r="U643" s="403"/>
      <c r="V643" s="403"/>
      <c r="W643" s="404"/>
      <c r="X643" s="405"/>
      <c r="Y643" s="405"/>
      <c r="Z643" s="405"/>
      <c r="AA643" s="405"/>
      <c r="AB643" s="405"/>
      <c r="AC643" s="405"/>
      <c r="AD643" s="405"/>
      <c r="AE643" s="405"/>
      <c r="AF643" s="405"/>
      <c r="AG643" s="405"/>
      <c r="AH643" s="405"/>
      <c r="AI643" s="405"/>
      <c r="AJ643" s="405"/>
      <c r="AK643" s="405"/>
      <c r="AL643" s="405"/>
      <c r="AM643" s="406"/>
      <c r="AN643" s="406"/>
      <c r="AO643" s="406"/>
      <c r="AP643" s="406"/>
      <c r="AQ643" s="403"/>
      <c r="AR643" s="403"/>
      <c r="AS643" s="403"/>
      <c r="AT643" s="403"/>
      <c r="AU643" s="403"/>
      <c r="AV643" s="403"/>
      <c r="AW643" s="403"/>
      <c r="AX643" s="403"/>
      <c r="AY643" s="403"/>
    </row>
    <row r="644">
      <c r="A644" s="415"/>
      <c r="B644" s="415"/>
      <c r="C644" s="410"/>
      <c r="D644" s="429"/>
      <c r="E644" s="416"/>
      <c r="F644" s="413"/>
      <c r="G644" s="413"/>
      <c r="H644" s="415"/>
      <c r="I644" s="415"/>
      <c r="J644" s="415"/>
      <c r="K644" s="415"/>
      <c r="L644" s="417"/>
      <c r="M644" s="403"/>
      <c r="N644" s="403"/>
      <c r="O644" s="403"/>
      <c r="P644" s="403"/>
      <c r="Q644" s="403"/>
      <c r="R644" s="403"/>
      <c r="S644" s="403"/>
      <c r="T644" s="403"/>
      <c r="U644" s="403"/>
      <c r="V644" s="403"/>
      <c r="W644" s="404"/>
      <c r="X644" s="405"/>
      <c r="Y644" s="405"/>
      <c r="Z644" s="405"/>
      <c r="AA644" s="405"/>
      <c r="AB644" s="405"/>
      <c r="AC644" s="405"/>
      <c r="AD644" s="405"/>
      <c r="AE644" s="405"/>
      <c r="AF644" s="405"/>
      <c r="AG644" s="405"/>
      <c r="AH644" s="405"/>
      <c r="AI644" s="405"/>
      <c r="AJ644" s="405"/>
      <c r="AK644" s="405"/>
      <c r="AL644" s="405"/>
      <c r="AM644" s="406"/>
      <c r="AN644" s="406"/>
      <c r="AO644" s="406"/>
      <c r="AP644" s="406"/>
      <c r="AQ644" s="403"/>
      <c r="AR644" s="403"/>
      <c r="AS644" s="403"/>
      <c r="AT644" s="403"/>
      <c r="AU644" s="403"/>
      <c r="AV644" s="403"/>
      <c r="AW644" s="403"/>
      <c r="AX644" s="403"/>
      <c r="AY644" s="403"/>
    </row>
    <row r="645">
      <c r="A645" s="415"/>
      <c r="B645" s="415"/>
      <c r="C645" s="410"/>
      <c r="D645" s="429"/>
      <c r="E645" s="416"/>
      <c r="F645" s="413"/>
      <c r="G645" s="413"/>
      <c r="H645" s="415"/>
      <c r="I645" s="415"/>
      <c r="J645" s="415"/>
      <c r="K645" s="415"/>
      <c r="L645" s="417"/>
      <c r="M645" s="403"/>
      <c r="N645" s="403"/>
      <c r="O645" s="403"/>
      <c r="P645" s="403"/>
      <c r="Q645" s="403"/>
      <c r="R645" s="403"/>
      <c r="S645" s="403"/>
      <c r="T645" s="403"/>
      <c r="U645" s="403"/>
      <c r="V645" s="403"/>
      <c r="W645" s="404"/>
      <c r="X645" s="405"/>
      <c r="Y645" s="405"/>
      <c r="Z645" s="405"/>
      <c r="AA645" s="405"/>
      <c r="AB645" s="405"/>
      <c r="AC645" s="405"/>
      <c r="AD645" s="405"/>
      <c r="AE645" s="405"/>
      <c r="AF645" s="405"/>
      <c r="AG645" s="405"/>
      <c r="AH645" s="405"/>
      <c r="AI645" s="405"/>
      <c r="AJ645" s="405"/>
      <c r="AK645" s="405"/>
      <c r="AL645" s="405"/>
      <c r="AM645" s="406"/>
      <c r="AN645" s="406"/>
      <c r="AO645" s="406"/>
      <c r="AP645" s="406"/>
      <c r="AQ645" s="403"/>
      <c r="AR645" s="403"/>
      <c r="AS645" s="403"/>
      <c r="AT645" s="403"/>
      <c r="AU645" s="403"/>
      <c r="AV645" s="403"/>
      <c r="AW645" s="403"/>
      <c r="AX645" s="403"/>
      <c r="AY645" s="403"/>
    </row>
    <row r="646">
      <c r="A646" s="415"/>
      <c r="B646" s="415"/>
      <c r="C646" s="410"/>
      <c r="D646" s="429"/>
      <c r="E646" s="416"/>
      <c r="F646" s="413"/>
      <c r="G646" s="413"/>
      <c r="H646" s="415"/>
      <c r="I646" s="415"/>
      <c r="J646" s="415"/>
      <c r="K646" s="415"/>
      <c r="L646" s="417"/>
      <c r="M646" s="403"/>
      <c r="N646" s="403"/>
      <c r="O646" s="403"/>
      <c r="P646" s="403"/>
      <c r="Q646" s="403"/>
      <c r="R646" s="403"/>
      <c r="S646" s="403"/>
      <c r="T646" s="403"/>
      <c r="U646" s="403"/>
      <c r="V646" s="403"/>
      <c r="W646" s="404"/>
      <c r="X646" s="405"/>
      <c r="Y646" s="405"/>
      <c r="Z646" s="405"/>
      <c r="AA646" s="405"/>
      <c r="AB646" s="405"/>
      <c r="AC646" s="405"/>
      <c r="AD646" s="405"/>
      <c r="AE646" s="405"/>
      <c r="AF646" s="405"/>
      <c r="AG646" s="405"/>
      <c r="AH646" s="405"/>
      <c r="AI646" s="405"/>
      <c r="AJ646" s="405"/>
      <c r="AK646" s="405"/>
      <c r="AL646" s="405"/>
      <c r="AM646" s="406"/>
      <c r="AN646" s="406"/>
      <c r="AO646" s="406"/>
      <c r="AP646" s="406"/>
      <c r="AQ646" s="403"/>
      <c r="AR646" s="403"/>
      <c r="AS646" s="403"/>
      <c r="AT646" s="403"/>
      <c r="AU646" s="403"/>
      <c r="AV646" s="403"/>
      <c r="AW646" s="403"/>
      <c r="AX646" s="403"/>
      <c r="AY646" s="403"/>
    </row>
    <row r="647">
      <c r="A647" s="415"/>
      <c r="B647" s="415"/>
      <c r="C647" s="410"/>
      <c r="D647" s="429"/>
      <c r="E647" s="416"/>
      <c r="F647" s="413"/>
      <c r="G647" s="413"/>
      <c r="H647" s="415"/>
      <c r="I647" s="415"/>
      <c r="J647" s="415"/>
      <c r="K647" s="415"/>
      <c r="L647" s="417"/>
      <c r="M647" s="403"/>
      <c r="N647" s="403"/>
      <c r="O647" s="403"/>
      <c r="P647" s="403"/>
      <c r="Q647" s="403"/>
      <c r="R647" s="403"/>
      <c r="S647" s="403"/>
      <c r="T647" s="403"/>
      <c r="U647" s="403"/>
      <c r="V647" s="403"/>
      <c r="W647" s="404"/>
      <c r="X647" s="405"/>
      <c r="Y647" s="405"/>
      <c r="Z647" s="405"/>
      <c r="AA647" s="405"/>
      <c r="AB647" s="405"/>
      <c r="AC647" s="405"/>
      <c r="AD647" s="405"/>
      <c r="AE647" s="405"/>
      <c r="AF647" s="405"/>
      <c r="AG647" s="405"/>
      <c r="AH647" s="405"/>
      <c r="AI647" s="405"/>
      <c r="AJ647" s="405"/>
      <c r="AK647" s="405"/>
      <c r="AL647" s="405"/>
      <c r="AM647" s="406"/>
      <c r="AN647" s="406"/>
      <c r="AO647" s="406"/>
      <c r="AP647" s="406"/>
      <c r="AQ647" s="403"/>
      <c r="AR647" s="403"/>
      <c r="AS647" s="403"/>
      <c r="AT647" s="403"/>
      <c r="AU647" s="403"/>
      <c r="AV647" s="403"/>
      <c r="AW647" s="403"/>
      <c r="AX647" s="403"/>
      <c r="AY647" s="403"/>
    </row>
    <row r="648">
      <c r="A648" s="415"/>
      <c r="B648" s="415"/>
      <c r="C648" s="410"/>
      <c r="D648" s="429"/>
      <c r="E648" s="416"/>
      <c r="F648" s="413"/>
      <c r="G648" s="413"/>
      <c r="H648" s="415"/>
      <c r="I648" s="415"/>
      <c r="J648" s="415"/>
      <c r="K648" s="415"/>
      <c r="L648" s="417"/>
      <c r="M648" s="403"/>
      <c r="N648" s="403"/>
      <c r="O648" s="403"/>
      <c r="P648" s="403"/>
      <c r="Q648" s="403"/>
      <c r="R648" s="403"/>
      <c r="S648" s="403"/>
      <c r="T648" s="403"/>
      <c r="U648" s="403"/>
      <c r="V648" s="403"/>
      <c r="W648" s="404"/>
      <c r="X648" s="405"/>
      <c r="Y648" s="405"/>
      <c r="Z648" s="405"/>
      <c r="AA648" s="405"/>
      <c r="AB648" s="405"/>
      <c r="AC648" s="405"/>
      <c r="AD648" s="405"/>
      <c r="AE648" s="405"/>
      <c r="AF648" s="405"/>
      <c r="AG648" s="405"/>
      <c r="AH648" s="405"/>
      <c r="AI648" s="405"/>
      <c r="AJ648" s="405"/>
      <c r="AK648" s="405"/>
      <c r="AL648" s="405"/>
      <c r="AM648" s="406"/>
      <c r="AN648" s="406"/>
      <c r="AO648" s="406"/>
      <c r="AP648" s="406"/>
      <c r="AQ648" s="403"/>
      <c r="AR648" s="403"/>
      <c r="AS648" s="403"/>
      <c r="AT648" s="403"/>
      <c r="AU648" s="403"/>
      <c r="AV648" s="403"/>
      <c r="AW648" s="403"/>
      <c r="AX648" s="403"/>
      <c r="AY648" s="403"/>
    </row>
    <row r="649">
      <c r="A649" s="415"/>
      <c r="B649" s="415"/>
      <c r="C649" s="410"/>
      <c r="D649" s="429"/>
      <c r="E649" s="416"/>
      <c r="F649" s="413"/>
      <c r="G649" s="413"/>
      <c r="H649" s="415"/>
      <c r="I649" s="415"/>
      <c r="J649" s="415"/>
      <c r="K649" s="415"/>
      <c r="L649" s="417"/>
      <c r="M649" s="403"/>
      <c r="N649" s="403"/>
      <c r="O649" s="403"/>
      <c r="P649" s="403"/>
      <c r="Q649" s="403"/>
      <c r="R649" s="403"/>
      <c r="S649" s="403"/>
      <c r="T649" s="403"/>
      <c r="U649" s="403"/>
      <c r="V649" s="403"/>
      <c r="W649" s="404"/>
      <c r="X649" s="405"/>
      <c r="Y649" s="405"/>
      <c r="Z649" s="405"/>
      <c r="AA649" s="405"/>
      <c r="AB649" s="405"/>
      <c r="AC649" s="405"/>
      <c r="AD649" s="405"/>
      <c r="AE649" s="405"/>
      <c r="AF649" s="405"/>
      <c r="AG649" s="405"/>
      <c r="AH649" s="405"/>
      <c r="AI649" s="405"/>
      <c r="AJ649" s="405"/>
      <c r="AK649" s="405"/>
      <c r="AL649" s="405"/>
      <c r="AM649" s="406"/>
      <c r="AN649" s="406"/>
      <c r="AO649" s="406"/>
      <c r="AP649" s="406"/>
      <c r="AQ649" s="403"/>
      <c r="AR649" s="403"/>
      <c r="AS649" s="403"/>
      <c r="AT649" s="403"/>
      <c r="AU649" s="403"/>
      <c r="AV649" s="403"/>
      <c r="AW649" s="403"/>
      <c r="AX649" s="403"/>
      <c r="AY649" s="403"/>
    </row>
    <row r="650">
      <c r="A650" s="415"/>
      <c r="B650" s="415"/>
      <c r="C650" s="410"/>
      <c r="D650" s="429"/>
      <c r="E650" s="416"/>
      <c r="F650" s="413"/>
      <c r="G650" s="413"/>
      <c r="H650" s="415"/>
      <c r="I650" s="415"/>
      <c r="J650" s="415"/>
      <c r="K650" s="415"/>
      <c r="L650" s="417"/>
      <c r="M650" s="403"/>
      <c r="N650" s="403"/>
      <c r="O650" s="403"/>
      <c r="P650" s="403"/>
      <c r="Q650" s="403"/>
      <c r="R650" s="403"/>
      <c r="S650" s="403"/>
      <c r="T650" s="403"/>
      <c r="U650" s="403"/>
      <c r="V650" s="403"/>
      <c r="W650" s="404"/>
      <c r="X650" s="405"/>
      <c r="Y650" s="405"/>
      <c r="Z650" s="405"/>
      <c r="AA650" s="405"/>
      <c r="AB650" s="405"/>
      <c r="AC650" s="405"/>
      <c r="AD650" s="405"/>
      <c r="AE650" s="405"/>
      <c r="AF650" s="405"/>
      <c r="AG650" s="405"/>
      <c r="AH650" s="405"/>
      <c r="AI650" s="405"/>
      <c r="AJ650" s="405"/>
      <c r="AK650" s="405"/>
      <c r="AL650" s="405"/>
      <c r="AM650" s="406"/>
      <c r="AN650" s="406"/>
      <c r="AO650" s="406"/>
      <c r="AP650" s="406"/>
      <c r="AQ650" s="403"/>
      <c r="AR650" s="403"/>
      <c r="AS650" s="403"/>
      <c r="AT650" s="403"/>
      <c r="AU650" s="403"/>
      <c r="AV650" s="403"/>
      <c r="AW650" s="403"/>
      <c r="AX650" s="403"/>
      <c r="AY650" s="403"/>
    </row>
    <row r="651">
      <c r="A651" s="415"/>
      <c r="B651" s="415"/>
      <c r="C651" s="410"/>
      <c r="D651" s="429"/>
      <c r="E651" s="416"/>
      <c r="F651" s="413"/>
      <c r="G651" s="413"/>
      <c r="H651" s="415"/>
      <c r="I651" s="415"/>
      <c r="J651" s="415"/>
      <c r="K651" s="415"/>
      <c r="L651" s="417"/>
      <c r="M651" s="403"/>
      <c r="N651" s="403"/>
      <c r="O651" s="403"/>
      <c r="P651" s="403"/>
      <c r="Q651" s="403"/>
      <c r="R651" s="403"/>
      <c r="S651" s="403"/>
      <c r="T651" s="403"/>
      <c r="U651" s="403"/>
      <c r="V651" s="403"/>
      <c r="W651" s="404"/>
      <c r="X651" s="405"/>
      <c r="Y651" s="405"/>
      <c r="Z651" s="405"/>
      <c r="AA651" s="405"/>
      <c r="AB651" s="405"/>
      <c r="AC651" s="405"/>
      <c r="AD651" s="405"/>
      <c r="AE651" s="405"/>
      <c r="AF651" s="405"/>
      <c r="AG651" s="405"/>
      <c r="AH651" s="405"/>
      <c r="AI651" s="405"/>
      <c r="AJ651" s="405"/>
      <c r="AK651" s="405"/>
      <c r="AL651" s="405"/>
      <c r="AM651" s="406"/>
      <c r="AN651" s="406"/>
      <c r="AO651" s="406"/>
      <c r="AP651" s="406"/>
      <c r="AQ651" s="403"/>
      <c r="AR651" s="403"/>
      <c r="AS651" s="403"/>
      <c r="AT651" s="403"/>
      <c r="AU651" s="403"/>
      <c r="AV651" s="403"/>
      <c r="AW651" s="403"/>
      <c r="AX651" s="403"/>
      <c r="AY651" s="403"/>
    </row>
    <row r="652">
      <c r="A652" s="415"/>
      <c r="B652" s="415"/>
      <c r="C652" s="410"/>
      <c r="D652" s="429"/>
      <c r="E652" s="416"/>
      <c r="F652" s="413"/>
      <c r="G652" s="413"/>
      <c r="H652" s="415"/>
      <c r="I652" s="415"/>
      <c r="J652" s="415"/>
      <c r="K652" s="415"/>
      <c r="L652" s="417"/>
      <c r="M652" s="403"/>
      <c r="N652" s="403"/>
      <c r="O652" s="403"/>
      <c r="P652" s="403"/>
      <c r="Q652" s="403"/>
      <c r="R652" s="403"/>
      <c r="S652" s="403"/>
      <c r="T652" s="403"/>
      <c r="U652" s="403"/>
      <c r="V652" s="403"/>
      <c r="W652" s="404"/>
      <c r="X652" s="405"/>
      <c r="Y652" s="405"/>
      <c r="Z652" s="405"/>
      <c r="AA652" s="405"/>
      <c r="AB652" s="405"/>
      <c r="AC652" s="405"/>
      <c r="AD652" s="405"/>
      <c r="AE652" s="405"/>
      <c r="AF652" s="405"/>
      <c r="AG652" s="405"/>
      <c r="AH652" s="405"/>
      <c r="AI652" s="405"/>
      <c r="AJ652" s="405"/>
      <c r="AK652" s="405"/>
      <c r="AL652" s="405"/>
      <c r="AM652" s="406"/>
      <c r="AN652" s="406"/>
      <c r="AO652" s="406"/>
      <c r="AP652" s="406"/>
      <c r="AQ652" s="403"/>
      <c r="AR652" s="403"/>
      <c r="AS652" s="403"/>
      <c r="AT652" s="403"/>
      <c r="AU652" s="403"/>
      <c r="AV652" s="403"/>
      <c r="AW652" s="403"/>
      <c r="AX652" s="403"/>
      <c r="AY652" s="403"/>
    </row>
    <row r="653">
      <c r="A653" s="415"/>
      <c r="B653" s="415"/>
      <c r="C653" s="410"/>
      <c r="D653" s="429"/>
      <c r="E653" s="416"/>
      <c r="F653" s="413"/>
      <c r="G653" s="413"/>
      <c r="H653" s="415"/>
      <c r="I653" s="415"/>
      <c r="J653" s="415"/>
      <c r="K653" s="415"/>
      <c r="L653" s="417"/>
      <c r="M653" s="403"/>
      <c r="N653" s="403"/>
      <c r="O653" s="403"/>
      <c r="P653" s="403"/>
      <c r="Q653" s="403"/>
      <c r="R653" s="403"/>
      <c r="S653" s="403"/>
      <c r="T653" s="403"/>
      <c r="U653" s="403"/>
      <c r="V653" s="403"/>
      <c r="W653" s="404"/>
      <c r="X653" s="405"/>
      <c r="Y653" s="405"/>
      <c r="Z653" s="405"/>
      <c r="AA653" s="405"/>
      <c r="AB653" s="405"/>
      <c r="AC653" s="405"/>
      <c r="AD653" s="405"/>
      <c r="AE653" s="405"/>
      <c r="AF653" s="405"/>
      <c r="AG653" s="405"/>
      <c r="AH653" s="405"/>
      <c r="AI653" s="405"/>
      <c r="AJ653" s="405"/>
      <c r="AK653" s="405"/>
      <c r="AL653" s="405"/>
      <c r="AM653" s="406"/>
      <c r="AN653" s="406"/>
      <c r="AO653" s="406"/>
      <c r="AP653" s="406"/>
      <c r="AQ653" s="403"/>
      <c r="AR653" s="403"/>
      <c r="AS653" s="403"/>
      <c r="AT653" s="403"/>
      <c r="AU653" s="403"/>
      <c r="AV653" s="403"/>
      <c r="AW653" s="403"/>
      <c r="AX653" s="403"/>
      <c r="AY653" s="403"/>
    </row>
    <row r="654">
      <c r="A654" s="415"/>
      <c r="B654" s="415"/>
      <c r="C654" s="410"/>
      <c r="D654" s="429"/>
      <c r="E654" s="416"/>
      <c r="F654" s="413"/>
      <c r="G654" s="413"/>
      <c r="H654" s="415"/>
      <c r="I654" s="415"/>
      <c r="J654" s="415"/>
      <c r="K654" s="415"/>
      <c r="L654" s="417"/>
      <c r="M654" s="403"/>
      <c r="N654" s="403"/>
      <c r="O654" s="403"/>
      <c r="P654" s="403"/>
      <c r="Q654" s="403"/>
      <c r="R654" s="403"/>
      <c r="S654" s="403"/>
      <c r="T654" s="403"/>
      <c r="U654" s="403"/>
      <c r="V654" s="403"/>
      <c r="W654" s="404"/>
      <c r="X654" s="405"/>
      <c r="Y654" s="405"/>
      <c r="Z654" s="405"/>
      <c r="AA654" s="405"/>
      <c r="AB654" s="405"/>
      <c r="AC654" s="405"/>
      <c r="AD654" s="405"/>
      <c r="AE654" s="405"/>
      <c r="AF654" s="405"/>
      <c r="AG654" s="405"/>
      <c r="AH654" s="405"/>
      <c r="AI654" s="405"/>
      <c r="AJ654" s="405"/>
      <c r="AK654" s="405"/>
      <c r="AL654" s="405"/>
      <c r="AM654" s="406"/>
      <c r="AN654" s="406"/>
      <c r="AO654" s="406"/>
      <c r="AP654" s="406"/>
      <c r="AQ654" s="403"/>
      <c r="AR654" s="403"/>
      <c r="AS654" s="403"/>
      <c r="AT654" s="403"/>
      <c r="AU654" s="403"/>
      <c r="AV654" s="403"/>
      <c r="AW654" s="403"/>
      <c r="AX654" s="403"/>
      <c r="AY654" s="403"/>
    </row>
    <row r="655">
      <c r="A655" s="415"/>
      <c r="B655" s="415"/>
      <c r="C655" s="410"/>
      <c r="D655" s="429"/>
      <c r="E655" s="416"/>
      <c r="F655" s="413"/>
      <c r="G655" s="413"/>
      <c r="H655" s="415"/>
      <c r="I655" s="415"/>
      <c r="J655" s="415"/>
      <c r="K655" s="415"/>
      <c r="L655" s="417"/>
      <c r="M655" s="403"/>
      <c r="N655" s="403"/>
      <c r="O655" s="403"/>
      <c r="P655" s="403"/>
      <c r="Q655" s="403"/>
      <c r="R655" s="403"/>
      <c r="S655" s="403"/>
      <c r="T655" s="403"/>
      <c r="U655" s="403"/>
      <c r="V655" s="403"/>
      <c r="W655" s="404"/>
      <c r="X655" s="405"/>
      <c r="Y655" s="405"/>
      <c r="Z655" s="405"/>
      <c r="AA655" s="405"/>
      <c r="AB655" s="405"/>
      <c r="AC655" s="405"/>
      <c r="AD655" s="405"/>
      <c r="AE655" s="405"/>
      <c r="AF655" s="405"/>
      <c r="AG655" s="405"/>
      <c r="AH655" s="405"/>
      <c r="AI655" s="405"/>
      <c r="AJ655" s="405"/>
      <c r="AK655" s="405"/>
      <c r="AL655" s="405"/>
      <c r="AM655" s="406"/>
      <c r="AN655" s="406"/>
      <c r="AO655" s="406"/>
      <c r="AP655" s="406"/>
      <c r="AQ655" s="403"/>
      <c r="AR655" s="403"/>
      <c r="AS655" s="403"/>
      <c r="AT655" s="403"/>
      <c r="AU655" s="403"/>
      <c r="AV655" s="403"/>
      <c r="AW655" s="403"/>
      <c r="AX655" s="403"/>
      <c r="AY655" s="403"/>
    </row>
    <row r="656">
      <c r="A656" s="415"/>
      <c r="B656" s="415"/>
      <c r="C656" s="410"/>
      <c r="D656" s="429"/>
      <c r="E656" s="416"/>
      <c r="F656" s="413"/>
      <c r="G656" s="413"/>
      <c r="H656" s="415"/>
      <c r="I656" s="415"/>
      <c r="J656" s="415"/>
      <c r="K656" s="415"/>
      <c r="L656" s="417"/>
      <c r="M656" s="403"/>
      <c r="N656" s="403"/>
      <c r="O656" s="403"/>
      <c r="P656" s="403"/>
      <c r="Q656" s="403"/>
      <c r="R656" s="403"/>
      <c r="S656" s="403"/>
      <c r="T656" s="403"/>
      <c r="U656" s="403"/>
      <c r="V656" s="403"/>
      <c r="W656" s="404"/>
      <c r="X656" s="405"/>
      <c r="Y656" s="405"/>
      <c r="Z656" s="405"/>
      <c r="AA656" s="405"/>
      <c r="AB656" s="405"/>
      <c r="AC656" s="405"/>
      <c r="AD656" s="405"/>
      <c r="AE656" s="405"/>
      <c r="AF656" s="405"/>
      <c r="AG656" s="405"/>
      <c r="AH656" s="405"/>
      <c r="AI656" s="405"/>
      <c r="AJ656" s="405"/>
      <c r="AK656" s="405"/>
      <c r="AL656" s="405"/>
      <c r="AM656" s="406"/>
      <c r="AN656" s="406"/>
      <c r="AO656" s="406"/>
      <c r="AP656" s="406"/>
      <c r="AQ656" s="403"/>
      <c r="AR656" s="403"/>
      <c r="AS656" s="403"/>
      <c r="AT656" s="403"/>
      <c r="AU656" s="403"/>
      <c r="AV656" s="403"/>
      <c r="AW656" s="403"/>
      <c r="AX656" s="403"/>
      <c r="AY656" s="403"/>
    </row>
    <row r="657">
      <c r="A657" s="415"/>
      <c r="B657" s="415"/>
      <c r="C657" s="410"/>
      <c r="D657" s="429"/>
      <c r="E657" s="416"/>
      <c r="F657" s="413"/>
      <c r="G657" s="413"/>
      <c r="H657" s="415"/>
      <c r="I657" s="415"/>
      <c r="J657" s="415"/>
      <c r="K657" s="415"/>
      <c r="L657" s="417"/>
      <c r="M657" s="403"/>
      <c r="N657" s="403"/>
      <c r="O657" s="403"/>
      <c r="P657" s="403"/>
      <c r="Q657" s="403"/>
      <c r="R657" s="403"/>
      <c r="S657" s="403"/>
      <c r="T657" s="403"/>
      <c r="U657" s="403"/>
      <c r="V657" s="403"/>
      <c r="W657" s="404"/>
      <c r="X657" s="405"/>
      <c r="Y657" s="405"/>
      <c r="Z657" s="405"/>
      <c r="AA657" s="405"/>
      <c r="AB657" s="405"/>
      <c r="AC657" s="405"/>
      <c r="AD657" s="405"/>
      <c r="AE657" s="405"/>
      <c r="AF657" s="405"/>
      <c r="AG657" s="405"/>
      <c r="AH657" s="405"/>
      <c r="AI657" s="405"/>
      <c r="AJ657" s="405"/>
      <c r="AK657" s="405"/>
      <c r="AL657" s="405"/>
      <c r="AM657" s="406"/>
      <c r="AN657" s="406"/>
      <c r="AO657" s="406"/>
      <c r="AP657" s="406"/>
      <c r="AQ657" s="403"/>
      <c r="AR657" s="403"/>
      <c r="AS657" s="403"/>
      <c r="AT657" s="403"/>
      <c r="AU657" s="403"/>
      <c r="AV657" s="403"/>
      <c r="AW657" s="403"/>
      <c r="AX657" s="403"/>
      <c r="AY657" s="403"/>
    </row>
    <row r="658">
      <c r="A658" s="415"/>
      <c r="B658" s="415"/>
      <c r="C658" s="410"/>
      <c r="D658" s="429"/>
      <c r="E658" s="416"/>
      <c r="F658" s="413"/>
      <c r="G658" s="413"/>
      <c r="H658" s="415"/>
      <c r="I658" s="415"/>
      <c r="J658" s="415"/>
      <c r="K658" s="415"/>
      <c r="L658" s="417"/>
      <c r="M658" s="403"/>
      <c r="N658" s="403"/>
      <c r="O658" s="403"/>
      <c r="P658" s="403"/>
      <c r="Q658" s="403"/>
      <c r="R658" s="403"/>
      <c r="S658" s="403"/>
      <c r="T658" s="403"/>
      <c r="U658" s="403"/>
      <c r="V658" s="403"/>
      <c r="W658" s="404"/>
      <c r="X658" s="405"/>
      <c r="Y658" s="405"/>
      <c r="Z658" s="405"/>
      <c r="AA658" s="405"/>
      <c r="AB658" s="405"/>
      <c r="AC658" s="405"/>
      <c r="AD658" s="405"/>
      <c r="AE658" s="405"/>
      <c r="AF658" s="405"/>
      <c r="AG658" s="405"/>
      <c r="AH658" s="405"/>
      <c r="AI658" s="405"/>
      <c r="AJ658" s="405"/>
      <c r="AK658" s="405"/>
      <c r="AL658" s="405"/>
      <c r="AM658" s="406"/>
      <c r="AN658" s="406"/>
      <c r="AO658" s="406"/>
      <c r="AP658" s="406"/>
      <c r="AQ658" s="403"/>
      <c r="AR658" s="403"/>
      <c r="AS658" s="403"/>
      <c r="AT658" s="403"/>
      <c r="AU658" s="403"/>
      <c r="AV658" s="403"/>
      <c r="AW658" s="403"/>
      <c r="AX658" s="403"/>
      <c r="AY658" s="403"/>
    </row>
    <row r="659">
      <c r="A659" s="415"/>
      <c r="B659" s="415"/>
      <c r="C659" s="410"/>
      <c r="D659" s="429"/>
      <c r="E659" s="416"/>
      <c r="F659" s="413"/>
      <c r="G659" s="413"/>
      <c r="H659" s="415"/>
      <c r="I659" s="415"/>
      <c r="J659" s="415"/>
      <c r="K659" s="415"/>
      <c r="L659" s="417"/>
      <c r="M659" s="403"/>
      <c r="N659" s="403"/>
      <c r="O659" s="403"/>
      <c r="P659" s="403"/>
      <c r="Q659" s="403"/>
      <c r="R659" s="403"/>
      <c r="S659" s="403"/>
      <c r="T659" s="403"/>
      <c r="U659" s="403"/>
      <c r="V659" s="403"/>
      <c r="W659" s="404"/>
      <c r="X659" s="405"/>
      <c r="Y659" s="405"/>
      <c r="Z659" s="405"/>
      <c r="AA659" s="405"/>
      <c r="AB659" s="405"/>
      <c r="AC659" s="405"/>
      <c r="AD659" s="405"/>
      <c r="AE659" s="405"/>
      <c r="AF659" s="405"/>
      <c r="AG659" s="405"/>
      <c r="AH659" s="405"/>
      <c r="AI659" s="405"/>
      <c r="AJ659" s="405"/>
      <c r="AK659" s="405"/>
      <c r="AL659" s="405"/>
      <c r="AM659" s="406"/>
      <c r="AN659" s="406"/>
      <c r="AO659" s="406"/>
      <c r="AP659" s="406"/>
      <c r="AQ659" s="403"/>
      <c r="AR659" s="403"/>
      <c r="AS659" s="403"/>
      <c r="AT659" s="403"/>
      <c r="AU659" s="403"/>
      <c r="AV659" s="403"/>
      <c r="AW659" s="403"/>
      <c r="AX659" s="403"/>
      <c r="AY659" s="403"/>
    </row>
    <row r="660">
      <c r="A660" s="415"/>
      <c r="B660" s="415"/>
      <c r="C660" s="410"/>
      <c r="D660" s="429"/>
      <c r="E660" s="416"/>
      <c r="F660" s="413"/>
      <c r="G660" s="413"/>
      <c r="H660" s="415"/>
      <c r="I660" s="415"/>
      <c r="J660" s="415"/>
      <c r="K660" s="415"/>
      <c r="L660" s="417"/>
      <c r="M660" s="403"/>
      <c r="N660" s="403"/>
      <c r="O660" s="403"/>
      <c r="P660" s="403"/>
      <c r="Q660" s="403"/>
      <c r="R660" s="403"/>
      <c r="S660" s="403"/>
      <c r="T660" s="403"/>
      <c r="U660" s="403"/>
      <c r="V660" s="403"/>
      <c r="W660" s="404"/>
      <c r="X660" s="405"/>
      <c r="Y660" s="405"/>
      <c r="Z660" s="405"/>
      <c r="AA660" s="405"/>
      <c r="AB660" s="405"/>
      <c r="AC660" s="405"/>
      <c r="AD660" s="405"/>
      <c r="AE660" s="405"/>
      <c r="AF660" s="405"/>
      <c r="AG660" s="405"/>
      <c r="AH660" s="405"/>
      <c r="AI660" s="405"/>
      <c r="AJ660" s="405"/>
      <c r="AK660" s="405"/>
      <c r="AL660" s="405"/>
      <c r="AM660" s="406"/>
      <c r="AN660" s="406"/>
      <c r="AO660" s="406"/>
      <c r="AP660" s="406"/>
      <c r="AQ660" s="403"/>
      <c r="AR660" s="403"/>
      <c r="AS660" s="403"/>
      <c r="AT660" s="403"/>
      <c r="AU660" s="403"/>
      <c r="AV660" s="403"/>
      <c r="AW660" s="403"/>
      <c r="AX660" s="403"/>
      <c r="AY660" s="403"/>
    </row>
    <row r="661">
      <c r="A661" s="415"/>
      <c r="B661" s="415"/>
      <c r="C661" s="410"/>
      <c r="D661" s="429"/>
      <c r="E661" s="416"/>
      <c r="F661" s="413"/>
      <c r="G661" s="413"/>
      <c r="H661" s="415"/>
      <c r="I661" s="415"/>
      <c r="J661" s="415"/>
      <c r="K661" s="415"/>
      <c r="L661" s="417"/>
      <c r="M661" s="403"/>
      <c r="N661" s="403"/>
      <c r="O661" s="403"/>
      <c r="P661" s="403"/>
      <c r="Q661" s="403"/>
      <c r="R661" s="403"/>
      <c r="S661" s="403"/>
      <c r="T661" s="403"/>
      <c r="U661" s="403"/>
      <c r="V661" s="403"/>
      <c r="W661" s="404"/>
      <c r="X661" s="405"/>
      <c r="Y661" s="405"/>
      <c r="Z661" s="405"/>
      <c r="AA661" s="405"/>
      <c r="AB661" s="405"/>
      <c r="AC661" s="405"/>
      <c r="AD661" s="405"/>
      <c r="AE661" s="405"/>
      <c r="AF661" s="405"/>
      <c r="AG661" s="405"/>
      <c r="AH661" s="405"/>
      <c r="AI661" s="405"/>
      <c r="AJ661" s="405"/>
      <c r="AK661" s="405"/>
      <c r="AL661" s="405"/>
      <c r="AM661" s="406"/>
      <c r="AN661" s="406"/>
      <c r="AO661" s="406"/>
      <c r="AP661" s="406"/>
      <c r="AQ661" s="403"/>
      <c r="AR661" s="403"/>
      <c r="AS661" s="403"/>
      <c r="AT661" s="403"/>
      <c r="AU661" s="403"/>
      <c r="AV661" s="403"/>
      <c r="AW661" s="403"/>
      <c r="AX661" s="403"/>
      <c r="AY661" s="403"/>
    </row>
    <row r="662">
      <c r="A662" s="415"/>
      <c r="B662" s="415"/>
      <c r="C662" s="410"/>
      <c r="D662" s="429"/>
      <c r="E662" s="416"/>
      <c r="F662" s="413"/>
      <c r="G662" s="413"/>
      <c r="H662" s="415"/>
      <c r="I662" s="415"/>
      <c r="J662" s="415"/>
      <c r="K662" s="415"/>
      <c r="L662" s="417"/>
      <c r="M662" s="403"/>
      <c r="N662" s="403"/>
      <c r="O662" s="403"/>
      <c r="P662" s="403"/>
      <c r="Q662" s="403"/>
      <c r="R662" s="403"/>
      <c r="S662" s="403"/>
      <c r="T662" s="403"/>
      <c r="U662" s="403"/>
      <c r="V662" s="403"/>
      <c r="W662" s="404"/>
      <c r="X662" s="405"/>
      <c r="Y662" s="405"/>
      <c r="Z662" s="405"/>
      <c r="AA662" s="405"/>
      <c r="AB662" s="405"/>
      <c r="AC662" s="405"/>
      <c r="AD662" s="405"/>
      <c r="AE662" s="405"/>
      <c r="AF662" s="405"/>
      <c r="AG662" s="405"/>
      <c r="AH662" s="405"/>
      <c r="AI662" s="405"/>
      <c r="AJ662" s="405"/>
      <c r="AK662" s="405"/>
      <c r="AL662" s="405"/>
      <c r="AM662" s="406"/>
      <c r="AN662" s="406"/>
      <c r="AO662" s="406"/>
      <c r="AP662" s="406"/>
      <c r="AQ662" s="403"/>
      <c r="AR662" s="403"/>
      <c r="AS662" s="403"/>
      <c r="AT662" s="403"/>
      <c r="AU662" s="403"/>
      <c r="AV662" s="403"/>
      <c r="AW662" s="403"/>
      <c r="AX662" s="403"/>
      <c r="AY662" s="403"/>
    </row>
    <row r="663">
      <c r="A663" s="415"/>
      <c r="B663" s="415"/>
      <c r="C663" s="410"/>
      <c r="D663" s="429"/>
      <c r="E663" s="416"/>
      <c r="F663" s="413"/>
      <c r="G663" s="413"/>
      <c r="H663" s="415"/>
      <c r="I663" s="415"/>
      <c r="J663" s="415"/>
      <c r="K663" s="415"/>
      <c r="L663" s="417"/>
      <c r="M663" s="403"/>
      <c r="N663" s="403"/>
      <c r="O663" s="403"/>
      <c r="P663" s="403"/>
      <c r="Q663" s="403"/>
      <c r="R663" s="403"/>
      <c r="S663" s="403"/>
      <c r="T663" s="403"/>
      <c r="U663" s="403"/>
      <c r="V663" s="403"/>
      <c r="W663" s="404"/>
      <c r="X663" s="405"/>
      <c r="Y663" s="405"/>
      <c r="Z663" s="405"/>
      <c r="AA663" s="405"/>
      <c r="AB663" s="405"/>
      <c r="AC663" s="405"/>
      <c r="AD663" s="405"/>
      <c r="AE663" s="405"/>
      <c r="AF663" s="405"/>
      <c r="AG663" s="405"/>
      <c r="AH663" s="405"/>
      <c r="AI663" s="405"/>
      <c r="AJ663" s="405"/>
      <c r="AK663" s="405"/>
      <c r="AL663" s="405"/>
      <c r="AM663" s="406"/>
      <c r="AN663" s="406"/>
      <c r="AO663" s="406"/>
      <c r="AP663" s="406"/>
      <c r="AQ663" s="403"/>
      <c r="AR663" s="403"/>
      <c r="AS663" s="403"/>
      <c r="AT663" s="403"/>
      <c r="AU663" s="403"/>
      <c r="AV663" s="403"/>
      <c r="AW663" s="403"/>
      <c r="AX663" s="403"/>
      <c r="AY663" s="403"/>
    </row>
    <row r="664">
      <c r="A664" s="415"/>
      <c r="B664" s="415"/>
      <c r="C664" s="410"/>
      <c r="D664" s="429"/>
      <c r="E664" s="416"/>
      <c r="F664" s="413"/>
      <c r="G664" s="413"/>
      <c r="H664" s="415"/>
      <c r="I664" s="415"/>
      <c r="J664" s="415"/>
      <c r="K664" s="415"/>
      <c r="L664" s="417"/>
      <c r="M664" s="403"/>
      <c r="N664" s="403"/>
      <c r="O664" s="403"/>
      <c r="P664" s="403"/>
      <c r="Q664" s="403"/>
      <c r="R664" s="403"/>
      <c r="S664" s="403"/>
      <c r="T664" s="403"/>
      <c r="U664" s="403"/>
      <c r="V664" s="403"/>
      <c r="W664" s="404"/>
      <c r="X664" s="405"/>
      <c r="Y664" s="405"/>
      <c r="Z664" s="405"/>
      <c r="AA664" s="405"/>
      <c r="AB664" s="405"/>
      <c r="AC664" s="405"/>
      <c r="AD664" s="405"/>
      <c r="AE664" s="405"/>
      <c r="AF664" s="405"/>
      <c r="AG664" s="405"/>
      <c r="AH664" s="405"/>
      <c r="AI664" s="405"/>
      <c r="AJ664" s="405"/>
      <c r="AK664" s="405"/>
      <c r="AL664" s="405"/>
      <c r="AM664" s="406"/>
      <c r="AN664" s="406"/>
      <c r="AO664" s="406"/>
      <c r="AP664" s="406"/>
      <c r="AQ664" s="403"/>
      <c r="AR664" s="403"/>
      <c r="AS664" s="403"/>
      <c r="AT664" s="403"/>
      <c r="AU664" s="403"/>
      <c r="AV664" s="403"/>
      <c r="AW664" s="403"/>
      <c r="AX664" s="403"/>
      <c r="AY664" s="403"/>
    </row>
    <row r="665">
      <c r="A665" s="415"/>
      <c r="B665" s="415"/>
      <c r="C665" s="410"/>
      <c r="D665" s="429"/>
      <c r="E665" s="416"/>
      <c r="F665" s="413"/>
      <c r="G665" s="413"/>
      <c r="H665" s="415"/>
      <c r="I665" s="415"/>
      <c r="J665" s="415"/>
      <c r="K665" s="415"/>
      <c r="L665" s="417"/>
      <c r="M665" s="403"/>
      <c r="N665" s="403"/>
      <c r="O665" s="403"/>
      <c r="P665" s="403"/>
      <c r="Q665" s="403"/>
      <c r="R665" s="403"/>
      <c r="S665" s="403"/>
      <c r="T665" s="403"/>
      <c r="U665" s="403"/>
      <c r="V665" s="403"/>
      <c r="W665" s="404"/>
      <c r="X665" s="405"/>
      <c r="Y665" s="405"/>
      <c r="Z665" s="405"/>
      <c r="AA665" s="405"/>
      <c r="AB665" s="405"/>
      <c r="AC665" s="405"/>
      <c r="AD665" s="405"/>
      <c r="AE665" s="405"/>
      <c r="AF665" s="405"/>
      <c r="AG665" s="405"/>
      <c r="AH665" s="405"/>
      <c r="AI665" s="405"/>
      <c r="AJ665" s="405"/>
      <c r="AK665" s="405"/>
      <c r="AL665" s="405"/>
      <c r="AM665" s="406"/>
      <c r="AN665" s="406"/>
      <c r="AO665" s="406"/>
      <c r="AP665" s="406"/>
      <c r="AQ665" s="403"/>
      <c r="AR665" s="403"/>
      <c r="AS665" s="403"/>
      <c r="AT665" s="403"/>
      <c r="AU665" s="403"/>
      <c r="AV665" s="403"/>
      <c r="AW665" s="403"/>
      <c r="AX665" s="403"/>
      <c r="AY665" s="403"/>
    </row>
    <row r="666">
      <c r="A666" s="415"/>
      <c r="B666" s="415"/>
      <c r="C666" s="410"/>
      <c r="D666" s="429"/>
      <c r="E666" s="416"/>
      <c r="F666" s="413"/>
      <c r="G666" s="413"/>
      <c r="H666" s="415"/>
      <c r="I666" s="415"/>
      <c r="J666" s="415"/>
      <c r="K666" s="415"/>
      <c r="L666" s="417"/>
      <c r="M666" s="403"/>
      <c r="N666" s="403"/>
      <c r="O666" s="403"/>
      <c r="P666" s="403"/>
      <c r="Q666" s="403"/>
      <c r="R666" s="403"/>
      <c r="S666" s="403"/>
      <c r="T666" s="403"/>
      <c r="U666" s="403"/>
      <c r="V666" s="403"/>
      <c r="W666" s="404"/>
      <c r="X666" s="405"/>
      <c r="Y666" s="405"/>
      <c r="Z666" s="405"/>
      <c r="AA666" s="405"/>
      <c r="AB666" s="405"/>
      <c r="AC666" s="405"/>
      <c r="AD666" s="405"/>
      <c r="AE666" s="405"/>
      <c r="AF666" s="405"/>
      <c r="AG666" s="405"/>
      <c r="AH666" s="405"/>
      <c r="AI666" s="405"/>
      <c r="AJ666" s="405"/>
      <c r="AK666" s="405"/>
      <c r="AL666" s="405"/>
      <c r="AM666" s="406"/>
      <c r="AN666" s="406"/>
      <c r="AO666" s="406"/>
      <c r="AP666" s="406"/>
      <c r="AQ666" s="403"/>
      <c r="AR666" s="403"/>
      <c r="AS666" s="403"/>
      <c r="AT666" s="403"/>
      <c r="AU666" s="403"/>
      <c r="AV666" s="403"/>
      <c r="AW666" s="403"/>
      <c r="AX666" s="403"/>
      <c r="AY666" s="403"/>
    </row>
    <row r="667">
      <c r="A667" s="415"/>
      <c r="B667" s="415"/>
      <c r="C667" s="410"/>
      <c r="D667" s="429"/>
      <c r="E667" s="416"/>
      <c r="F667" s="413"/>
      <c r="G667" s="413"/>
      <c r="H667" s="415"/>
      <c r="I667" s="415"/>
      <c r="J667" s="415"/>
      <c r="K667" s="415"/>
      <c r="L667" s="417"/>
      <c r="M667" s="403"/>
      <c r="N667" s="403"/>
      <c r="O667" s="403"/>
      <c r="P667" s="403"/>
      <c r="Q667" s="403"/>
      <c r="R667" s="403"/>
      <c r="S667" s="403"/>
      <c r="T667" s="403"/>
      <c r="U667" s="403"/>
      <c r="V667" s="403"/>
      <c r="W667" s="404"/>
      <c r="X667" s="405"/>
      <c r="Y667" s="405"/>
      <c r="Z667" s="405"/>
      <c r="AA667" s="405"/>
      <c r="AB667" s="405"/>
      <c r="AC667" s="405"/>
      <c r="AD667" s="405"/>
      <c r="AE667" s="405"/>
      <c r="AF667" s="405"/>
      <c r="AG667" s="405"/>
      <c r="AH667" s="405"/>
      <c r="AI667" s="405"/>
      <c r="AJ667" s="405"/>
      <c r="AK667" s="405"/>
      <c r="AL667" s="405"/>
      <c r="AM667" s="406"/>
      <c r="AN667" s="406"/>
      <c r="AO667" s="406"/>
      <c r="AP667" s="406"/>
      <c r="AQ667" s="403"/>
      <c r="AR667" s="403"/>
      <c r="AS667" s="403"/>
      <c r="AT667" s="403"/>
      <c r="AU667" s="403"/>
      <c r="AV667" s="403"/>
      <c r="AW667" s="403"/>
      <c r="AX667" s="403"/>
      <c r="AY667" s="403"/>
    </row>
    <row r="668">
      <c r="A668" s="415"/>
      <c r="B668" s="415"/>
      <c r="C668" s="410"/>
      <c r="D668" s="429"/>
      <c r="E668" s="416"/>
      <c r="F668" s="413"/>
      <c r="G668" s="413"/>
      <c r="H668" s="415"/>
      <c r="I668" s="415"/>
      <c r="J668" s="415"/>
      <c r="K668" s="415"/>
      <c r="L668" s="417"/>
      <c r="M668" s="403"/>
      <c r="N668" s="403"/>
      <c r="O668" s="403"/>
      <c r="P668" s="403"/>
      <c r="Q668" s="403"/>
      <c r="R668" s="403"/>
      <c r="S668" s="403"/>
      <c r="T668" s="403"/>
      <c r="U668" s="403"/>
      <c r="V668" s="403"/>
      <c r="W668" s="404"/>
      <c r="X668" s="405"/>
      <c r="Y668" s="405"/>
      <c r="Z668" s="405"/>
      <c r="AA668" s="405"/>
      <c r="AB668" s="405"/>
      <c r="AC668" s="405"/>
      <c r="AD668" s="405"/>
      <c r="AE668" s="405"/>
      <c r="AF668" s="405"/>
      <c r="AG668" s="405"/>
      <c r="AH668" s="405"/>
      <c r="AI668" s="405"/>
      <c r="AJ668" s="405"/>
      <c r="AK668" s="405"/>
      <c r="AL668" s="405"/>
      <c r="AM668" s="406"/>
      <c r="AN668" s="406"/>
      <c r="AO668" s="406"/>
      <c r="AP668" s="406"/>
      <c r="AQ668" s="403"/>
      <c r="AR668" s="403"/>
      <c r="AS668" s="403"/>
      <c r="AT668" s="403"/>
      <c r="AU668" s="403"/>
      <c r="AV668" s="403"/>
      <c r="AW668" s="403"/>
      <c r="AX668" s="403"/>
      <c r="AY668" s="403"/>
    </row>
    <row r="669">
      <c r="A669" s="415"/>
      <c r="B669" s="415"/>
      <c r="C669" s="410"/>
      <c r="D669" s="429"/>
      <c r="E669" s="416"/>
      <c r="F669" s="413"/>
      <c r="G669" s="413"/>
      <c r="H669" s="415"/>
      <c r="I669" s="415"/>
      <c r="J669" s="415"/>
      <c r="K669" s="415"/>
      <c r="L669" s="417"/>
      <c r="M669" s="403"/>
      <c r="N669" s="403"/>
      <c r="O669" s="403"/>
      <c r="P669" s="403"/>
      <c r="Q669" s="403"/>
      <c r="R669" s="403"/>
      <c r="S669" s="403"/>
      <c r="T669" s="403"/>
      <c r="U669" s="403"/>
      <c r="V669" s="403"/>
      <c r="W669" s="404"/>
      <c r="X669" s="405"/>
      <c r="Y669" s="405"/>
      <c r="Z669" s="405"/>
      <c r="AA669" s="405"/>
      <c r="AB669" s="405"/>
      <c r="AC669" s="405"/>
      <c r="AD669" s="405"/>
      <c r="AE669" s="405"/>
      <c r="AF669" s="405"/>
      <c r="AG669" s="405"/>
      <c r="AH669" s="405"/>
      <c r="AI669" s="405"/>
      <c r="AJ669" s="405"/>
      <c r="AK669" s="405"/>
      <c r="AL669" s="405"/>
      <c r="AM669" s="406"/>
      <c r="AN669" s="406"/>
      <c r="AO669" s="406"/>
      <c r="AP669" s="406"/>
      <c r="AQ669" s="403"/>
      <c r="AR669" s="403"/>
      <c r="AS669" s="403"/>
      <c r="AT669" s="403"/>
      <c r="AU669" s="403"/>
      <c r="AV669" s="403"/>
      <c r="AW669" s="403"/>
      <c r="AX669" s="403"/>
      <c r="AY669" s="403"/>
    </row>
    <row r="670">
      <c r="A670" s="415"/>
      <c r="B670" s="415"/>
      <c r="C670" s="410"/>
      <c r="D670" s="429"/>
      <c r="E670" s="416"/>
      <c r="F670" s="413"/>
      <c r="G670" s="413"/>
      <c r="H670" s="415"/>
      <c r="I670" s="415"/>
      <c r="J670" s="415"/>
      <c r="K670" s="415"/>
      <c r="L670" s="417"/>
      <c r="M670" s="403"/>
      <c r="N670" s="403"/>
      <c r="O670" s="403"/>
      <c r="P670" s="403"/>
      <c r="Q670" s="403"/>
      <c r="R670" s="403"/>
      <c r="S670" s="403"/>
      <c r="T670" s="403"/>
      <c r="U670" s="403"/>
      <c r="V670" s="403"/>
      <c r="W670" s="404"/>
      <c r="X670" s="405"/>
      <c r="Y670" s="405"/>
      <c r="Z670" s="405"/>
      <c r="AA670" s="405"/>
      <c r="AB670" s="405"/>
      <c r="AC670" s="405"/>
      <c r="AD670" s="405"/>
      <c r="AE670" s="405"/>
      <c r="AF670" s="405"/>
      <c r="AG670" s="405"/>
      <c r="AH670" s="405"/>
      <c r="AI670" s="405"/>
      <c r="AJ670" s="405"/>
      <c r="AK670" s="405"/>
      <c r="AL670" s="405"/>
      <c r="AM670" s="406"/>
      <c r="AN670" s="406"/>
      <c r="AO670" s="406"/>
      <c r="AP670" s="406"/>
      <c r="AQ670" s="403"/>
      <c r="AR670" s="403"/>
      <c r="AS670" s="403"/>
      <c r="AT670" s="403"/>
      <c r="AU670" s="403"/>
      <c r="AV670" s="403"/>
      <c r="AW670" s="403"/>
      <c r="AX670" s="403"/>
      <c r="AY670" s="403"/>
    </row>
    <row r="671">
      <c r="A671" s="415"/>
      <c r="B671" s="415"/>
      <c r="C671" s="410"/>
      <c r="D671" s="429"/>
      <c r="E671" s="416"/>
      <c r="F671" s="413"/>
      <c r="G671" s="413"/>
      <c r="H671" s="415"/>
      <c r="I671" s="415"/>
      <c r="J671" s="415"/>
      <c r="K671" s="415"/>
      <c r="L671" s="417"/>
      <c r="M671" s="403"/>
      <c r="N671" s="403"/>
      <c r="O671" s="403"/>
      <c r="P671" s="403"/>
      <c r="Q671" s="403"/>
      <c r="R671" s="403"/>
      <c r="S671" s="403"/>
      <c r="T671" s="403"/>
      <c r="U671" s="403"/>
      <c r="V671" s="403"/>
      <c r="W671" s="404"/>
      <c r="X671" s="405"/>
      <c r="Y671" s="405"/>
      <c r="Z671" s="405"/>
      <c r="AA671" s="405"/>
      <c r="AB671" s="405"/>
      <c r="AC671" s="405"/>
      <c r="AD671" s="405"/>
      <c r="AE671" s="405"/>
      <c r="AF671" s="405"/>
      <c r="AG671" s="405"/>
      <c r="AH671" s="405"/>
      <c r="AI671" s="405"/>
      <c r="AJ671" s="405"/>
      <c r="AK671" s="405"/>
      <c r="AL671" s="405"/>
      <c r="AM671" s="406"/>
      <c r="AN671" s="406"/>
      <c r="AO671" s="406"/>
      <c r="AP671" s="406"/>
      <c r="AQ671" s="403"/>
      <c r="AR671" s="403"/>
      <c r="AS671" s="403"/>
      <c r="AT671" s="403"/>
      <c r="AU671" s="403"/>
      <c r="AV671" s="403"/>
      <c r="AW671" s="403"/>
      <c r="AX671" s="403"/>
      <c r="AY671" s="403"/>
    </row>
    <row r="672">
      <c r="A672" s="415"/>
      <c r="B672" s="415"/>
      <c r="C672" s="410"/>
      <c r="D672" s="429"/>
      <c r="E672" s="416"/>
      <c r="F672" s="413"/>
      <c r="G672" s="413"/>
      <c r="H672" s="415"/>
      <c r="I672" s="415"/>
      <c r="J672" s="415"/>
      <c r="K672" s="415"/>
      <c r="L672" s="417"/>
      <c r="M672" s="403"/>
      <c r="N672" s="403"/>
      <c r="O672" s="403"/>
      <c r="P672" s="403"/>
      <c r="Q672" s="403"/>
      <c r="R672" s="403"/>
      <c r="S672" s="403"/>
      <c r="T672" s="403"/>
      <c r="U672" s="403"/>
      <c r="V672" s="403"/>
      <c r="W672" s="404"/>
      <c r="X672" s="405"/>
      <c r="Y672" s="405"/>
      <c r="Z672" s="405"/>
      <c r="AA672" s="405"/>
      <c r="AB672" s="405"/>
      <c r="AC672" s="405"/>
      <c r="AD672" s="405"/>
      <c r="AE672" s="405"/>
      <c r="AF672" s="405"/>
      <c r="AG672" s="405"/>
      <c r="AH672" s="405"/>
      <c r="AI672" s="405"/>
      <c r="AJ672" s="405"/>
      <c r="AK672" s="405"/>
      <c r="AL672" s="405"/>
      <c r="AM672" s="406"/>
      <c r="AN672" s="406"/>
      <c r="AO672" s="406"/>
      <c r="AP672" s="406"/>
      <c r="AQ672" s="403"/>
      <c r="AR672" s="403"/>
      <c r="AS672" s="403"/>
      <c r="AT672" s="403"/>
      <c r="AU672" s="403"/>
      <c r="AV672" s="403"/>
      <c r="AW672" s="403"/>
      <c r="AX672" s="403"/>
      <c r="AY672" s="403"/>
    </row>
    <row r="673">
      <c r="A673" s="415"/>
      <c r="B673" s="415"/>
      <c r="C673" s="410"/>
      <c r="D673" s="429"/>
      <c r="E673" s="416"/>
      <c r="F673" s="413"/>
      <c r="G673" s="413"/>
      <c r="H673" s="415"/>
      <c r="I673" s="415"/>
      <c r="J673" s="415"/>
      <c r="K673" s="415"/>
      <c r="L673" s="417"/>
      <c r="M673" s="403"/>
      <c r="N673" s="403"/>
      <c r="O673" s="403"/>
      <c r="P673" s="403"/>
      <c r="Q673" s="403"/>
      <c r="R673" s="403"/>
      <c r="S673" s="403"/>
      <c r="T673" s="403"/>
      <c r="U673" s="403"/>
      <c r="V673" s="403"/>
      <c r="W673" s="404"/>
      <c r="X673" s="405"/>
      <c r="Y673" s="405"/>
      <c r="Z673" s="405"/>
      <c r="AA673" s="405"/>
      <c r="AB673" s="405"/>
      <c r="AC673" s="405"/>
      <c r="AD673" s="405"/>
      <c r="AE673" s="405"/>
      <c r="AF673" s="405"/>
      <c r="AG673" s="405"/>
      <c r="AH673" s="405"/>
      <c r="AI673" s="405"/>
      <c r="AJ673" s="405"/>
      <c r="AK673" s="405"/>
      <c r="AL673" s="405"/>
      <c r="AM673" s="406"/>
      <c r="AN673" s="406"/>
      <c r="AO673" s="406"/>
      <c r="AP673" s="406"/>
      <c r="AQ673" s="403"/>
      <c r="AR673" s="403"/>
      <c r="AS673" s="403"/>
      <c r="AT673" s="403"/>
      <c r="AU673" s="403"/>
      <c r="AV673" s="403"/>
      <c r="AW673" s="403"/>
      <c r="AX673" s="403"/>
      <c r="AY673" s="403"/>
    </row>
    <row r="674">
      <c r="A674" s="415"/>
      <c r="B674" s="415"/>
      <c r="C674" s="410"/>
      <c r="D674" s="429"/>
      <c r="E674" s="416"/>
      <c r="F674" s="413"/>
      <c r="G674" s="413"/>
      <c r="H674" s="415"/>
      <c r="I674" s="415"/>
      <c r="J674" s="415"/>
      <c r="K674" s="415"/>
      <c r="L674" s="417"/>
      <c r="M674" s="403"/>
      <c r="N674" s="403"/>
      <c r="O674" s="403"/>
      <c r="P674" s="403"/>
      <c r="Q674" s="403"/>
      <c r="R674" s="403"/>
      <c r="S674" s="403"/>
      <c r="T674" s="403"/>
      <c r="U674" s="403"/>
      <c r="V674" s="403"/>
      <c r="W674" s="404"/>
      <c r="X674" s="405"/>
      <c r="Y674" s="405"/>
      <c r="Z674" s="405"/>
      <c r="AA674" s="405"/>
      <c r="AB674" s="405"/>
      <c r="AC674" s="405"/>
      <c r="AD674" s="405"/>
      <c r="AE674" s="405"/>
      <c r="AF674" s="405"/>
      <c r="AG674" s="405"/>
      <c r="AH674" s="405"/>
      <c r="AI674" s="405"/>
      <c r="AJ674" s="405"/>
      <c r="AK674" s="405"/>
      <c r="AL674" s="405"/>
      <c r="AM674" s="406"/>
      <c r="AN674" s="406"/>
      <c r="AO674" s="406"/>
      <c r="AP674" s="406"/>
      <c r="AQ674" s="403"/>
      <c r="AR674" s="403"/>
      <c r="AS674" s="403"/>
      <c r="AT674" s="403"/>
      <c r="AU674" s="403"/>
      <c r="AV674" s="403"/>
      <c r="AW674" s="403"/>
      <c r="AX674" s="403"/>
      <c r="AY674" s="403"/>
    </row>
    <row r="675">
      <c r="A675" s="415"/>
      <c r="B675" s="415"/>
      <c r="C675" s="410"/>
      <c r="D675" s="429"/>
      <c r="E675" s="416"/>
      <c r="F675" s="413"/>
      <c r="G675" s="413"/>
      <c r="H675" s="415"/>
      <c r="I675" s="415"/>
      <c r="J675" s="415"/>
      <c r="K675" s="415"/>
      <c r="L675" s="417"/>
      <c r="M675" s="403"/>
      <c r="N675" s="403"/>
      <c r="O675" s="403"/>
      <c r="P675" s="403"/>
      <c r="Q675" s="403"/>
      <c r="R675" s="403"/>
      <c r="S675" s="403"/>
      <c r="T675" s="403"/>
      <c r="U675" s="403"/>
      <c r="V675" s="403"/>
      <c r="W675" s="404"/>
      <c r="X675" s="405"/>
      <c r="Y675" s="405"/>
      <c r="Z675" s="405"/>
      <c r="AA675" s="405"/>
      <c r="AB675" s="405"/>
      <c r="AC675" s="405"/>
      <c r="AD675" s="405"/>
      <c r="AE675" s="405"/>
      <c r="AF675" s="405"/>
      <c r="AG675" s="405"/>
      <c r="AH675" s="405"/>
      <c r="AI675" s="405"/>
      <c r="AJ675" s="405"/>
      <c r="AK675" s="405"/>
      <c r="AL675" s="405"/>
      <c r="AM675" s="406"/>
      <c r="AN675" s="406"/>
      <c r="AO675" s="406"/>
      <c r="AP675" s="406"/>
      <c r="AQ675" s="403"/>
      <c r="AR675" s="403"/>
      <c r="AS675" s="403"/>
      <c r="AT675" s="403"/>
      <c r="AU675" s="403"/>
      <c r="AV675" s="403"/>
      <c r="AW675" s="403"/>
      <c r="AX675" s="403"/>
      <c r="AY675" s="403"/>
    </row>
    <row r="676">
      <c r="A676" s="415"/>
      <c r="B676" s="415"/>
      <c r="C676" s="410"/>
      <c r="D676" s="429"/>
      <c r="E676" s="416"/>
      <c r="F676" s="413"/>
      <c r="G676" s="413"/>
      <c r="H676" s="415"/>
      <c r="I676" s="415"/>
      <c r="J676" s="415"/>
      <c r="K676" s="415"/>
      <c r="L676" s="417"/>
      <c r="M676" s="403"/>
      <c r="N676" s="403"/>
      <c r="O676" s="403"/>
      <c r="P676" s="403"/>
      <c r="Q676" s="403"/>
      <c r="R676" s="403"/>
      <c r="S676" s="403"/>
      <c r="T676" s="403"/>
      <c r="U676" s="403"/>
      <c r="V676" s="403"/>
      <c r="W676" s="404"/>
      <c r="X676" s="405"/>
      <c r="Y676" s="405"/>
      <c r="Z676" s="405"/>
      <c r="AA676" s="405"/>
      <c r="AB676" s="405"/>
      <c r="AC676" s="405"/>
      <c r="AD676" s="405"/>
      <c r="AE676" s="405"/>
      <c r="AF676" s="405"/>
      <c r="AG676" s="405"/>
      <c r="AH676" s="405"/>
      <c r="AI676" s="405"/>
      <c r="AJ676" s="405"/>
      <c r="AK676" s="405"/>
      <c r="AL676" s="405"/>
      <c r="AM676" s="406"/>
      <c r="AN676" s="406"/>
      <c r="AO676" s="406"/>
      <c r="AP676" s="406"/>
      <c r="AQ676" s="403"/>
      <c r="AR676" s="403"/>
      <c r="AS676" s="403"/>
      <c r="AT676" s="403"/>
      <c r="AU676" s="403"/>
      <c r="AV676" s="403"/>
      <c r="AW676" s="403"/>
      <c r="AX676" s="403"/>
      <c r="AY676" s="403"/>
    </row>
    <row r="677">
      <c r="A677" s="415"/>
      <c r="B677" s="415"/>
      <c r="C677" s="410"/>
      <c r="D677" s="429"/>
      <c r="E677" s="416"/>
      <c r="F677" s="413"/>
      <c r="G677" s="413"/>
      <c r="H677" s="415"/>
      <c r="I677" s="415"/>
      <c r="J677" s="415"/>
      <c r="K677" s="415"/>
      <c r="L677" s="417"/>
      <c r="M677" s="403"/>
      <c r="N677" s="403"/>
      <c r="O677" s="403"/>
      <c r="P677" s="403"/>
      <c r="Q677" s="403"/>
      <c r="R677" s="403"/>
      <c r="S677" s="403"/>
      <c r="T677" s="403"/>
      <c r="U677" s="403"/>
      <c r="V677" s="403"/>
      <c r="W677" s="404"/>
      <c r="X677" s="405"/>
      <c r="Y677" s="405"/>
      <c r="Z677" s="405"/>
      <c r="AA677" s="405"/>
      <c r="AB677" s="405"/>
      <c r="AC677" s="405"/>
      <c r="AD677" s="405"/>
      <c r="AE677" s="405"/>
      <c r="AF677" s="405"/>
      <c r="AG677" s="405"/>
      <c r="AH677" s="405"/>
      <c r="AI677" s="405"/>
      <c r="AJ677" s="405"/>
      <c r="AK677" s="405"/>
      <c r="AL677" s="405"/>
      <c r="AM677" s="406"/>
      <c r="AN677" s="406"/>
      <c r="AO677" s="406"/>
      <c r="AP677" s="406"/>
      <c r="AQ677" s="403"/>
      <c r="AR677" s="403"/>
      <c r="AS677" s="403"/>
      <c r="AT677" s="403"/>
      <c r="AU677" s="403"/>
      <c r="AV677" s="403"/>
      <c r="AW677" s="403"/>
      <c r="AX677" s="403"/>
      <c r="AY677" s="403"/>
    </row>
    <row r="678">
      <c r="A678" s="415"/>
      <c r="B678" s="415"/>
      <c r="C678" s="410"/>
      <c r="D678" s="429"/>
      <c r="E678" s="416"/>
      <c r="F678" s="413"/>
      <c r="G678" s="413"/>
      <c r="H678" s="415"/>
      <c r="I678" s="415"/>
      <c r="J678" s="415"/>
      <c r="K678" s="415"/>
      <c r="L678" s="417"/>
      <c r="M678" s="403"/>
      <c r="N678" s="403"/>
      <c r="O678" s="403"/>
      <c r="P678" s="403"/>
      <c r="Q678" s="403"/>
      <c r="R678" s="403"/>
      <c r="S678" s="403"/>
      <c r="T678" s="403"/>
      <c r="U678" s="403"/>
      <c r="V678" s="403"/>
      <c r="W678" s="404"/>
      <c r="X678" s="405"/>
      <c r="Y678" s="405"/>
      <c r="Z678" s="405"/>
      <c r="AA678" s="405"/>
      <c r="AB678" s="405"/>
      <c r="AC678" s="405"/>
      <c r="AD678" s="405"/>
      <c r="AE678" s="405"/>
      <c r="AF678" s="405"/>
      <c r="AG678" s="405"/>
      <c r="AH678" s="405"/>
      <c r="AI678" s="405"/>
      <c r="AJ678" s="405"/>
      <c r="AK678" s="405"/>
      <c r="AL678" s="405"/>
      <c r="AM678" s="406"/>
      <c r="AN678" s="406"/>
      <c r="AO678" s="406"/>
      <c r="AP678" s="406"/>
      <c r="AQ678" s="403"/>
      <c r="AR678" s="403"/>
      <c r="AS678" s="403"/>
      <c r="AT678" s="403"/>
      <c r="AU678" s="403"/>
      <c r="AV678" s="403"/>
      <c r="AW678" s="403"/>
      <c r="AX678" s="403"/>
      <c r="AY678" s="403"/>
    </row>
    <row r="679">
      <c r="A679" s="415"/>
      <c r="B679" s="415"/>
      <c r="C679" s="410"/>
      <c r="D679" s="429"/>
      <c r="E679" s="416"/>
      <c r="F679" s="413"/>
      <c r="G679" s="413"/>
      <c r="H679" s="415"/>
      <c r="I679" s="415"/>
      <c r="J679" s="415"/>
      <c r="K679" s="415"/>
      <c r="L679" s="417"/>
      <c r="M679" s="403"/>
      <c r="N679" s="403"/>
      <c r="O679" s="403"/>
      <c r="P679" s="403"/>
      <c r="Q679" s="403"/>
      <c r="R679" s="403"/>
      <c r="S679" s="403"/>
      <c r="T679" s="403"/>
      <c r="U679" s="403"/>
      <c r="V679" s="403"/>
      <c r="W679" s="404"/>
      <c r="X679" s="405"/>
      <c r="Y679" s="405"/>
      <c r="Z679" s="405"/>
      <c r="AA679" s="405"/>
      <c r="AB679" s="405"/>
      <c r="AC679" s="405"/>
      <c r="AD679" s="405"/>
      <c r="AE679" s="405"/>
      <c r="AF679" s="405"/>
      <c r="AG679" s="405"/>
      <c r="AH679" s="405"/>
      <c r="AI679" s="405"/>
      <c r="AJ679" s="405"/>
      <c r="AK679" s="405"/>
      <c r="AL679" s="405"/>
      <c r="AM679" s="406"/>
      <c r="AN679" s="406"/>
      <c r="AO679" s="406"/>
      <c r="AP679" s="406"/>
      <c r="AQ679" s="403"/>
      <c r="AR679" s="403"/>
      <c r="AS679" s="403"/>
      <c r="AT679" s="403"/>
      <c r="AU679" s="403"/>
      <c r="AV679" s="403"/>
      <c r="AW679" s="403"/>
      <c r="AX679" s="403"/>
      <c r="AY679" s="403"/>
    </row>
    <row r="680">
      <c r="A680" s="415"/>
      <c r="B680" s="415"/>
      <c r="C680" s="410"/>
      <c r="D680" s="429"/>
      <c r="E680" s="416"/>
      <c r="F680" s="413"/>
      <c r="G680" s="413"/>
      <c r="H680" s="415"/>
      <c r="I680" s="415"/>
      <c r="J680" s="415"/>
      <c r="K680" s="415"/>
      <c r="L680" s="417"/>
      <c r="M680" s="403"/>
      <c r="N680" s="403"/>
      <c r="O680" s="403"/>
      <c r="P680" s="403"/>
      <c r="Q680" s="403"/>
      <c r="R680" s="403"/>
      <c r="S680" s="403"/>
      <c r="T680" s="403"/>
      <c r="U680" s="403"/>
      <c r="V680" s="403"/>
      <c r="W680" s="404"/>
      <c r="X680" s="405"/>
      <c r="Y680" s="405"/>
      <c r="Z680" s="405"/>
      <c r="AA680" s="405"/>
      <c r="AB680" s="405"/>
      <c r="AC680" s="405"/>
      <c r="AD680" s="405"/>
      <c r="AE680" s="405"/>
      <c r="AF680" s="405"/>
      <c r="AG680" s="405"/>
      <c r="AH680" s="405"/>
      <c r="AI680" s="405"/>
      <c r="AJ680" s="405"/>
      <c r="AK680" s="405"/>
      <c r="AL680" s="405"/>
      <c r="AM680" s="406"/>
      <c r="AN680" s="406"/>
      <c r="AO680" s="406"/>
      <c r="AP680" s="406"/>
      <c r="AQ680" s="403"/>
      <c r="AR680" s="403"/>
      <c r="AS680" s="403"/>
      <c r="AT680" s="403"/>
      <c r="AU680" s="403"/>
      <c r="AV680" s="403"/>
      <c r="AW680" s="403"/>
      <c r="AX680" s="403"/>
      <c r="AY680" s="403"/>
    </row>
    <row r="681">
      <c r="A681" s="415"/>
      <c r="B681" s="415"/>
      <c r="C681" s="410"/>
      <c r="D681" s="429"/>
      <c r="E681" s="416"/>
      <c r="F681" s="413"/>
      <c r="G681" s="413"/>
      <c r="H681" s="415"/>
      <c r="I681" s="415"/>
      <c r="J681" s="415"/>
      <c r="K681" s="415"/>
      <c r="L681" s="417"/>
      <c r="M681" s="403"/>
      <c r="N681" s="403"/>
      <c r="O681" s="403"/>
      <c r="P681" s="403"/>
      <c r="Q681" s="403"/>
      <c r="R681" s="403"/>
      <c r="S681" s="403"/>
      <c r="T681" s="403"/>
      <c r="U681" s="403"/>
      <c r="V681" s="403"/>
      <c r="W681" s="404"/>
      <c r="X681" s="405"/>
      <c r="Y681" s="405"/>
      <c r="Z681" s="405"/>
      <c r="AA681" s="405"/>
      <c r="AB681" s="405"/>
      <c r="AC681" s="405"/>
      <c r="AD681" s="405"/>
      <c r="AE681" s="405"/>
      <c r="AF681" s="405"/>
      <c r="AG681" s="405"/>
      <c r="AH681" s="405"/>
      <c r="AI681" s="405"/>
      <c r="AJ681" s="405"/>
      <c r="AK681" s="405"/>
      <c r="AL681" s="405"/>
      <c r="AM681" s="406"/>
      <c r="AN681" s="406"/>
      <c r="AO681" s="406"/>
      <c r="AP681" s="406"/>
      <c r="AQ681" s="403"/>
      <c r="AR681" s="403"/>
      <c r="AS681" s="403"/>
      <c r="AT681" s="403"/>
      <c r="AU681" s="403"/>
      <c r="AV681" s="403"/>
      <c r="AW681" s="403"/>
      <c r="AX681" s="403"/>
      <c r="AY681" s="403"/>
    </row>
    <row r="682">
      <c r="A682" s="415"/>
      <c r="B682" s="415"/>
      <c r="C682" s="410"/>
      <c r="D682" s="429"/>
      <c r="E682" s="416"/>
      <c r="F682" s="413"/>
      <c r="G682" s="413"/>
      <c r="H682" s="415"/>
      <c r="I682" s="415"/>
      <c r="J682" s="415"/>
      <c r="K682" s="415"/>
      <c r="L682" s="417"/>
      <c r="M682" s="403"/>
      <c r="N682" s="403"/>
      <c r="O682" s="403"/>
      <c r="P682" s="403"/>
      <c r="Q682" s="403"/>
      <c r="R682" s="403"/>
      <c r="S682" s="403"/>
      <c r="T682" s="403"/>
      <c r="U682" s="403"/>
      <c r="V682" s="403"/>
      <c r="W682" s="404"/>
      <c r="X682" s="405"/>
      <c r="Y682" s="405"/>
      <c r="Z682" s="405"/>
      <c r="AA682" s="405"/>
      <c r="AB682" s="405"/>
      <c r="AC682" s="405"/>
      <c r="AD682" s="405"/>
      <c r="AE682" s="405"/>
      <c r="AF682" s="405"/>
      <c r="AG682" s="405"/>
      <c r="AH682" s="405"/>
      <c r="AI682" s="405"/>
      <c r="AJ682" s="405"/>
      <c r="AK682" s="405"/>
      <c r="AL682" s="405"/>
      <c r="AM682" s="406"/>
      <c r="AN682" s="406"/>
      <c r="AO682" s="406"/>
      <c r="AP682" s="406"/>
      <c r="AQ682" s="403"/>
      <c r="AR682" s="403"/>
      <c r="AS682" s="403"/>
      <c r="AT682" s="403"/>
      <c r="AU682" s="403"/>
      <c r="AV682" s="403"/>
      <c r="AW682" s="403"/>
      <c r="AX682" s="403"/>
      <c r="AY682" s="403"/>
    </row>
    <row r="683">
      <c r="A683" s="415"/>
      <c r="B683" s="415"/>
      <c r="C683" s="410"/>
      <c r="D683" s="429"/>
      <c r="E683" s="416"/>
      <c r="F683" s="413"/>
      <c r="G683" s="413"/>
      <c r="H683" s="415"/>
      <c r="I683" s="415"/>
      <c r="J683" s="415"/>
      <c r="K683" s="415"/>
      <c r="L683" s="417"/>
      <c r="M683" s="403"/>
      <c r="N683" s="403"/>
      <c r="O683" s="403"/>
      <c r="P683" s="403"/>
      <c r="Q683" s="403"/>
      <c r="R683" s="403"/>
      <c r="S683" s="403"/>
      <c r="T683" s="403"/>
      <c r="U683" s="403"/>
      <c r="V683" s="403"/>
      <c r="W683" s="404"/>
      <c r="X683" s="405"/>
      <c r="Y683" s="405"/>
      <c r="Z683" s="405"/>
      <c r="AA683" s="405"/>
      <c r="AB683" s="405"/>
      <c r="AC683" s="405"/>
      <c r="AD683" s="405"/>
      <c r="AE683" s="405"/>
      <c r="AF683" s="405"/>
      <c r="AG683" s="405"/>
      <c r="AH683" s="405"/>
      <c r="AI683" s="405"/>
      <c r="AJ683" s="405"/>
      <c r="AK683" s="405"/>
      <c r="AL683" s="405"/>
      <c r="AM683" s="406"/>
      <c r="AN683" s="406"/>
      <c r="AO683" s="406"/>
      <c r="AP683" s="406"/>
      <c r="AQ683" s="403"/>
      <c r="AR683" s="403"/>
      <c r="AS683" s="403"/>
      <c r="AT683" s="403"/>
      <c r="AU683" s="403"/>
      <c r="AV683" s="403"/>
      <c r="AW683" s="403"/>
      <c r="AX683" s="403"/>
      <c r="AY683" s="403"/>
    </row>
    <row r="684">
      <c r="A684" s="415"/>
      <c r="B684" s="415"/>
      <c r="C684" s="410"/>
      <c r="D684" s="429"/>
      <c r="E684" s="416"/>
      <c r="F684" s="413"/>
      <c r="G684" s="413"/>
      <c r="H684" s="415"/>
      <c r="I684" s="415"/>
      <c r="J684" s="415"/>
      <c r="K684" s="415"/>
      <c r="L684" s="417"/>
      <c r="M684" s="403"/>
      <c r="N684" s="403"/>
      <c r="O684" s="403"/>
      <c r="P684" s="403"/>
      <c r="Q684" s="403"/>
      <c r="R684" s="403"/>
      <c r="S684" s="403"/>
      <c r="T684" s="403"/>
      <c r="U684" s="403"/>
      <c r="V684" s="403"/>
      <c r="W684" s="404"/>
      <c r="X684" s="405"/>
      <c r="Y684" s="405"/>
      <c r="Z684" s="405"/>
      <c r="AA684" s="405"/>
      <c r="AB684" s="405"/>
      <c r="AC684" s="405"/>
      <c r="AD684" s="405"/>
      <c r="AE684" s="405"/>
      <c r="AF684" s="405"/>
      <c r="AG684" s="405"/>
      <c r="AH684" s="405"/>
      <c r="AI684" s="405"/>
      <c r="AJ684" s="405"/>
      <c r="AK684" s="405"/>
      <c r="AL684" s="405"/>
      <c r="AM684" s="406"/>
      <c r="AN684" s="406"/>
      <c r="AO684" s="406"/>
      <c r="AP684" s="406"/>
      <c r="AQ684" s="403"/>
      <c r="AR684" s="403"/>
      <c r="AS684" s="403"/>
      <c r="AT684" s="403"/>
      <c r="AU684" s="403"/>
      <c r="AV684" s="403"/>
      <c r="AW684" s="403"/>
      <c r="AX684" s="403"/>
      <c r="AY684" s="403"/>
    </row>
    <row r="685">
      <c r="A685" s="415"/>
      <c r="B685" s="415"/>
      <c r="C685" s="410"/>
      <c r="D685" s="429"/>
      <c r="E685" s="416"/>
      <c r="F685" s="413"/>
      <c r="G685" s="413"/>
      <c r="H685" s="415"/>
      <c r="I685" s="415"/>
      <c r="J685" s="415"/>
      <c r="K685" s="415"/>
      <c r="L685" s="417"/>
      <c r="M685" s="403"/>
      <c r="N685" s="403"/>
      <c r="O685" s="403"/>
      <c r="P685" s="403"/>
      <c r="Q685" s="403"/>
      <c r="R685" s="403"/>
      <c r="S685" s="403"/>
      <c r="T685" s="403"/>
      <c r="U685" s="403"/>
      <c r="V685" s="403"/>
      <c r="W685" s="404"/>
      <c r="X685" s="405"/>
      <c r="Y685" s="405"/>
      <c r="Z685" s="405"/>
      <c r="AA685" s="405"/>
      <c r="AB685" s="405"/>
      <c r="AC685" s="405"/>
      <c r="AD685" s="405"/>
      <c r="AE685" s="405"/>
      <c r="AF685" s="405"/>
      <c r="AG685" s="405"/>
      <c r="AH685" s="405"/>
      <c r="AI685" s="405"/>
      <c r="AJ685" s="405"/>
      <c r="AK685" s="405"/>
      <c r="AL685" s="405"/>
      <c r="AM685" s="406"/>
      <c r="AN685" s="406"/>
      <c r="AO685" s="406"/>
      <c r="AP685" s="406"/>
      <c r="AQ685" s="403"/>
      <c r="AR685" s="403"/>
      <c r="AS685" s="403"/>
      <c r="AT685" s="403"/>
      <c r="AU685" s="403"/>
      <c r="AV685" s="403"/>
      <c r="AW685" s="403"/>
      <c r="AX685" s="403"/>
      <c r="AY685" s="403"/>
    </row>
    <row r="686">
      <c r="A686" s="415"/>
      <c r="B686" s="415"/>
      <c r="C686" s="410"/>
      <c r="D686" s="429"/>
      <c r="E686" s="416"/>
      <c r="F686" s="413"/>
      <c r="G686" s="413"/>
      <c r="H686" s="415"/>
      <c r="I686" s="415"/>
      <c r="J686" s="415"/>
      <c r="K686" s="415"/>
      <c r="L686" s="417"/>
      <c r="M686" s="403"/>
      <c r="N686" s="403"/>
      <c r="O686" s="403"/>
      <c r="P686" s="403"/>
      <c r="Q686" s="403"/>
      <c r="R686" s="403"/>
      <c r="S686" s="403"/>
      <c r="T686" s="403"/>
      <c r="U686" s="403"/>
      <c r="V686" s="403"/>
      <c r="W686" s="404"/>
      <c r="X686" s="405"/>
      <c r="Y686" s="405"/>
      <c r="Z686" s="405"/>
      <c r="AA686" s="405"/>
      <c r="AB686" s="405"/>
      <c r="AC686" s="405"/>
      <c r="AD686" s="405"/>
      <c r="AE686" s="405"/>
      <c r="AF686" s="405"/>
      <c r="AG686" s="405"/>
      <c r="AH686" s="405"/>
      <c r="AI686" s="405"/>
      <c r="AJ686" s="405"/>
      <c r="AK686" s="405"/>
      <c r="AL686" s="405"/>
      <c r="AM686" s="406"/>
      <c r="AN686" s="406"/>
      <c r="AO686" s="406"/>
      <c r="AP686" s="406"/>
      <c r="AQ686" s="403"/>
      <c r="AR686" s="403"/>
      <c r="AS686" s="403"/>
      <c r="AT686" s="403"/>
      <c r="AU686" s="403"/>
      <c r="AV686" s="403"/>
      <c r="AW686" s="403"/>
      <c r="AX686" s="403"/>
      <c r="AY686" s="403"/>
    </row>
    <row r="687">
      <c r="A687" s="415"/>
      <c r="B687" s="415"/>
      <c r="C687" s="410"/>
      <c r="D687" s="429"/>
      <c r="E687" s="416"/>
      <c r="F687" s="413"/>
      <c r="G687" s="413"/>
      <c r="H687" s="415"/>
      <c r="I687" s="415"/>
      <c r="J687" s="415"/>
      <c r="K687" s="415"/>
      <c r="L687" s="417"/>
      <c r="M687" s="403"/>
      <c r="N687" s="403"/>
      <c r="O687" s="403"/>
      <c r="P687" s="403"/>
      <c r="Q687" s="403"/>
      <c r="R687" s="403"/>
      <c r="S687" s="403"/>
      <c r="T687" s="403"/>
      <c r="U687" s="403"/>
      <c r="V687" s="403"/>
      <c r="W687" s="404"/>
      <c r="X687" s="405"/>
      <c r="Y687" s="405"/>
      <c r="Z687" s="405"/>
      <c r="AA687" s="405"/>
      <c r="AB687" s="405"/>
      <c r="AC687" s="405"/>
      <c r="AD687" s="405"/>
      <c r="AE687" s="405"/>
      <c r="AF687" s="405"/>
      <c r="AG687" s="405"/>
      <c r="AH687" s="405"/>
      <c r="AI687" s="405"/>
      <c r="AJ687" s="405"/>
      <c r="AK687" s="405"/>
      <c r="AL687" s="405"/>
      <c r="AM687" s="406"/>
      <c r="AN687" s="406"/>
      <c r="AO687" s="406"/>
      <c r="AP687" s="406"/>
      <c r="AQ687" s="403"/>
      <c r="AR687" s="403"/>
      <c r="AS687" s="403"/>
      <c r="AT687" s="403"/>
      <c r="AU687" s="403"/>
      <c r="AV687" s="403"/>
      <c r="AW687" s="403"/>
      <c r="AX687" s="403"/>
      <c r="AY687" s="403"/>
    </row>
    <row r="688">
      <c r="A688" s="415"/>
      <c r="B688" s="415"/>
      <c r="C688" s="410"/>
      <c r="D688" s="429"/>
      <c r="E688" s="416"/>
      <c r="F688" s="413"/>
      <c r="G688" s="413"/>
      <c r="H688" s="415"/>
      <c r="I688" s="415"/>
      <c r="J688" s="415"/>
      <c r="K688" s="415"/>
      <c r="L688" s="417"/>
      <c r="M688" s="403"/>
      <c r="N688" s="403"/>
      <c r="O688" s="403"/>
      <c r="P688" s="403"/>
      <c r="Q688" s="403"/>
      <c r="R688" s="403"/>
      <c r="S688" s="403"/>
      <c r="T688" s="403"/>
      <c r="U688" s="403"/>
      <c r="V688" s="403"/>
      <c r="W688" s="404"/>
      <c r="X688" s="405"/>
      <c r="Y688" s="405"/>
      <c r="Z688" s="405"/>
      <c r="AA688" s="405"/>
      <c r="AB688" s="405"/>
      <c r="AC688" s="405"/>
      <c r="AD688" s="405"/>
      <c r="AE688" s="405"/>
      <c r="AF688" s="405"/>
      <c r="AG688" s="405"/>
      <c r="AH688" s="405"/>
      <c r="AI688" s="405"/>
      <c r="AJ688" s="405"/>
      <c r="AK688" s="405"/>
      <c r="AL688" s="405"/>
      <c r="AM688" s="406"/>
      <c r="AN688" s="406"/>
      <c r="AO688" s="406"/>
      <c r="AP688" s="406"/>
      <c r="AQ688" s="403"/>
      <c r="AR688" s="403"/>
      <c r="AS688" s="403"/>
      <c r="AT688" s="403"/>
      <c r="AU688" s="403"/>
      <c r="AV688" s="403"/>
      <c r="AW688" s="403"/>
      <c r="AX688" s="403"/>
      <c r="AY688" s="403"/>
    </row>
    <row r="689">
      <c r="A689" s="415"/>
      <c r="B689" s="415"/>
      <c r="C689" s="410"/>
      <c r="D689" s="429"/>
      <c r="E689" s="416"/>
      <c r="F689" s="413"/>
      <c r="G689" s="413"/>
      <c r="H689" s="415"/>
      <c r="I689" s="415"/>
      <c r="J689" s="415"/>
      <c r="K689" s="415"/>
      <c r="L689" s="417"/>
      <c r="M689" s="403"/>
      <c r="N689" s="403"/>
      <c r="O689" s="403"/>
      <c r="P689" s="403"/>
      <c r="Q689" s="403"/>
      <c r="R689" s="403"/>
      <c r="S689" s="403"/>
      <c r="T689" s="403"/>
      <c r="U689" s="403"/>
      <c r="V689" s="403"/>
      <c r="W689" s="404"/>
      <c r="X689" s="405"/>
      <c r="Y689" s="405"/>
      <c r="Z689" s="405"/>
      <c r="AA689" s="405"/>
      <c r="AB689" s="405"/>
      <c r="AC689" s="405"/>
      <c r="AD689" s="405"/>
      <c r="AE689" s="405"/>
      <c r="AF689" s="405"/>
      <c r="AG689" s="405"/>
      <c r="AH689" s="405"/>
      <c r="AI689" s="405"/>
      <c r="AJ689" s="405"/>
      <c r="AK689" s="405"/>
      <c r="AL689" s="405"/>
      <c r="AM689" s="406"/>
      <c r="AN689" s="406"/>
      <c r="AO689" s="406"/>
      <c r="AP689" s="406"/>
      <c r="AQ689" s="403"/>
      <c r="AR689" s="403"/>
      <c r="AS689" s="403"/>
      <c r="AT689" s="403"/>
      <c r="AU689" s="403"/>
      <c r="AV689" s="403"/>
      <c r="AW689" s="403"/>
      <c r="AX689" s="403"/>
      <c r="AY689" s="403"/>
    </row>
    <row r="690">
      <c r="A690" s="415"/>
      <c r="B690" s="415"/>
      <c r="C690" s="410"/>
      <c r="D690" s="429"/>
      <c r="E690" s="416"/>
      <c r="F690" s="413"/>
      <c r="G690" s="413"/>
      <c r="H690" s="415"/>
      <c r="I690" s="415"/>
      <c r="J690" s="415"/>
      <c r="K690" s="415"/>
      <c r="L690" s="417"/>
      <c r="M690" s="403"/>
      <c r="N690" s="403"/>
      <c r="O690" s="403"/>
      <c r="P690" s="403"/>
      <c r="Q690" s="403"/>
      <c r="R690" s="403"/>
      <c r="S690" s="403"/>
      <c r="T690" s="403"/>
      <c r="U690" s="403"/>
      <c r="V690" s="403"/>
      <c r="W690" s="404"/>
      <c r="X690" s="405"/>
      <c r="Y690" s="405"/>
      <c r="Z690" s="405"/>
      <c r="AA690" s="405"/>
      <c r="AB690" s="405"/>
      <c r="AC690" s="405"/>
      <c r="AD690" s="405"/>
      <c r="AE690" s="405"/>
      <c r="AF690" s="405"/>
      <c r="AG690" s="405"/>
      <c r="AH690" s="405"/>
      <c r="AI690" s="405"/>
      <c r="AJ690" s="405"/>
      <c r="AK690" s="405"/>
      <c r="AL690" s="405"/>
      <c r="AM690" s="406"/>
      <c r="AN690" s="406"/>
      <c r="AO690" s="406"/>
      <c r="AP690" s="406"/>
      <c r="AQ690" s="403"/>
      <c r="AR690" s="403"/>
      <c r="AS690" s="403"/>
      <c r="AT690" s="403"/>
      <c r="AU690" s="403"/>
      <c r="AV690" s="403"/>
      <c r="AW690" s="403"/>
      <c r="AX690" s="403"/>
      <c r="AY690" s="403"/>
    </row>
    <row r="691">
      <c r="A691" s="415"/>
      <c r="B691" s="415"/>
      <c r="C691" s="410"/>
      <c r="D691" s="429"/>
      <c r="E691" s="416"/>
      <c r="F691" s="413"/>
      <c r="G691" s="413"/>
      <c r="H691" s="415"/>
      <c r="I691" s="415"/>
      <c r="J691" s="415"/>
      <c r="K691" s="415"/>
      <c r="L691" s="417"/>
      <c r="M691" s="403"/>
      <c r="N691" s="403"/>
      <c r="O691" s="403"/>
      <c r="P691" s="403"/>
      <c r="Q691" s="403"/>
      <c r="R691" s="403"/>
      <c r="S691" s="403"/>
      <c r="T691" s="403"/>
      <c r="U691" s="403"/>
      <c r="V691" s="403"/>
      <c r="W691" s="404"/>
      <c r="X691" s="405"/>
      <c r="Y691" s="405"/>
      <c r="Z691" s="405"/>
      <c r="AA691" s="405"/>
      <c r="AB691" s="405"/>
      <c r="AC691" s="405"/>
      <c r="AD691" s="405"/>
      <c r="AE691" s="405"/>
      <c r="AF691" s="405"/>
      <c r="AG691" s="405"/>
      <c r="AH691" s="405"/>
      <c r="AI691" s="405"/>
      <c r="AJ691" s="405"/>
      <c r="AK691" s="405"/>
      <c r="AL691" s="405"/>
      <c r="AM691" s="406"/>
      <c r="AN691" s="406"/>
      <c r="AO691" s="406"/>
      <c r="AP691" s="406"/>
      <c r="AQ691" s="403"/>
      <c r="AR691" s="403"/>
      <c r="AS691" s="403"/>
      <c r="AT691" s="403"/>
      <c r="AU691" s="403"/>
      <c r="AV691" s="403"/>
      <c r="AW691" s="403"/>
      <c r="AX691" s="403"/>
      <c r="AY691" s="403"/>
    </row>
    <row r="692">
      <c r="A692" s="415"/>
      <c r="B692" s="415"/>
      <c r="C692" s="410"/>
      <c r="D692" s="429"/>
      <c r="E692" s="416"/>
      <c r="F692" s="413"/>
      <c r="G692" s="413"/>
      <c r="H692" s="415"/>
      <c r="I692" s="415"/>
      <c r="J692" s="415"/>
      <c r="K692" s="415"/>
      <c r="L692" s="417"/>
      <c r="M692" s="403"/>
      <c r="N692" s="403"/>
      <c r="O692" s="403"/>
      <c r="P692" s="403"/>
      <c r="Q692" s="403"/>
      <c r="R692" s="403"/>
      <c r="S692" s="403"/>
      <c r="T692" s="403"/>
      <c r="U692" s="403"/>
      <c r="V692" s="403"/>
      <c r="W692" s="404"/>
      <c r="X692" s="405"/>
      <c r="Y692" s="405"/>
      <c r="Z692" s="405"/>
      <c r="AA692" s="405"/>
      <c r="AB692" s="405"/>
      <c r="AC692" s="405"/>
      <c r="AD692" s="405"/>
      <c r="AE692" s="405"/>
      <c r="AF692" s="405"/>
      <c r="AG692" s="405"/>
      <c r="AH692" s="405"/>
      <c r="AI692" s="405"/>
      <c r="AJ692" s="405"/>
      <c r="AK692" s="405"/>
      <c r="AL692" s="405"/>
      <c r="AM692" s="406"/>
      <c r="AN692" s="406"/>
      <c r="AO692" s="406"/>
      <c r="AP692" s="406"/>
      <c r="AQ692" s="403"/>
      <c r="AR692" s="403"/>
      <c r="AS692" s="403"/>
      <c r="AT692" s="403"/>
      <c r="AU692" s="403"/>
      <c r="AV692" s="403"/>
      <c r="AW692" s="403"/>
      <c r="AX692" s="403"/>
      <c r="AY692" s="403"/>
    </row>
    <row r="693">
      <c r="A693" s="415"/>
      <c r="B693" s="415"/>
      <c r="C693" s="410"/>
      <c r="D693" s="429"/>
      <c r="E693" s="416"/>
      <c r="F693" s="413"/>
      <c r="G693" s="413"/>
      <c r="H693" s="415"/>
      <c r="I693" s="415"/>
      <c r="J693" s="415"/>
      <c r="K693" s="415"/>
      <c r="L693" s="417"/>
      <c r="M693" s="403"/>
      <c r="N693" s="403"/>
      <c r="O693" s="403"/>
      <c r="P693" s="403"/>
      <c r="Q693" s="403"/>
      <c r="R693" s="403"/>
      <c r="S693" s="403"/>
      <c r="T693" s="403"/>
      <c r="U693" s="403"/>
      <c r="V693" s="403"/>
      <c r="W693" s="404"/>
      <c r="X693" s="405"/>
      <c r="Y693" s="405"/>
      <c r="Z693" s="405"/>
      <c r="AA693" s="405"/>
      <c r="AB693" s="405"/>
      <c r="AC693" s="405"/>
      <c r="AD693" s="405"/>
      <c r="AE693" s="405"/>
      <c r="AF693" s="405"/>
      <c r="AG693" s="405"/>
      <c r="AH693" s="405"/>
      <c r="AI693" s="405"/>
      <c r="AJ693" s="405"/>
      <c r="AK693" s="405"/>
      <c r="AL693" s="405"/>
      <c r="AM693" s="406"/>
      <c r="AN693" s="406"/>
      <c r="AO693" s="406"/>
      <c r="AP693" s="406"/>
      <c r="AQ693" s="403"/>
      <c r="AR693" s="403"/>
      <c r="AS693" s="403"/>
      <c r="AT693" s="403"/>
      <c r="AU693" s="403"/>
      <c r="AV693" s="403"/>
      <c r="AW693" s="403"/>
      <c r="AX693" s="403"/>
      <c r="AY693" s="403"/>
    </row>
    <row r="694">
      <c r="A694" s="415"/>
      <c r="B694" s="415"/>
      <c r="C694" s="410"/>
      <c r="D694" s="429"/>
      <c r="E694" s="416"/>
      <c r="F694" s="413"/>
      <c r="G694" s="413"/>
      <c r="H694" s="415"/>
      <c r="I694" s="415"/>
      <c r="J694" s="415"/>
      <c r="K694" s="415"/>
      <c r="L694" s="417"/>
      <c r="M694" s="403"/>
      <c r="N694" s="403"/>
      <c r="O694" s="403"/>
      <c r="P694" s="403"/>
      <c r="Q694" s="403"/>
      <c r="R694" s="403"/>
      <c r="S694" s="403"/>
      <c r="T694" s="403"/>
      <c r="U694" s="403"/>
      <c r="V694" s="403"/>
      <c r="W694" s="404"/>
      <c r="X694" s="405"/>
      <c r="Y694" s="405"/>
      <c r="Z694" s="405"/>
      <c r="AA694" s="405"/>
      <c r="AB694" s="405"/>
      <c r="AC694" s="405"/>
      <c r="AD694" s="405"/>
      <c r="AE694" s="405"/>
      <c r="AF694" s="405"/>
      <c r="AG694" s="405"/>
      <c r="AH694" s="405"/>
      <c r="AI694" s="405"/>
      <c r="AJ694" s="405"/>
      <c r="AK694" s="405"/>
      <c r="AL694" s="405"/>
      <c r="AM694" s="406"/>
      <c r="AN694" s="406"/>
      <c r="AO694" s="406"/>
      <c r="AP694" s="406"/>
      <c r="AQ694" s="403"/>
      <c r="AR694" s="403"/>
      <c r="AS694" s="403"/>
      <c r="AT694" s="403"/>
      <c r="AU694" s="403"/>
      <c r="AV694" s="403"/>
      <c r="AW694" s="403"/>
      <c r="AX694" s="403"/>
      <c r="AY694" s="403"/>
    </row>
    <row r="695">
      <c r="A695" s="415"/>
      <c r="B695" s="415"/>
      <c r="C695" s="410"/>
      <c r="D695" s="429"/>
      <c r="E695" s="416"/>
      <c r="F695" s="413"/>
      <c r="G695" s="413"/>
      <c r="H695" s="415"/>
      <c r="I695" s="415"/>
      <c r="J695" s="415"/>
      <c r="K695" s="415"/>
      <c r="L695" s="417"/>
      <c r="M695" s="403"/>
      <c r="N695" s="403"/>
      <c r="O695" s="403"/>
      <c r="P695" s="403"/>
      <c r="Q695" s="403"/>
      <c r="R695" s="403"/>
      <c r="S695" s="403"/>
      <c r="T695" s="403"/>
      <c r="U695" s="403"/>
      <c r="V695" s="403"/>
      <c r="W695" s="404"/>
      <c r="X695" s="405"/>
      <c r="Y695" s="405"/>
      <c r="Z695" s="405"/>
      <c r="AA695" s="405"/>
      <c r="AB695" s="405"/>
      <c r="AC695" s="405"/>
      <c r="AD695" s="405"/>
      <c r="AE695" s="405"/>
      <c r="AF695" s="405"/>
      <c r="AG695" s="405"/>
      <c r="AH695" s="405"/>
      <c r="AI695" s="405"/>
      <c r="AJ695" s="405"/>
      <c r="AK695" s="405"/>
      <c r="AL695" s="405"/>
      <c r="AM695" s="406"/>
      <c r="AN695" s="406"/>
      <c r="AO695" s="406"/>
      <c r="AP695" s="406"/>
      <c r="AQ695" s="403"/>
      <c r="AR695" s="403"/>
      <c r="AS695" s="403"/>
      <c r="AT695" s="403"/>
      <c r="AU695" s="403"/>
      <c r="AV695" s="403"/>
      <c r="AW695" s="403"/>
      <c r="AX695" s="403"/>
      <c r="AY695" s="403"/>
    </row>
    <row r="696">
      <c r="A696" s="415"/>
      <c r="B696" s="415"/>
      <c r="C696" s="410"/>
      <c r="D696" s="429"/>
      <c r="E696" s="416"/>
      <c r="F696" s="413"/>
      <c r="G696" s="413"/>
      <c r="H696" s="415"/>
      <c r="I696" s="415"/>
      <c r="J696" s="415"/>
      <c r="K696" s="415"/>
      <c r="L696" s="417"/>
      <c r="M696" s="403"/>
      <c r="N696" s="403"/>
      <c r="O696" s="403"/>
      <c r="P696" s="403"/>
      <c r="Q696" s="403"/>
      <c r="R696" s="403"/>
      <c r="S696" s="403"/>
      <c r="T696" s="403"/>
      <c r="U696" s="403"/>
      <c r="V696" s="403"/>
      <c r="W696" s="404"/>
      <c r="X696" s="405"/>
      <c r="Y696" s="405"/>
      <c r="Z696" s="405"/>
      <c r="AA696" s="405"/>
      <c r="AB696" s="405"/>
      <c r="AC696" s="405"/>
      <c r="AD696" s="405"/>
      <c r="AE696" s="405"/>
      <c r="AF696" s="405"/>
      <c r="AG696" s="405"/>
      <c r="AH696" s="405"/>
      <c r="AI696" s="405"/>
      <c r="AJ696" s="405"/>
      <c r="AK696" s="405"/>
      <c r="AL696" s="405"/>
      <c r="AM696" s="406"/>
      <c r="AN696" s="406"/>
      <c r="AO696" s="406"/>
      <c r="AP696" s="406"/>
      <c r="AQ696" s="403"/>
      <c r="AR696" s="403"/>
      <c r="AS696" s="403"/>
      <c r="AT696" s="403"/>
      <c r="AU696" s="403"/>
      <c r="AV696" s="403"/>
      <c r="AW696" s="403"/>
      <c r="AX696" s="403"/>
      <c r="AY696" s="403"/>
    </row>
    <row r="697">
      <c r="A697" s="415"/>
      <c r="B697" s="415"/>
      <c r="C697" s="410"/>
      <c r="D697" s="429"/>
      <c r="E697" s="416"/>
      <c r="F697" s="413"/>
      <c r="G697" s="413"/>
      <c r="H697" s="415"/>
      <c r="I697" s="415"/>
      <c r="J697" s="415"/>
      <c r="K697" s="415"/>
      <c r="L697" s="417"/>
      <c r="M697" s="403"/>
      <c r="N697" s="403"/>
      <c r="O697" s="403"/>
      <c r="P697" s="403"/>
      <c r="Q697" s="403"/>
      <c r="R697" s="403"/>
      <c r="S697" s="403"/>
      <c r="T697" s="403"/>
      <c r="U697" s="403"/>
      <c r="V697" s="403"/>
      <c r="W697" s="404"/>
      <c r="X697" s="405"/>
      <c r="Y697" s="405"/>
      <c r="Z697" s="405"/>
      <c r="AA697" s="405"/>
      <c r="AB697" s="405"/>
      <c r="AC697" s="405"/>
      <c r="AD697" s="405"/>
      <c r="AE697" s="405"/>
      <c r="AF697" s="405"/>
      <c r="AG697" s="405"/>
      <c r="AH697" s="405"/>
      <c r="AI697" s="405"/>
      <c r="AJ697" s="405"/>
      <c r="AK697" s="405"/>
      <c r="AL697" s="405"/>
      <c r="AM697" s="406"/>
      <c r="AN697" s="406"/>
      <c r="AO697" s="406"/>
      <c r="AP697" s="406"/>
      <c r="AQ697" s="403"/>
      <c r="AR697" s="403"/>
      <c r="AS697" s="403"/>
      <c r="AT697" s="403"/>
      <c r="AU697" s="403"/>
      <c r="AV697" s="403"/>
      <c r="AW697" s="403"/>
      <c r="AX697" s="403"/>
      <c r="AY697" s="403"/>
    </row>
    <row r="698">
      <c r="A698" s="415"/>
      <c r="B698" s="415"/>
      <c r="C698" s="410"/>
      <c r="D698" s="429"/>
      <c r="E698" s="416"/>
      <c r="F698" s="413"/>
      <c r="G698" s="413"/>
      <c r="H698" s="415"/>
      <c r="I698" s="415"/>
      <c r="J698" s="415"/>
      <c r="K698" s="415"/>
      <c r="L698" s="417"/>
      <c r="M698" s="403"/>
      <c r="N698" s="403"/>
      <c r="O698" s="403"/>
      <c r="P698" s="403"/>
      <c r="Q698" s="403"/>
      <c r="R698" s="403"/>
      <c r="S698" s="403"/>
      <c r="T698" s="403"/>
      <c r="U698" s="403"/>
      <c r="V698" s="403"/>
      <c r="W698" s="404"/>
      <c r="X698" s="405"/>
      <c r="Y698" s="405"/>
      <c r="Z698" s="405"/>
      <c r="AA698" s="405"/>
      <c r="AB698" s="405"/>
      <c r="AC698" s="405"/>
      <c r="AD698" s="405"/>
      <c r="AE698" s="405"/>
      <c r="AF698" s="405"/>
      <c r="AG698" s="405"/>
      <c r="AH698" s="405"/>
      <c r="AI698" s="405"/>
      <c r="AJ698" s="405"/>
      <c r="AK698" s="405"/>
      <c r="AL698" s="405"/>
      <c r="AM698" s="406"/>
      <c r="AN698" s="406"/>
      <c r="AO698" s="406"/>
      <c r="AP698" s="406"/>
      <c r="AQ698" s="403"/>
      <c r="AR698" s="403"/>
      <c r="AS698" s="403"/>
      <c r="AT698" s="403"/>
      <c r="AU698" s="403"/>
      <c r="AV698" s="403"/>
      <c r="AW698" s="403"/>
      <c r="AX698" s="403"/>
      <c r="AY698" s="403"/>
    </row>
    <row r="699">
      <c r="A699" s="415"/>
      <c r="B699" s="415"/>
      <c r="C699" s="410"/>
      <c r="D699" s="429"/>
      <c r="E699" s="416"/>
      <c r="F699" s="413"/>
      <c r="G699" s="413"/>
      <c r="H699" s="415"/>
      <c r="I699" s="415"/>
      <c r="J699" s="415"/>
      <c r="K699" s="415"/>
      <c r="L699" s="417"/>
      <c r="M699" s="403"/>
      <c r="N699" s="403"/>
      <c r="O699" s="403"/>
      <c r="P699" s="403"/>
      <c r="Q699" s="403"/>
      <c r="R699" s="403"/>
      <c r="S699" s="403"/>
      <c r="T699" s="403"/>
      <c r="U699" s="403"/>
      <c r="V699" s="403"/>
      <c r="W699" s="404"/>
      <c r="X699" s="405"/>
      <c r="Y699" s="405"/>
      <c r="Z699" s="405"/>
      <c r="AA699" s="405"/>
      <c r="AB699" s="405"/>
      <c r="AC699" s="405"/>
      <c r="AD699" s="405"/>
      <c r="AE699" s="405"/>
      <c r="AF699" s="405"/>
      <c r="AG699" s="405"/>
      <c r="AH699" s="405"/>
      <c r="AI699" s="405"/>
      <c r="AJ699" s="405"/>
      <c r="AK699" s="405"/>
      <c r="AL699" s="405"/>
      <c r="AM699" s="406"/>
      <c r="AN699" s="406"/>
      <c r="AO699" s="406"/>
      <c r="AP699" s="406"/>
      <c r="AQ699" s="403"/>
      <c r="AR699" s="403"/>
      <c r="AS699" s="403"/>
      <c r="AT699" s="403"/>
      <c r="AU699" s="403"/>
      <c r="AV699" s="403"/>
      <c r="AW699" s="403"/>
      <c r="AX699" s="403"/>
      <c r="AY699" s="403"/>
    </row>
    <row r="700">
      <c r="A700" s="415"/>
      <c r="B700" s="415"/>
      <c r="C700" s="410"/>
      <c r="D700" s="429"/>
      <c r="E700" s="416"/>
      <c r="F700" s="413"/>
      <c r="G700" s="413"/>
      <c r="H700" s="415"/>
      <c r="I700" s="415"/>
      <c r="J700" s="415"/>
      <c r="K700" s="415"/>
      <c r="L700" s="417"/>
      <c r="M700" s="403"/>
      <c r="N700" s="403"/>
      <c r="O700" s="403"/>
      <c r="P700" s="403"/>
      <c r="Q700" s="403"/>
      <c r="R700" s="403"/>
      <c r="S700" s="403"/>
      <c r="T700" s="403"/>
      <c r="U700" s="403"/>
      <c r="V700" s="403"/>
      <c r="W700" s="404"/>
      <c r="X700" s="405"/>
      <c r="Y700" s="405"/>
      <c r="Z700" s="405"/>
      <c r="AA700" s="405"/>
      <c r="AB700" s="405"/>
      <c r="AC700" s="405"/>
      <c r="AD700" s="405"/>
      <c r="AE700" s="405"/>
      <c r="AF700" s="405"/>
      <c r="AG700" s="405"/>
      <c r="AH700" s="405"/>
      <c r="AI700" s="405"/>
      <c r="AJ700" s="405"/>
      <c r="AK700" s="405"/>
      <c r="AL700" s="405"/>
      <c r="AM700" s="406"/>
      <c r="AN700" s="406"/>
      <c r="AO700" s="406"/>
      <c r="AP700" s="406"/>
      <c r="AQ700" s="403"/>
      <c r="AR700" s="403"/>
      <c r="AS700" s="403"/>
      <c r="AT700" s="403"/>
      <c r="AU700" s="403"/>
      <c r="AV700" s="403"/>
      <c r="AW700" s="403"/>
      <c r="AX700" s="403"/>
      <c r="AY700" s="403"/>
    </row>
    <row r="701">
      <c r="A701" s="415"/>
      <c r="B701" s="415"/>
      <c r="C701" s="410"/>
      <c r="D701" s="429"/>
      <c r="E701" s="416"/>
      <c r="F701" s="413"/>
      <c r="G701" s="413"/>
      <c r="H701" s="415"/>
      <c r="I701" s="415"/>
      <c r="J701" s="415"/>
      <c r="K701" s="415"/>
      <c r="L701" s="417"/>
      <c r="M701" s="403"/>
      <c r="N701" s="403"/>
      <c r="O701" s="403"/>
      <c r="P701" s="403"/>
      <c r="Q701" s="403"/>
      <c r="R701" s="403"/>
      <c r="S701" s="403"/>
      <c r="T701" s="403"/>
      <c r="U701" s="403"/>
      <c r="V701" s="403"/>
      <c r="W701" s="404"/>
      <c r="X701" s="405"/>
      <c r="Y701" s="405"/>
      <c r="Z701" s="405"/>
      <c r="AA701" s="405"/>
      <c r="AB701" s="405"/>
      <c r="AC701" s="405"/>
      <c r="AD701" s="405"/>
      <c r="AE701" s="405"/>
      <c r="AF701" s="405"/>
      <c r="AG701" s="405"/>
      <c r="AH701" s="405"/>
      <c r="AI701" s="405"/>
      <c r="AJ701" s="405"/>
      <c r="AK701" s="405"/>
      <c r="AL701" s="405"/>
      <c r="AM701" s="406"/>
      <c r="AN701" s="406"/>
      <c r="AO701" s="406"/>
      <c r="AP701" s="406"/>
      <c r="AQ701" s="403"/>
      <c r="AR701" s="403"/>
      <c r="AS701" s="403"/>
      <c r="AT701" s="403"/>
      <c r="AU701" s="403"/>
      <c r="AV701" s="403"/>
      <c r="AW701" s="403"/>
      <c r="AX701" s="403"/>
      <c r="AY701" s="403"/>
    </row>
    <row r="702">
      <c r="A702" s="415"/>
      <c r="B702" s="415"/>
      <c r="C702" s="410"/>
      <c r="D702" s="429"/>
      <c r="E702" s="416"/>
      <c r="F702" s="413"/>
      <c r="G702" s="413"/>
      <c r="H702" s="415"/>
      <c r="I702" s="415"/>
      <c r="J702" s="415"/>
      <c r="K702" s="415"/>
      <c r="L702" s="417"/>
      <c r="M702" s="403"/>
      <c r="N702" s="403"/>
      <c r="O702" s="403"/>
      <c r="P702" s="403"/>
      <c r="Q702" s="403"/>
      <c r="R702" s="403"/>
      <c r="S702" s="403"/>
      <c r="T702" s="403"/>
      <c r="U702" s="403"/>
      <c r="V702" s="403"/>
      <c r="W702" s="404"/>
      <c r="X702" s="405"/>
      <c r="Y702" s="405"/>
      <c r="Z702" s="405"/>
      <c r="AA702" s="405"/>
      <c r="AB702" s="405"/>
      <c r="AC702" s="405"/>
      <c r="AD702" s="405"/>
      <c r="AE702" s="405"/>
      <c r="AF702" s="405"/>
      <c r="AG702" s="405"/>
      <c r="AH702" s="405"/>
      <c r="AI702" s="405"/>
      <c r="AJ702" s="405"/>
      <c r="AK702" s="405"/>
      <c r="AL702" s="405"/>
      <c r="AM702" s="406"/>
      <c r="AN702" s="406"/>
      <c r="AO702" s="406"/>
      <c r="AP702" s="406"/>
      <c r="AQ702" s="403"/>
      <c r="AR702" s="403"/>
      <c r="AS702" s="403"/>
      <c r="AT702" s="403"/>
      <c r="AU702" s="403"/>
      <c r="AV702" s="403"/>
      <c r="AW702" s="403"/>
      <c r="AX702" s="403"/>
      <c r="AY702" s="403"/>
    </row>
    <row r="703">
      <c r="A703" s="415"/>
      <c r="B703" s="415"/>
      <c r="C703" s="410"/>
      <c r="D703" s="429"/>
      <c r="E703" s="416"/>
      <c r="F703" s="413"/>
      <c r="G703" s="413"/>
      <c r="H703" s="415"/>
      <c r="I703" s="415"/>
      <c r="J703" s="415"/>
      <c r="K703" s="415"/>
      <c r="L703" s="417"/>
      <c r="M703" s="403"/>
      <c r="N703" s="403"/>
      <c r="O703" s="403"/>
      <c r="P703" s="403"/>
      <c r="Q703" s="403"/>
      <c r="R703" s="403"/>
      <c r="S703" s="403"/>
      <c r="T703" s="403"/>
      <c r="U703" s="403"/>
      <c r="V703" s="403"/>
      <c r="W703" s="404"/>
      <c r="X703" s="405"/>
      <c r="Y703" s="405"/>
      <c r="Z703" s="405"/>
      <c r="AA703" s="405"/>
      <c r="AB703" s="405"/>
      <c r="AC703" s="405"/>
      <c r="AD703" s="405"/>
      <c r="AE703" s="405"/>
      <c r="AF703" s="405"/>
      <c r="AG703" s="405"/>
      <c r="AH703" s="405"/>
      <c r="AI703" s="405"/>
      <c r="AJ703" s="405"/>
      <c r="AK703" s="405"/>
      <c r="AL703" s="405"/>
      <c r="AM703" s="406"/>
      <c r="AN703" s="406"/>
      <c r="AO703" s="406"/>
      <c r="AP703" s="406"/>
      <c r="AQ703" s="403"/>
      <c r="AR703" s="403"/>
      <c r="AS703" s="403"/>
      <c r="AT703" s="403"/>
      <c r="AU703" s="403"/>
      <c r="AV703" s="403"/>
      <c r="AW703" s="403"/>
      <c r="AX703" s="403"/>
      <c r="AY703" s="403"/>
    </row>
    <row r="704">
      <c r="A704" s="415"/>
      <c r="B704" s="415"/>
      <c r="C704" s="410"/>
      <c r="D704" s="429"/>
      <c r="E704" s="416"/>
      <c r="F704" s="413"/>
      <c r="G704" s="413"/>
      <c r="H704" s="415"/>
      <c r="I704" s="415"/>
      <c r="J704" s="415"/>
      <c r="K704" s="415"/>
      <c r="L704" s="417"/>
      <c r="M704" s="403"/>
      <c r="N704" s="403"/>
      <c r="O704" s="403"/>
      <c r="P704" s="403"/>
      <c r="Q704" s="403"/>
      <c r="R704" s="403"/>
      <c r="S704" s="403"/>
      <c r="T704" s="403"/>
      <c r="U704" s="403"/>
      <c r="V704" s="403"/>
      <c r="W704" s="404"/>
      <c r="X704" s="405"/>
      <c r="Y704" s="405"/>
      <c r="Z704" s="405"/>
      <c r="AA704" s="405"/>
      <c r="AB704" s="405"/>
      <c r="AC704" s="405"/>
      <c r="AD704" s="405"/>
      <c r="AE704" s="405"/>
      <c r="AF704" s="405"/>
      <c r="AG704" s="405"/>
      <c r="AH704" s="405"/>
      <c r="AI704" s="405"/>
      <c r="AJ704" s="405"/>
      <c r="AK704" s="405"/>
      <c r="AL704" s="405"/>
      <c r="AM704" s="406"/>
      <c r="AN704" s="406"/>
      <c r="AO704" s="406"/>
      <c r="AP704" s="406"/>
      <c r="AQ704" s="403"/>
      <c r="AR704" s="403"/>
      <c r="AS704" s="403"/>
      <c r="AT704" s="403"/>
      <c r="AU704" s="403"/>
      <c r="AV704" s="403"/>
      <c r="AW704" s="403"/>
      <c r="AX704" s="403"/>
      <c r="AY704" s="403"/>
    </row>
    <row r="705">
      <c r="A705" s="415"/>
      <c r="B705" s="415"/>
      <c r="C705" s="410"/>
      <c r="D705" s="429"/>
      <c r="E705" s="416"/>
      <c r="F705" s="413"/>
      <c r="G705" s="413"/>
      <c r="H705" s="415"/>
      <c r="I705" s="415"/>
      <c r="J705" s="415"/>
      <c r="K705" s="415"/>
      <c r="L705" s="417"/>
      <c r="M705" s="403"/>
      <c r="N705" s="403"/>
      <c r="O705" s="403"/>
      <c r="P705" s="403"/>
      <c r="Q705" s="403"/>
      <c r="R705" s="403"/>
      <c r="S705" s="403"/>
      <c r="T705" s="403"/>
      <c r="U705" s="403"/>
      <c r="V705" s="403"/>
      <c r="W705" s="404"/>
      <c r="X705" s="405"/>
      <c r="Y705" s="405"/>
      <c r="Z705" s="405"/>
      <c r="AA705" s="405"/>
      <c r="AB705" s="405"/>
      <c r="AC705" s="405"/>
      <c r="AD705" s="405"/>
      <c r="AE705" s="405"/>
      <c r="AF705" s="405"/>
      <c r="AG705" s="405"/>
      <c r="AH705" s="405"/>
      <c r="AI705" s="405"/>
      <c r="AJ705" s="405"/>
      <c r="AK705" s="405"/>
      <c r="AL705" s="405"/>
      <c r="AM705" s="406"/>
      <c r="AN705" s="406"/>
      <c r="AO705" s="406"/>
      <c r="AP705" s="406"/>
      <c r="AQ705" s="403"/>
      <c r="AR705" s="403"/>
      <c r="AS705" s="403"/>
      <c r="AT705" s="403"/>
      <c r="AU705" s="403"/>
      <c r="AV705" s="403"/>
      <c r="AW705" s="403"/>
      <c r="AX705" s="403"/>
      <c r="AY705" s="403"/>
    </row>
    <row r="706">
      <c r="A706" s="415"/>
      <c r="B706" s="415"/>
      <c r="C706" s="410"/>
      <c r="D706" s="429"/>
      <c r="E706" s="416"/>
      <c r="F706" s="413"/>
      <c r="G706" s="413"/>
      <c r="H706" s="415"/>
      <c r="I706" s="415"/>
      <c r="J706" s="415"/>
      <c r="K706" s="415"/>
      <c r="L706" s="417"/>
      <c r="M706" s="403"/>
      <c r="N706" s="403"/>
      <c r="O706" s="403"/>
      <c r="P706" s="403"/>
      <c r="Q706" s="403"/>
      <c r="R706" s="403"/>
      <c r="S706" s="403"/>
      <c r="T706" s="403"/>
      <c r="U706" s="403"/>
      <c r="V706" s="403"/>
      <c r="W706" s="404"/>
      <c r="X706" s="405"/>
      <c r="Y706" s="405"/>
      <c r="Z706" s="405"/>
      <c r="AA706" s="405"/>
      <c r="AB706" s="405"/>
      <c r="AC706" s="405"/>
      <c r="AD706" s="405"/>
      <c r="AE706" s="405"/>
      <c r="AF706" s="405"/>
      <c r="AG706" s="405"/>
      <c r="AH706" s="405"/>
      <c r="AI706" s="405"/>
      <c r="AJ706" s="405"/>
      <c r="AK706" s="405"/>
      <c r="AL706" s="405"/>
      <c r="AM706" s="406"/>
      <c r="AN706" s="406"/>
      <c r="AO706" s="406"/>
      <c r="AP706" s="406"/>
      <c r="AQ706" s="403"/>
      <c r="AR706" s="403"/>
      <c r="AS706" s="403"/>
      <c r="AT706" s="403"/>
      <c r="AU706" s="403"/>
      <c r="AV706" s="403"/>
      <c r="AW706" s="403"/>
      <c r="AX706" s="403"/>
      <c r="AY706" s="403"/>
    </row>
    <row r="707">
      <c r="A707" s="415"/>
      <c r="B707" s="415"/>
      <c r="C707" s="410"/>
      <c r="D707" s="429"/>
      <c r="E707" s="416"/>
      <c r="F707" s="413"/>
      <c r="G707" s="413"/>
      <c r="H707" s="415"/>
      <c r="I707" s="415"/>
      <c r="J707" s="415"/>
      <c r="K707" s="415"/>
      <c r="L707" s="417"/>
      <c r="M707" s="403"/>
      <c r="N707" s="403"/>
      <c r="O707" s="403"/>
      <c r="P707" s="403"/>
      <c r="Q707" s="403"/>
      <c r="R707" s="403"/>
      <c r="S707" s="403"/>
      <c r="T707" s="403"/>
      <c r="U707" s="403"/>
      <c r="V707" s="403"/>
      <c r="W707" s="404"/>
      <c r="X707" s="405"/>
      <c r="Y707" s="405"/>
      <c r="Z707" s="405"/>
      <c r="AA707" s="405"/>
      <c r="AB707" s="405"/>
      <c r="AC707" s="405"/>
      <c r="AD707" s="405"/>
      <c r="AE707" s="405"/>
      <c r="AF707" s="405"/>
      <c r="AG707" s="405"/>
      <c r="AH707" s="405"/>
      <c r="AI707" s="405"/>
      <c r="AJ707" s="405"/>
      <c r="AK707" s="405"/>
      <c r="AL707" s="405"/>
      <c r="AM707" s="406"/>
      <c r="AN707" s="406"/>
      <c r="AO707" s="406"/>
      <c r="AP707" s="406"/>
      <c r="AQ707" s="403"/>
      <c r="AR707" s="403"/>
      <c r="AS707" s="403"/>
      <c r="AT707" s="403"/>
      <c r="AU707" s="403"/>
      <c r="AV707" s="403"/>
      <c r="AW707" s="403"/>
      <c r="AX707" s="403"/>
      <c r="AY707" s="403"/>
    </row>
    <row r="708">
      <c r="A708" s="415"/>
      <c r="B708" s="415"/>
      <c r="C708" s="410"/>
      <c r="D708" s="429"/>
      <c r="E708" s="416"/>
      <c r="F708" s="413"/>
      <c r="G708" s="413"/>
      <c r="H708" s="415"/>
      <c r="I708" s="415"/>
      <c r="J708" s="415"/>
      <c r="K708" s="415"/>
      <c r="L708" s="417"/>
      <c r="M708" s="403"/>
      <c r="N708" s="403"/>
      <c r="O708" s="403"/>
      <c r="P708" s="403"/>
      <c r="Q708" s="403"/>
      <c r="R708" s="403"/>
      <c r="S708" s="403"/>
      <c r="T708" s="403"/>
      <c r="U708" s="403"/>
      <c r="V708" s="403"/>
      <c r="W708" s="404"/>
      <c r="X708" s="405"/>
      <c r="Y708" s="405"/>
      <c r="Z708" s="405"/>
      <c r="AA708" s="405"/>
      <c r="AB708" s="405"/>
      <c r="AC708" s="405"/>
      <c r="AD708" s="405"/>
      <c r="AE708" s="405"/>
      <c r="AF708" s="405"/>
      <c r="AG708" s="405"/>
      <c r="AH708" s="405"/>
      <c r="AI708" s="405"/>
      <c r="AJ708" s="405"/>
      <c r="AK708" s="405"/>
      <c r="AL708" s="405"/>
      <c r="AM708" s="406"/>
      <c r="AN708" s="406"/>
      <c r="AO708" s="406"/>
      <c r="AP708" s="406"/>
      <c r="AQ708" s="403"/>
      <c r="AR708" s="403"/>
      <c r="AS708" s="403"/>
      <c r="AT708" s="403"/>
      <c r="AU708" s="403"/>
      <c r="AV708" s="403"/>
      <c r="AW708" s="403"/>
      <c r="AX708" s="403"/>
      <c r="AY708" s="403"/>
    </row>
    <row r="709">
      <c r="A709" s="415"/>
      <c r="B709" s="415"/>
      <c r="C709" s="410"/>
      <c r="D709" s="429"/>
      <c r="E709" s="416"/>
      <c r="F709" s="413"/>
      <c r="G709" s="413"/>
      <c r="H709" s="415"/>
      <c r="I709" s="415"/>
      <c r="J709" s="415"/>
      <c r="K709" s="415"/>
      <c r="L709" s="417"/>
      <c r="M709" s="403"/>
      <c r="N709" s="403"/>
      <c r="O709" s="403"/>
      <c r="P709" s="403"/>
      <c r="Q709" s="403"/>
      <c r="R709" s="403"/>
      <c r="S709" s="403"/>
      <c r="T709" s="403"/>
      <c r="U709" s="403"/>
      <c r="V709" s="403"/>
      <c r="W709" s="404"/>
      <c r="X709" s="405"/>
      <c r="Y709" s="405"/>
      <c r="Z709" s="405"/>
      <c r="AA709" s="405"/>
      <c r="AB709" s="405"/>
      <c r="AC709" s="405"/>
      <c r="AD709" s="405"/>
      <c r="AE709" s="405"/>
      <c r="AF709" s="405"/>
      <c r="AG709" s="405"/>
      <c r="AH709" s="405"/>
      <c r="AI709" s="405"/>
      <c r="AJ709" s="405"/>
      <c r="AK709" s="405"/>
      <c r="AL709" s="405"/>
      <c r="AM709" s="406"/>
      <c r="AN709" s="406"/>
      <c r="AO709" s="406"/>
      <c r="AP709" s="406"/>
      <c r="AQ709" s="403"/>
      <c r="AR709" s="403"/>
      <c r="AS709" s="403"/>
      <c r="AT709" s="403"/>
      <c r="AU709" s="403"/>
      <c r="AV709" s="403"/>
      <c r="AW709" s="403"/>
      <c r="AX709" s="403"/>
      <c r="AY709" s="403"/>
    </row>
    <row r="710">
      <c r="A710" s="415"/>
      <c r="B710" s="415"/>
      <c r="C710" s="410"/>
      <c r="D710" s="429"/>
      <c r="E710" s="416"/>
      <c r="F710" s="413"/>
      <c r="G710" s="413"/>
      <c r="H710" s="415"/>
      <c r="I710" s="415"/>
      <c r="J710" s="415"/>
      <c r="K710" s="415"/>
      <c r="L710" s="417"/>
      <c r="M710" s="403"/>
      <c r="N710" s="403"/>
      <c r="O710" s="403"/>
      <c r="P710" s="403"/>
      <c r="Q710" s="403"/>
      <c r="R710" s="403"/>
      <c r="S710" s="403"/>
      <c r="T710" s="403"/>
      <c r="U710" s="403"/>
      <c r="V710" s="403"/>
      <c r="W710" s="404"/>
      <c r="X710" s="405"/>
      <c r="Y710" s="405"/>
      <c r="Z710" s="405"/>
      <c r="AA710" s="405"/>
      <c r="AB710" s="405"/>
      <c r="AC710" s="405"/>
      <c r="AD710" s="405"/>
      <c r="AE710" s="405"/>
      <c r="AF710" s="405"/>
      <c r="AG710" s="405"/>
      <c r="AH710" s="405"/>
      <c r="AI710" s="405"/>
      <c r="AJ710" s="405"/>
      <c r="AK710" s="405"/>
      <c r="AL710" s="405"/>
      <c r="AM710" s="406"/>
      <c r="AN710" s="406"/>
      <c r="AO710" s="406"/>
      <c r="AP710" s="406"/>
      <c r="AQ710" s="403"/>
      <c r="AR710" s="403"/>
      <c r="AS710" s="403"/>
      <c r="AT710" s="403"/>
      <c r="AU710" s="403"/>
      <c r="AV710" s="403"/>
      <c r="AW710" s="403"/>
      <c r="AX710" s="403"/>
      <c r="AY710" s="403"/>
    </row>
    <row r="711">
      <c r="A711" s="415"/>
      <c r="B711" s="415"/>
      <c r="C711" s="410"/>
      <c r="D711" s="429"/>
      <c r="E711" s="416"/>
      <c r="F711" s="413"/>
      <c r="G711" s="413"/>
      <c r="H711" s="415"/>
      <c r="I711" s="415"/>
      <c r="J711" s="415"/>
      <c r="K711" s="415"/>
      <c r="L711" s="417"/>
      <c r="M711" s="403"/>
      <c r="N711" s="403"/>
      <c r="O711" s="403"/>
      <c r="P711" s="403"/>
      <c r="Q711" s="403"/>
      <c r="R711" s="403"/>
      <c r="S711" s="403"/>
      <c r="T711" s="403"/>
      <c r="U711" s="403"/>
      <c r="V711" s="403"/>
      <c r="W711" s="404"/>
      <c r="X711" s="405"/>
      <c r="Y711" s="405"/>
      <c r="Z711" s="405"/>
      <c r="AA711" s="405"/>
      <c r="AB711" s="405"/>
      <c r="AC711" s="405"/>
      <c r="AD711" s="405"/>
      <c r="AE711" s="405"/>
      <c r="AF711" s="405"/>
      <c r="AG711" s="405"/>
      <c r="AH711" s="405"/>
      <c r="AI711" s="405"/>
      <c r="AJ711" s="405"/>
      <c r="AK711" s="405"/>
      <c r="AL711" s="405"/>
      <c r="AM711" s="406"/>
      <c r="AN711" s="406"/>
      <c r="AO711" s="406"/>
      <c r="AP711" s="406"/>
      <c r="AQ711" s="403"/>
      <c r="AR711" s="403"/>
      <c r="AS711" s="403"/>
      <c r="AT711" s="403"/>
      <c r="AU711" s="403"/>
      <c r="AV711" s="403"/>
      <c r="AW711" s="403"/>
      <c r="AX711" s="403"/>
      <c r="AY711" s="403"/>
    </row>
    <row r="712">
      <c r="A712" s="415"/>
      <c r="B712" s="415"/>
      <c r="C712" s="410"/>
      <c r="D712" s="429"/>
      <c r="E712" s="416"/>
      <c r="F712" s="413"/>
      <c r="G712" s="413"/>
      <c r="H712" s="415"/>
      <c r="I712" s="415"/>
      <c r="J712" s="415"/>
      <c r="K712" s="415"/>
      <c r="L712" s="417"/>
      <c r="M712" s="403"/>
      <c r="N712" s="403"/>
      <c r="O712" s="403"/>
      <c r="P712" s="403"/>
      <c r="Q712" s="403"/>
      <c r="R712" s="403"/>
      <c r="S712" s="403"/>
      <c r="T712" s="403"/>
      <c r="U712" s="403"/>
      <c r="V712" s="403"/>
      <c r="W712" s="404"/>
      <c r="X712" s="405"/>
      <c r="Y712" s="405"/>
      <c r="Z712" s="405"/>
      <c r="AA712" s="405"/>
      <c r="AB712" s="405"/>
      <c r="AC712" s="405"/>
      <c r="AD712" s="405"/>
      <c r="AE712" s="405"/>
      <c r="AF712" s="405"/>
      <c r="AG712" s="405"/>
      <c r="AH712" s="405"/>
      <c r="AI712" s="405"/>
      <c r="AJ712" s="405"/>
      <c r="AK712" s="405"/>
      <c r="AL712" s="405"/>
      <c r="AM712" s="406"/>
      <c r="AN712" s="406"/>
      <c r="AO712" s="406"/>
      <c r="AP712" s="406"/>
      <c r="AQ712" s="403"/>
      <c r="AR712" s="403"/>
      <c r="AS712" s="403"/>
      <c r="AT712" s="403"/>
      <c r="AU712" s="403"/>
      <c r="AV712" s="403"/>
      <c r="AW712" s="403"/>
      <c r="AX712" s="403"/>
      <c r="AY712" s="403"/>
    </row>
    <row r="713">
      <c r="A713" s="415"/>
      <c r="B713" s="415"/>
      <c r="C713" s="410"/>
      <c r="D713" s="429"/>
      <c r="E713" s="416"/>
      <c r="F713" s="413"/>
      <c r="G713" s="413"/>
      <c r="H713" s="415"/>
      <c r="I713" s="415"/>
      <c r="J713" s="415"/>
      <c r="K713" s="415"/>
      <c r="L713" s="417"/>
      <c r="M713" s="403"/>
      <c r="N713" s="403"/>
      <c r="O713" s="403"/>
      <c r="P713" s="403"/>
      <c r="Q713" s="403"/>
      <c r="R713" s="403"/>
      <c r="S713" s="403"/>
      <c r="T713" s="403"/>
      <c r="U713" s="403"/>
      <c r="V713" s="403"/>
      <c r="W713" s="404"/>
      <c r="X713" s="405"/>
      <c r="Y713" s="405"/>
      <c r="Z713" s="405"/>
      <c r="AA713" s="405"/>
      <c r="AB713" s="405"/>
      <c r="AC713" s="405"/>
      <c r="AD713" s="405"/>
      <c r="AE713" s="405"/>
      <c r="AF713" s="405"/>
      <c r="AG713" s="405"/>
      <c r="AH713" s="405"/>
      <c r="AI713" s="405"/>
      <c r="AJ713" s="405"/>
      <c r="AK713" s="405"/>
      <c r="AL713" s="405"/>
      <c r="AM713" s="406"/>
      <c r="AN713" s="406"/>
      <c r="AO713" s="406"/>
      <c r="AP713" s="406"/>
      <c r="AQ713" s="403"/>
      <c r="AR713" s="403"/>
      <c r="AS713" s="403"/>
      <c r="AT713" s="403"/>
      <c r="AU713" s="403"/>
      <c r="AV713" s="403"/>
      <c r="AW713" s="403"/>
      <c r="AX713" s="403"/>
      <c r="AY713" s="403"/>
    </row>
    <row r="714">
      <c r="A714" s="415"/>
      <c r="B714" s="415"/>
      <c r="C714" s="410"/>
      <c r="D714" s="429"/>
      <c r="E714" s="416"/>
      <c r="F714" s="413"/>
      <c r="G714" s="413"/>
      <c r="H714" s="415"/>
      <c r="I714" s="415"/>
      <c r="J714" s="415"/>
      <c r="K714" s="415"/>
      <c r="L714" s="417"/>
      <c r="M714" s="403"/>
      <c r="N714" s="403"/>
      <c r="O714" s="403"/>
      <c r="P714" s="403"/>
      <c r="Q714" s="403"/>
      <c r="R714" s="403"/>
      <c r="S714" s="403"/>
      <c r="T714" s="403"/>
      <c r="U714" s="403"/>
      <c r="V714" s="403"/>
      <c r="W714" s="404"/>
      <c r="X714" s="405"/>
      <c r="Y714" s="405"/>
      <c r="Z714" s="405"/>
      <c r="AA714" s="405"/>
      <c r="AB714" s="405"/>
      <c r="AC714" s="405"/>
      <c r="AD714" s="405"/>
      <c r="AE714" s="405"/>
      <c r="AF714" s="405"/>
      <c r="AG714" s="405"/>
      <c r="AH714" s="405"/>
      <c r="AI714" s="405"/>
      <c r="AJ714" s="405"/>
      <c r="AK714" s="405"/>
      <c r="AL714" s="405"/>
      <c r="AM714" s="406"/>
      <c r="AN714" s="406"/>
      <c r="AO714" s="406"/>
      <c r="AP714" s="406"/>
      <c r="AQ714" s="403"/>
      <c r="AR714" s="403"/>
      <c r="AS714" s="403"/>
      <c r="AT714" s="403"/>
      <c r="AU714" s="403"/>
      <c r="AV714" s="403"/>
      <c r="AW714" s="403"/>
      <c r="AX714" s="403"/>
      <c r="AY714" s="403"/>
    </row>
    <row r="715">
      <c r="A715" s="415"/>
      <c r="B715" s="415"/>
      <c r="C715" s="410"/>
      <c r="D715" s="429"/>
      <c r="E715" s="416"/>
      <c r="F715" s="413"/>
      <c r="G715" s="413"/>
      <c r="H715" s="415"/>
      <c r="I715" s="415"/>
      <c r="J715" s="415"/>
      <c r="K715" s="415"/>
      <c r="L715" s="417"/>
      <c r="M715" s="403"/>
      <c r="N715" s="403"/>
      <c r="O715" s="403"/>
      <c r="P715" s="403"/>
      <c r="Q715" s="403"/>
      <c r="R715" s="403"/>
      <c r="S715" s="403"/>
      <c r="T715" s="403"/>
      <c r="U715" s="403"/>
      <c r="V715" s="403"/>
      <c r="W715" s="404"/>
      <c r="X715" s="405"/>
      <c r="Y715" s="405"/>
      <c r="Z715" s="405"/>
      <c r="AA715" s="405"/>
      <c r="AB715" s="405"/>
      <c r="AC715" s="405"/>
      <c r="AD715" s="405"/>
      <c r="AE715" s="405"/>
      <c r="AF715" s="405"/>
      <c r="AG715" s="405"/>
      <c r="AH715" s="405"/>
      <c r="AI715" s="405"/>
      <c r="AJ715" s="405"/>
      <c r="AK715" s="405"/>
      <c r="AL715" s="405"/>
      <c r="AM715" s="406"/>
      <c r="AN715" s="406"/>
      <c r="AO715" s="406"/>
      <c r="AP715" s="406"/>
      <c r="AQ715" s="403"/>
      <c r="AR715" s="403"/>
      <c r="AS715" s="403"/>
      <c r="AT715" s="403"/>
      <c r="AU715" s="403"/>
      <c r="AV715" s="403"/>
      <c r="AW715" s="403"/>
      <c r="AX715" s="403"/>
      <c r="AY715" s="403"/>
    </row>
    <row r="716">
      <c r="A716" s="415"/>
      <c r="B716" s="415"/>
      <c r="C716" s="410"/>
      <c r="D716" s="429"/>
      <c r="E716" s="416"/>
      <c r="F716" s="413"/>
      <c r="G716" s="413"/>
      <c r="H716" s="415"/>
      <c r="I716" s="415"/>
      <c r="J716" s="415"/>
      <c r="K716" s="415"/>
      <c r="L716" s="417"/>
      <c r="M716" s="403"/>
      <c r="N716" s="403"/>
      <c r="O716" s="403"/>
      <c r="P716" s="403"/>
      <c r="Q716" s="403"/>
      <c r="R716" s="403"/>
      <c r="S716" s="403"/>
      <c r="T716" s="403"/>
      <c r="U716" s="403"/>
      <c r="V716" s="403"/>
      <c r="W716" s="404"/>
      <c r="X716" s="405"/>
      <c r="Y716" s="405"/>
      <c r="Z716" s="405"/>
      <c r="AA716" s="405"/>
      <c r="AB716" s="405"/>
      <c r="AC716" s="405"/>
      <c r="AD716" s="405"/>
      <c r="AE716" s="405"/>
      <c r="AF716" s="405"/>
      <c r="AG716" s="405"/>
      <c r="AH716" s="405"/>
      <c r="AI716" s="405"/>
      <c r="AJ716" s="405"/>
      <c r="AK716" s="405"/>
      <c r="AL716" s="405"/>
      <c r="AM716" s="406"/>
      <c r="AN716" s="406"/>
      <c r="AO716" s="406"/>
      <c r="AP716" s="406"/>
      <c r="AQ716" s="403"/>
      <c r="AR716" s="403"/>
      <c r="AS716" s="403"/>
      <c r="AT716" s="403"/>
      <c r="AU716" s="403"/>
      <c r="AV716" s="403"/>
      <c r="AW716" s="403"/>
      <c r="AX716" s="403"/>
      <c r="AY716" s="403"/>
    </row>
    <row r="717">
      <c r="A717" s="415"/>
      <c r="B717" s="415"/>
      <c r="C717" s="410"/>
      <c r="D717" s="429"/>
      <c r="E717" s="416"/>
      <c r="F717" s="413"/>
      <c r="G717" s="413"/>
      <c r="H717" s="415"/>
      <c r="I717" s="415"/>
      <c r="J717" s="415"/>
      <c r="K717" s="415"/>
      <c r="L717" s="417"/>
      <c r="M717" s="403"/>
      <c r="N717" s="403"/>
      <c r="O717" s="403"/>
      <c r="P717" s="403"/>
      <c r="Q717" s="403"/>
      <c r="R717" s="403"/>
      <c r="S717" s="403"/>
      <c r="T717" s="403"/>
      <c r="U717" s="403"/>
      <c r="V717" s="403"/>
      <c r="W717" s="404"/>
      <c r="X717" s="405"/>
      <c r="Y717" s="405"/>
      <c r="Z717" s="405"/>
      <c r="AA717" s="405"/>
      <c r="AB717" s="405"/>
      <c r="AC717" s="405"/>
      <c r="AD717" s="405"/>
      <c r="AE717" s="405"/>
      <c r="AF717" s="405"/>
      <c r="AG717" s="405"/>
      <c r="AH717" s="405"/>
      <c r="AI717" s="405"/>
      <c r="AJ717" s="405"/>
      <c r="AK717" s="405"/>
      <c r="AL717" s="405"/>
      <c r="AM717" s="406"/>
      <c r="AN717" s="406"/>
      <c r="AO717" s="406"/>
      <c r="AP717" s="406"/>
      <c r="AQ717" s="403"/>
      <c r="AR717" s="403"/>
      <c r="AS717" s="403"/>
      <c r="AT717" s="403"/>
      <c r="AU717" s="403"/>
      <c r="AV717" s="403"/>
      <c r="AW717" s="403"/>
      <c r="AX717" s="403"/>
      <c r="AY717" s="403"/>
    </row>
    <row r="718">
      <c r="A718" s="415"/>
      <c r="B718" s="415"/>
      <c r="C718" s="410"/>
      <c r="D718" s="429"/>
      <c r="E718" s="416"/>
      <c r="F718" s="413"/>
      <c r="G718" s="413"/>
      <c r="H718" s="415"/>
      <c r="I718" s="415"/>
      <c r="J718" s="415"/>
      <c r="K718" s="415"/>
      <c r="L718" s="417"/>
      <c r="M718" s="403"/>
      <c r="N718" s="403"/>
      <c r="O718" s="403"/>
      <c r="P718" s="403"/>
      <c r="Q718" s="403"/>
      <c r="R718" s="403"/>
      <c r="S718" s="403"/>
      <c r="T718" s="403"/>
      <c r="U718" s="403"/>
      <c r="V718" s="403"/>
      <c r="W718" s="404"/>
      <c r="X718" s="405"/>
      <c r="Y718" s="405"/>
      <c r="Z718" s="405"/>
      <c r="AA718" s="405"/>
      <c r="AB718" s="405"/>
      <c r="AC718" s="405"/>
      <c r="AD718" s="405"/>
      <c r="AE718" s="405"/>
      <c r="AF718" s="405"/>
      <c r="AG718" s="405"/>
      <c r="AH718" s="405"/>
      <c r="AI718" s="405"/>
      <c r="AJ718" s="405"/>
      <c r="AK718" s="405"/>
      <c r="AL718" s="405"/>
      <c r="AM718" s="406"/>
      <c r="AN718" s="406"/>
      <c r="AO718" s="406"/>
      <c r="AP718" s="406"/>
      <c r="AQ718" s="403"/>
      <c r="AR718" s="403"/>
      <c r="AS718" s="403"/>
      <c r="AT718" s="403"/>
      <c r="AU718" s="403"/>
      <c r="AV718" s="403"/>
      <c r="AW718" s="403"/>
      <c r="AX718" s="403"/>
      <c r="AY718" s="403"/>
    </row>
    <row r="719">
      <c r="A719" s="415"/>
      <c r="B719" s="415"/>
      <c r="C719" s="410"/>
      <c r="D719" s="429"/>
      <c r="E719" s="416"/>
      <c r="F719" s="413"/>
      <c r="G719" s="413"/>
      <c r="H719" s="415"/>
      <c r="I719" s="415"/>
      <c r="J719" s="415"/>
      <c r="K719" s="415"/>
      <c r="L719" s="417"/>
      <c r="M719" s="403"/>
      <c r="N719" s="403"/>
      <c r="O719" s="403"/>
      <c r="P719" s="403"/>
      <c r="Q719" s="403"/>
      <c r="R719" s="403"/>
      <c r="S719" s="403"/>
      <c r="T719" s="403"/>
      <c r="U719" s="403"/>
      <c r="V719" s="403"/>
      <c r="W719" s="404"/>
      <c r="X719" s="405"/>
      <c r="Y719" s="405"/>
      <c r="Z719" s="405"/>
      <c r="AA719" s="405"/>
      <c r="AB719" s="405"/>
      <c r="AC719" s="405"/>
      <c r="AD719" s="405"/>
      <c r="AE719" s="405"/>
      <c r="AF719" s="405"/>
      <c r="AG719" s="405"/>
      <c r="AH719" s="405"/>
      <c r="AI719" s="405"/>
      <c r="AJ719" s="405"/>
      <c r="AK719" s="405"/>
      <c r="AL719" s="405"/>
      <c r="AM719" s="406"/>
      <c r="AN719" s="406"/>
      <c r="AO719" s="406"/>
      <c r="AP719" s="406"/>
      <c r="AQ719" s="403"/>
      <c r="AR719" s="403"/>
      <c r="AS719" s="403"/>
      <c r="AT719" s="403"/>
      <c r="AU719" s="403"/>
      <c r="AV719" s="403"/>
      <c r="AW719" s="403"/>
      <c r="AX719" s="403"/>
      <c r="AY719" s="403"/>
    </row>
    <row r="720">
      <c r="A720" s="415"/>
      <c r="B720" s="415"/>
      <c r="C720" s="410"/>
      <c r="D720" s="429"/>
      <c r="E720" s="416"/>
      <c r="F720" s="413"/>
      <c r="G720" s="413"/>
      <c r="H720" s="415"/>
      <c r="I720" s="415"/>
      <c r="J720" s="415"/>
      <c r="K720" s="415"/>
      <c r="L720" s="417"/>
      <c r="M720" s="403"/>
      <c r="N720" s="403"/>
      <c r="O720" s="403"/>
      <c r="P720" s="403"/>
      <c r="Q720" s="403"/>
      <c r="R720" s="403"/>
      <c r="S720" s="403"/>
      <c r="T720" s="403"/>
      <c r="U720" s="403"/>
      <c r="V720" s="403"/>
      <c r="W720" s="404"/>
      <c r="X720" s="405"/>
      <c r="Y720" s="405"/>
      <c r="Z720" s="405"/>
      <c r="AA720" s="405"/>
      <c r="AB720" s="405"/>
      <c r="AC720" s="405"/>
      <c r="AD720" s="405"/>
      <c r="AE720" s="405"/>
      <c r="AF720" s="405"/>
      <c r="AG720" s="405"/>
      <c r="AH720" s="405"/>
      <c r="AI720" s="405"/>
      <c r="AJ720" s="405"/>
      <c r="AK720" s="405"/>
      <c r="AL720" s="405"/>
      <c r="AM720" s="406"/>
      <c r="AN720" s="406"/>
      <c r="AO720" s="406"/>
      <c r="AP720" s="406"/>
      <c r="AQ720" s="403"/>
      <c r="AR720" s="403"/>
      <c r="AS720" s="403"/>
      <c r="AT720" s="403"/>
      <c r="AU720" s="403"/>
      <c r="AV720" s="403"/>
      <c r="AW720" s="403"/>
      <c r="AX720" s="403"/>
      <c r="AY720" s="403"/>
    </row>
    <row r="721">
      <c r="A721" s="415"/>
      <c r="B721" s="415"/>
      <c r="C721" s="410"/>
      <c r="D721" s="429"/>
      <c r="E721" s="416"/>
      <c r="F721" s="413"/>
      <c r="G721" s="413"/>
      <c r="H721" s="415"/>
      <c r="I721" s="415"/>
      <c r="J721" s="415"/>
      <c r="K721" s="415"/>
      <c r="L721" s="417"/>
      <c r="M721" s="403"/>
      <c r="N721" s="403"/>
      <c r="O721" s="403"/>
      <c r="P721" s="403"/>
      <c r="Q721" s="403"/>
      <c r="R721" s="403"/>
      <c r="S721" s="403"/>
      <c r="T721" s="403"/>
      <c r="U721" s="403"/>
      <c r="V721" s="403"/>
      <c r="W721" s="404"/>
      <c r="X721" s="405"/>
      <c r="Y721" s="405"/>
      <c r="Z721" s="405"/>
      <c r="AA721" s="405"/>
      <c r="AB721" s="405"/>
      <c r="AC721" s="405"/>
      <c r="AD721" s="405"/>
      <c r="AE721" s="405"/>
      <c r="AF721" s="405"/>
      <c r="AG721" s="405"/>
      <c r="AH721" s="405"/>
      <c r="AI721" s="405"/>
      <c r="AJ721" s="405"/>
      <c r="AK721" s="405"/>
      <c r="AL721" s="405"/>
      <c r="AM721" s="406"/>
      <c r="AN721" s="406"/>
      <c r="AO721" s="406"/>
      <c r="AP721" s="406"/>
      <c r="AQ721" s="403"/>
      <c r="AR721" s="403"/>
      <c r="AS721" s="403"/>
      <c r="AT721" s="403"/>
      <c r="AU721" s="403"/>
      <c r="AV721" s="403"/>
      <c r="AW721" s="403"/>
      <c r="AX721" s="403"/>
      <c r="AY721" s="403"/>
    </row>
    <row r="722">
      <c r="A722" s="415"/>
      <c r="B722" s="415"/>
      <c r="C722" s="410"/>
      <c r="D722" s="429"/>
      <c r="E722" s="416"/>
      <c r="F722" s="413"/>
      <c r="G722" s="413"/>
      <c r="H722" s="415"/>
      <c r="I722" s="415"/>
      <c r="J722" s="415"/>
      <c r="K722" s="415"/>
      <c r="L722" s="417"/>
      <c r="M722" s="403"/>
      <c r="N722" s="403"/>
      <c r="O722" s="403"/>
      <c r="P722" s="403"/>
      <c r="Q722" s="403"/>
      <c r="R722" s="403"/>
      <c r="S722" s="403"/>
      <c r="T722" s="403"/>
      <c r="U722" s="403"/>
      <c r="V722" s="403"/>
      <c r="W722" s="404"/>
      <c r="X722" s="405"/>
      <c r="Y722" s="405"/>
      <c r="Z722" s="405"/>
      <c r="AA722" s="405"/>
      <c r="AB722" s="405"/>
      <c r="AC722" s="405"/>
      <c r="AD722" s="405"/>
      <c r="AE722" s="405"/>
      <c r="AF722" s="405"/>
      <c r="AG722" s="405"/>
      <c r="AH722" s="405"/>
      <c r="AI722" s="405"/>
      <c r="AJ722" s="405"/>
      <c r="AK722" s="405"/>
      <c r="AL722" s="405"/>
      <c r="AM722" s="406"/>
      <c r="AN722" s="406"/>
      <c r="AO722" s="406"/>
      <c r="AP722" s="406"/>
      <c r="AQ722" s="403"/>
      <c r="AR722" s="403"/>
      <c r="AS722" s="403"/>
      <c r="AT722" s="403"/>
      <c r="AU722" s="403"/>
      <c r="AV722" s="403"/>
      <c r="AW722" s="403"/>
      <c r="AX722" s="403"/>
      <c r="AY722" s="403"/>
    </row>
    <row r="723">
      <c r="A723" s="415"/>
      <c r="B723" s="415"/>
      <c r="C723" s="410"/>
      <c r="D723" s="429"/>
      <c r="E723" s="416"/>
      <c r="F723" s="413"/>
      <c r="G723" s="413"/>
      <c r="H723" s="415"/>
      <c r="I723" s="415"/>
      <c r="J723" s="415"/>
      <c r="K723" s="415"/>
      <c r="L723" s="417"/>
      <c r="M723" s="403"/>
      <c r="N723" s="403"/>
      <c r="O723" s="403"/>
      <c r="P723" s="403"/>
      <c r="Q723" s="403"/>
      <c r="R723" s="403"/>
      <c r="S723" s="403"/>
      <c r="T723" s="403"/>
      <c r="U723" s="403"/>
      <c r="V723" s="403"/>
      <c r="W723" s="404"/>
      <c r="X723" s="405"/>
      <c r="Y723" s="405"/>
      <c r="Z723" s="405"/>
      <c r="AA723" s="405"/>
      <c r="AB723" s="405"/>
      <c r="AC723" s="405"/>
      <c r="AD723" s="405"/>
      <c r="AE723" s="405"/>
      <c r="AF723" s="405"/>
      <c r="AG723" s="405"/>
      <c r="AH723" s="405"/>
      <c r="AI723" s="405"/>
      <c r="AJ723" s="405"/>
      <c r="AK723" s="405"/>
      <c r="AL723" s="405"/>
      <c r="AM723" s="406"/>
      <c r="AN723" s="406"/>
      <c r="AO723" s="406"/>
      <c r="AP723" s="406"/>
      <c r="AQ723" s="403"/>
      <c r="AR723" s="403"/>
      <c r="AS723" s="403"/>
      <c r="AT723" s="403"/>
      <c r="AU723" s="403"/>
      <c r="AV723" s="403"/>
      <c r="AW723" s="403"/>
      <c r="AX723" s="403"/>
      <c r="AY723" s="403"/>
    </row>
    <row r="724">
      <c r="A724" s="415"/>
      <c r="B724" s="415"/>
      <c r="C724" s="410"/>
      <c r="D724" s="429"/>
      <c r="E724" s="416"/>
      <c r="F724" s="413"/>
      <c r="G724" s="413"/>
      <c r="H724" s="415"/>
      <c r="I724" s="415"/>
      <c r="J724" s="415"/>
      <c r="K724" s="415"/>
      <c r="L724" s="417"/>
      <c r="M724" s="403"/>
      <c r="N724" s="403"/>
      <c r="O724" s="403"/>
      <c r="P724" s="403"/>
      <c r="Q724" s="403"/>
      <c r="R724" s="403"/>
      <c r="S724" s="403"/>
      <c r="T724" s="403"/>
      <c r="U724" s="403"/>
      <c r="V724" s="403"/>
      <c r="W724" s="404"/>
      <c r="X724" s="405"/>
      <c r="Y724" s="405"/>
      <c r="Z724" s="405"/>
      <c r="AA724" s="405"/>
      <c r="AB724" s="405"/>
      <c r="AC724" s="405"/>
      <c r="AD724" s="405"/>
      <c r="AE724" s="405"/>
      <c r="AF724" s="405"/>
      <c r="AG724" s="405"/>
      <c r="AH724" s="405"/>
      <c r="AI724" s="405"/>
      <c r="AJ724" s="405"/>
      <c r="AK724" s="405"/>
      <c r="AL724" s="405"/>
      <c r="AM724" s="406"/>
      <c r="AN724" s="406"/>
      <c r="AO724" s="406"/>
      <c r="AP724" s="406"/>
      <c r="AQ724" s="403"/>
      <c r="AR724" s="403"/>
      <c r="AS724" s="403"/>
      <c r="AT724" s="403"/>
      <c r="AU724" s="403"/>
      <c r="AV724" s="403"/>
      <c r="AW724" s="403"/>
      <c r="AX724" s="403"/>
      <c r="AY724" s="403"/>
    </row>
    <row r="725">
      <c r="A725" s="415"/>
      <c r="B725" s="415"/>
      <c r="C725" s="410"/>
      <c r="D725" s="429"/>
      <c r="E725" s="416"/>
      <c r="F725" s="413"/>
      <c r="G725" s="413"/>
      <c r="H725" s="415"/>
      <c r="I725" s="415"/>
      <c r="J725" s="415"/>
      <c r="K725" s="415"/>
      <c r="L725" s="417"/>
      <c r="M725" s="403"/>
      <c r="N725" s="403"/>
      <c r="O725" s="403"/>
      <c r="P725" s="403"/>
      <c r="Q725" s="403"/>
      <c r="R725" s="403"/>
      <c r="S725" s="403"/>
      <c r="T725" s="403"/>
      <c r="U725" s="403"/>
      <c r="V725" s="403"/>
      <c r="W725" s="404"/>
      <c r="X725" s="405"/>
      <c r="Y725" s="405"/>
      <c r="Z725" s="405"/>
      <c r="AA725" s="405"/>
      <c r="AB725" s="405"/>
      <c r="AC725" s="405"/>
      <c r="AD725" s="405"/>
      <c r="AE725" s="405"/>
      <c r="AF725" s="405"/>
      <c r="AG725" s="405"/>
      <c r="AH725" s="405"/>
      <c r="AI725" s="405"/>
      <c r="AJ725" s="405"/>
      <c r="AK725" s="405"/>
      <c r="AL725" s="405"/>
      <c r="AM725" s="406"/>
      <c r="AN725" s="406"/>
      <c r="AO725" s="406"/>
      <c r="AP725" s="406"/>
      <c r="AQ725" s="403"/>
      <c r="AR725" s="403"/>
      <c r="AS725" s="403"/>
      <c r="AT725" s="403"/>
      <c r="AU725" s="403"/>
      <c r="AV725" s="403"/>
      <c r="AW725" s="403"/>
      <c r="AX725" s="403"/>
      <c r="AY725" s="403"/>
    </row>
    <row r="726">
      <c r="A726" s="415"/>
      <c r="B726" s="415"/>
      <c r="C726" s="410"/>
      <c r="D726" s="429"/>
      <c r="E726" s="416"/>
      <c r="F726" s="413"/>
      <c r="G726" s="413"/>
      <c r="H726" s="415"/>
      <c r="I726" s="415"/>
      <c r="J726" s="415"/>
      <c r="K726" s="415"/>
      <c r="L726" s="417"/>
      <c r="M726" s="403"/>
      <c r="N726" s="403"/>
      <c r="O726" s="403"/>
      <c r="P726" s="403"/>
      <c r="Q726" s="403"/>
      <c r="R726" s="403"/>
      <c r="S726" s="403"/>
      <c r="T726" s="403"/>
      <c r="U726" s="403"/>
      <c r="V726" s="403"/>
      <c r="W726" s="404"/>
      <c r="X726" s="405"/>
      <c r="Y726" s="405"/>
      <c r="Z726" s="405"/>
      <c r="AA726" s="405"/>
      <c r="AB726" s="405"/>
      <c r="AC726" s="405"/>
      <c r="AD726" s="405"/>
      <c r="AE726" s="405"/>
      <c r="AF726" s="405"/>
      <c r="AG726" s="405"/>
      <c r="AH726" s="405"/>
      <c r="AI726" s="405"/>
      <c r="AJ726" s="405"/>
      <c r="AK726" s="405"/>
      <c r="AL726" s="405"/>
      <c r="AM726" s="406"/>
      <c r="AN726" s="406"/>
      <c r="AO726" s="406"/>
      <c r="AP726" s="406"/>
      <c r="AQ726" s="403"/>
      <c r="AR726" s="403"/>
      <c r="AS726" s="403"/>
      <c r="AT726" s="403"/>
      <c r="AU726" s="403"/>
      <c r="AV726" s="403"/>
      <c r="AW726" s="403"/>
      <c r="AX726" s="403"/>
      <c r="AY726" s="403"/>
    </row>
    <row r="727">
      <c r="A727" s="415"/>
      <c r="B727" s="415"/>
      <c r="C727" s="410"/>
      <c r="D727" s="429"/>
      <c r="E727" s="416"/>
      <c r="F727" s="413"/>
      <c r="G727" s="413"/>
      <c r="H727" s="415"/>
      <c r="I727" s="415"/>
      <c r="J727" s="415"/>
      <c r="K727" s="415"/>
      <c r="L727" s="417"/>
      <c r="M727" s="403"/>
      <c r="N727" s="403"/>
      <c r="O727" s="403"/>
      <c r="P727" s="403"/>
      <c r="Q727" s="403"/>
      <c r="R727" s="403"/>
      <c r="S727" s="403"/>
      <c r="T727" s="403"/>
      <c r="U727" s="403"/>
      <c r="V727" s="403"/>
      <c r="W727" s="404"/>
      <c r="X727" s="405"/>
      <c r="Y727" s="405"/>
      <c r="Z727" s="405"/>
      <c r="AA727" s="405"/>
      <c r="AB727" s="405"/>
      <c r="AC727" s="405"/>
      <c r="AD727" s="405"/>
      <c r="AE727" s="405"/>
      <c r="AF727" s="405"/>
      <c r="AG727" s="405"/>
      <c r="AH727" s="405"/>
      <c r="AI727" s="405"/>
      <c r="AJ727" s="405"/>
      <c r="AK727" s="405"/>
      <c r="AL727" s="405"/>
      <c r="AM727" s="406"/>
      <c r="AN727" s="406"/>
      <c r="AO727" s="406"/>
      <c r="AP727" s="406"/>
      <c r="AQ727" s="403"/>
      <c r="AR727" s="403"/>
      <c r="AS727" s="403"/>
      <c r="AT727" s="403"/>
      <c r="AU727" s="403"/>
      <c r="AV727" s="403"/>
      <c r="AW727" s="403"/>
      <c r="AX727" s="403"/>
      <c r="AY727" s="403"/>
    </row>
    <row r="728">
      <c r="A728" s="415"/>
      <c r="B728" s="415"/>
      <c r="C728" s="410"/>
      <c r="D728" s="429"/>
      <c r="E728" s="416"/>
      <c r="F728" s="413"/>
      <c r="G728" s="413"/>
      <c r="H728" s="415"/>
      <c r="I728" s="415"/>
      <c r="J728" s="415"/>
      <c r="K728" s="415"/>
      <c r="L728" s="417"/>
      <c r="M728" s="403"/>
      <c r="N728" s="403"/>
      <c r="O728" s="403"/>
      <c r="P728" s="403"/>
      <c r="Q728" s="403"/>
      <c r="R728" s="403"/>
      <c r="S728" s="403"/>
      <c r="T728" s="403"/>
      <c r="U728" s="403"/>
      <c r="V728" s="403"/>
      <c r="W728" s="404"/>
      <c r="X728" s="405"/>
      <c r="Y728" s="405"/>
      <c r="Z728" s="405"/>
      <c r="AA728" s="405"/>
      <c r="AB728" s="405"/>
      <c r="AC728" s="405"/>
      <c r="AD728" s="405"/>
      <c r="AE728" s="405"/>
      <c r="AF728" s="405"/>
      <c r="AG728" s="405"/>
      <c r="AH728" s="405"/>
      <c r="AI728" s="405"/>
      <c r="AJ728" s="405"/>
      <c r="AK728" s="405"/>
      <c r="AL728" s="405"/>
      <c r="AM728" s="406"/>
      <c r="AN728" s="406"/>
      <c r="AO728" s="406"/>
      <c r="AP728" s="406"/>
      <c r="AQ728" s="403"/>
      <c r="AR728" s="403"/>
      <c r="AS728" s="403"/>
      <c r="AT728" s="403"/>
      <c r="AU728" s="403"/>
      <c r="AV728" s="403"/>
      <c r="AW728" s="403"/>
      <c r="AX728" s="403"/>
      <c r="AY728" s="403"/>
    </row>
    <row r="729">
      <c r="A729" s="415"/>
      <c r="B729" s="415"/>
      <c r="C729" s="410"/>
      <c r="D729" s="429"/>
      <c r="E729" s="416"/>
      <c r="F729" s="413"/>
      <c r="G729" s="413"/>
      <c r="H729" s="415"/>
      <c r="I729" s="415"/>
      <c r="J729" s="415"/>
      <c r="K729" s="415"/>
      <c r="L729" s="417"/>
      <c r="M729" s="403"/>
      <c r="N729" s="403"/>
      <c r="O729" s="403"/>
      <c r="P729" s="403"/>
      <c r="Q729" s="403"/>
      <c r="R729" s="403"/>
      <c r="S729" s="403"/>
      <c r="T729" s="403"/>
      <c r="U729" s="403"/>
      <c r="V729" s="403"/>
      <c r="W729" s="404"/>
      <c r="X729" s="405"/>
      <c r="Y729" s="405"/>
      <c r="Z729" s="405"/>
      <c r="AA729" s="405"/>
      <c r="AB729" s="405"/>
      <c r="AC729" s="405"/>
      <c r="AD729" s="405"/>
      <c r="AE729" s="405"/>
      <c r="AF729" s="405"/>
      <c r="AG729" s="405"/>
      <c r="AH729" s="405"/>
      <c r="AI729" s="405"/>
      <c r="AJ729" s="405"/>
      <c r="AK729" s="405"/>
      <c r="AL729" s="405"/>
      <c r="AM729" s="406"/>
      <c r="AN729" s="406"/>
      <c r="AO729" s="406"/>
      <c r="AP729" s="406"/>
      <c r="AQ729" s="403"/>
      <c r="AR729" s="403"/>
      <c r="AS729" s="403"/>
      <c r="AT729" s="403"/>
      <c r="AU729" s="403"/>
      <c r="AV729" s="403"/>
      <c r="AW729" s="403"/>
      <c r="AX729" s="403"/>
      <c r="AY729" s="403"/>
    </row>
    <row r="730">
      <c r="A730" s="415"/>
      <c r="B730" s="415"/>
      <c r="C730" s="410"/>
      <c r="D730" s="429"/>
      <c r="E730" s="416"/>
      <c r="F730" s="413"/>
      <c r="G730" s="413"/>
      <c r="H730" s="415"/>
      <c r="I730" s="415"/>
      <c r="J730" s="415"/>
      <c r="K730" s="415"/>
      <c r="L730" s="417"/>
      <c r="M730" s="403"/>
      <c r="N730" s="403"/>
      <c r="O730" s="403"/>
      <c r="P730" s="403"/>
      <c r="Q730" s="403"/>
      <c r="R730" s="403"/>
      <c r="S730" s="403"/>
      <c r="T730" s="403"/>
      <c r="U730" s="403"/>
      <c r="V730" s="403"/>
      <c r="W730" s="404"/>
      <c r="X730" s="405"/>
      <c r="Y730" s="405"/>
      <c r="Z730" s="405"/>
      <c r="AA730" s="405"/>
      <c r="AB730" s="405"/>
      <c r="AC730" s="405"/>
      <c r="AD730" s="405"/>
      <c r="AE730" s="405"/>
      <c r="AF730" s="405"/>
      <c r="AG730" s="405"/>
      <c r="AH730" s="405"/>
      <c r="AI730" s="405"/>
      <c r="AJ730" s="405"/>
      <c r="AK730" s="405"/>
      <c r="AL730" s="405"/>
      <c r="AM730" s="406"/>
      <c r="AN730" s="406"/>
      <c r="AO730" s="406"/>
      <c r="AP730" s="406"/>
      <c r="AQ730" s="403"/>
      <c r="AR730" s="403"/>
      <c r="AS730" s="403"/>
      <c r="AT730" s="403"/>
      <c r="AU730" s="403"/>
      <c r="AV730" s="403"/>
      <c r="AW730" s="403"/>
      <c r="AX730" s="403"/>
      <c r="AY730" s="403"/>
    </row>
    <row r="731">
      <c r="A731" s="415"/>
      <c r="B731" s="415"/>
      <c r="C731" s="410"/>
      <c r="D731" s="429"/>
      <c r="E731" s="416"/>
      <c r="F731" s="413"/>
      <c r="G731" s="413"/>
      <c r="H731" s="415"/>
      <c r="I731" s="415"/>
      <c r="J731" s="415"/>
      <c r="K731" s="415"/>
      <c r="L731" s="417"/>
      <c r="M731" s="403"/>
      <c r="N731" s="403"/>
      <c r="O731" s="403"/>
      <c r="P731" s="403"/>
      <c r="Q731" s="403"/>
      <c r="R731" s="403"/>
      <c r="S731" s="403"/>
      <c r="T731" s="403"/>
      <c r="U731" s="403"/>
      <c r="V731" s="403"/>
      <c r="W731" s="404"/>
      <c r="X731" s="405"/>
      <c r="Y731" s="405"/>
      <c r="Z731" s="405"/>
      <c r="AA731" s="405"/>
      <c r="AB731" s="405"/>
      <c r="AC731" s="405"/>
      <c r="AD731" s="405"/>
      <c r="AE731" s="405"/>
      <c r="AF731" s="405"/>
      <c r="AG731" s="405"/>
      <c r="AH731" s="405"/>
      <c r="AI731" s="405"/>
      <c r="AJ731" s="405"/>
      <c r="AK731" s="405"/>
      <c r="AL731" s="405"/>
      <c r="AM731" s="406"/>
      <c r="AN731" s="406"/>
      <c r="AO731" s="406"/>
      <c r="AP731" s="406"/>
      <c r="AQ731" s="403"/>
      <c r="AR731" s="403"/>
      <c r="AS731" s="403"/>
      <c r="AT731" s="403"/>
      <c r="AU731" s="403"/>
      <c r="AV731" s="403"/>
      <c r="AW731" s="403"/>
      <c r="AX731" s="403"/>
      <c r="AY731" s="403"/>
    </row>
    <row r="732">
      <c r="A732" s="415"/>
      <c r="B732" s="415"/>
      <c r="C732" s="410"/>
      <c r="D732" s="429"/>
      <c r="E732" s="416"/>
      <c r="F732" s="413"/>
      <c r="G732" s="413"/>
      <c r="H732" s="415"/>
      <c r="I732" s="415"/>
      <c r="J732" s="415"/>
      <c r="K732" s="415"/>
      <c r="L732" s="417"/>
      <c r="M732" s="403"/>
      <c r="N732" s="403"/>
      <c r="O732" s="403"/>
      <c r="P732" s="403"/>
      <c r="Q732" s="403"/>
      <c r="R732" s="403"/>
      <c r="S732" s="403"/>
      <c r="T732" s="403"/>
      <c r="U732" s="403"/>
      <c r="V732" s="403"/>
      <c r="W732" s="404"/>
      <c r="X732" s="405"/>
      <c r="Y732" s="405"/>
      <c r="Z732" s="405"/>
      <c r="AA732" s="405"/>
      <c r="AB732" s="405"/>
      <c r="AC732" s="405"/>
      <c r="AD732" s="405"/>
      <c r="AE732" s="405"/>
      <c r="AF732" s="405"/>
      <c r="AG732" s="405"/>
      <c r="AH732" s="405"/>
      <c r="AI732" s="405"/>
      <c r="AJ732" s="405"/>
      <c r="AK732" s="405"/>
      <c r="AL732" s="405"/>
      <c r="AM732" s="406"/>
      <c r="AN732" s="406"/>
      <c r="AO732" s="406"/>
      <c r="AP732" s="406"/>
      <c r="AQ732" s="403"/>
      <c r="AR732" s="403"/>
      <c r="AS732" s="403"/>
      <c r="AT732" s="403"/>
      <c r="AU732" s="403"/>
      <c r="AV732" s="403"/>
      <c r="AW732" s="403"/>
      <c r="AX732" s="403"/>
      <c r="AY732" s="403"/>
    </row>
    <row r="733">
      <c r="A733" s="415"/>
      <c r="B733" s="415"/>
      <c r="C733" s="410"/>
      <c r="D733" s="429"/>
      <c r="E733" s="416"/>
      <c r="F733" s="413"/>
      <c r="G733" s="413"/>
      <c r="H733" s="415"/>
      <c r="I733" s="415"/>
      <c r="J733" s="415"/>
      <c r="K733" s="415"/>
      <c r="L733" s="417"/>
      <c r="M733" s="403"/>
      <c r="N733" s="403"/>
      <c r="O733" s="403"/>
      <c r="P733" s="403"/>
      <c r="Q733" s="403"/>
      <c r="R733" s="403"/>
      <c r="S733" s="403"/>
      <c r="T733" s="403"/>
      <c r="U733" s="403"/>
      <c r="V733" s="403"/>
      <c r="W733" s="404"/>
      <c r="X733" s="405"/>
      <c r="Y733" s="405"/>
      <c r="Z733" s="405"/>
      <c r="AA733" s="405"/>
      <c r="AB733" s="405"/>
      <c r="AC733" s="405"/>
      <c r="AD733" s="405"/>
      <c r="AE733" s="405"/>
      <c r="AF733" s="405"/>
      <c r="AG733" s="405"/>
      <c r="AH733" s="405"/>
      <c r="AI733" s="405"/>
      <c r="AJ733" s="405"/>
      <c r="AK733" s="405"/>
      <c r="AL733" s="405"/>
      <c r="AM733" s="406"/>
      <c r="AN733" s="406"/>
      <c r="AO733" s="406"/>
      <c r="AP733" s="406"/>
      <c r="AQ733" s="403"/>
      <c r="AR733" s="403"/>
      <c r="AS733" s="403"/>
      <c r="AT733" s="403"/>
      <c r="AU733" s="403"/>
      <c r="AV733" s="403"/>
      <c r="AW733" s="403"/>
      <c r="AX733" s="403"/>
      <c r="AY733" s="403"/>
    </row>
    <row r="734">
      <c r="A734" s="415"/>
      <c r="B734" s="415"/>
      <c r="C734" s="410"/>
      <c r="D734" s="429"/>
      <c r="E734" s="416"/>
      <c r="F734" s="413"/>
      <c r="G734" s="413"/>
      <c r="H734" s="415"/>
      <c r="I734" s="415"/>
      <c r="J734" s="415"/>
      <c r="K734" s="415"/>
      <c r="L734" s="417"/>
      <c r="M734" s="403"/>
      <c r="N734" s="403"/>
      <c r="O734" s="403"/>
      <c r="P734" s="403"/>
      <c r="Q734" s="403"/>
      <c r="R734" s="403"/>
      <c r="S734" s="403"/>
      <c r="T734" s="403"/>
      <c r="U734" s="403"/>
      <c r="V734" s="403"/>
      <c r="W734" s="404"/>
      <c r="X734" s="405"/>
      <c r="Y734" s="405"/>
      <c r="Z734" s="405"/>
      <c r="AA734" s="405"/>
      <c r="AB734" s="405"/>
      <c r="AC734" s="405"/>
      <c r="AD734" s="405"/>
      <c r="AE734" s="405"/>
      <c r="AF734" s="405"/>
      <c r="AG734" s="405"/>
      <c r="AH734" s="405"/>
      <c r="AI734" s="405"/>
      <c r="AJ734" s="405"/>
      <c r="AK734" s="405"/>
      <c r="AL734" s="405"/>
      <c r="AM734" s="406"/>
      <c r="AN734" s="406"/>
      <c r="AO734" s="406"/>
      <c r="AP734" s="406"/>
      <c r="AQ734" s="403"/>
      <c r="AR734" s="403"/>
      <c r="AS734" s="403"/>
      <c r="AT734" s="403"/>
      <c r="AU734" s="403"/>
      <c r="AV734" s="403"/>
      <c r="AW734" s="403"/>
      <c r="AX734" s="403"/>
      <c r="AY734" s="403"/>
    </row>
    <row r="735">
      <c r="A735" s="415"/>
      <c r="B735" s="415"/>
      <c r="C735" s="410"/>
      <c r="D735" s="429"/>
      <c r="E735" s="416"/>
      <c r="F735" s="413"/>
      <c r="G735" s="413"/>
      <c r="H735" s="415"/>
      <c r="I735" s="415"/>
      <c r="J735" s="415"/>
      <c r="K735" s="415"/>
      <c r="L735" s="417"/>
      <c r="M735" s="403"/>
      <c r="N735" s="403"/>
      <c r="O735" s="403"/>
      <c r="P735" s="403"/>
      <c r="Q735" s="403"/>
      <c r="R735" s="403"/>
      <c r="S735" s="403"/>
      <c r="T735" s="403"/>
      <c r="U735" s="403"/>
      <c r="V735" s="403"/>
      <c r="W735" s="404"/>
      <c r="X735" s="405"/>
      <c r="Y735" s="405"/>
      <c r="Z735" s="405"/>
      <c r="AA735" s="405"/>
      <c r="AB735" s="405"/>
      <c r="AC735" s="405"/>
      <c r="AD735" s="405"/>
      <c r="AE735" s="405"/>
      <c r="AF735" s="405"/>
      <c r="AG735" s="405"/>
      <c r="AH735" s="405"/>
      <c r="AI735" s="405"/>
      <c r="AJ735" s="405"/>
      <c r="AK735" s="405"/>
      <c r="AL735" s="405"/>
      <c r="AM735" s="406"/>
      <c r="AN735" s="406"/>
      <c r="AO735" s="406"/>
      <c r="AP735" s="406"/>
      <c r="AQ735" s="403"/>
      <c r="AR735" s="403"/>
      <c r="AS735" s="403"/>
      <c r="AT735" s="403"/>
      <c r="AU735" s="403"/>
      <c r="AV735" s="403"/>
      <c r="AW735" s="403"/>
      <c r="AX735" s="403"/>
      <c r="AY735" s="403"/>
    </row>
    <row r="736">
      <c r="A736" s="415"/>
      <c r="B736" s="415"/>
      <c r="C736" s="410"/>
      <c r="D736" s="429"/>
      <c r="E736" s="416"/>
      <c r="F736" s="413"/>
      <c r="G736" s="413"/>
      <c r="H736" s="415"/>
      <c r="I736" s="415"/>
      <c r="J736" s="415"/>
      <c r="K736" s="415"/>
      <c r="L736" s="417"/>
      <c r="M736" s="403"/>
      <c r="N736" s="403"/>
      <c r="O736" s="403"/>
      <c r="P736" s="403"/>
      <c r="Q736" s="403"/>
      <c r="R736" s="403"/>
      <c r="S736" s="403"/>
      <c r="T736" s="403"/>
      <c r="U736" s="403"/>
      <c r="V736" s="403"/>
      <c r="W736" s="404"/>
      <c r="X736" s="405"/>
      <c r="Y736" s="405"/>
      <c r="Z736" s="405"/>
      <c r="AA736" s="405"/>
      <c r="AB736" s="405"/>
      <c r="AC736" s="405"/>
      <c r="AD736" s="405"/>
      <c r="AE736" s="405"/>
      <c r="AF736" s="405"/>
      <c r="AG736" s="405"/>
      <c r="AH736" s="405"/>
      <c r="AI736" s="405"/>
      <c r="AJ736" s="405"/>
      <c r="AK736" s="405"/>
      <c r="AL736" s="405"/>
      <c r="AM736" s="406"/>
      <c r="AN736" s="406"/>
      <c r="AO736" s="406"/>
      <c r="AP736" s="406"/>
      <c r="AQ736" s="403"/>
      <c r="AR736" s="403"/>
      <c r="AS736" s="403"/>
      <c r="AT736" s="403"/>
      <c r="AU736" s="403"/>
      <c r="AV736" s="403"/>
      <c r="AW736" s="403"/>
      <c r="AX736" s="403"/>
      <c r="AY736" s="403"/>
    </row>
    <row r="737">
      <c r="A737" s="415"/>
      <c r="B737" s="415"/>
      <c r="C737" s="410"/>
      <c r="D737" s="429"/>
      <c r="E737" s="416"/>
      <c r="F737" s="413"/>
      <c r="G737" s="413"/>
      <c r="H737" s="415"/>
      <c r="I737" s="415"/>
      <c r="J737" s="415"/>
      <c r="K737" s="415"/>
      <c r="L737" s="417"/>
      <c r="M737" s="403"/>
      <c r="N737" s="403"/>
      <c r="O737" s="403"/>
      <c r="P737" s="403"/>
      <c r="Q737" s="403"/>
      <c r="R737" s="403"/>
      <c r="S737" s="403"/>
      <c r="T737" s="403"/>
      <c r="U737" s="403"/>
      <c r="V737" s="403"/>
      <c r="W737" s="404"/>
      <c r="X737" s="405"/>
      <c r="Y737" s="405"/>
      <c r="Z737" s="405"/>
      <c r="AA737" s="405"/>
      <c r="AB737" s="405"/>
      <c r="AC737" s="405"/>
      <c r="AD737" s="405"/>
      <c r="AE737" s="405"/>
      <c r="AF737" s="405"/>
      <c r="AG737" s="405"/>
      <c r="AH737" s="405"/>
      <c r="AI737" s="405"/>
      <c r="AJ737" s="405"/>
      <c r="AK737" s="405"/>
      <c r="AL737" s="405"/>
      <c r="AM737" s="406"/>
      <c r="AN737" s="406"/>
      <c r="AO737" s="406"/>
      <c r="AP737" s="406"/>
      <c r="AQ737" s="403"/>
      <c r="AR737" s="403"/>
      <c r="AS737" s="403"/>
      <c r="AT737" s="403"/>
      <c r="AU737" s="403"/>
      <c r="AV737" s="403"/>
      <c r="AW737" s="403"/>
      <c r="AX737" s="403"/>
      <c r="AY737" s="403"/>
    </row>
    <row r="738">
      <c r="A738" s="415"/>
      <c r="B738" s="415"/>
      <c r="C738" s="410"/>
      <c r="D738" s="429"/>
      <c r="E738" s="416"/>
      <c r="F738" s="413"/>
      <c r="G738" s="413"/>
      <c r="H738" s="415"/>
      <c r="I738" s="415"/>
      <c r="J738" s="415"/>
      <c r="K738" s="415"/>
      <c r="L738" s="417"/>
      <c r="M738" s="403"/>
      <c r="N738" s="403"/>
      <c r="O738" s="403"/>
      <c r="P738" s="403"/>
      <c r="Q738" s="403"/>
      <c r="R738" s="403"/>
      <c r="S738" s="403"/>
      <c r="T738" s="403"/>
      <c r="U738" s="403"/>
      <c r="V738" s="403"/>
      <c r="W738" s="404"/>
      <c r="X738" s="405"/>
      <c r="Y738" s="405"/>
      <c r="Z738" s="405"/>
      <c r="AA738" s="405"/>
      <c r="AB738" s="405"/>
      <c r="AC738" s="405"/>
      <c r="AD738" s="405"/>
      <c r="AE738" s="405"/>
      <c r="AF738" s="405"/>
      <c r="AG738" s="405"/>
      <c r="AH738" s="405"/>
      <c r="AI738" s="405"/>
      <c r="AJ738" s="405"/>
      <c r="AK738" s="405"/>
      <c r="AL738" s="405"/>
      <c r="AM738" s="406"/>
      <c r="AN738" s="406"/>
      <c r="AO738" s="406"/>
      <c r="AP738" s="406"/>
      <c r="AQ738" s="403"/>
      <c r="AR738" s="403"/>
      <c r="AS738" s="403"/>
      <c r="AT738" s="403"/>
      <c r="AU738" s="403"/>
      <c r="AV738" s="403"/>
      <c r="AW738" s="403"/>
      <c r="AX738" s="403"/>
      <c r="AY738" s="403"/>
    </row>
    <row r="739">
      <c r="A739" s="415"/>
      <c r="B739" s="415"/>
      <c r="C739" s="410"/>
      <c r="D739" s="429"/>
      <c r="E739" s="416"/>
      <c r="F739" s="413"/>
      <c r="G739" s="413"/>
      <c r="H739" s="415"/>
      <c r="I739" s="415"/>
      <c r="J739" s="415"/>
      <c r="K739" s="415"/>
      <c r="L739" s="417"/>
      <c r="M739" s="403"/>
      <c r="N739" s="403"/>
      <c r="O739" s="403"/>
      <c r="P739" s="403"/>
      <c r="Q739" s="403"/>
      <c r="R739" s="403"/>
      <c r="S739" s="403"/>
      <c r="T739" s="403"/>
      <c r="U739" s="403"/>
      <c r="V739" s="403"/>
      <c r="W739" s="404"/>
      <c r="X739" s="405"/>
      <c r="Y739" s="405"/>
      <c r="Z739" s="405"/>
      <c r="AA739" s="405"/>
      <c r="AB739" s="405"/>
      <c r="AC739" s="405"/>
      <c r="AD739" s="405"/>
      <c r="AE739" s="405"/>
      <c r="AF739" s="405"/>
      <c r="AG739" s="405"/>
      <c r="AH739" s="405"/>
      <c r="AI739" s="405"/>
      <c r="AJ739" s="405"/>
      <c r="AK739" s="405"/>
      <c r="AL739" s="405"/>
      <c r="AM739" s="406"/>
      <c r="AN739" s="406"/>
      <c r="AO739" s="406"/>
      <c r="AP739" s="406"/>
      <c r="AQ739" s="403"/>
      <c r="AR739" s="403"/>
      <c r="AS739" s="403"/>
      <c r="AT739" s="403"/>
      <c r="AU739" s="403"/>
      <c r="AV739" s="403"/>
      <c r="AW739" s="403"/>
      <c r="AX739" s="403"/>
      <c r="AY739" s="403"/>
    </row>
    <row r="740">
      <c r="A740" s="415"/>
      <c r="B740" s="415"/>
      <c r="C740" s="410"/>
      <c r="D740" s="429"/>
      <c r="E740" s="416"/>
      <c r="F740" s="413"/>
      <c r="G740" s="413"/>
      <c r="H740" s="415"/>
      <c r="I740" s="415"/>
      <c r="J740" s="415"/>
      <c r="K740" s="415"/>
      <c r="L740" s="417"/>
      <c r="M740" s="403"/>
      <c r="N740" s="403"/>
      <c r="O740" s="403"/>
      <c r="P740" s="403"/>
      <c r="Q740" s="403"/>
      <c r="R740" s="403"/>
      <c r="S740" s="403"/>
      <c r="T740" s="403"/>
      <c r="U740" s="403"/>
      <c r="V740" s="403"/>
      <c r="W740" s="404"/>
      <c r="X740" s="405"/>
      <c r="Y740" s="405"/>
      <c r="Z740" s="405"/>
      <c r="AA740" s="405"/>
      <c r="AB740" s="405"/>
      <c r="AC740" s="405"/>
      <c r="AD740" s="405"/>
      <c r="AE740" s="405"/>
      <c r="AF740" s="405"/>
      <c r="AG740" s="405"/>
      <c r="AH740" s="405"/>
      <c r="AI740" s="405"/>
      <c r="AJ740" s="405"/>
      <c r="AK740" s="405"/>
      <c r="AL740" s="405"/>
      <c r="AM740" s="406"/>
      <c r="AN740" s="406"/>
      <c r="AO740" s="406"/>
      <c r="AP740" s="406"/>
      <c r="AQ740" s="403"/>
      <c r="AR740" s="403"/>
      <c r="AS740" s="403"/>
      <c r="AT740" s="403"/>
      <c r="AU740" s="403"/>
      <c r="AV740" s="403"/>
      <c r="AW740" s="403"/>
      <c r="AX740" s="403"/>
      <c r="AY740" s="403"/>
    </row>
    <row r="741">
      <c r="A741" s="415"/>
      <c r="B741" s="415"/>
      <c r="C741" s="410"/>
      <c r="D741" s="429"/>
      <c r="E741" s="416"/>
      <c r="F741" s="413"/>
      <c r="G741" s="413"/>
      <c r="H741" s="415"/>
      <c r="I741" s="415"/>
      <c r="J741" s="415"/>
      <c r="K741" s="415"/>
      <c r="L741" s="417"/>
      <c r="M741" s="403"/>
      <c r="N741" s="403"/>
      <c r="O741" s="403"/>
      <c r="P741" s="403"/>
      <c r="Q741" s="403"/>
      <c r="R741" s="403"/>
      <c r="S741" s="403"/>
      <c r="T741" s="403"/>
      <c r="U741" s="403"/>
      <c r="V741" s="403"/>
      <c r="W741" s="404"/>
      <c r="X741" s="405"/>
      <c r="Y741" s="405"/>
      <c r="Z741" s="405"/>
      <c r="AA741" s="405"/>
      <c r="AB741" s="405"/>
      <c r="AC741" s="405"/>
      <c r="AD741" s="405"/>
      <c r="AE741" s="405"/>
      <c r="AF741" s="405"/>
      <c r="AG741" s="405"/>
      <c r="AH741" s="405"/>
      <c r="AI741" s="405"/>
      <c r="AJ741" s="405"/>
      <c r="AK741" s="405"/>
      <c r="AL741" s="405"/>
      <c r="AM741" s="406"/>
      <c r="AN741" s="406"/>
      <c r="AO741" s="406"/>
      <c r="AP741" s="406"/>
      <c r="AQ741" s="403"/>
      <c r="AR741" s="403"/>
      <c r="AS741" s="403"/>
      <c r="AT741" s="403"/>
      <c r="AU741" s="403"/>
      <c r="AV741" s="403"/>
      <c r="AW741" s="403"/>
      <c r="AX741" s="403"/>
      <c r="AY741" s="403"/>
    </row>
    <row r="742">
      <c r="A742" s="415"/>
      <c r="B742" s="415"/>
      <c r="C742" s="410"/>
      <c r="D742" s="429"/>
      <c r="E742" s="416"/>
      <c r="F742" s="413"/>
      <c r="G742" s="413"/>
      <c r="H742" s="415"/>
      <c r="I742" s="415"/>
      <c r="J742" s="415"/>
      <c r="K742" s="415"/>
      <c r="L742" s="417"/>
      <c r="M742" s="403"/>
      <c r="N742" s="403"/>
      <c r="O742" s="403"/>
      <c r="P742" s="403"/>
      <c r="Q742" s="403"/>
      <c r="R742" s="403"/>
      <c r="S742" s="403"/>
      <c r="T742" s="403"/>
      <c r="U742" s="403"/>
      <c r="V742" s="403"/>
      <c r="W742" s="404"/>
      <c r="X742" s="405"/>
      <c r="Y742" s="405"/>
      <c r="Z742" s="405"/>
      <c r="AA742" s="405"/>
      <c r="AB742" s="405"/>
      <c r="AC742" s="405"/>
      <c r="AD742" s="405"/>
      <c r="AE742" s="405"/>
      <c r="AF742" s="405"/>
      <c r="AG742" s="405"/>
      <c r="AH742" s="405"/>
      <c r="AI742" s="405"/>
      <c r="AJ742" s="405"/>
      <c r="AK742" s="405"/>
      <c r="AL742" s="405"/>
      <c r="AM742" s="406"/>
      <c r="AN742" s="406"/>
      <c r="AO742" s="406"/>
      <c r="AP742" s="406"/>
      <c r="AQ742" s="403"/>
      <c r="AR742" s="403"/>
      <c r="AS742" s="403"/>
      <c r="AT742" s="403"/>
      <c r="AU742" s="403"/>
      <c r="AV742" s="403"/>
      <c r="AW742" s="403"/>
      <c r="AX742" s="403"/>
      <c r="AY742" s="403"/>
    </row>
    <row r="743">
      <c r="A743" s="415"/>
      <c r="B743" s="415"/>
      <c r="C743" s="410"/>
      <c r="D743" s="429"/>
      <c r="E743" s="416"/>
      <c r="F743" s="413"/>
      <c r="G743" s="413"/>
      <c r="H743" s="415"/>
      <c r="I743" s="415"/>
      <c r="J743" s="415"/>
      <c r="K743" s="415"/>
      <c r="L743" s="417"/>
      <c r="M743" s="403"/>
      <c r="N743" s="403"/>
      <c r="O743" s="403"/>
      <c r="P743" s="403"/>
      <c r="Q743" s="403"/>
      <c r="R743" s="403"/>
      <c r="S743" s="403"/>
      <c r="T743" s="403"/>
      <c r="U743" s="403"/>
      <c r="V743" s="403"/>
      <c r="W743" s="404"/>
      <c r="X743" s="405"/>
      <c r="Y743" s="405"/>
      <c r="Z743" s="405"/>
      <c r="AA743" s="405"/>
      <c r="AB743" s="405"/>
      <c r="AC743" s="405"/>
      <c r="AD743" s="405"/>
      <c r="AE743" s="405"/>
      <c r="AF743" s="405"/>
      <c r="AG743" s="405"/>
      <c r="AH743" s="405"/>
      <c r="AI743" s="405"/>
      <c r="AJ743" s="405"/>
      <c r="AK743" s="405"/>
      <c r="AL743" s="405"/>
      <c r="AM743" s="406"/>
      <c r="AN743" s="406"/>
      <c r="AO743" s="406"/>
      <c r="AP743" s="406"/>
      <c r="AQ743" s="403"/>
      <c r="AR743" s="403"/>
      <c r="AS743" s="403"/>
      <c r="AT743" s="403"/>
      <c r="AU743" s="403"/>
      <c r="AV743" s="403"/>
      <c r="AW743" s="403"/>
      <c r="AX743" s="403"/>
      <c r="AY743" s="403"/>
    </row>
    <row r="744">
      <c r="A744" s="415"/>
      <c r="B744" s="415"/>
      <c r="C744" s="410"/>
      <c r="D744" s="429"/>
      <c r="E744" s="416"/>
      <c r="F744" s="413"/>
      <c r="G744" s="413"/>
      <c r="H744" s="415"/>
      <c r="I744" s="415"/>
      <c r="J744" s="415"/>
      <c r="K744" s="415"/>
      <c r="L744" s="417"/>
      <c r="M744" s="403"/>
      <c r="N744" s="403"/>
      <c r="O744" s="403"/>
      <c r="P744" s="403"/>
      <c r="Q744" s="403"/>
      <c r="R744" s="403"/>
      <c r="S744" s="403"/>
      <c r="T744" s="403"/>
      <c r="U744" s="403"/>
      <c r="V744" s="403"/>
      <c r="W744" s="404"/>
      <c r="X744" s="405"/>
      <c r="Y744" s="405"/>
      <c r="Z744" s="405"/>
      <c r="AA744" s="405"/>
      <c r="AB744" s="405"/>
      <c r="AC744" s="405"/>
      <c r="AD744" s="405"/>
      <c r="AE744" s="405"/>
      <c r="AF744" s="405"/>
      <c r="AG744" s="405"/>
      <c r="AH744" s="405"/>
      <c r="AI744" s="405"/>
      <c r="AJ744" s="405"/>
      <c r="AK744" s="405"/>
      <c r="AL744" s="405"/>
      <c r="AM744" s="406"/>
      <c r="AN744" s="406"/>
      <c r="AO744" s="406"/>
      <c r="AP744" s="406"/>
      <c r="AQ744" s="403"/>
      <c r="AR744" s="403"/>
      <c r="AS744" s="403"/>
      <c r="AT744" s="403"/>
      <c r="AU744" s="403"/>
      <c r="AV744" s="403"/>
      <c r="AW744" s="403"/>
      <c r="AX744" s="403"/>
      <c r="AY744" s="403"/>
    </row>
    <row r="745">
      <c r="A745" s="415"/>
      <c r="B745" s="415"/>
      <c r="C745" s="410"/>
      <c r="D745" s="429"/>
      <c r="E745" s="416"/>
      <c r="F745" s="413"/>
      <c r="G745" s="413"/>
      <c r="H745" s="415"/>
      <c r="I745" s="415"/>
      <c r="J745" s="415"/>
      <c r="K745" s="415"/>
      <c r="L745" s="417"/>
      <c r="M745" s="403"/>
      <c r="N745" s="403"/>
      <c r="O745" s="403"/>
      <c r="P745" s="403"/>
      <c r="Q745" s="403"/>
      <c r="R745" s="403"/>
      <c r="S745" s="403"/>
      <c r="T745" s="403"/>
      <c r="U745" s="403"/>
      <c r="V745" s="403"/>
      <c r="W745" s="404"/>
      <c r="X745" s="405"/>
      <c r="Y745" s="405"/>
      <c r="Z745" s="405"/>
      <c r="AA745" s="405"/>
      <c r="AB745" s="405"/>
      <c r="AC745" s="405"/>
      <c r="AD745" s="405"/>
      <c r="AE745" s="405"/>
      <c r="AF745" s="405"/>
      <c r="AG745" s="405"/>
      <c r="AH745" s="405"/>
      <c r="AI745" s="405"/>
      <c r="AJ745" s="405"/>
      <c r="AK745" s="405"/>
      <c r="AL745" s="405"/>
      <c r="AM745" s="406"/>
      <c r="AN745" s="406"/>
      <c r="AO745" s="406"/>
      <c r="AP745" s="406"/>
      <c r="AQ745" s="403"/>
      <c r="AR745" s="403"/>
      <c r="AS745" s="403"/>
      <c r="AT745" s="403"/>
      <c r="AU745" s="403"/>
      <c r="AV745" s="403"/>
      <c r="AW745" s="403"/>
      <c r="AX745" s="403"/>
      <c r="AY745" s="403"/>
    </row>
    <row r="746">
      <c r="A746" s="415"/>
      <c r="B746" s="415"/>
      <c r="C746" s="410"/>
      <c r="D746" s="429"/>
      <c r="E746" s="416"/>
      <c r="F746" s="413"/>
      <c r="G746" s="413"/>
      <c r="H746" s="415"/>
      <c r="I746" s="415"/>
      <c r="J746" s="415"/>
      <c r="K746" s="415"/>
      <c r="L746" s="417"/>
      <c r="M746" s="403"/>
      <c r="N746" s="403"/>
      <c r="O746" s="403"/>
      <c r="P746" s="403"/>
      <c r="Q746" s="403"/>
      <c r="R746" s="403"/>
      <c r="S746" s="403"/>
      <c r="T746" s="403"/>
      <c r="U746" s="403"/>
      <c r="V746" s="403"/>
      <c r="W746" s="404"/>
      <c r="X746" s="405"/>
      <c r="Y746" s="405"/>
      <c r="Z746" s="405"/>
      <c r="AA746" s="405"/>
      <c r="AB746" s="405"/>
      <c r="AC746" s="405"/>
      <c r="AD746" s="405"/>
      <c r="AE746" s="405"/>
      <c r="AF746" s="405"/>
      <c r="AG746" s="405"/>
      <c r="AH746" s="405"/>
      <c r="AI746" s="405"/>
      <c r="AJ746" s="405"/>
      <c r="AK746" s="405"/>
      <c r="AL746" s="405"/>
      <c r="AM746" s="406"/>
      <c r="AN746" s="406"/>
      <c r="AO746" s="406"/>
      <c r="AP746" s="406"/>
      <c r="AQ746" s="403"/>
      <c r="AR746" s="403"/>
      <c r="AS746" s="403"/>
      <c r="AT746" s="403"/>
      <c r="AU746" s="403"/>
      <c r="AV746" s="403"/>
      <c r="AW746" s="403"/>
      <c r="AX746" s="403"/>
      <c r="AY746" s="403"/>
    </row>
    <row r="747">
      <c r="A747" s="415"/>
      <c r="B747" s="415"/>
      <c r="C747" s="410"/>
      <c r="D747" s="429"/>
      <c r="E747" s="416"/>
      <c r="F747" s="413"/>
      <c r="G747" s="413"/>
      <c r="H747" s="415"/>
      <c r="I747" s="415"/>
      <c r="J747" s="415"/>
      <c r="K747" s="415"/>
      <c r="L747" s="417"/>
      <c r="M747" s="403"/>
      <c r="N747" s="403"/>
      <c r="O747" s="403"/>
      <c r="P747" s="403"/>
      <c r="Q747" s="403"/>
      <c r="R747" s="403"/>
      <c r="S747" s="403"/>
      <c r="T747" s="403"/>
      <c r="U747" s="403"/>
      <c r="V747" s="403"/>
      <c r="W747" s="404"/>
      <c r="X747" s="405"/>
      <c r="Y747" s="405"/>
      <c r="Z747" s="405"/>
      <c r="AA747" s="405"/>
      <c r="AB747" s="405"/>
      <c r="AC747" s="405"/>
      <c r="AD747" s="405"/>
      <c r="AE747" s="405"/>
      <c r="AF747" s="405"/>
      <c r="AG747" s="405"/>
      <c r="AH747" s="405"/>
      <c r="AI747" s="405"/>
      <c r="AJ747" s="405"/>
      <c r="AK747" s="405"/>
      <c r="AL747" s="405"/>
      <c r="AM747" s="406"/>
      <c r="AN747" s="406"/>
      <c r="AO747" s="406"/>
      <c r="AP747" s="406"/>
      <c r="AQ747" s="403"/>
      <c r="AR747" s="403"/>
      <c r="AS747" s="403"/>
      <c r="AT747" s="403"/>
      <c r="AU747" s="403"/>
      <c r="AV747" s="403"/>
      <c r="AW747" s="403"/>
      <c r="AX747" s="403"/>
      <c r="AY747" s="403"/>
    </row>
    <row r="748">
      <c r="A748" s="415"/>
      <c r="B748" s="415"/>
      <c r="C748" s="410"/>
      <c r="D748" s="429"/>
      <c r="E748" s="416"/>
      <c r="F748" s="413"/>
      <c r="G748" s="413"/>
      <c r="H748" s="415"/>
      <c r="I748" s="415"/>
      <c r="J748" s="415"/>
      <c r="K748" s="415"/>
      <c r="L748" s="417"/>
      <c r="M748" s="403"/>
      <c r="N748" s="403"/>
      <c r="O748" s="403"/>
      <c r="P748" s="403"/>
      <c r="Q748" s="403"/>
      <c r="R748" s="403"/>
      <c r="S748" s="403"/>
      <c r="T748" s="403"/>
      <c r="U748" s="403"/>
      <c r="V748" s="403"/>
      <c r="W748" s="404"/>
      <c r="X748" s="405"/>
      <c r="Y748" s="405"/>
      <c r="Z748" s="405"/>
      <c r="AA748" s="405"/>
      <c r="AB748" s="405"/>
      <c r="AC748" s="405"/>
      <c r="AD748" s="405"/>
      <c r="AE748" s="405"/>
      <c r="AF748" s="405"/>
      <c r="AG748" s="405"/>
      <c r="AH748" s="405"/>
      <c r="AI748" s="405"/>
      <c r="AJ748" s="405"/>
      <c r="AK748" s="405"/>
      <c r="AL748" s="405"/>
      <c r="AM748" s="406"/>
      <c r="AN748" s="406"/>
      <c r="AO748" s="406"/>
      <c r="AP748" s="406"/>
      <c r="AQ748" s="403"/>
      <c r="AR748" s="403"/>
      <c r="AS748" s="403"/>
      <c r="AT748" s="403"/>
      <c r="AU748" s="403"/>
      <c r="AV748" s="403"/>
      <c r="AW748" s="403"/>
      <c r="AX748" s="403"/>
      <c r="AY748" s="403"/>
    </row>
    <row r="749">
      <c r="A749" s="415"/>
      <c r="B749" s="415"/>
      <c r="C749" s="410"/>
      <c r="D749" s="429"/>
      <c r="E749" s="416"/>
      <c r="F749" s="413"/>
      <c r="G749" s="413"/>
      <c r="H749" s="415"/>
      <c r="I749" s="415"/>
      <c r="J749" s="415"/>
      <c r="K749" s="415"/>
      <c r="L749" s="417"/>
      <c r="M749" s="403"/>
      <c r="N749" s="403"/>
      <c r="O749" s="403"/>
      <c r="P749" s="403"/>
      <c r="Q749" s="403"/>
      <c r="R749" s="403"/>
      <c r="S749" s="403"/>
      <c r="T749" s="403"/>
      <c r="U749" s="403"/>
      <c r="V749" s="403"/>
      <c r="W749" s="404"/>
      <c r="X749" s="405"/>
      <c r="Y749" s="405"/>
      <c r="Z749" s="405"/>
      <c r="AA749" s="405"/>
      <c r="AB749" s="405"/>
      <c r="AC749" s="405"/>
      <c r="AD749" s="405"/>
      <c r="AE749" s="405"/>
      <c r="AF749" s="405"/>
      <c r="AG749" s="405"/>
      <c r="AH749" s="405"/>
      <c r="AI749" s="405"/>
      <c r="AJ749" s="405"/>
      <c r="AK749" s="405"/>
      <c r="AL749" s="405"/>
      <c r="AM749" s="406"/>
      <c r="AN749" s="406"/>
      <c r="AO749" s="406"/>
      <c r="AP749" s="406"/>
      <c r="AQ749" s="403"/>
      <c r="AR749" s="403"/>
      <c r="AS749" s="403"/>
      <c r="AT749" s="403"/>
      <c r="AU749" s="403"/>
      <c r="AV749" s="403"/>
      <c r="AW749" s="403"/>
      <c r="AX749" s="403"/>
      <c r="AY749" s="403"/>
    </row>
    <row r="750">
      <c r="A750" s="415"/>
      <c r="B750" s="415"/>
      <c r="C750" s="410"/>
      <c r="D750" s="429"/>
      <c r="E750" s="416"/>
      <c r="F750" s="413"/>
      <c r="G750" s="413"/>
      <c r="H750" s="415"/>
      <c r="I750" s="415"/>
      <c r="J750" s="415"/>
      <c r="K750" s="415"/>
      <c r="L750" s="417"/>
      <c r="M750" s="403"/>
      <c r="N750" s="403"/>
      <c r="O750" s="403"/>
      <c r="P750" s="403"/>
      <c r="Q750" s="403"/>
      <c r="R750" s="403"/>
      <c r="S750" s="403"/>
      <c r="T750" s="403"/>
      <c r="U750" s="403"/>
      <c r="V750" s="403"/>
      <c r="W750" s="404"/>
      <c r="X750" s="405"/>
      <c r="Y750" s="405"/>
      <c r="Z750" s="405"/>
      <c r="AA750" s="405"/>
      <c r="AB750" s="405"/>
      <c r="AC750" s="405"/>
      <c r="AD750" s="405"/>
      <c r="AE750" s="405"/>
      <c r="AF750" s="405"/>
      <c r="AG750" s="405"/>
      <c r="AH750" s="405"/>
      <c r="AI750" s="405"/>
      <c r="AJ750" s="405"/>
      <c r="AK750" s="405"/>
      <c r="AL750" s="405"/>
      <c r="AM750" s="406"/>
      <c r="AN750" s="406"/>
      <c r="AO750" s="406"/>
      <c r="AP750" s="406"/>
      <c r="AQ750" s="403"/>
      <c r="AR750" s="403"/>
      <c r="AS750" s="403"/>
      <c r="AT750" s="403"/>
      <c r="AU750" s="403"/>
      <c r="AV750" s="403"/>
      <c r="AW750" s="403"/>
      <c r="AX750" s="403"/>
      <c r="AY750" s="403"/>
    </row>
    <row r="751">
      <c r="A751" s="415"/>
      <c r="B751" s="415"/>
      <c r="C751" s="410"/>
      <c r="D751" s="429"/>
      <c r="E751" s="416"/>
      <c r="F751" s="413"/>
      <c r="G751" s="413"/>
      <c r="H751" s="415"/>
      <c r="I751" s="415"/>
      <c r="J751" s="415"/>
      <c r="K751" s="415"/>
      <c r="L751" s="417"/>
      <c r="M751" s="403"/>
      <c r="N751" s="403"/>
      <c r="O751" s="403"/>
      <c r="P751" s="403"/>
      <c r="Q751" s="403"/>
      <c r="R751" s="403"/>
      <c r="S751" s="403"/>
      <c r="T751" s="403"/>
      <c r="U751" s="403"/>
      <c r="V751" s="403"/>
      <c r="W751" s="404"/>
      <c r="X751" s="405"/>
      <c r="Y751" s="405"/>
      <c r="Z751" s="405"/>
      <c r="AA751" s="405"/>
      <c r="AB751" s="405"/>
      <c r="AC751" s="405"/>
      <c r="AD751" s="405"/>
      <c r="AE751" s="405"/>
      <c r="AF751" s="405"/>
      <c r="AG751" s="405"/>
      <c r="AH751" s="405"/>
      <c r="AI751" s="405"/>
      <c r="AJ751" s="405"/>
      <c r="AK751" s="405"/>
      <c r="AL751" s="405"/>
      <c r="AM751" s="406"/>
      <c r="AN751" s="406"/>
      <c r="AO751" s="406"/>
      <c r="AP751" s="406"/>
      <c r="AQ751" s="403"/>
      <c r="AR751" s="403"/>
      <c r="AS751" s="403"/>
      <c r="AT751" s="403"/>
      <c r="AU751" s="403"/>
      <c r="AV751" s="403"/>
      <c r="AW751" s="403"/>
      <c r="AX751" s="403"/>
      <c r="AY751" s="403"/>
    </row>
    <row r="752">
      <c r="A752" s="415"/>
      <c r="B752" s="415"/>
      <c r="C752" s="410"/>
      <c r="D752" s="429"/>
      <c r="E752" s="416"/>
      <c r="F752" s="413"/>
      <c r="G752" s="413"/>
      <c r="H752" s="415"/>
      <c r="I752" s="415"/>
      <c r="J752" s="415"/>
      <c r="K752" s="415"/>
      <c r="L752" s="417"/>
      <c r="M752" s="403"/>
      <c r="N752" s="403"/>
      <c r="O752" s="403"/>
      <c r="P752" s="403"/>
      <c r="Q752" s="403"/>
      <c r="R752" s="403"/>
      <c r="S752" s="403"/>
      <c r="T752" s="403"/>
      <c r="U752" s="403"/>
      <c r="V752" s="403"/>
      <c r="W752" s="404"/>
      <c r="X752" s="405"/>
      <c r="Y752" s="405"/>
      <c r="Z752" s="405"/>
      <c r="AA752" s="405"/>
      <c r="AB752" s="405"/>
      <c r="AC752" s="405"/>
      <c r="AD752" s="405"/>
      <c r="AE752" s="405"/>
      <c r="AF752" s="405"/>
      <c r="AG752" s="405"/>
      <c r="AH752" s="405"/>
      <c r="AI752" s="405"/>
      <c r="AJ752" s="405"/>
      <c r="AK752" s="405"/>
      <c r="AL752" s="405"/>
      <c r="AM752" s="406"/>
      <c r="AN752" s="406"/>
      <c r="AO752" s="406"/>
      <c r="AP752" s="406"/>
      <c r="AQ752" s="403"/>
      <c r="AR752" s="403"/>
      <c r="AS752" s="403"/>
      <c r="AT752" s="403"/>
      <c r="AU752" s="403"/>
      <c r="AV752" s="403"/>
      <c r="AW752" s="403"/>
      <c r="AX752" s="403"/>
      <c r="AY752" s="403"/>
    </row>
    <row r="753">
      <c r="A753" s="415"/>
      <c r="B753" s="415"/>
      <c r="C753" s="410"/>
      <c r="D753" s="429"/>
      <c r="E753" s="416"/>
      <c r="F753" s="413"/>
      <c r="G753" s="413"/>
      <c r="H753" s="415"/>
      <c r="I753" s="415"/>
      <c r="J753" s="415"/>
      <c r="K753" s="415"/>
      <c r="L753" s="417"/>
      <c r="M753" s="403"/>
      <c r="N753" s="403"/>
      <c r="O753" s="403"/>
      <c r="P753" s="403"/>
      <c r="Q753" s="403"/>
      <c r="R753" s="403"/>
      <c r="S753" s="403"/>
      <c r="T753" s="403"/>
      <c r="U753" s="403"/>
      <c r="V753" s="403"/>
      <c r="W753" s="404"/>
      <c r="X753" s="405"/>
      <c r="Y753" s="405"/>
      <c r="Z753" s="405"/>
      <c r="AA753" s="405"/>
      <c r="AB753" s="405"/>
      <c r="AC753" s="405"/>
      <c r="AD753" s="405"/>
      <c r="AE753" s="405"/>
      <c r="AF753" s="405"/>
      <c r="AG753" s="405"/>
      <c r="AH753" s="405"/>
      <c r="AI753" s="405"/>
      <c r="AJ753" s="405"/>
      <c r="AK753" s="405"/>
      <c r="AL753" s="405"/>
      <c r="AM753" s="406"/>
      <c r="AN753" s="406"/>
      <c r="AO753" s="406"/>
      <c r="AP753" s="406"/>
      <c r="AQ753" s="403"/>
      <c r="AR753" s="403"/>
      <c r="AS753" s="403"/>
      <c r="AT753" s="403"/>
      <c r="AU753" s="403"/>
      <c r="AV753" s="403"/>
      <c r="AW753" s="403"/>
      <c r="AX753" s="403"/>
      <c r="AY753" s="403"/>
    </row>
    <row r="754">
      <c r="A754" s="415"/>
      <c r="B754" s="415"/>
      <c r="C754" s="410"/>
      <c r="D754" s="429"/>
      <c r="E754" s="416"/>
      <c r="F754" s="413"/>
      <c r="G754" s="413"/>
      <c r="H754" s="415"/>
      <c r="I754" s="415"/>
      <c r="J754" s="415"/>
      <c r="K754" s="415"/>
      <c r="L754" s="417"/>
      <c r="M754" s="403"/>
      <c r="N754" s="403"/>
      <c r="O754" s="403"/>
      <c r="P754" s="403"/>
      <c r="Q754" s="403"/>
      <c r="R754" s="403"/>
      <c r="S754" s="403"/>
      <c r="T754" s="403"/>
      <c r="U754" s="403"/>
      <c r="V754" s="403"/>
      <c r="W754" s="404"/>
      <c r="X754" s="405"/>
      <c r="Y754" s="405"/>
      <c r="Z754" s="405"/>
      <c r="AA754" s="405"/>
      <c r="AB754" s="405"/>
      <c r="AC754" s="405"/>
      <c r="AD754" s="405"/>
      <c r="AE754" s="405"/>
      <c r="AF754" s="405"/>
      <c r="AG754" s="405"/>
      <c r="AH754" s="405"/>
      <c r="AI754" s="405"/>
      <c r="AJ754" s="405"/>
      <c r="AK754" s="405"/>
      <c r="AL754" s="405"/>
      <c r="AM754" s="406"/>
      <c r="AN754" s="406"/>
      <c r="AO754" s="406"/>
      <c r="AP754" s="406"/>
      <c r="AQ754" s="403"/>
      <c r="AR754" s="403"/>
      <c r="AS754" s="403"/>
      <c r="AT754" s="403"/>
      <c r="AU754" s="403"/>
      <c r="AV754" s="403"/>
      <c r="AW754" s="403"/>
      <c r="AX754" s="403"/>
      <c r="AY754" s="403"/>
    </row>
    <row r="755">
      <c r="A755" s="415"/>
      <c r="B755" s="415"/>
      <c r="C755" s="410"/>
      <c r="D755" s="429"/>
      <c r="E755" s="416"/>
      <c r="F755" s="413"/>
      <c r="G755" s="413"/>
      <c r="H755" s="415"/>
      <c r="I755" s="415"/>
      <c r="J755" s="415"/>
      <c r="K755" s="415"/>
      <c r="L755" s="417"/>
      <c r="M755" s="403"/>
      <c r="N755" s="403"/>
      <c r="O755" s="403"/>
      <c r="P755" s="403"/>
      <c r="Q755" s="403"/>
      <c r="R755" s="403"/>
      <c r="S755" s="403"/>
      <c r="T755" s="403"/>
      <c r="U755" s="403"/>
      <c r="V755" s="403"/>
      <c r="W755" s="404"/>
      <c r="X755" s="405"/>
      <c r="Y755" s="405"/>
      <c r="Z755" s="405"/>
      <c r="AA755" s="405"/>
      <c r="AB755" s="405"/>
      <c r="AC755" s="405"/>
      <c r="AD755" s="405"/>
      <c r="AE755" s="405"/>
      <c r="AF755" s="405"/>
      <c r="AG755" s="405"/>
      <c r="AH755" s="405"/>
      <c r="AI755" s="405"/>
      <c r="AJ755" s="405"/>
      <c r="AK755" s="405"/>
      <c r="AL755" s="405"/>
      <c r="AM755" s="406"/>
      <c r="AN755" s="406"/>
      <c r="AO755" s="406"/>
      <c r="AP755" s="406"/>
      <c r="AQ755" s="403"/>
      <c r="AR755" s="403"/>
      <c r="AS755" s="403"/>
      <c r="AT755" s="403"/>
      <c r="AU755" s="403"/>
      <c r="AV755" s="403"/>
      <c r="AW755" s="403"/>
      <c r="AX755" s="403"/>
      <c r="AY755" s="403"/>
    </row>
    <row r="756">
      <c r="A756" s="415"/>
      <c r="B756" s="415"/>
      <c r="C756" s="410"/>
      <c r="D756" s="429"/>
      <c r="E756" s="416"/>
      <c r="F756" s="413"/>
      <c r="G756" s="413"/>
      <c r="H756" s="415"/>
      <c r="I756" s="415"/>
      <c r="J756" s="415"/>
      <c r="K756" s="415"/>
      <c r="L756" s="417"/>
      <c r="M756" s="403"/>
      <c r="N756" s="403"/>
      <c r="O756" s="403"/>
      <c r="P756" s="403"/>
      <c r="Q756" s="403"/>
      <c r="R756" s="403"/>
      <c r="S756" s="403"/>
      <c r="T756" s="403"/>
      <c r="U756" s="403"/>
      <c r="V756" s="403"/>
      <c r="W756" s="404"/>
      <c r="X756" s="405"/>
      <c r="Y756" s="405"/>
      <c r="Z756" s="405"/>
      <c r="AA756" s="405"/>
      <c r="AB756" s="405"/>
      <c r="AC756" s="405"/>
      <c r="AD756" s="405"/>
      <c r="AE756" s="405"/>
      <c r="AF756" s="405"/>
      <c r="AG756" s="405"/>
      <c r="AH756" s="405"/>
      <c r="AI756" s="405"/>
      <c r="AJ756" s="405"/>
      <c r="AK756" s="405"/>
      <c r="AL756" s="405"/>
      <c r="AM756" s="406"/>
      <c r="AN756" s="406"/>
      <c r="AO756" s="406"/>
      <c r="AP756" s="406"/>
      <c r="AQ756" s="403"/>
      <c r="AR756" s="403"/>
      <c r="AS756" s="403"/>
      <c r="AT756" s="403"/>
      <c r="AU756" s="403"/>
      <c r="AV756" s="403"/>
      <c r="AW756" s="403"/>
      <c r="AX756" s="403"/>
      <c r="AY756" s="403"/>
    </row>
    <row r="757">
      <c r="A757" s="415"/>
      <c r="B757" s="415"/>
      <c r="C757" s="410"/>
      <c r="D757" s="429"/>
      <c r="E757" s="416"/>
      <c r="F757" s="413"/>
      <c r="G757" s="413"/>
      <c r="H757" s="415"/>
      <c r="I757" s="415"/>
      <c r="J757" s="415"/>
      <c r="K757" s="415"/>
      <c r="L757" s="417"/>
      <c r="M757" s="403"/>
      <c r="N757" s="403"/>
      <c r="O757" s="403"/>
      <c r="P757" s="403"/>
      <c r="Q757" s="403"/>
      <c r="R757" s="403"/>
      <c r="S757" s="403"/>
      <c r="T757" s="403"/>
      <c r="U757" s="403"/>
      <c r="V757" s="403"/>
      <c r="W757" s="404"/>
      <c r="X757" s="405"/>
      <c r="Y757" s="405"/>
      <c r="Z757" s="405"/>
      <c r="AA757" s="405"/>
      <c r="AB757" s="405"/>
      <c r="AC757" s="405"/>
      <c r="AD757" s="405"/>
      <c r="AE757" s="405"/>
      <c r="AF757" s="405"/>
      <c r="AG757" s="405"/>
      <c r="AH757" s="405"/>
      <c r="AI757" s="405"/>
      <c r="AJ757" s="405"/>
      <c r="AK757" s="405"/>
      <c r="AL757" s="405"/>
      <c r="AM757" s="406"/>
      <c r="AN757" s="406"/>
      <c r="AO757" s="406"/>
      <c r="AP757" s="406"/>
      <c r="AQ757" s="403"/>
      <c r="AR757" s="403"/>
      <c r="AS757" s="403"/>
      <c r="AT757" s="403"/>
      <c r="AU757" s="403"/>
      <c r="AV757" s="403"/>
      <c r="AW757" s="403"/>
      <c r="AX757" s="403"/>
      <c r="AY757" s="403"/>
    </row>
    <row r="758">
      <c r="A758" s="415"/>
      <c r="B758" s="415"/>
      <c r="C758" s="410"/>
      <c r="D758" s="429"/>
      <c r="E758" s="416"/>
      <c r="F758" s="413"/>
      <c r="G758" s="413"/>
      <c r="H758" s="415"/>
      <c r="I758" s="415"/>
      <c r="J758" s="415"/>
      <c r="K758" s="415"/>
      <c r="L758" s="417"/>
      <c r="M758" s="403"/>
      <c r="N758" s="403"/>
      <c r="O758" s="403"/>
      <c r="P758" s="403"/>
      <c r="Q758" s="403"/>
      <c r="R758" s="403"/>
      <c r="S758" s="403"/>
      <c r="T758" s="403"/>
      <c r="U758" s="403"/>
      <c r="V758" s="403"/>
      <c r="W758" s="404"/>
      <c r="X758" s="405"/>
      <c r="Y758" s="405"/>
      <c r="Z758" s="405"/>
      <c r="AA758" s="405"/>
      <c r="AB758" s="405"/>
      <c r="AC758" s="405"/>
      <c r="AD758" s="405"/>
      <c r="AE758" s="405"/>
      <c r="AF758" s="405"/>
      <c r="AG758" s="405"/>
      <c r="AH758" s="405"/>
      <c r="AI758" s="405"/>
      <c r="AJ758" s="405"/>
      <c r="AK758" s="405"/>
      <c r="AL758" s="405"/>
      <c r="AM758" s="406"/>
      <c r="AN758" s="406"/>
      <c r="AO758" s="406"/>
      <c r="AP758" s="406"/>
      <c r="AQ758" s="403"/>
      <c r="AR758" s="403"/>
      <c r="AS758" s="403"/>
      <c r="AT758" s="403"/>
      <c r="AU758" s="403"/>
      <c r="AV758" s="403"/>
      <c r="AW758" s="403"/>
      <c r="AX758" s="403"/>
      <c r="AY758" s="403"/>
    </row>
    <row r="759">
      <c r="A759" s="415"/>
      <c r="B759" s="415"/>
      <c r="C759" s="410"/>
      <c r="D759" s="429"/>
      <c r="E759" s="416"/>
      <c r="F759" s="413"/>
      <c r="G759" s="413"/>
      <c r="H759" s="415"/>
      <c r="I759" s="415"/>
      <c r="J759" s="415"/>
      <c r="K759" s="415"/>
      <c r="L759" s="417"/>
      <c r="M759" s="403"/>
      <c r="N759" s="403"/>
      <c r="O759" s="403"/>
      <c r="P759" s="403"/>
      <c r="Q759" s="403"/>
      <c r="R759" s="403"/>
      <c r="S759" s="403"/>
      <c r="T759" s="403"/>
      <c r="U759" s="403"/>
      <c r="V759" s="403"/>
      <c r="W759" s="404"/>
      <c r="X759" s="405"/>
      <c r="Y759" s="405"/>
      <c r="Z759" s="405"/>
      <c r="AA759" s="405"/>
      <c r="AB759" s="405"/>
      <c r="AC759" s="405"/>
      <c r="AD759" s="405"/>
      <c r="AE759" s="405"/>
      <c r="AF759" s="405"/>
      <c r="AG759" s="405"/>
      <c r="AH759" s="405"/>
      <c r="AI759" s="405"/>
      <c r="AJ759" s="405"/>
      <c r="AK759" s="405"/>
      <c r="AL759" s="405"/>
      <c r="AM759" s="406"/>
      <c r="AN759" s="406"/>
      <c r="AO759" s="406"/>
      <c r="AP759" s="406"/>
      <c r="AQ759" s="403"/>
      <c r="AR759" s="403"/>
      <c r="AS759" s="403"/>
      <c r="AT759" s="403"/>
      <c r="AU759" s="403"/>
      <c r="AV759" s="403"/>
      <c r="AW759" s="403"/>
      <c r="AX759" s="403"/>
      <c r="AY759" s="403"/>
    </row>
    <row r="760">
      <c r="A760" s="415"/>
      <c r="B760" s="415"/>
      <c r="C760" s="410"/>
      <c r="D760" s="429"/>
      <c r="E760" s="416"/>
      <c r="F760" s="413"/>
      <c r="G760" s="413"/>
      <c r="H760" s="415"/>
      <c r="I760" s="415"/>
      <c r="J760" s="415"/>
      <c r="K760" s="415"/>
      <c r="L760" s="417"/>
      <c r="M760" s="403"/>
      <c r="N760" s="403"/>
      <c r="O760" s="403"/>
      <c r="P760" s="403"/>
      <c r="Q760" s="403"/>
      <c r="R760" s="403"/>
      <c r="S760" s="403"/>
      <c r="T760" s="403"/>
      <c r="U760" s="403"/>
      <c r="V760" s="403"/>
      <c r="W760" s="404"/>
      <c r="X760" s="405"/>
      <c r="Y760" s="405"/>
      <c r="Z760" s="405"/>
      <c r="AA760" s="405"/>
      <c r="AB760" s="405"/>
      <c r="AC760" s="405"/>
      <c r="AD760" s="405"/>
      <c r="AE760" s="405"/>
      <c r="AF760" s="405"/>
      <c r="AG760" s="405"/>
      <c r="AH760" s="405"/>
      <c r="AI760" s="405"/>
      <c r="AJ760" s="405"/>
      <c r="AK760" s="405"/>
      <c r="AL760" s="405"/>
      <c r="AM760" s="406"/>
      <c r="AN760" s="406"/>
      <c r="AO760" s="406"/>
      <c r="AP760" s="406"/>
      <c r="AQ760" s="403"/>
      <c r="AR760" s="403"/>
      <c r="AS760" s="403"/>
      <c r="AT760" s="403"/>
      <c r="AU760" s="403"/>
      <c r="AV760" s="403"/>
      <c r="AW760" s="403"/>
      <c r="AX760" s="403"/>
      <c r="AY760" s="403"/>
    </row>
    <row r="761">
      <c r="A761" s="415"/>
      <c r="B761" s="415"/>
      <c r="C761" s="410"/>
      <c r="D761" s="429"/>
      <c r="E761" s="416"/>
      <c r="F761" s="413"/>
      <c r="G761" s="413"/>
      <c r="H761" s="415"/>
      <c r="I761" s="415"/>
      <c r="J761" s="415"/>
      <c r="K761" s="415"/>
      <c r="L761" s="417"/>
      <c r="M761" s="403"/>
      <c r="N761" s="403"/>
      <c r="O761" s="403"/>
      <c r="P761" s="403"/>
      <c r="Q761" s="403"/>
      <c r="R761" s="403"/>
      <c r="S761" s="403"/>
      <c r="T761" s="403"/>
      <c r="U761" s="403"/>
      <c r="V761" s="403"/>
      <c r="W761" s="404"/>
      <c r="X761" s="405"/>
      <c r="Y761" s="405"/>
      <c r="Z761" s="405"/>
      <c r="AA761" s="405"/>
      <c r="AB761" s="405"/>
      <c r="AC761" s="405"/>
      <c r="AD761" s="405"/>
      <c r="AE761" s="405"/>
      <c r="AF761" s="405"/>
      <c r="AG761" s="405"/>
      <c r="AH761" s="405"/>
      <c r="AI761" s="405"/>
      <c r="AJ761" s="405"/>
      <c r="AK761" s="405"/>
      <c r="AL761" s="405"/>
      <c r="AM761" s="406"/>
      <c r="AN761" s="406"/>
      <c r="AO761" s="406"/>
      <c r="AP761" s="406"/>
      <c r="AQ761" s="403"/>
      <c r="AR761" s="403"/>
      <c r="AS761" s="403"/>
      <c r="AT761" s="403"/>
      <c r="AU761" s="403"/>
      <c r="AV761" s="403"/>
      <c r="AW761" s="403"/>
      <c r="AX761" s="403"/>
      <c r="AY761" s="403"/>
    </row>
    <row r="762">
      <c r="A762" s="415"/>
      <c r="B762" s="415"/>
      <c r="C762" s="410"/>
      <c r="D762" s="429"/>
      <c r="E762" s="416"/>
      <c r="F762" s="413"/>
      <c r="G762" s="413"/>
      <c r="H762" s="415"/>
      <c r="I762" s="415"/>
      <c r="J762" s="415"/>
      <c r="K762" s="415"/>
      <c r="L762" s="417"/>
      <c r="M762" s="403"/>
      <c r="N762" s="403"/>
      <c r="O762" s="403"/>
      <c r="P762" s="403"/>
      <c r="Q762" s="403"/>
      <c r="R762" s="403"/>
      <c r="S762" s="403"/>
      <c r="T762" s="403"/>
      <c r="U762" s="403"/>
      <c r="V762" s="403"/>
      <c r="W762" s="404"/>
      <c r="X762" s="405"/>
      <c r="Y762" s="405"/>
      <c r="Z762" s="405"/>
      <c r="AA762" s="405"/>
      <c r="AB762" s="405"/>
      <c r="AC762" s="405"/>
      <c r="AD762" s="405"/>
      <c r="AE762" s="405"/>
      <c r="AF762" s="405"/>
      <c r="AG762" s="405"/>
      <c r="AH762" s="405"/>
      <c r="AI762" s="405"/>
      <c r="AJ762" s="405"/>
      <c r="AK762" s="405"/>
      <c r="AL762" s="405"/>
      <c r="AM762" s="406"/>
      <c r="AN762" s="406"/>
      <c r="AO762" s="406"/>
      <c r="AP762" s="406"/>
      <c r="AQ762" s="403"/>
      <c r="AR762" s="403"/>
      <c r="AS762" s="403"/>
      <c r="AT762" s="403"/>
      <c r="AU762" s="403"/>
      <c r="AV762" s="403"/>
      <c r="AW762" s="403"/>
      <c r="AX762" s="403"/>
      <c r="AY762" s="403"/>
    </row>
    <row r="763">
      <c r="A763" s="415"/>
      <c r="B763" s="415"/>
      <c r="C763" s="410"/>
      <c r="D763" s="429"/>
      <c r="E763" s="416"/>
      <c r="F763" s="413"/>
      <c r="G763" s="413"/>
      <c r="H763" s="415"/>
      <c r="I763" s="415"/>
      <c r="J763" s="415"/>
      <c r="K763" s="415"/>
      <c r="L763" s="417"/>
      <c r="M763" s="403"/>
      <c r="N763" s="403"/>
      <c r="O763" s="403"/>
      <c r="P763" s="403"/>
      <c r="Q763" s="403"/>
      <c r="R763" s="403"/>
      <c r="S763" s="403"/>
      <c r="T763" s="403"/>
      <c r="U763" s="403"/>
      <c r="V763" s="403"/>
      <c r="W763" s="404"/>
      <c r="X763" s="405"/>
      <c r="Y763" s="405"/>
      <c r="Z763" s="405"/>
      <c r="AA763" s="405"/>
      <c r="AB763" s="405"/>
      <c r="AC763" s="405"/>
      <c r="AD763" s="405"/>
      <c r="AE763" s="405"/>
      <c r="AF763" s="405"/>
      <c r="AG763" s="405"/>
      <c r="AH763" s="405"/>
      <c r="AI763" s="405"/>
      <c r="AJ763" s="405"/>
      <c r="AK763" s="405"/>
      <c r="AL763" s="405"/>
      <c r="AM763" s="406"/>
      <c r="AN763" s="406"/>
      <c r="AO763" s="406"/>
      <c r="AP763" s="406"/>
      <c r="AQ763" s="403"/>
      <c r="AR763" s="403"/>
      <c r="AS763" s="403"/>
      <c r="AT763" s="403"/>
      <c r="AU763" s="403"/>
      <c r="AV763" s="403"/>
      <c r="AW763" s="403"/>
      <c r="AX763" s="403"/>
      <c r="AY763" s="403"/>
    </row>
    <row r="764">
      <c r="A764" s="415"/>
      <c r="B764" s="415"/>
      <c r="C764" s="410"/>
      <c r="D764" s="429"/>
      <c r="E764" s="416"/>
      <c r="F764" s="413"/>
      <c r="G764" s="413"/>
      <c r="H764" s="415"/>
      <c r="I764" s="415"/>
      <c r="J764" s="415"/>
      <c r="K764" s="415"/>
      <c r="L764" s="417"/>
      <c r="M764" s="403"/>
      <c r="N764" s="403"/>
      <c r="O764" s="403"/>
      <c r="P764" s="403"/>
      <c r="Q764" s="403"/>
      <c r="R764" s="403"/>
      <c r="S764" s="403"/>
      <c r="T764" s="403"/>
      <c r="U764" s="403"/>
      <c r="V764" s="403"/>
      <c r="W764" s="404"/>
      <c r="X764" s="405"/>
      <c r="Y764" s="405"/>
      <c r="Z764" s="405"/>
      <c r="AA764" s="405"/>
      <c r="AB764" s="405"/>
      <c r="AC764" s="405"/>
      <c r="AD764" s="405"/>
      <c r="AE764" s="405"/>
      <c r="AF764" s="405"/>
      <c r="AG764" s="405"/>
      <c r="AH764" s="405"/>
      <c r="AI764" s="405"/>
      <c r="AJ764" s="405"/>
      <c r="AK764" s="405"/>
      <c r="AL764" s="405"/>
      <c r="AM764" s="406"/>
      <c r="AN764" s="406"/>
      <c r="AO764" s="406"/>
      <c r="AP764" s="406"/>
      <c r="AQ764" s="403"/>
      <c r="AR764" s="403"/>
      <c r="AS764" s="403"/>
      <c r="AT764" s="403"/>
      <c r="AU764" s="403"/>
      <c r="AV764" s="403"/>
      <c r="AW764" s="403"/>
      <c r="AX764" s="403"/>
      <c r="AY764" s="403"/>
    </row>
    <row r="765">
      <c r="A765" s="415"/>
      <c r="B765" s="415"/>
      <c r="C765" s="410"/>
      <c r="D765" s="429"/>
      <c r="E765" s="416"/>
      <c r="F765" s="413"/>
      <c r="G765" s="413"/>
      <c r="H765" s="415"/>
      <c r="I765" s="415"/>
      <c r="J765" s="415"/>
      <c r="K765" s="415"/>
      <c r="L765" s="417"/>
      <c r="M765" s="403"/>
      <c r="N765" s="403"/>
      <c r="O765" s="403"/>
      <c r="P765" s="403"/>
      <c r="Q765" s="403"/>
      <c r="R765" s="403"/>
      <c r="S765" s="403"/>
      <c r="T765" s="403"/>
      <c r="U765" s="403"/>
      <c r="V765" s="403"/>
      <c r="W765" s="404"/>
      <c r="X765" s="405"/>
      <c r="Y765" s="405"/>
      <c r="Z765" s="405"/>
      <c r="AA765" s="405"/>
      <c r="AB765" s="405"/>
      <c r="AC765" s="405"/>
      <c r="AD765" s="405"/>
      <c r="AE765" s="405"/>
      <c r="AF765" s="405"/>
      <c r="AG765" s="405"/>
      <c r="AH765" s="405"/>
      <c r="AI765" s="405"/>
      <c r="AJ765" s="405"/>
      <c r="AK765" s="405"/>
      <c r="AL765" s="405"/>
      <c r="AM765" s="406"/>
      <c r="AN765" s="406"/>
      <c r="AO765" s="406"/>
      <c r="AP765" s="406"/>
      <c r="AQ765" s="403"/>
      <c r="AR765" s="403"/>
      <c r="AS765" s="403"/>
      <c r="AT765" s="403"/>
      <c r="AU765" s="403"/>
      <c r="AV765" s="403"/>
      <c r="AW765" s="403"/>
      <c r="AX765" s="403"/>
      <c r="AY765" s="403"/>
    </row>
    <row r="766">
      <c r="A766" s="415"/>
      <c r="B766" s="415"/>
      <c r="C766" s="410"/>
      <c r="D766" s="429"/>
      <c r="E766" s="416"/>
      <c r="F766" s="413"/>
      <c r="G766" s="413"/>
      <c r="H766" s="415"/>
      <c r="I766" s="415"/>
      <c r="J766" s="415"/>
      <c r="K766" s="415"/>
      <c r="L766" s="417"/>
      <c r="M766" s="403"/>
      <c r="N766" s="403"/>
      <c r="O766" s="403"/>
      <c r="P766" s="403"/>
      <c r="Q766" s="403"/>
      <c r="R766" s="403"/>
      <c r="S766" s="403"/>
      <c r="T766" s="403"/>
      <c r="U766" s="403"/>
      <c r="V766" s="403"/>
      <c r="W766" s="404"/>
      <c r="X766" s="405"/>
      <c r="Y766" s="405"/>
      <c r="Z766" s="405"/>
      <c r="AA766" s="405"/>
      <c r="AB766" s="405"/>
      <c r="AC766" s="405"/>
      <c r="AD766" s="405"/>
      <c r="AE766" s="405"/>
      <c r="AF766" s="405"/>
      <c r="AG766" s="405"/>
      <c r="AH766" s="405"/>
      <c r="AI766" s="405"/>
      <c r="AJ766" s="405"/>
      <c r="AK766" s="405"/>
      <c r="AL766" s="405"/>
      <c r="AM766" s="406"/>
      <c r="AN766" s="406"/>
      <c r="AO766" s="406"/>
      <c r="AP766" s="406"/>
      <c r="AQ766" s="403"/>
      <c r="AR766" s="403"/>
      <c r="AS766" s="403"/>
      <c r="AT766" s="403"/>
      <c r="AU766" s="403"/>
      <c r="AV766" s="403"/>
      <c r="AW766" s="403"/>
      <c r="AX766" s="403"/>
      <c r="AY766" s="403"/>
    </row>
    <row r="767">
      <c r="A767" s="415"/>
      <c r="B767" s="415"/>
      <c r="C767" s="410"/>
      <c r="D767" s="429"/>
      <c r="E767" s="416"/>
      <c r="F767" s="413"/>
      <c r="G767" s="413"/>
      <c r="H767" s="415"/>
      <c r="I767" s="415"/>
      <c r="J767" s="415"/>
      <c r="K767" s="415"/>
      <c r="L767" s="417"/>
      <c r="M767" s="403"/>
      <c r="N767" s="403"/>
      <c r="O767" s="403"/>
      <c r="P767" s="403"/>
      <c r="Q767" s="403"/>
      <c r="R767" s="403"/>
      <c r="S767" s="403"/>
      <c r="T767" s="403"/>
      <c r="U767" s="403"/>
      <c r="V767" s="403"/>
      <c r="W767" s="404"/>
      <c r="X767" s="405"/>
      <c r="Y767" s="405"/>
      <c r="Z767" s="405"/>
      <c r="AA767" s="405"/>
      <c r="AB767" s="405"/>
      <c r="AC767" s="405"/>
      <c r="AD767" s="405"/>
      <c r="AE767" s="405"/>
      <c r="AF767" s="405"/>
      <c r="AG767" s="405"/>
      <c r="AH767" s="405"/>
      <c r="AI767" s="405"/>
      <c r="AJ767" s="405"/>
      <c r="AK767" s="405"/>
      <c r="AL767" s="405"/>
      <c r="AM767" s="406"/>
      <c r="AN767" s="406"/>
      <c r="AO767" s="406"/>
      <c r="AP767" s="406"/>
      <c r="AQ767" s="403"/>
      <c r="AR767" s="403"/>
      <c r="AS767" s="403"/>
      <c r="AT767" s="403"/>
      <c r="AU767" s="403"/>
      <c r="AV767" s="403"/>
      <c r="AW767" s="403"/>
      <c r="AX767" s="403"/>
      <c r="AY767" s="403"/>
    </row>
    <row r="768">
      <c r="A768" s="415"/>
      <c r="B768" s="415"/>
      <c r="C768" s="410"/>
      <c r="D768" s="429"/>
      <c r="E768" s="416"/>
      <c r="F768" s="413"/>
      <c r="G768" s="413"/>
      <c r="H768" s="415"/>
      <c r="I768" s="415"/>
      <c r="J768" s="415"/>
      <c r="K768" s="415"/>
      <c r="L768" s="417"/>
      <c r="M768" s="403"/>
      <c r="N768" s="403"/>
      <c r="O768" s="403"/>
      <c r="P768" s="403"/>
      <c r="Q768" s="403"/>
      <c r="R768" s="403"/>
      <c r="S768" s="403"/>
      <c r="T768" s="403"/>
      <c r="U768" s="403"/>
      <c r="V768" s="403"/>
      <c r="W768" s="404"/>
      <c r="X768" s="405"/>
      <c r="Y768" s="405"/>
      <c r="Z768" s="405"/>
      <c r="AA768" s="405"/>
      <c r="AB768" s="405"/>
      <c r="AC768" s="405"/>
      <c r="AD768" s="405"/>
      <c r="AE768" s="405"/>
      <c r="AF768" s="405"/>
      <c r="AG768" s="405"/>
      <c r="AH768" s="405"/>
      <c r="AI768" s="405"/>
      <c r="AJ768" s="405"/>
      <c r="AK768" s="405"/>
      <c r="AL768" s="405"/>
      <c r="AM768" s="406"/>
      <c r="AN768" s="406"/>
      <c r="AO768" s="406"/>
      <c r="AP768" s="406"/>
      <c r="AQ768" s="403"/>
      <c r="AR768" s="403"/>
      <c r="AS768" s="403"/>
      <c r="AT768" s="403"/>
      <c r="AU768" s="403"/>
      <c r="AV768" s="403"/>
      <c r="AW768" s="403"/>
      <c r="AX768" s="403"/>
      <c r="AY768" s="403"/>
    </row>
    <row r="769">
      <c r="A769" s="415"/>
      <c r="B769" s="415"/>
      <c r="C769" s="410"/>
      <c r="D769" s="429"/>
      <c r="E769" s="416"/>
      <c r="F769" s="413"/>
      <c r="G769" s="413"/>
      <c r="H769" s="415"/>
      <c r="I769" s="415"/>
      <c r="J769" s="415"/>
      <c r="K769" s="415"/>
      <c r="L769" s="417"/>
      <c r="M769" s="403"/>
      <c r="N769" s="403"/>
      <c r="O769" s="403"/>
      <c r="P769" s="403"/>
      <c r="Q769" s="403"/>
      <c r="R769" s="403"/>
      <c r="S769" s="403"/>
      <c r="T769" s="403"/>
      <c r="U769" s="403"/>
      <c r="V769" s="403"/>
      <c r="W769" s="404"/>
      <c r="X769" s="405"/>
      <c r="Y769" s="405"/>
      <c r="Z769" s="405"/>
      <c r="AA769" s="405"/>
      <c r="AB769" s="405"/>
      <c r="AC769" s="405"/>
      <c r="AD769" s="405"/>
      <c r="AE769" s="405"/>
      <c r="AF769" s="405"/>
      <c r="AG769" s="405"/>
      <c r="AH769" s="405"/>
      <c r="AI769" s="405"/>
      <c r="AJ769" s="405"/>
      <c r="AK769" s="405"/>
      <c r="AL769" s="405"/>
      <c r="AM769" s="406"/>
      <c r="AN769" s="406"/>
      <c r="AO769" s="406"/>
      <c r="AP769" s="406"/>
      <c r="AQ769" s="403"/>
      <c r="AR769" s="403"/>
      <c r="AS769" s="403"/>
      <c r="AT769" s="403"/>
      <c r="AU769" s="403"/>
      <c r="AV769" s="403"/>
      <c r="AW769" s="403"/>
      <c r="AX769" s="403"/>
      <c r="AY769" s="403"/>
    </row>
    <row r="770">
      <c r="A770" s="415"/>
      <c r="B770" s="415"/>
      <c r="C770" s="410"/>
      <c r="D770" s="429"/>
      <c r="E770" s="416"/>
      <c r="F770" s="413"/>
      <c r="G770" s="413"/>
      <c r="H770" s="415"/>
      <c r="I770" s="415"/>
      <c r="J770" s="415"/>
      <c r="K770" s="415"/>
      <c r="L770" s="417"/>
      <c r="M770" s="403"/>
      <c r="N770" s="403"/>
      <c r="O770" s="403"/>
      <c r="P770" s="403"/>
      <c r="Q770" s="403"/>
      <c r="R770" s="403"/>
      <c r="S770" s="403"/>
      <c r="T770" s="403"/>
      <c r="U770" s="403"/>
      <c r="V770" s="403"/>
      <c r="W770" s="404"/>
      <c r="X770" s="405"/>
      <c r="Y770" s="405"/>
      <c r="Z770" s="405"/>
      <c r="AA770" s="405"/>
      <c r="AB770" s="405"/>
      <c r="AC770" s="405"/>
      <c r="AD770" s="405"/>
      <c r="AE770" s="405"/>
      <c r="AF770" s="405"/>
      <c r="AG770" s="405"/>
      <c r="AH770" s="405"/>
      <c r="AI770" s="405"/>
      <c r="AJ770" s="405"/>
      <c r="AK770" s="405"/>
      <c r="AL770" s="405"/>
      <c r="AM770" s="406"/>
      <c r="AN770" s="406"/>
      <c r="AO770" s="406"/>
      <c r="AP770" s="406"/>
      <c r="AQ770" s="403"/>
      <c r="AR770" s="403"/>
      <c r="AS770" s="403"/>
      <c r="AT770" s="403"/>
      <c r="AU770" s="403"/>
      <c r="AV770" s="403"/>
      <c r="AW770" s="403"/>
      <c r="AX770" s="403"/>
      <c r="AY770" s="403"/>
    </row>
    <row r="771">
      <c r="A771" s="415"/>
      <c r="B771" s="415"/>
      <c r="C771" s="410"/>
      <c r="D771" s="429"/>
      <c r="E771" s="416"/>
      <c r="F771" s="413"/>
      <c r="G771" s="413"/>
      <c r="H771" s="415"/>
      <c r="I771" s="415"/>
      <c r="J771" s="415"/>
      <c r="K771" s="415"/>
      <c r="L771" s="417"/>
      <c r="M771" s="403"/>
      <c r="N771" s="403"/>
      <c r="O771" s="403"/>
      <c r="P771" s="403"/>
      <c r="Q771" s="403"/>
      <c r="R771" s="403"/>
      <c r="S771" s="403"/>
      <c r="T771" s="403"/>
      <c r="U771" s="403"/>
      <c r="V771" s="403"/>
      <c r="W771" s="404"/>
      <c r="X771" s="405"/>
      <c r="Y771" s="405"/>
      <c r="Z771" s="405"/>
      <c r="AA771" s="405"/>
      <c r="AB771" s="405"/>
      <c r="AC771" s="405"/>
      <c r="AD771" s="405"/>
      <c r="AE771" s="405"/>
      <c r="AF771" s="405"/>
      <c r="AG771" s="405"/>
      <c r="AH771" s="405"/>
      <c r="AI771" s="405"/>
      <c r="AJ771" s="405"/>
      <c r="AK771" s="405"/>
      <c r="AL771" s="405"/>
      <c r="AM771" s="406"/>
      <c r="AN771" s="406"/>
      <c r="AO771" s="406"/>
      <c r="AP771" s="406"/>
      <c r="AQ771" s="403"/>
      <c r="AR771" s="403"/>
      <c r="AS771" s="403"/>
      <c r="AT771" s="403"/>
      <c r="AU771" s="403"/>
      <c r="AV771" s="403"/>
      <c r="AW771" s="403"/>
      <c r="AX771" s="403"/>
      <c r="AY771" s="403"/>
    </row>
    <row r="772">
      <c r="A772" s="415"/>
      <c r="B772" s="415"/>
      <c r="C772" s="410"/>
      <c r="D772" s="429"/>
      <c r="E772" s="416"/>
      <c r="F772" s="413"/>
      <c r="G772" s="413"/>
      <c r="H772" s="415"/>
      <c r="I772" s="415"/>
      <c r="J772" s="415"/>
      <c r="K772" s="415"/>
      <c r="L772" s="417"/>
      <c r="M772" s="403"/>
      <c r="N772" s="403"/>
      <c r="O772" s="403"/>
      <c r="P772" s="403"/>
      <c r="Q772" s="403"/>
      <c r="R772" s="403"/>
      <c r="S772" s="403"/>
      <c r="T772" s="403"/>
      <c r="U772" s="403"/>
      <c r="V772" s="403"/>
      <c r="W772" s="404"/>
      <c r="X772" s="405"/>
      <c r="Y772" s="405"/>
      <c r="Z772" s="405"/>
      <c r="AA772" s="405"/>
      <c r="AB772" s="405"/>
      <c r="AC772" s="405"/>
      <c r="AD772" s="405"/>
      <c r="AE772" s="405"/>
      <c r="AF772" s="405"/>
      <c r="AG772" s="405"/>
      <c r="AH772" s="405"/>
      <c r="AI772" s="405"/>
      <c r="AJ772" s="405"/>
      <c r="AK772" s="405"/>
      <c r="AL772" s="405"/>
      <c r="AM772" s="406"/>
      <c r="AN772" s="406"/>
      <c r="AO772" s="406"/>
      <c r="AP772" s="406"/>
      <c r="AQ772" s="403"/>
      <c r="AR772" s="403"/>
      <c r="AS772" s="403"/>
      <c r="AT772" s="403"/>
      <c r="AU772" s="403"/>
      <c r="AV772" s="403"/>
      <c r="AW772" s="403"/>
      <c r="AX772" s="403"/>
      <c r="AY772" s="403"/>
    </row>
    <row r="773">
      <c r="A773" s="415"/>
      <c r="B773" s="415"/>
      <c r="C773" s="410"/>
      <c r="D773" s="429"/>
      <c r="E773" s="416"/>
      <c r="F773" s="413"/>
      <c r="G773" s="413"/>
      <c r="H773" s="415"/>
      <c r="I773" s="415"/>
      <c r="J773" s="415"/>
      <c r="K773" s="415"/>
      <c r="L773" s="417"/>
      <c r="M773" s="403"/>
      <c r="N773" s="403"/>
      <c r="O773" s="403"/>
      <c r="P773" s="403"/>
      <c r="Q773" s="403"/>
      <c r="R773" s="403"/>
      <c r="S773" s="403"/>
      <c r="T773" s="403"/>
      <c r="U773" s="403"/>
      <c r="V773" s="403"/>
      <c r="W773" s="404"/>
      <c r="X773" s="405"/>
      <c r="Y773" s="405"/>
      <c r="Z773" s="405"/>
      <c r="AA773" s="405"/>
      <c r="AB773" s="405"/>
      <c r="AC773" s="405"/>
      <c r="AD773" s="405"/>
      <c r="AE773" s="405"/>
      <c r="AF773" s="405"/>
      <c r="AG773" s="405"/>
      <c r="AH773" s="405"/>
      <c r="AI773" s="405"/>
      <c r="AJ773" s="405"/>
      <c r="AK773" s="405"/>
      <c r="AL773" s="405"/>
      <c r="AM773" s="406"/>
      <c r="AN773" s="406"/>
      <c r="AO773" s="406"/>
      <c r="AP773" s="406"/>
      <c r="AQ773" s="403"/>
      <c r="AR773" s="403"/>
      <c r="AS773" s="403"/>
      <c r="AT773" s="403"/>
      <c r="AU773" s="403"/>
      <c r="AV773" s="403"/>
      <c r="AW773" s="403"/>
      <c r="AX773" s="403"/>
      <c r="AY773" s="403"/>
    </row>
    <row r="774">
      <c r="A774" s="415"/>
      <c r="B774" s="415"/>
      <c r="C774" s="410"/>
      <c r="D774" s="429"/>
      <c r="E774" s="416"/>
      <c r="F774" s="413"/>
      <c r="G774" s="413"/>
      <c r="H774" s="415"/>
      <c r="I774" s="415"/>
      <c r="J774" s="415"/>
      <c r="K774" s="415"/>
      <c r="L774" s="417"/>
      <c r="M774" s="403"/>
      <c r="N774" s="403"/>
      <c r="O774" s="403"/>
      <c r="P774" s="403"/>
      <c r="Q774" s="403"/>
      <c r="R774" s="403"/>
      <c r="S774" s="403"/>
      <c r="T774" s="403"/>
      <c r="U774" s="403"/>
      <c r="V774" s="403"/>
      <c r="W774" s="404"/>
      <c r="X774" s="405"/>
      <c r="Y774" s="405"/>
      <c r="Z774" s="405"/>
      <c r="AA774" s="405"/>
      <c r="AB774" s="405"/>
      <c r="AC774" s="405"/>
      <c r="AD774" s="405"/>
      <c r="AE774" s="405"/>
      <c r="AF774" s="405"/>
      <c r="AG774" s="405"/>
      <c r="AH774" s="405"/>
      <c r="AI774" s="405"/>
      <c r="AJ774" s="405"/>
      <c r="AK774" s="405"/>
      <c r="AL774" s="405"/>
      <c r="AM774" s="406"/>
      <c r="AN774" s="406"/>
      <c r="AO774" s="406"/>
      <c r="AP774" s="406"/>
      <c r="AQ774" s="403"/>
      <c r="AR774" s="403"/>
      <c r="AS774" s="403"/>
      <c r="AT774" s="403"/>
      <c r="AU774" s="403"/>
      <c r="AV774" s="403"/>
      <c r="AW774" s="403"/>
      <c r="AX774" s="403"/>
      <c r="AY774" s="403"/>
    </row>
    <row r="775">
      <c r="A775" s="415"/>
      <c r="B775" s="415"/>
      <c r="C775" s="410"/>
      <c r="D775" s="429"/>
      <c r="E775" s="416"/>
      <c r="F775" s="413"/>
      <c r="G775" s="413"/>
      <c r="H775" s="415"/>
      <c r="I775" s="415"/>
      <c r="J775" s="415"/>
      <c r="K775" s="415"/>
      <c r="L775" s="417"/>
      <c r="M775" s="403"/>
      <c r="N775" s="403"/>
      <c r="O775" s="403"/>
      <c r="P775" s="403"/>
      <c r="Q775" s="403"/>
      <c r="R775" s="403"/>
      <c r="S775" s="403"/>
      <c r="T775" s="403"/>
      <c r="U775" s="403"/>
      <c r="V775" s="403"/>
      <c r="W775" s="404"/>
      <c r="X775" s="405"/>
      <c r="Y775" s="405"/>
      <c r="Z775" s="405"/>
      <c r="AA775" s="405"/>
      <c r="AB775" s="405"/>
      <c r="AC775" s="405"/>
      <c r="AD775" s="405"/>
      <c r="AE775" s="405"/>
      <c r="AF775" s="405"/>
      <c r="AG775" s="405"/>
      <c r="AH775" s="405"/>
      <c r="AI775" s="405"/>
      <c r="AJ775" s="405"/>
      <c r="AK775" s="405"/>
      <c r="AL775" s="405"/>
      <c r="AM775" s="406"/>
      <c r="AN775" s="406"/>
      <c r="AO775" s="406"/>
      <c r="AP775" s="406"/>
      <c r="AQ775" s="403"/>
      <c r="AR775" s="403"/>
      <c r="AS775" s="403"/>
      <c r="AT775" s="403"/>
      <c r="AU775" s="403"/>
      <c r="AV775" s="403"/>
      <c r="AW775" s="403"/>
      <c r="AX775" s="403"/>
      <c r="AY775" s="403"/>
    </row>
    <row r="776">
      <c r="A776" s="415"/>
      <c r="B776" s="415"/>
      <c r="C776" s="410"/>
      <c r="D776" s="429"/>
      <c r="E776" s="416"/>
      <c r="F776" s="413"/>
      <c r="G776" s="413"/>
      <c r="H776" s="415"/>
      <c r="I776" s="415"/>
      <c r="J776" s="415"/>
      <c r="K776" s="415"/>
      <c r="L776" s="417"/>
      <c r="M776" s="403"/>
      <c r="N776" s="403"/>
      <c r="O776" s="403"/>
      <c r="P776" s="403"/>
      <c r="Q776" s="403"/>
      <c r="R776" s="403"/>
      <c r="S776" s="403"/>
      <c r="T776" s="403"/>
      <c r="U776" s="403"/>
      <c r="V776" s="403"/>
      <c r="W776" s="404"/>
      <c r="X776" s="405"/>
      <c r="Y776" s="405"/>
      <c r="Z776" s="405"/>
      <c r="AA776" s="405"/>
      <c r="AB776" s="405"/>
      <c r="AC776" s="405"/>
      <c r="AD776" s="405"/>
      <c r="AE776" s="405"/>
      <c r="AF776" s="405"/>
      <c r="AG776" s="405"/>
      <c r="AH776" s="405"/>
      <c r="AI776" s="405"/>
      <c r="AJ776" s="405"/>
      <c r="AK776" s="405"/>
      <c r="AL776" s="405"/>
      <c r="AM776" s="406"/>
      <c r="AN776" s="406"/>
      <c r="AO776" s="406"/>
      <c r="AP776" s="406"/>
      <c r="AQ776" s="403"/>
      <c r="AR776" s="403"/>
      <c r="AS776" s="403"/>
      <c r="AT776" s="403"/>
      <c r="AU776" s="403"/>
      <c r="AV776" s="403"/>
      <c r="AW776" s="403"/>
      <c r="AX776" s="403"/>
      <c r="AY776" s="403"/>
    </row>
    <row r="777">
      <c r="A777" s="415"/>
      <c r="B777" s="415"/>
      <c r="C777" s="410"/>
      <c r="D777" s="429"/>
      <c r="E777" s="416"/>
      <c r="F777" s="413"/>
      <c r="G777" s="413"/>
      <c r="H777" s="415"/>
      <c r="I777" s="415"/>
      <c r="J777" s="415"/>
      <c r="K777" s="415"/>
      <c r="L777" s="417"/>
      <c r="M777" s="403"/>
      <c r="N777" s="403"/>
      <c r="O777" s="403"/>
      <c r="P777" s="403"/>
      <c r="Q777" s="403"/>
      <c r="R777" s="403"/>
      <c r="S777" s="403"/>
      <c r="T777" s="403"/>
      <c r="U777" s="403"/>
      <c r="V777" s="403"/>
      <c r="W777" s="404"/>
      <c r="X777" s="405"/>
      <c r="Y777" s="405"/>
      <c r="Z777" s="405"/>
      <c r="AA777" s="405"/>
      <c r="AB777" s="405"/>
      <c r="AC777" s="405"/>
      <c r="AD777" s="405"/>
      <c r="AE777" s="405"/>
      <c r="AF777" s="405"/>
      <c r="AG777" s="405"/>
      <c r="AH777" s="405"/>
      <c r="AI777" s="405"/>
      <c r="AJ777" s="405"/>
      <c r="AK777" s="405"/>
      <c r="AL777" s="405"/>
      <c r="AM777" s="406"/>
      <c r="AN777" s="406"/>
      <c r="AO777" s="406"/>
      <c r="AP777" s="406"/>
      <c r="AQ777" s="403"/>
      <c r="AR777" s="403"/>
      <c r="AS777" s="403"/>
      <c r="AT777" s="403"/>
      <c r="AU777" s="403"/>
      <c r="AV777" s="403"/>
      <c r="AW777" s="403"/>
      <c r="AX777" s="403"/>
      <c r="AY777" s="403"/>
    </row>
    <row r="778">
      <c r="A778" s="415"/>
      <c r="B778" s="415"/>
      <c r="C778" s="410"/>
      <c r="D778" s="429"/>
      <c r="E778" s="416"/>
      <c r="F778" s="413"/>
      <c r="G778" s="413"/>
      <c r="H778" s="415"/>
      <c r="I778" s="415"/>
      <c r="J778" s="415"/>
      <c r="K778" s="415"/>
      <c r="L778" s="417"/>
      <c r="M778" s="403"/>
      <c r="N778" s="403"/>
      <c r="O778" s="403"/>
      <c r="P778" s="403"/>
      <c r="Q778" s="403"/>
      <c r="R778" s="403"/>
      <c r="S778" s="403"/>
      <c r="T778" s="403"/>
      <c r="U778" s="403"/>
      <c r="V778" s="403"/>
      <c r="W778" s="404"/>
      <c r="X778" s="405"/>
      <c r="Y778" s="405"/>
      <c r="Z778" s="405"/>
      <c r="AA778" s="405"/>
      <c r="AB778" s="405"/>
      <c r="AC778" s="405"/>
      <c r="AD778" s="405"/>
      <c r="AE778" s="405"/>
      <c r="AF778" s="405"/>
      <c r="AG778" s="405"/>
      <c r="AH778" s="405"/>
      <c r="AI778" s="405"/>
      <c r="AJ778" s="405"/>
      <c r="AK778" s="405"/>
      <c r="AL778" s="405"/>
      <c r="AM778" s="406"/>
      <c r="AN778" s="406"/>
      <c r="AO778" s="406"/>
      <c r="AP778" s="406"/>
      <c r="AQ778" s="403"/>
      <c r="AR778" s="403"/>
      <c r="AS778" s="403"/>
      <c r="AT778" s="403"/>
      <c r="AU778" s="403"/>
      <c r="AV778" s="403"/>
      <c r="AW778" s="403"/>
      <c r="AX778" s="403"/>
      <c r="AY778" s="403"/>
    </row>
    <row r="779">
      <c r="A779" s="415"/>
      <c r="B779" s="415"/>
      <c r="C779" s="410"/>
      <c r="D779" s="429"/>
      <c r="E779" s="416"/>
      <c r="F779" s="413"/>
      <c r="G779" s="413"/>
      <c r="H779" s="415"/>
      <c r="I779" s="415"/>
      <c r="J779" s="415"/>
      <c r="K779" s="415"/>
      <c r="L779" s="417"/>
      <c r="M779" s="403"/>
      <c r="N779" s="403"/>
      <c r="O779" s="403"/>
      <c r="P779" s="403"/>
      <c r="Q779" s="403"/>
      <c r="R779" s="403"/>
      <c r="S779" s="403"/>
      <c r="T779" s="403"/>
      <c r="U779" s="403"/>
      <c r="V779" s="403"/>
      <c r="W779" s="404"/>
      <c r="X779" s="405"/>
      <c r="Y779" s="405"/>
      <c r="Z779" s="405"/>
      <c r="AA779" s="405"/>
      <c r="AB779" s="405"/>
      <c r="AC779" s="405"/>
      <c r="AD779" s="405"/>
      <c r="AE779" s="405"/>
      <c r="AF779" s="405"/>
      <c r="AG779" s="405"/>
      <c r="AH779" s="405"/>
      <c r="AI779" s="405"/>
      <c r="AJ779" s="405"/>
      <c r="AK779" s="405"/>
      <c r="AL779" s="405"/>
      <c r="AM779" s="406"/>
      <c r="AN779" s="406"/>
      <c r="AO779" s="406"/>
      <c r="AP779" s="406"/>
      <c r="AQ779" s="403"/>
      <c r="AR779" s="403"/>
      <c r="AS779" s="403"/>
      <c r="AT779" s="403"/>
      <c r="AU779" s="403"/>
      <c r="AV779" s="403"/>
      <c r="AW779" s="403"/>
      <c r="AX779" s="403"/>
      <c r="AY779" s="403"/>
    </row>
    <row r="780">
      <c r="A780" s="415"/>
      <c r="B780" s="415"/>
      <c r="C780" s="410"/>
      <c r="D780" s="429"/>
      <c r="E780" s="416"/>
      <c r="F780" s="413"/>
      <c r="G780" s="413"/>
      <c r="H780" s="415"/>
      <c r="I780" s="415"/>
      <c r="J780" s="415"/>
      <c r="K780" s="415"/>
      <c r="L780" s="417"/>
      <c r="M780" s="403"/>
      <c r="N780" s="403"/>
      <c r="O780" s="403"/>
      <c r="P780" s="403"/>
      <c r="Q780" s="403"/>
      <c r="R780" s="403"/>
      <c r="S780" s="403"/>
      <c r="T780" s="403"/>
      <c r="U780" s="403"/>
      <c r="V780" s="403"/>
      <c r="W780" s="404"/>
      <c r="X780" s="405"/>
      <c r="Y780" s="405"/>
      <c r="Z780" s="405"/>
      <c r="AA780" s="405"/>
      <c r="AB780" s="405"/>
      <c r="AC780" s="405"/>
      <c r="AD780" s="405"/>
      <c r="AE780" s="405"/>
      <c r="AF780" s="405"/>
      <c r="AG780" s="405"/>
      <c r="AH780" s="405"/>
      <c r="AI780" s="405"/>
      <c r="AJ780" s="405"/>
      <c r="AK780" s="405"/>
      <c r="AL780" s="405"/>
      <c r="AM780" s="406"/>
      <c r="AN780" s="406"/>
      <c r="AO780" s="406"/>
      <c r="AP780" s="406"/>
      <c r="AQ780" s="403"/>
      <c r="AR780" s="403"/>
      <c r="AS780" s="403"/>
      <c r="AT780" s="403"/>
      <c r="AU780" s="403"/>
      <c r="AV780" s="403"/>
      <c r="AW780" s="403"/>
      <c r="AX780" s="403"/>
      <c r="AY780" s="403"/>
    </row>
    <row r="781">
      <c r="A781" s="415"/>
      <c r="B781" s="415"/>
      <c r="C781" s="410"/>
      <c r="D781" s="429"/>
      <c r="E781" s="416"/>
      <c r="F781" s="413"/>
      <c r="G781" s="413"/>
      <c r="H781" s="415"/>
      <c r="I781" s="415"/>
      <c r="J781" s="415"/>
      <c r="K781" s="415"/>
      <c r="L781" s="417"/>
      <c r="M781" s="403"/>
      <c r="N781" s="403"/>
      <c r="O781" s="403"/>
      <c r="P781" s="403"/>
      <c r="Q781" s="403"/>
      <c r="R781" s="403"/>
      <c r="S781" s="403"/>
      <c r="T781" s="403"/>
      <c r="U781" s="403"/>
      <c r="V781" s="403"/>
      <c r="W781" s="404"/>
      <c r="X781" s="405"/>
      <c r="Y781" s="405"/>
      <c r="Z781" s="405"/>
      <c r="AA781" s="405"/>
      <c r="AB781" s="405"/>
      <c r="AC781" s="405"/>
      <c r="AD781" s="405"/>
      <c r="AE781" s="405"/>
      <c r="AF781" s="405"/>
      <c r="AG781" s="405"/>
      <c r="AH781" s="405"/>
      <c r="AI781" s="405"/>
      <c r="AJ781" s="405"/>
      <c r="AK781" s="405"/>
      <c r="AL781" s="405"/>
      <c r="AM781" s="406"/>
      <c r="AN781" s="406"/>
      <c r="AO781" s="406"/>
      <c r="AP781" s="406"/>
      <c r="AQ781" s="403"/>
      <c r="AR781" s="403"/>
      <c r="AS781" s="403"/>
      <c r="AT781" s="403"/>
      <c r="AU781" s="403"/>
      <c r="AV781" s="403"/>
      <c r="AW781" s="403"/>
      <c r="AX781" s="403"/>
      <c r="AY781" s="403"/>
    </row>
    <row r="782">
      <c r="A782" s="415"/>
      <c r="B782" s="415"/>
      <c r="C782" s="410"/>
      <c r="D782" s="429"/>
      <c r="E782" s="416"/>
      <c r="F782" s="413"/>
      <c r="G782" s="413"/>
      <c r="H782" s="415"/>
      <c r="I782" s="415"/>
      <c r="J782" s="415"/>
      <c r="K782" s="415"/>
      <c r="L782" s="417"/>
      <c r="M782" s="403"/>
      <c r="N782" s="403"/>
      <c r="O782" s="403"/>
      <c r="P782" s="403"/>
      <c r="Q782" s="403"/>
      <c r="R782" s="403"/>
      <c r="S782" s="403"/>
      <c r="T782" s="403"/>
      <c r="U782" s="403"/>
      <c r="V782" s="403"/>
      <c r="W782" s="404"/>
      <c r="X782" s="405"/>
      <c r="Y782" s="405"/>
      <c r="Z782" s="405"/>
      <c r="AA782" s="405"/>
      <c r="AB782" s="405"/>
      <c r="AC782" s="405"/>
      <c r="AD782" s="405"/>
      <c r="AE782" s="405"/>
      <c r="AF782" s="405"/>
      <c r="AG782" s="405"/>
      <c r="AH782" s="405"/>
      <c r="AI782" s="405"/>
      <c r="AJ782" s="405"/>
      <c r="AK782" s="405"/>
      <c r="AL782" s="405"/>
      <c r="AM782" s="406"/>
      <c r="AN782" s="406"/>
      <c r="AO782" s="406"/>
      <c r="AP782" s="406"/>
      <c r="AQ782" s="403"/>
      <c r="AR782" s="403"/>
      <c r="AS782" s="403"/>
      <c r="AT782" s="403"/>
      <c r="AU782" s="403"/>
      <c r="AV782" s="403"/>
      <c r="AW782" s="403"/>
      <c r="AX782" s="403"/>
      <c r="AY782" s="403"/>
    </row>
    <row r="783">
      <c r="A783" s="415"/>
      <c r="B783" s="415"/>
      <c r="C783" s="410"/>
      <c r="D783" s="429"/>
      <c r="E783" s="416"/>
      <c r="F783" s="413"/>
      <c r="G783" s="413"/>
      <c r="H783" s="415"/>
      <c r="I783" s="415"/>
      <c r="J783" s="415"/>
      <c r="K783" s="415"/>
      <c r="L783" s="417"/>
      <c r="M783" s="403"/>
      <c r="N783" s="403"/>
      <c r="O783" s="403"/>
      <c r="P783" s="403"/>
      <c r="Q783" s="403"/>
      <c r="R783" s="403"/>
      <c r="S783" s="403"/>
      <c r="T783" s="403"/>
      <c r="U783" s="403"/>
      <c r="V783" s="403"/>
      <c r="W783" s="404"/>
      <c r="X783" s="405"/>
      <c r="Y783" s="405"/>
      <c r="Z783" s="405"/>
      <c r="AA783" s="405"/>
      <c r="AB783" s="405"/>
      <c r="AC783" s="405"/>
      <c r="AD783" s="405"/>
      <c r="AE783" s="405"/>
      <c r="AF783" s="405"/>
      <c r="AG783" s="405"/>
      <c r="AH783" s="405"/>
      <c r="AI783" s="405"/>
      <c r="AJ783" s="405"/>
      <c r="AK783" s="405"/>
      <c r="AL783" s="405"/>
      <c r="AM783" s="406"/>
      <c r="AN783" s="406"/>
      <c r="AO783" s="406"/>
      <c r="AP783" s="406"/>
      <c r="AQ783" s="403"/>
      <c r="AR783" s="403"/>
      <c r="AS783" s="403"/>
      <c r="AT783" s="403"/>
      <c r="AU783" s="403"/>
      <c r="AV783" s="403"/>
      <c r="AW783" s="403"/>
      <c r="AX783" s="403"/>
      <c r="AY783" s="403"/>
    </row>
    <row r="784">
      <c r="A784" s="415"/>
      <c r="B784" s="415"/>
      <c r="C784" s="410"/>
      <c r="D784" s="429"/>
      <c r="E784" s="416"/>
      <c r="F784" s="413"/>
      <c r="G784" s="413"/>
      <c r="H784" s="415"/>
      <c r="I784" s="415"/>
      <c r="J784" s="415"/>
      <c r="K784" s="415"/>
      <c r="L784" s="417"/>
      <c r="M784" s="403"/>
      <c r="N784" s="403"/>
      <c r="O784" s="403"/>
      <c r="P784" s="403"/>
      <c r="Q784" s="403"/>
      <c r="R784" s="403"/>
      <c r="S784" s="403"/>
      <c r="T784" s="403"/>
      <c r="U784" s="403"/>
      <c r="V784" s="403"/>
      <c r="W784" s="404"/>
      <c r="X784" s="405"/>
      <c r="Y784" s="405"/>
      <c r="Z784" s="405"/>
      <c r="AA784" s="405"/>
      <c r="AB784" s="405"/>
      <c r="AC784" s="405"/>
      <c r="AD784" s="405"/>
      <c r="AE784" s="405"/>
      <c r="AF784" s="405"/>
      <c r="AG784" s="405"/>
      <c r="AH784" s="405"/>
      <c r="AI784" s="405"/>
      <c r="AJ784" s="405"/>
      <c r="AK784" s="405"/>
      <c r="AL784" s="405"/>
      <c r="AM784" s="406"/>
      <c r="AN784" s="406"/>
      <c r="AO784" s="406"/>
      <c r="AP784" s="406"/>
      <c r="AQ784" s="403"/>
      <c r="AR784" s="403"/>
      <c r="AS784" s="403"/>
      <c r="AT784" s="403"/>
      <c r="AU784" s="403"/>
      <c r="AV784" s="403"/>
      <c r="AW784" s="403"/>
      <c r="AX784" s="403"/>
      <c r="AY784" s="403"/>
    </row>
    <row r="785">
      <c r="A785" s="415"/>
      <c r="B785" s="415"/>
      <c r="C785" s="410"/>
      <c r="D785" s="429"/>
      <c r="E785" s="416"/>
      <c r="F785" s="413"/>
      <c r="G785" s="413"/>
      <c r="H785" s="415"/>
      <c r="I785" s="415"/>
      <c r="J785" s="415"/>
      <c r="K785" s="415"/>
      <c r="L785" s="417"/>
      <c r="M785" s="403"/>
      <c r="N785" s="403"/>
      <c r="O785" s="403"/>
      <c r="P785" s="403"/>
      <c r="Q785" s="403"/>
      <c r="R785" s="403"/>
      <c r="S785" s="403"/>
      <c r="T785" s="403"/>
      <c r="U785" s="403"/>
      <c r="V785" s="403"/>
      <c r="W785" s="404"/>
      <c r="X785" s="405"/>
      <c r="Y785" s="405"/>
      <c r="Z785" s="405"/>
      <c r="AA785" s="405"/>
      <c r="AB785" s="405"/>
      <c r="AC785" s="405"/>
      <c r="AD785" s="405"/>
      <c r="AE785" s="405"/>
      <c r="AF785" s="405"/>
      <c r="AG785" s="405"/>
      <c r="AH785" s="405"/>
      <c r="AI785" s="405"/>
      <c r="AJ785" s="405"/>
      <c r="AK785" s="405"/>
      <c r="AL785" s="405"/>
      <c r="AM785" s="406"/>
      <c r="AN785" s="406"/>
      <c r="AO785" s="406"/>
      <c r="AP785" s="406"/>
      <c r="AQ785" s="403"/>
      <c r="AR785" s="403"/>
      <c r="AS785" s="403"/>
      <c r="AT785" s="403"/>
      <c r="AU785" s="403"/>
      <c r="AV785" s="403"/>
      <c r="AW785" s="403"/>
      <c r="AX785" s="403"/>
      <c r="AY785" s="403"/>
    </row>
    <row r="786">
      <c r="A786" s="415"/>
      <c r="B786" s="415"/>
      <c r="C786" s="410"/>
      <c r="D786" s="429"/>
      <c r="E786" s="416"/>
      <c r="F786" s="413"/>
      <c r="G786" s="413"/>
      <c r="H786" s="415"/>
      <c r="I786" s="415"/>
      <c r="J786" s="415"/>
      <c r="K786" s="415"/>
      <c r="L786" s="417"/>
      <c r="M786" s="403"/>
      <c r="N786" s="403"/>
      <c r="O786" s="403"/>
      <c r="P786" s="403"/>
      <c r="Q786" s="403"/>
      <c r="R786" s="403"/>
      <c r="S786" s="403"/>
      <c r="T786" s="403"/>
      <c r="U786" s="403"/>
      <c r="V786" s="403"/>
      <c r="W786" s="404"/>
      <c r="X786" s="405"/>
      <c r="Y786" s="405"/>
      <c r="Z786" s="405"/>
      <c r="AA786" s="405"/>
      <c r="AB786" s="405"/>
      <c r="AC786" s="405"/>
      <c r="AD786" s="405"/>
      <c r="AE786" s="405"/>
      <c r="AF786" s="405"/>
      <c r="AG786" s="405"/>
      <c r="AH786" s="405"/>
      <c r="AI786" s="405"/>
      <c r="AJ786" s="405"/>
      <c r="AK786" s="405"/>
      <c r="AL786" s="405"/>
      <c r="AM786" s="406"/>
      <c r="AN786" s="406"/>
      <c r="AO786" s="406"/>
      <c r="AP786" s="406"/>
      <c r="AQ786" s="403"/>
      <c r="AR786" s="403"/>
      <c r="AS786" s="403"/>
      <c r="AT786" s="403"/>
      <c r="AU786" s="403"/>
      <c r="AV786" s="403"/>
      <c r="AW786" s="403"/>
      <c r="AX786" s="403"/>
      <c r="AY786" s="403"/>
    </row>
    <row r="787">
      <c r="A787" s="415"/>
      <c r="B787" s="415"/>
      <c r="C787" s="410"/>
      <c r="D787" s="429"/>
      <c r="E787" s="416"/>
      <c r="F787" s="413"/>
      <c r="G787" s="413"/>
      <c r="H787" s="415"/>
      <c r="I787" s="415"/>
      <c r="J787" s="415"/>
      <c r="K787" s="415"/>
      <c r="L787" s="417"/>
      <c r="M787" s="403"/>
      <c r="N787" s="403"/>
      <c r="O787" s="403"/>
      <c r="P787" s="403"/>
      <c r="Q787" s="403"/>
      <c r="R787" s="403"/>
      <c r="S787" s="403"/>
      <c r="T787" s="403"/>
      <c r="U787" s="403"/>
      <c r="V787" s="403"/>
      <c r="W787" s="404"/>
      <c r="X787" s="405"/>
      <c r="Y787" s="405"/>
      <c r="Z787" s="405"/>
      <c r="AA787" s="405"/>
      <c r="AB787" s="405"/>
      <c r="AC787" s="405"/>
      <c r="AD787" s="405"/>
      <c r="AE787" s="405"/>
      <c r="AF787" s="405"/>
      <c r="AG787" s="405"/>
      <c r="AH787" s="405"/>
      <c r="AI787" s="405"/>
      <c r="AJ787" s="405"/>
      <c r="AK787" s="405"/>
      <c r="AL787" s="405"/>
      <c r="AM787" s="406"/>
      <c r="AN787" s="406"/>
      <c r="AO787" s="406"/>
      <c r="AP787" s="406"/>
      <c r="AQ787" s="403"/>
      <c r="AR787" s="403"/>
      <c r="AS787" s="403"/>
      <c r="AT787" s="403"/>
      <c r="AU787" s="403"/>
      <c r="AV787" s="403"/>
      <c r="AW787" s="403"/>
      <c r="AX787" s="403"/>
      <c r="AY787" s="403"/>
    </row>
    <row r="788">
      <c r="A788" s="415"/>
      <c r="B788" s="415"/>
      <c r="C788" s="410"/>
      <c r="D788" s="429"/>
      <c r="E788" s="416"/>
      <c r="F788" s="413"/>
      <c r="G788" s="413"/>
      <c r="H788" s="415"/>
      <c r="I788" s="415"/>
      <c r="J788" s="415"/>
      <c r="K788" s="415"/>
      <c r="L788" s="417"/>
      <c r="M788" s="403"/>
      <c r="N788" s="403"/>
      <c r="O788" s="403"/>
      <c r="P788" s="403"/>
      <c r="Q788" s="403"/>
      <c r="R788" s="403"/>
      <c r="S788" s="403"/>
      <c r="T788" s="403"/>
      <c r="U788" s="403"/>
      <c r="V788" s="403"/>
      <c r="W788" s="404"/>
      <c r="X788" s="405"/>
      <c r="Y788" s="405"/>
      <c r="Z788" s="405"/>
      <c r="AA788" s="405"/>
      <c r="AB788" s="405"/>
      <c r="AC788" s="405"/>
      <c r="AD788" s="405"/>
      <c r="AE788" s="405"/>
      <c r="AF788" s="405"/>
      <c r="AG788" s="405"/>
      <c r="AH788" s="405"/>
      <c r="AI788" s="405"/>
      <c r="AJ788" s="405"/>
      <c r="AK788" s="405"/>
      <c r="AL788" s="405"/>
      <c r="AM788" s="406"/>
      <c r="AN788" s="406"/>
      <c r="AO788" s="406"/>
      <c r="AP788" s="406"/>
      <c r="AQ788" s="403"/>
      <c r="AR788" s="403"/>
      <c r="AS788" s="403"/>
      <c r="AT788" s="403"/>
      <c r="AU788" s="403"/>
      <c r="AV788" s="403"/>
      <c r="AW788" s="403"/>
      <c r="AX788" s="403"/>
      <c r="AY788" s="403"/>
    </row>
    <row r="789">
      <c r="A789" s="415"/>
      <c r="B789" s="415"/>
      <c r="C789" s="410"/>
      <c r="D789" s="429"/>
      <c r="E789" s="416"/>
      <c r="F789" s="413"/>
      <c r="G789" s="413"/>
      <c r="H789" s="415"/>
      <c r="I789" s="415"/>
      <c r="J789" s="415"/>
      <c r="K789" s="415"/>
      <c r="L789" s="417"/>
      <c r="M789" s="403"/>
      <c r="N789" s="403"/>
      <c r="O789" s="403"/>
      <c r="P789" s="403"/>
      <c r="Q789" s="403"/>
      <c r="R789" s="403"/>
      <c r="S789" s="403"/>
      <c r="T789" s="403"/>
      <c r="U789" s="403"/>
      <c r="V789" s="403"/>
      <c r="W789" s="404"/>
      <c r="X789" s="405"/>
      <c r="Y789" s="405"/>
      <c r="Z789" s="405"/>
      <c r="AA789" s="405"/>
      <c r="AB789" s="405"/>
      <c r="AC789" s="405"/>
      <c r="AD789" s="405"/>
      <c r="AE789" s="405"/>
      <c r="AF789" s="405"/>
      <c r="AG789" s="405"/>
      <c r="AH789" s="405"/>
      <c r="AI789" s="405"/>
      <c r="AJ789" s="405"/>
      <c r="AK789" s="405"/>
      <c r="AL789" s="405"/>
      <c r="AM789" s="406"/>
      <c r="AN789" s="406"/>
      <c r="AO789" s="406"/>
      <c r="AP789" s="406"/>
      <c r="AQ789" s="403"/>
      <c r="AR789" s="403"/>
      <c r="AS789" s="403"/>
      <c r="AT789" s="403"/>
      <c r="AU789" s="403"/>
      <c r="AV789" s="403"/>
      <c r="AW789" s="403"/>
      <c r="AX789" s="403"/>
      <c r="AY789" s="403"/>
    </row>
    <row r="790">
      <c r="A790" s="415"/>
      <c r="B790" s="415"/>
      <c r="C790" s="410"/>
      <c r="D790" s="429"/>
      <c r="E790" s="416"/>
      <c r="F790" s="413"/>
      <c r="G790" s="413"/>
      <c r="H790" s="415"/>
      <c r="I790" s="415"/>
      <c r="J790" s="415"/>
      <c r="K790" s="415"/>
      <c r="L790" s="417"/>
      <c r="M790" s="403"/>
      <c r="N790" s="403"/>
      <c r="O790" s="403"/>
      <c r="P790" s="403"/>
      <c r="Q790" s="403"/>
      <c r="R790" s="403"/>
      <c r="S790" s="403"/>
      <c r="T790" s="403"/>
      <c r="U790" s="403"/>
      <c r="V790" s="403"/>
      <c r="W790" s="404"/>
      <c r="X790" s="405"/>
      <c r="Y790" s="405"/>
      <c r="Z790" s="405"/>
      <c r="AA790" s="405"/>
      <c r="AB790" s="405"/>
      <c r="AC790" s="405"/>
      <c r="AD790" s="405"/>
      <c r="AE790" s="405"/>
      <c r="AF790" s="405"/>
      <c r="AG790" s="405"/>
      <c r="AH790" s="405"/>
      <c r="AI790" s="405"/>
      <c r="AJ790" s="405"/>
      <c r="AK790" s="405"/>
      <c r="AL790" s="405"/>
      <c r="AM790" s="406"/>
      <c r="AN790" s="406"/>
      <c r="AO790" s="406"/>
      <c r="AP790" s="406"/>
      <c r="AQ790" s="403"/>
      <c r="AR790" s="403"/>
      <c r="AS790" s="403"/>
      <c r="AT790" s="403"/>
      <c r="AU790" s="403"/>
      <c r="AV790" s="403"/>
      <c r="AW790" s="403"/>
      <c r="AX790" s="403"/>
      <c r="AY790" s="403"/>
    </row>
    <row r="791">
      <c r="A791" s="415"/>
      <c r="B791" s="415"/>
      <c r="C791" s="410"/>
      <c r="D791" s="429"/>
      <c r="E791" s="416"/>
      <c r="F791" s="413"/>
      <c r="G791" s="413"/>
      <c r="H791" s="415"/>
      <c r="I791" s="415"/>
      <c r="J791" s="415"/>
      <c r="K791" s="415"/>
      <c r="L791" s="417"/>
      <c r="M791" s="403"/>
      <c r="N791" s="403"/>
      <c r="O791" s="403"/>
      <c r="P791" s="403"/>
      <c r="Q791" s="403"/>
      <c r="R791" s="403"/>
      <c r="S791" s="403"/>
      <c r="T791" s="403"/>
      <c r="U791" s="403"/>
      <c r="V791" s="403"/>
      <c r="W791" s="404"/>
      <c r="X791" s="405"/>
      <c r="Y791" s="405"/>
      <c r="Z791" s="405"/>
      <c r="AA791" s="405"/>
      <c r="AB791" s="405"/>
      <c r="AC791" s="405"/>
      <c r="AD791" s="405"/>
      <c r="AE791" s="405"/>
      <c r="AF791" s="405"/>
      <c r="AG791" s="405"/>
      <c r="AH791" s="405"/>
      <c r="AI791" s="405"/>
      <c r="AJ791" s="405"/>
      <c r="AK791" s="405"/>
      <c r="AL791" s="405"/>
      <c r="AM791" s="406"/>
      <c r="AN791" s="406"/>
      <c r="AO791" s="406"/>
      <c r="AP791" s="406"/>
      <c r="AQ791" s="403"/>
      <c r="AR791" s="403"/>
      <c r="AS791" s="403"/>
      <c r="AT791" s="403"/>
      <c r="AU791" s="403"/>
      <c r="AV791" s="403"/>
      <c r="AW791" s="403"/>
      <c r="AX791" s="403"/>
      <c r="AY791" s="403"/>
    </row>
    <row r="792">
      <c r="A792" s="415"/>
      <c r="B792" s="415"/>
      <c r="C792" s="410"/>
      <c r="D792" s="429"/>
      <c r="E792" s="416"/>
      <c r="F792" s="413"/>
      <c r="G792" s="413"/>
      <c r="H792" s="415"/>
      <c r="I792" s="415"/>
      <c r="J792" s="415"/>
      <c r="K792" s="415"/>
      <c r="L792" s="417"/>
      <c r="M792" s="403"/>
      <c r="N792" s="403"/>
      <c r="O792" s="403"/>
      <c r="P792" s="403"/>
      <c r="Q792" s="403"/>
      <c r="R792" s="403"/>
      <c r="S792" s="403"/>
      <c r="T792" s="403"/>
      <c r="U792" s="403"/>
      <c r="V792" s="403"/>
      <c r="W792" s="404"/>
      <c r="X792" s="405"/>
      <c r="Y792" s="405"/>
      <c r="Z792" s="405"/>
      <c r="AA792" s="405"/>
      <c r="AB792" s="405"/>
      <c r="AC792" s="405"/>
      <c r="AD792" s="405"/>
      <c r="AE792" s="405"/>
      <c r="AF792" s="405"/>
      <c r="AG792" s="405"/>
      <c r="AH792" s="405"/>
      <c r="AI792" s="405"/>
      <c r="AJ792" s="405"/>
      <c r="AK792" s="405"/>
      <c r="AL792" s="405"/>
      <c r="AM792" s="406"/>
      <c r="AN792" s="406"/>
      <c r="AO792" s="406"/>
      <c r="AP792" s="406"/>
      <c r="AQ792" s="403"/>
      <c r="AR792" s="403"/>
      <c r="AS792" s="403"/>
      <c r="AT792" s="403"/>
      <c r="AU792" s="403"/>
      <c r="AV792" s="403"/>
      <c r="AW792" s="403"/>
      <c r="AX792" s="403"/>
      <c r="AY792" s="403"/>
    </row>
    <row r="793">
      <c r="A793" s="415"/>
      <c r="B793" s="415"/>
      <c r="C793" s="410"/>
      <c r="D793" s="429"/>
      <c r="E793" s="416"/>
      <c r="F793" s="413"/>
      <c r="G793" s="413"/>
      <c r="H793" s="415"/>
      <c r="I793" s="415"/>
      <c r="J793" s="415"/>
      <c r="K793" s="415"/>
      <c r="L793" s="417"/>
      <c r="M793" s="403"/>
      <c r="N793" s="403"/>
      <c r="O793" s="403"/>
      <c r="P793" s="403"/>
      <c r="Q793" s="403"/>
      <c r="R793" s="403"/>
      <c r="S793" s="403"/>
      <c r="T793" s="403"/>
      <c r="U793" s="403"/>
      <c r="V793" s="403"/>
      <c r="W793" s="404"/>
      <c r="X793" s="405"/>
      <c r="Y793" s="405"/>
      <c r="Z793" s="405"/>
      <c r="AA793" s="405"/>
      <c r="AB793" s="405"/>
      <c r="AC793" s="405"/>
      <c r="AD793" s="405"/>
      <c r="AE793" s="405"/>
      <c r="AF793" s="405"/>
      <c r="AG793" s="405"/>
      <c r="AH793" s="405"/>
      <c r="AI793" s="405"/>
      <c r="AJ793" s="405"/>
      <c r="AK793" s="405"/>
      <c r="AL793" s="405"/>
      <c r="AM793" s="406"/>
      <c r="AN793" s="406"/>
      <c r="AO793" s="406"/>
      <c r="AP793" s="406"/>
      <c r="AQ793" s="403"/>
      <c r="AR793" s="403"/>
      <c r="AS793" s="403"/>
      <c r="AT793" s="403"/>
      <c r="AU793" s="403"/>
      <c r="AV793" s="403"/>
      <c r="AW793" s="403"/>
      <c r="AX793" s="403"/>
      <c r="AY793" s="403"/>
    </row>
    <row r="794">
      <c r="A794" s="415"/>
      <c r="B794" s="415"/>
      <c r="C794" s="410"/>
      <c r="D794" s="429"/>
      <c r="E794" s="416"/>
      <c r="F794" s="413"/>
      <c r="G794" s="413"/>
      <c r="H794" s="415"/>
      <c r="I794" s="415"/>
      <c r="J794" s="415"/>
      <c r="K794" s="415"/>
      <c r="L794" s="417"/>
      <c r="M794" s="403"/>
      <c r="N794" s="403"/>
      <c r="O794" s="403"/>
      <c r="P794" s="403"/>
      <c r="Q794" s="403"/>
      <c r="R794" s="403"/>
      <c r="S794" s="403"/>
      <c r="T794" s="403"/>
      <c r="U794" s="403"/>
      <c r="V794" s="403"/>
      <c r="W794" s="404"/>
      <c r="X794" s="405"/>
      <c r="Y794" s="405"/>
      <c r="Z794" s="405"/>
      <c r="AA794" s="405"/>
      <c r="AB794" s="405"/>
      <c r="AC794" s="405"/>
      <c r="AD794" s="405"/>
      <c r="AE794" s="405"/>
      <c r="AF794" s="405"/>
      <c r="AG794" s="405"/>
      <c r="AH794" s="405"/>
      <c r="AI794" s="405"/>
      <c r="AJ794" s="405"/>
      <c r="AK794" s="405"/>
      <c r="AL794" s="405"/>
      <c r="AM794" s="406"/>
      <c r="AN794" s="406"/>
      <c r="AO794" s="406"/>
      <c r="AP794" s="406"/>
      <c r="AQ794" s="403"/>
      <c r="AR794" s="403"/>
      <c r="AS794" s="403"/>
      <c r="AT794" s="403"/>
      <c r="AU794" s="403"/>
      <c r="AV794" s="403"/>
      <c r="AW794" s="403"/>
      <c r="AX794" s="403"/>
      <c r="AY794" s="403"/>
    </row>
    <row r="795">
      <c r="A795" s="415"/>
      <c r="B795" s="415"/>
      <c r="C795" s="410"/>
      <c r="D795" s="429"/>
      <c r="E795" s="416"/>
      <c r="F795" s="413"/>
      <c r="G795" s="413"/>
      <c r="H795" s="415"/>
      <c r="I795" s="415"/>
      <c r="J795" s="415"/>
      <c r="K795" s="415"/>
      <c r="L795" s="417"/>
      <c r="M795" s="403"/>
      <c r="N795" s="403"/>
      <c r="O795" s="403"/>
      <c r="P795" s="403"/>
      <c r="Q795" s="403"/>
      <c r="R795" s="403"/>
      <c r="S795" s="403"/>
      <c r="T795" s="403"/>
      <c r="U795" s="403"/>
      <c r="V795" s="403"/>
      <c r="W795" s="404"/>
      <c r="X795" s="405"/>
      <c r="Y795" s="405"/>
      <c r="Z795" s="405"/>
      <c r="AA795" s="405"/>
      <c r="AB795" s="405"/>
      <c r="AC795" s="405"/>
      <c r="AD795" s="405"/>
      <c r="AE795" s="405"/>
      <c r="AF795" s="405"/>
      <c r="AG795" s="405"/>
      <c r="AH795" s="405"/>
      <c r="AI795" s="405"/>
      <c r="AJ795" s="405"/>
      <c r="AK795" s="405"/>
      <c r="AL795" s="405"/>
      <c r="AM795" s="406"/>
      <c r="AN795" s="406"/>
      <c r="AO795" s="406"/>
      <c r="AP795" s="406"/>
      <c r="AQ795" s="403"/>
      <c r="AR795" s="403"/>
      <c r="AS795" s="403"/>
      <c r="AT795" s="403"/>
      <c r="AU795" s="403"/>
      <c r="AV795" s="403"/>
      <c r="AW795" s="403"/>
      <c r="AX795" s="403"/>
      <c r="AY795" s="403"/>
    </row>
    <row r="796">
      <c r="A796" s="415"/>
      <c r="B796" s="415"/>
      <c r="C796" s="410"/>
      <c r="D796" s="429"/>
      <c r="E796" s="416"/>
      <c r="F796" s="413"/>
      <c r="G796" s="413"/>
      <c r="H796" s="415"/>
      <c r="I796" s="415"/>
      <c r="J796" s="415"/>
      <c r="K796" s="415"/>
      <c r="L796" s="417"/>
      <c r="M796" s="403"/>
      <c r="N796" s="403"/>
      <c r="O796" s="403"/>
      <c r="P796" s="403"/>
      <c r="Q796" s="403"/>
      <c r="R796" s="403"/>
      <c r="S796" s="403"/>
      <c r="T796" s="403"/>
      <c r="U796" s="403"/>
      <c r="V796" s="403"/>
      <c r="W796" s="404"/>
      <c r="X796" s="405"/>
      <c r="Y796" s="405"/>
      <c r="Z796" s="405"/>
      <c r="AA796" s="405"/>
      <c r="AB796" s="405"/>
      <c r="AC796" s="405"/>
      <c r="AD796" s="405"/>
      <c r="AE796" s="405"/>
      <c r="AF796" s="405"/>
      <c r="AG796" s="405"/>
      <c r="AH796" s="405"/>
      <c r="AI796" s="405"/>
      <c r="AJ796" s="405"/>
      <c r="AK796" s="405"/>
      <c r="AL796" s="405"/>
      <c r="AM796" s="406"/>
      <c r="AN796" s="406"/>
      <c r="AO796" s="406"/>
      <c r="AP796" s="406"/>
      <c r="AQ796" s="403"/>
      <c r="AR796" s="403"/>
      <c r="AS796" s="403"/>
      <c r="AT796" s="403"/>
      <c r="AU796" s="403"/>
      <c r="AV796" s="403"/>
      <c r="AW796" s="403"/>
      <c r="AX796" s="403"/>
      <c r="AY796" s="403"/>
    </row>
    <row r="797">
      <c r="A797" s="415"/>
      <c r="B797" s="415"/>
      <c r="C797" s="410"/>
      <c r="D797" s="429"/>
      <c r="E797" s="416"/>
      <c r="F797" s="413"/>
      <c r="G797" s="413"/>
      <c r="H797" s="415"/>
      <c r="I797" s="415"/>
      <c r="J797" s="415"/>
      <c r="K797" s="415"/>
      <c r="L797" s="417"/>
      <c r="M797" s="403"/>
      <c r="N797" s="403"/>
      <c r="O797" s="403"/>
      <c r="P797" s="403"/>
      <c r="Q797" s="403"/>
      <c r="R797" s="403"/>
      <c r="S797" s="403"/>
      <c r="T797" s="403"/>
      <c r="U797" s="403"/>
      <c r="V797" s="403"/>
      <c r="W797" s="404"/>
      <c r="X797" s="405"/>
      <c r="Y797" s="405"/>
      <c r="Z797" s="405"/>
      <c r="AA797" s="405"/>
      <c r="AB797" s="405"/>
      <c r="AC797" s="405"/>
      <c r="AD797" s="405"/>
      <c r="AE797" s="405"/>
      <c r="AF797" s="405"/>
      <c r="AG797" s="405"/>
      <c r="AH797" s="405"/>
      <c r="AI797" s="405"/>
      <c r="AJ797" s="405"/>
      <c r="AK797" s="405"/>
      <c r="AL797" s="405"/>
      <c r="AM797" s="406"/>
      <c r="AN797" s="406"/>
      <c r="AO797" s="406"/>
      <c r="AP797" s="406"/>
      <c r="AQ797" s="403"/>
      <c r="AR797" s="403"/>
      <c r="AS797" s="403"/>
      <c r="AT797" s="403"/>
      <c r="AU797" s="403"/>
      <c r="AV797" s="403"/>
      <c r="AW797" s="403"/>
      <c r="AX797" s="403"/>
      <c r="AY797" s="403"/>
    </row>
    <row r="798">
      <c r="A798" s="415"/>
      <c r="B798" s="415"/>
      <c r="C798" s="410"/>
      <c r="D798" s="429"/>
      <c r="E798" s="416"/>
      <c r="F798" s="413"/>
      <c r="G798" s="413"/>
      <c r="H798" s="415"/>
      <c r="I798" s="415"/>
      <c r="J798" s="415"/>
      <c r="K798" s="415"/>
      <c r="L798" s="417"/>
      <c r="M798" s="403"/>
      <c r="N798" s="403"/>
      <c r="O798" s="403"/>
      <c r="P798" s="403"/>
      <c r="Q798" s="403"/>
      <c r="R798" s="403"/>
      <c r="S798" s="403"/>
      <c r="T798" s="403"/>
      <c r="U798" s="403"/>
      <c r="V798" s="403"/>
      <c r="W798" s="404"/>
      <c r="X798" s="405"/>
      <c r="Y798" s="405"/>
      <c r="Z798" s="405"/>
      <c r="AA798" s="405"/>
      <c r="AB798" s="405"/>
      <c r="AC798" s="405"/>
      <c r="AD798" s="405"/>
      <c r="AE798" s="405"/>
      <c r="AF798" s="405"/>
      <c r="AG798" s="405"/>
      <c r="AH798" s="405"/>
      <c r="AI798" s="405"/>
      <c r="AJ798" s="405"/>
      <c r="AK798" s="405"/>
      <c r="AL798" s="405"/>
      <c r="AM798" s="406"/>
      <c r="AN798" s="406"/>
      <c r="AO798" s="406"/>
      <c r="AP798" s="406"/>
      <c r="AQ798" s="403"/>
      <c r="AR798" s="403"/>
      <c r="AS798" s="403"/>
      <c r="AT798" s="403"/>
      <c r="AU798" s="403"/>
      <c r="AV798" s="403"/>
      <c r="AW798" s="403"/>
      <c r="AX798" s="403"/>
      <c r="AY798" s="403"/>
    </row>
    <row r="799">
      <c r="A799" s="415"/>
      <c r="B799" s="415"/>
      <c r="C799" s="410"/>
      <c r="D799" s="429"/>
      <c r="E799" s="416"/>
      <c r="F799" s="413"/>
      <c r="G799" s="413"/>
      <c r="H799" s="415"/>
      <c r="I799" s="415"/>
      <c r="J799" s="415"/>
      <c r="K799" s="415"/>
      <c r="L799" s="417"/>
      <c r="M799" s="403"/>
      <c r="N799" s="403"/>
      <c r="O799" s="403"/>
      <c r="P799" s="403"/>
      <c r="Q799" s="403"/>
      <c r="R799" s="403"/>
      <c r="S799" s="403"/>
      <c r="T799" s="403"/>
      <c r="U799" s="403"/>
      <c r="V799" s="403"/>
      <c r="W799" s="404"/>
      <c r="X799" s="405"/>
      <c r="Y799" s="405"/>
      <c r="Z799" s="405"/>
      <c r="AA799" s="405"/>
      <c r="AB799" s="405"/>
      <c r="AC799" s="405"/>
      <c r="AD799" s="405"/>
      <c r="AE799" s="405"/>
      <c r="AF799" s="405"/>
      <c r="AG799" s="405"/>
      <c r="AH799" s="405"/>
      <c r="AI799" s="405"/>
      <c r="AJ799" s="405"/>
      <c r="AK799" s="405"/>
      <c r="AL799" s="405"/>
      <c r="AM799" s="406"/>
      <c r="AN799" s="406"/>
      <c r="AO799" s="406"/>
      <c r="AP799" s="406"/>
      <c r="AQ799" s="403"/>
      <c r="AR799" s="403"/>
      <c r="AS799" s="403"/>
      <c r="AT799" s="403"/>
      <c r="AU799" s="403"/>
      <c r="AV799" s="403"/>
      <c r="AW799" s="403"/>
      <c r="AX799" s="403"/>
      <c r="AY799" s="403"/>
    </row>
    <row r="800">
      <c r="A800" s="415"/>
      <c r="B800" s="415"/>
      <c r="C800" s="410"/>
      <c r="D800" s="429"/>
      <c r="E800" s="416"/>
      <c r="F800" s="413"/>
      <c r="G800" s="413"/>
      <c r="H800" s="415"/>
      <c r="I800" s="415"/>
      <c r="J800" s="415"/>
      <c r="K800" s="415"/>
      <c r="L800" s="417"/>
      <c r="M800" s="403"/>
      <c r="N800" s="403"/>
      <c r="O800" s="403"/>
      <c r="P800" s="403"/>
      <c r="Q800" s="403"/>
      <c r="R800" s="403"/>
      <c r="S800" s="403"/>
      <c r="T800" s="403"/>
      <c r="U800" s="403"/>
      <c r="V800" s="403"/>
      <c r="W800" s="404"/>
      <c r="X800" s="405"/>
      <c r="Y800" s="405"/>
      <c r="Z800" s="405"/>
      <c r="AA800" s="405"/>
      <c r="AB800" s="405"/>
      <c r="AC800" s="405"/>
      <c r="AD800" s="405"/>
      <c r="AE800" s="405"/>
      <c r="AF800" s="405"/>
      <c r="AG800" s="405"/>
      <c r="AH800" s="405"/>
      <c r="AI800" s="405"/>
      <c r="AJ800" s="405"/>
      <c r="AK800" s="405"/>
      <c r="AL800" s="405"/>
      <c r="AM800" s="406"/>
      <c r="AN800" s="406"/>
      <c r="AO800" s="406"/>
      <c r="AP800" s="406"/>
      <c r="AQ800" s="403"/>
      <c r="AR800" s="403"/>
      <c r="AS800" s="403"/>
      <c r="AT800" s="403"/>
      <c r="AU800" s="403"/>
      <c r="AV800" s="403"/>
      <c r="AW800" s="403"/>
      <c r="AX800" s="403"/>
      <c r="AY800" s="403"/>
    </row>
    <row r="801">
      <c r="A801" s="415"/>
      <c r="B801" s="415"/>
      <c r="C801" s="410"/>
      <c r="D801" s="429"/>
      <c r="E801" s="416"/>
      <c r="F801" s="413"/>
      <c r="G801" s="413"/>
      <c r="H801" s="415"/>
      <c r="I801" s="415"/>
      <c r="J801" s="415"/>
      <c r="K801" s="415"/>
      <c r="L801" s="417"/>
      <c r="M801" s="403"/>
      <c r="N801" s="403"/>
      <c r="O801" s="403"/>
      <c r="P801" s="403"/>
      <c r="Q801" s="403"/>
      <c r="R801" s="403"/>
      <c r="S801" s="403"/>
      <c r="T801" s="403"/>
      <c r="U801" s="403"/>
      <c r="V801" s="403"/>
      <c r="W801" s="404"/>
      <c r="X801" s="405"/>
      <c r="Y801" s="405"/>
      <c r="Z801" s="405"/>
      <c r="AA801" s="405"/>
      <c r="AB801" s="405"/>
      <c r="AC801" s="405"/>
      <c r="AD801" s="405"/>
      <c r="AE801" s="405"/>
      <c r="AF801" s="405"/>
      <c r="AG801" s="405"/>
      <c r="AH801" s="405"/>
      <c r="AI801" s="405"/>
      <c r="AJ801" s="405"/>
      <c r="AK801" s="405"/>
      <c r="AL801" s="405"/>
      <c r="AM801" s="406"/>
      <c r="AN801" s="406"/>
      <c r="AO801" s="406"/>
      <c r="AP801" s="406"/>
      <c r="AQ801" s="403"/>
      <c r="AR801" s="403"/>
      <c r="AS801" s="403"/>
      <c r="AT801" s="403"/>
      <c r="AU801" s="403"/>
      <c r="AV801" s="403"/>
      <c r="AW801" s="403"/>
      <c r="AX801" s="403"/>
      <c r="AY801" s="403"/>
    </row>
    <row r="802">
      <c r="A802" s="415"/>
      <c r="B802" s="415"/>
      <c r="C802" s="410"/>
      <c r="D802" s="429"/>
      <c r="E802" s="416"/>
      <c r="F802" s="413"/>
      <c r="G802" s="413"/>
      <c r="H802" s="415"/>
      <c r="I802" s="415"/>
      <c r="J802" s="415"/>
      <c r="K802" s="415"/>
      <c r="L802" s="417"/>
      <c r="M802" s="403"/>
      <c r="N802" s="403"/>
      <c r="O802" s="403"/>
      <c r="P802" s="403"/>
      <c r="Q802" s="403"/>
      <c r="R802" s="403"/>
      <c r="S802" s="403"/>
      <c r="T802" s="403"/>
      <c r="U802" s="403"/>
      <c r="V802" s="403"/>
      <c r="W802" s="404"/>
      <c r="X802" s="405"/>
      <c r="Y802" s="405"/>
      <c r="Z802" s="405"/>
      <c r="AA802" s="405"/>
      <c r="AB802" s="405"/>
      <c r="AC802" s="405"/>
      <c r="AD802" s="405"/>
      <c r="AE802" s="405"/>
      <c r="AF802" s="405"/>
      <c r="AG802" s="405"/>
      <c r="AH802" s="405"/>
      <c r="AI802" s="405"/>
      <c r="AJ802" s="405"/>
      <c r="AK802" s="405"/>
      <c r="AL802" s="405"/>
      <c r="AM802" s="406"/>
      <c r="AN802" s="406"/>
      <c r="AO802" s="406"/>
      <c r="AP802" s="406"/>
      <c r="AQ802" s="403"/>
      <c r="AR802" s="403"/>
      <c r="AS802" s="403"/>
      <c r="AT802" s="403"/>
      <c r="AU802" s="403"/>
      <c r="AV802" s="403"/>
      <c r="AW802" s="403"/>
      <c r="AX802" s="403"/>
      <c r="AY802" s="403"/>
    </row>
    <row r="803">
      <c r="A803" s="415"/>
      <c r="B803" s="415"/>
      <c r="C803" s="410"/>
      <c r="D803" s="429"/>
      <c r="E803" s="416"/>
      <c r="F803" s="413"/>
      <c r="G803" s="413"/>
      <c r="H803" s="415"/>
      <c r="I803" s="415"/>
      <c r="J803" s="415"/>
      <c r="K803" s="415"/>
      <c r="L803" s="417"/>
      <c r="M803" s="403"/>
      <c r="N803" s="403"/>
      <c r="O803" s="403"/>
      <c r="P803" s="403"/>
      <c r="Q803" s="403"/>
      <c r="R803" s="403"/>
      <c r="S803" s="403"/>
      <c r="T803" s="403"/>
      <c r="U803" s="403"/>
      <c r="V803" s="403"/>
      <c r="W803" s="404"/>
      <c r="X803" s="405"/>
      <c r="Y803" s="405"/>
      <c r="Z803" s="405"/>
      <c r="AA803" s="405"/>
      <c r="AB803" s="405"/>
      <c r="AC803" s="405"/>
      <c r="AD803" s="405"/>
      <c r="AE803" s="405"/>
      <c r="AF803" s="405"/>
      <c r="AG803" s="405"/>
      <c r="AH803" s="405"/>
      <c r="AI803" s="405"/>
      <c r="AJ803" s="405"/>
      <c r="AK803" s="405"/>
      <c r="AL803" s="405"/>
      <c r="AM803" s="406"/>
      <c r="AN803" s="406"/>
      <c r="AO803" s="406"/>
      <c r="AP803" s="406"/>
      <c r="AQ803" s="403"/>
      <c r="AR803" s="403"/>
      <c r="AS803" s="403"/>
      <c r="AT803" s="403"/>
      <c r="AU803" s="403"/>
      <c r="AV803" s="403"/>
      <c r="AW803" s="403"/>
      <c r="AX803" s="403"/>
      <c r="AY803" s="403"/>
    </row>
    <row r="804">
      <c r="A804" s="415"/>
      <c r="B804" s="415"/>
      <c r="C804" s="410"/>
      <c r="D804" s="429"/>
      <c r="E804" s="416"/>
      <c r="F804" s="413"/>
      <c r="G804" s="413"/>
      <c r="H804" s="415"/>
      <c r="I804" s="415"/>
      <c r="J804" s="415"/>
      <c r="K804" s="415"/>
      <c r="L804" s="417"/>
      <c r="M804" s="403"/>
      <c r="N804" s="403"/>
      <c r="O804" s="403"/>
      <c r="P804" s="403"/>
      <c r="Q804" s="403"/>
      <c r="R804" s="403"/>
      <c r="S804" s="403"/>
      <c r="T804" s="403"/>
      <c r="U804" s="403"/>
      <c r="V804" s="403"/>
      <c r="W804" s="404"/>
      <c r="X804" s="405"/>
      <c r="Y804" s="405"/>
      <c r="Z804" s="405"/>
      <c r="AA804" s="405"/>
      <c r="AB804" s="405"/>
      <c r="AC804" s="405"/>
      <c r="AD804" s="405"/>
      <c r="AE804" s="405"/>
      <c r="AF804" s="405"/>
      <c r="AG804" s="405"/>
      <c r="AH804" s="405"/>
      <c r="AI804" s="405"/>
      <c r="AJ804" s="405"/>
      <c r="AK804" s="405"/>
      <c r="AL804" s="405"/>
      <c r="AM804" s="406"/>
      <c r="AN804" s="406"/>
      <c r="AO804" s="406"/>
      <c r="AP804" s="406"/>
      <c r="AQ804" s="403"/>
      <c r="AR804" s="403"/>
      <c r="AS804" s="403"/>
      <c r="AT804" s="403"/>
      <c r="AU804" s="403"/>
      <c r="AV804" s="403"/>
      <c r="AW804" s="403"/>
      <c r="AX804" s="403"/>
      <c r="AY804" s="403"/>
    </row>
    <row r="805">
      <c r="A805" s="415"/>
      <c r="B805" s="415"/>
      <c r="C805" s="410"/>
      <c r="D805" s="429"/>
      <c r="E805" s="416"/>
      <c r="F805" s="413"/>
      <c r="G805" s="413"/>
      <c r="H805" s="415"/>
      <c r="I805" s="415"/>
      <c r="J805" s="415"/>
      <c r="K805" s="415"/>
      <c r="L805" s="417"/>
      <c r="M805" s="403"/>
      <c r="N805" s="403"/>
      <c r="O805" s="403"/>
      <c r="P805" s="403"/>
      <c r="Q805" s="403"/>
      <c r="R805" s="403"/>
      <c r="S805" s="403"/>
      <c r="T805" s="403"/>
      <c r="U805" s="403"/>
      <c r="V805" s="403"/>
      <c r="W805" s="404"/>
      <c r="X805" s="405"/>
      <c r="Y805" s="405"/>
      <c r="Z805" s="405"/>
      <c r="AA805" s="405"/>
      <c r="AB805" s="405"/>
      <c r="AC805" s="405"/>
      <c r="AD805" s="405"/>
      <c r="AE805" s="405"/>
      <c r="AF805" s="405"/>
      <c r="AG805" s="405"/>
      <c r="AH805" s="405"/>
      <c r="AI805" s="405"/>
      <c r="AJ805" s="405"/>
      <c r="AK805" s="405"/>
      <c r="AL805" s="405"/>
      <c r="AM805" s="406"/>
      <c r="AN805" s="406"/>
      <c r="AO805" s="406"/>
      <c r="AP805" s="406"/>
      <c r="AQ805" s="403"/>
      <c r="AR805" s="403"/>
      <c r="AS805" s="403"/>
      <c r="AT805" s="403"/>
      <c r="AU805" s="403"/>
      <c r="AV805" s="403"/>
      <c r="AW805" s="403"/>
      <c r="AX805" s="403"/>
      <c r="AY805" s="403"/>
    </row>
    <row r="806">
      <c r="A806" s="415"/>
      <c r="B806" s="415"/>
      <c r="C806" s="410"/>
      <c r="D806" s="429"/>
      <c r="E806" s="416"/>
      <c r="F806" s="413"/>
      <c r="G806" s="413"/>
      <c r="H806" s="415"/>
      <c r="I806" s="415"/>
      <c r="J806" s="415"/>
      <c r="K806" s="415"/>
      <c r="L806" s="417"/>
      <c r="M806" s="403"/>
      <c r="N806" s="403"/>
      <c r="O806" s="403"/>
      <c r="P806" s="403"/>
      <c r="Q806" s="403"/>
      <c r="R806" s="403"/>
      <c r="S806" s="403"/>
      <c r="T806" s="403"/>
      <c r="U806" s="403"/>
      <c r="V806" s="403"/>
      <c r="W806" s="404"/>
      <c r="X806" s="405"/>
      <c r="Y806" s="405"/>
      <c r="Z806" s="405"/>
      <c r="AA806" s="405"/>
      <c r="AB806" s="405"/>
      <c r="AC806" s="405"/>
      <c r="AD806" s="405"/>
      <c r="AE806" s="405"/>
      <c r="AF806" s="405"/>
      <c r="AG806" s="405"/>
      <c r="AH806" s="405"/>
      <c r="AI806" s="405"/>
      <c r="AJ806" s="405"/>
      <c r="AK806" s="405"/>
      <c r="AL806" s="405"/>
      <c r="AM806" s="406"/>
      <c r="AN806" s="406"/>
      <c r="AO806" s="406"/>
      <c r="AP806" s="406"/>
      <c r="AQ806" s="403"/>
      <c r="AR806" s="403"/>
      <c r="AS806" s="403"/>
      <c r="AT806" s="403"/>
      <c r="AU806" s="403"/>
      <c r="AV806" s="403"/>
      <c r="AW806" s="403"/>
      <c r="AX806" s="403"/>
      <c r="AY806" s="403"/>
    </row>
    <row r="807">
      <c r="A807" s="415"/>
      <c r="B807" s="415"/>
      <c r="C807" s="410"/>
      <c r="D807" s="429"/>
      <c r="E807" s="416"/>
      <c r="F807" s="413"/>
      <c r="G807" s="413"/>
      <c r="H807" s="415"/>
      <c r="I807" s="415"/>
      <c r="J807" s="415"/>
      <c r="K807" s="415"/>
      <c r="L807" s="417"/>
      <c r="M807" s="403"/>
      <c r="N807" s="403"/>
      <c r="O807" s="403"/>
      <c r="P807" s="403"/>
      <c r="Q807" s="403"/>
      <c r="R807" s="403"/>
      <c r="S807" s="403"/>
      <c r="T807" s="403"/>
      <c r="U807" s="403"/>
      <c r="V807" s="403"/>
      <c r="W807" s="404"/>
      <c r="X807" s="405"/>
      <c r="Y807" s="405"/>
      <c r="Z807" s="405"/>
      <c r="AA807" s="405"/>
      <c r="AB807" s="405"/>
      <c r="AC807" s="405"/>
      <c r="AD807" s="405"/>
      <c r="AE807" s="405"/>
      <c r="AF807" s="405"/>
      <c r="AG807" s="405"/>
      <c r="AH807" s="405"/>
      <c r="AI807" s="405"/>
      <c r="AJ807" s="405"/>
      <c r="AK807" s="405"/>
      <c r="AL807" s="405"/>
      <c r="AM807" s="406"/>
      <c r="AN807" s="406"/>
      <c r="AO807" s="406"/>
      <c r="AP807" s="406"/>
      <c r="AQ807" s="403"/>
      <c r="AR807" s="403"/>
      <c r="AS807" s="403"/>
      <c r="AT807" s="403"/>
      <c r="AU807" s="403"/>
      <c r="AV807" s="403"/>
      <c r="AW807" s="403"/>
      <c r="AX807" s="403"/>
      <c r="AY807" s="403"/>
    </row>
    <row r="808">
      <c r="A808" s="415"/>
      <c r="B808" s="415"/>
      <c r="C808" s="410"/>
      <c r="D808" s="429"/>
      <c r="E808" s="416"/>
      <c r="F808" s="413"/>
      <c r="G808" s="413"/>
      <c r="H808" s="415"/>
      <c r="I808" s="415"/>
      <c r="J808" s="415"/>
      <c r="K808" s="415"/>
      <c r="L808" s="417"/>
      <c r="M808" s="403"/>
      <c r="N808" s="403"/>
      <c r="O808" s="403"/>
      <c r="P808" s="403"/>
      <c r="Q808" s="403"/>
      <c r="R808" s="403"/>
      <c r="S808" s="403"/>
      <c r="T808" s="403"/>
      <c r="U808" s="403"/>
      <c r="V808" s="403"/>
      <c r="W808" s="404"/>
      <c r="X808" s="405"/>
      <c r="Y808" s="405"/>
      <c r="Z808" s="405"/>
      <c r="AA808" s="405"/>
      <c r="AB808" s="405"/>
      <c r="AC808" s="405"/>
      <c r="AD808" s="405"/>
      <c r="AE808" s="405"/>
      <c r="AF808" s="405"/>
      <c r="AG808" s="405"/>
      <c r="AH808" s="405"/>
      <c r="AI808" s="405"/>
      <c r="AJ808" s="405"/>
      <c r="AK808" s="405"/>
      <c r="AL808" s="405"/>
      <c r="AM808" s="406"/>
      <c r="AN808" s="406"/>
      <c r="AO808" s="406"/>
      <c r="AP808" s="406"/>
      <c r="AQ808" s="403"/>
      <c r="AR808" s="403"/>
      <c r="AS808" s="403"/>
      <c r="AT808" s="403"/>
      <c r="AU808" s="403"/>
      <c r="AV808" s="403"/>
      <c r="AW808" s="403"/>
      <c r="AX808" s="403"/>
      <c r="AY808" s="403"/>
    </row>
    <row r="809">
      <c r="A809" s="415"/>
      <c r="B809" s="415"/>
      <c r="C809" s="410"/>
      <c r="D809" s="429"/>
      <c r="E809" s="416"/>
      <c r="F809" s="413"/>
      <c r="G809" s="413"/>
      <c r="H809" s="415"/>
      <c r="I809" s="415"/>
      <c r="J809" s="415"/>
      <c r="K809" s="415"/>
      <c r="L809" s="417"/>
      <c r="M809" s="403"/>
      <c r="N809" s="403"/>
      <c r="O809" s="403"/>
      <c r="P809" s="403"/>
      <c r="Q809" s="403"/>
      <c r="R809" s="403"/>
      <c r="S809" s="403"/>
      <c r="T809" s="403"/>
      <c r="U809" s="403"/>
      <c r="V809" s="403"/>
      <c r="W809" s="404"/>
      <c r="X809" s="405"/>
      <c r="Y809" s="405"/>
      <c r="Z809" s="405"/>
      <c r="AA809" s="405"/>
      <c r="AB809" s="405"/>
      <c r="AC809" s="405"/>
      <c r="AD809" s="405"/>
      <c r="AE809" s="405"/>
      <c r="AF809" s="405"/>
      <c r="AG809" s="405"/>
      <c r="AH809" s="405"/>
      <c r="AI809" s="405"/>
      <c r="AJ809" s="405"/>
      <c r="AK809" s="405"/>
      <c r="AL809" s="405"/>
      <c r="AM809" s="406"/>
      <c r="AN809" s="406"/>
      <c r="AO809" s="406"/>
      <c r="AP809" s="406"/>
      <c r="AQ809" s="403"/>
      <c r="AR809" s="403"/>
      <c r="AS809" s="403"/>
      <c r="AT809" s="403"/>
      <c r="AU809" s="403"/>
      <c r="AV809" s="403"/>
      <c r="AW809" s="403"/>
      <c r="AX809" s="403"/>
      <c r="AY809" s="403"/>
    </row>
    <row r="810">
      <c r="A810" s="415"/>
      <c r="B810" s="415"/>
      <c r="C810" s="410"/>
      <c r="D810" s="429"/>
      <c r="E810" s="416"/>
      <c r="F810" s="413"/>
      <c r="G810" s="413"/>
      <c r="H810" s="415"/>
      <c r="I810" s="415"/>
      <c r="J810" s="415"/>
      <c r="K810" s="415"/>
      <c r="L810" s="417"/>
      <c r="M810" s="403"/>
      <c r="N810" s="403"/>
      <c r="O810" s="403"/>
      <c r="P810" s="403"/>
      <c r="Q810" s="403"/>
      <c r="R810" s="403"/>
      <c r="S810" s="403"/>
      <c r="T810" s="403"/>
      <c r="U810" s="403"/>
      <c r="V810" s="403"/>
      <c r="W810" s="404"/>
      <c r="X810" s="405"/>
      <c r="Y810" s="405"/>
      <c r="Z810" s="405"/>
      <c r="AA810" s="405"/>
      <c r="AB810" s="405"/>
      <c r="AC810" s="405"/>
      <c r="AD810" s="405"/>
      <c r="AE810" s="405"/>
      <c r="AF810" s="405"/>
      <c r="AG810" s="405"/>
      <c r="AH810" s="405"/>
      <c r="AI810" s="405"/>
      <c r="AJ810" s="405"/>
      <c r="AK810" s="405"/>
      <c r="AL810" s="405"/>
      <c r="AM810" s="406"/>
      <c r="AN810" s="406"/>
      <c r="AO810" s="406"/>
      <c r="AP810" s="406"/>
      <c r="AQ810" s="403"/>
      <c r="AR810" s="403"/>
      <c r="AS810" s="403"/>
      <c r="AT810" s="403"/>
      <c r="AU810" s="403"/>
      <c r="AV810" s="403"/>
      <c r="AW810" s="403"/>
      <c r="AX810" s="403"/>
      <c r="AY810" s="403"/>
    </row>
    <row r="811">
      <c r="A811" s="415"/>
      <c r="B811" s="415"/>
      <c r="C811" s="410"/>
      <c r="D811" s="429"/>
      <c r="E811" s="416"/>
      <c r="F811" s="413"/>
      <c r="G811" s="413"/>
      <c r="H811" s="415"/>
      <c r="I811" s="415"/>
      <c r="J811" s="415"/>
      <c r="K811" s="415"/>
      <c r="L811" s="417"/>
      <c r="M811" s="403"/>
      <c r="N811" s="403"/>
      <c r="O811" s="403"/>
      <c r="P811" s="403"/>
      <c r="Q811" s="403"/>
      <c r="R811" s="403"/>
      <c r="S811" s="403"/>
      <c r="T811" s="403"/>
      <c r="U811" s="403"/>
      <c r="V811" s="403"/>
      <c r="W811" s="404"/>
      <c r="X811" s="405"/>
      <c r="Y811" s="405"/>
      <c r="Z811" s="405"/>
      <c r="AA811" s="405"/>
      <c r="AB811" s="405"/>
      <c r="AC811" s="405"/>
      <c r="AD811" s="405"/>
      <c r="AE811" s="405"/>
      <c r="AF811" s="405"/>
      <c r="AG811" s="405"/>
      <c r="AH811" s="405"/>
      <c r="AI811" s="405"/>
      <c r="AJ811" s="405"/>
      <c r="AK811" s="405"/>
      <c r="AL811" s="405"/>
      <c r="AM811" s="406"/>
      <c r="AN811" s="406"/>
      <c r="AO811" s="406"/>
      <c r="AP811" s="406"/>
      <c r="AQ811" s="403"/>
      <c r="AR811" s="403"/>
      <c r="AS811" s="403"/>
      <c r="AT811" s="403"/>
      <c r="AU811" s="403"/>
      <c r="AV811" s="403"/>
      <c r="AW811" s="403"/>
      <c r="AX811" s="403"/>
      <c r="AY811" s="403"/>
    </row>
    <row r="812">
      <c r="A812" s="415"/>
      <c r="B812" s="415"/>
      <c r="C812" s="410"/>
      <c r="D812" s="429"/>
      <c r="E812" s="416"/>
      <c r="F812" s="413"/>
      <c r="G812" s="413"/>
      <c r="H812" s="415"/>
      <c r="I812" s="415"/>
      <c r="J812" s="415"/>
      <c r="K812" s="415"/>
      <c r="L812" s="417"/>
      <c r="M812" s="403"/>
      <c r="N812" s="403"/>
      <c r="O812" s="403"/>
      <c r="P812" s="403"/>
      <c r="Q812" s="403"/>
      <c r="R812" s="403"/>
      <c r="S812" s="403"/>
      <c r="T812" s="403"/>
      <c r="U812" s="403"/>
      <c r="V812" s="403"/>
      <c r="W812" s="404"/>
      <c r="X812" s="405"/>
      <c r="Y812" s="405"/>
      <c r="Z812" s="405"/>
      <c r="AA812" s="405"/>
      <c r="AB812" s="405"/>
      <c r="AC812" s="405"/>
      <c r="AD812" s="405"/>
      <c r="AE812" s="405"/>
      <c r="AF812" s="405"/>
      <c r="AG812" s="405"/>
      <c r="AH812" s="405"/>
      <c r="AI812" s="405"/>
      <c r="AJ812" s="405"/>
      <c r="AK812" s="405"/>
      <c r="AL812" s="405"/>
      <c r="AM812" s="406"/>
      <c r="AN812" s="406"/>
      <c r="AO812" s="406"/>
      <c r="AP812" s="406"/>
      <c r="AQ812" s="403"/>
      <c r="AR812" s="403"/>
      <c r="AS812" s="403"/>
      <c r="AT812" s="403"/>
      <c r="AU812" s="403"/>
      <c r="AV812" s="403"/>
      <c r="AW812" s="403"/>
      <c r="AX812" s="403"/>
      <c r="AY812" s="403"/>
    </row>
    <row r="813">
      <c r="A813" s="415"/>
      <c r="B813" s="415"/>
      <c r="C813" s="410"/>
      <c r="D813" s="429"/>
      <c r="E813" s="416"/>
      <c r="F813" s="413"/>
      <c r="G813" s="413"/>
      <c r="H813" s="415"/>
      <c r="I813" s="415"/>
      <c r="J813" s="415"/>
      <c r="K813" s="415"/>
      <c r="L813" s="417"/>
      <c r="M813" s="403"/>
      <c r="N813" s="403"/>
      <c r="O813" s="403"/>
      <c r="P813" s="403"/>
      <c r="Q813" s="403"/>
      <c r="R813" s="403"/>
      <c r="S813" s="403"/>
      <c r="T813" s="403"/>
      <c r="U813" s="403"/>
      <c r="V813" s="403"/>
      <c r="W813" s="404"/>
      <c r="X813" s="405"/>
      <c r="Y813" s="405"/>
      <c r="Z813" s="405"/>
      <c r="AA813" s="405"/>
      <c r="AB813" s="405"/>
      <c r="AC813" s="405"/>
      <c r="AD813" s="405"/>
      <c r="AE813" s="405"/>
      <c r="AF813" s="405"/>
      <c r="AG813" s="405"/>
      <c r="AH813" s="405"/>
      <c r="AI813" s="405"/>
      <c r="AJ813" s="405"/>
      <c r="AK813" s="405"/>
      <c r="AL813" s="405"/>
      <c r="AM813" s="406"/>
      <c r="AN813" s="406"/>
      <c r="AO813" s="406"/>
      <c r="AP813" s="406"/>
      <c r="AQ813" s="403"/>
      <c r="AR813" s="403"/>
      <c r="AS813" s="403"/>
      <c r="AT813" s="403"/>
      <c r="AU813" s="403"/>
      <c r="AV813" s="403"/>
      <c r="AW813" s="403"/>
      <c r="AX813" s="403"/>
      <c r="AY813" s="403"/>
    </row>
    <row r="814">
      <c r="A814" s="415"/>
      <c r="B814" s="415"/>
      <c r="C814" s="410"/>
      <c r="D814" s="429"/>
      <c r="E814" s="416"/>
      <c r="F814" s="413"/>
      <c r="G814" s="413"/>
      <c r="H814" s="415"/>
      <c r="I814" s="415"/>
      <c r="J814" s="415"/>
      <c r="K814" s="415"/>
      <c r="L814" s="417"/>
      <c r="M814" s="403"/>
      <c r="N814" s="403"/>
      <c r="O814" s="403"/>
      <c r="P814" s="403"/>
      <c r="Q814" s="403"/>
      <c r="R814" s="403"/>
      <c r="S814" s="403"/>
      <c r="T814" s="403"/>
      <c r="U814" s="403"/>
      <c r="V814" s="403"/>
      <c r="W814" s="404"/>
      <c r="X814" s="405"/>
      <c r="Y814" s="405"/>
      <c r="Z814" s="405"/>
      <c r="AA814" s="405"/>
      <c r="AB814" s="405"/>
      <c r="AC814" s="405"/>
      <c r="AD814" s="405"/>
      <c r="AE814" s="405"/>
      <c r="AF814" s="405"/>
      <c r="AG814" s="405"/>
      <c r="AH814" s="405"/>
      <c r="AI814" s="405"/>
      <c r="AJ814" s="405"/>
      <c r="AK814" s="405"/>
      <c r="AL814" s="405"/>
      <c r="AM814" s="406"/>
      <c r="AN814" s="406"/>
      <c r="AO814" s="406"/>
      <c r="AP814" s="406"/>
      <c r="AQ814" s="403"/>
      <c r="AR814" s="403"/>
      <c r="AS814" s="403"/>
      <c r="AT814" s="403"/>
      <c r="AU814" s="403"/>
      <c r="AV814" s="403"/>
      <c r="AW814" s="403"/>
      <c r="AX814" s="403"/>
      <c r="AY814" s="403"/>
    </row>
    <row r="815">
      <c r="A815" s="415"/>
      <c r="B815" s="415"/>
      <c r="C815" s="410"/>
      <c r="D815" s="429"/>
      <c r="E815" s="416"/>
      <c r="F815" s="413"/>
      <c r="G815" s="413"/>
      <c r="H815" s="415"/>
      <c r="I815" s="415"/>
      <c r="J815" s="415"/>
      <c r="K815" s="415"/>
      <c r="L815" s="417"/>
      <c r="M815" s="403"/>
      <c r="N815" s="403"/>
      <c r="O815" s="403"/>
      <c r="P815" s="403"/>
      <c r="Q815" s="403"/>
      <c r="R815" s="403"/>
      <c r="S815" s="403"/>
      <c r="T815" s="403"/>
      <c r="U815" s="403"/>
      <c r="V815" s="403"/>
      <c r="W815" s="404"/>
      <c r="X815" s="405"/>
      <c r="Y815" s="405"/>
      <c r="Z815" s="405"/>
      <c r="AA815" s="405"/>
      <c r="AB815" s="405"/>
      <c r="AC815" s="405"/>
      <c r="AD815" s="405"/>
      <c r="AE815" s="405"/>
      <c r="AF815" s="405"/>
      <c r="AG815" s="405"/>
      <c r="AH815" s="405"/>
      <c r="AI815" s="405"/>
      <c r="AJ815" s="405"/>
      <c r="AK815" s="405"/>
      <c r="AL815" s="405"/>
      <c r="AM815" s="406"/>
      <c r="AN815" s="406"/>
      <c r="AO815" s="406"/>
      <c r="AP815" s="406"/>
      <c r="AQ815" s="403"/>
      <c r="AR815" s="403"/>
      <c r="AS815" s="403"/>
      <c r="AT815" s="403"/>
      <c r="AU815" s="403"/>
      <c r="AV815" s="403"/>
      <c r="AW815" s="403"/>
      <c r="AX815" s="403"/>
      <c r="AY815" s="403"/>
    </row>
    <row r="816">
      <c r="A816" s="415"/>
      <c r="B816" s="415"/>
      <c r="C816" s="410"/>
      <c r="D816" s="429"/>
      <c r="E816" s="416"/>
      <c r="F816" s="413"/>
      <c r="G816" s="413"/>
      <c r="H816" s="415"/>
      <c r="I816" s="415"/>
      <c r="J816" s="415"/>
      <c r="K816" s="415"/>
      <c r="L816" s="417"/>
      <c r="M816" s="403"/>
      <c r="N816" s="403"/>
      <c r="O816" s="403"/>
      <c r="P816" s="403"/>
      <c r="Q816" s="403"/>
      <c r="R816" s="403"/>
      <c r="S816" s="403"/>
      <c r="T816" s="403"/>
      <c r="U816" s="403"/>
      <c r="V816" s="403"/>
      <c r="W816" s="404"/>
      <c r="X816" s="405"/>
      <c r="Y816" s="405"/>
      <c r="Z816" s="405"/>
      <c r="AA816" s="405"/>
      <c r="AB816" s="405"/>
      <c r="AC816" s="405"/>
      <c r="AD816" s="405"/>
      <c r="AE816" s="405"/>
      <c r="AF816" s="405"/>
      <c r="AG816" s="405"/>
      <c r="AH816" s="405"/>
      <c r="AI816" s="405"/>
      <c r="AJ816" s="405"/>
      <c r="AK816" s="405"/>
      <c r="AL816" s="405"/>
      <c r="AM816" s="406"/>
      <c r="AN816" s="406"/>
      <c r="AO816" s="406"/>
      <c r="AP816" s="406"/>
      <c r="AQ816" s="403"/>
      <c r="AR816" s="403"/>
      <c r="AS816" s="403"/>
      <c r="AT816" s="403"/>
      <c r="AU816" s="403"/>
      <c r="AV816" s="403"/>
      <c r="AW816" s="403"/>
      <c r="AX816" s="403"/>
      <c r="AY816" s="403"/>
    </row>
    <row r="817">
      <c r="A817" s="415"/>
      <c r="B817" s="415"/>
      <c r="C817" s="410"/>
      <c r="D817" s="429"/>
      <c r="E817" s="416"/>
      <c r="F817" s="413"/>
      <c r="G817" s="413"/>
      <c r="H817" s="415"/>
      <c r="I817" s="415"/>
      <c r="J817" s="415"/>
      <c r="K817" s="415"/>
      <c r="L817" s="417"/>
      <c r="M817" s="403"/>
      <c r="N817" s="403"/>
      <c r="O817" s="403"/>
      <c r="P817" s="403"/>
      <c r="Q817" s="403"/>
      <c r="R817" s="403"/>
      <c r="S817" s="403"/>
      <c r="T817" s="403"/>
      <c r="U817" s="403"/>
      <c r="V817" s="403"/>
      <c r="W817" s="404"/>
      <c r="X817" s="405"/>
      <c r="Y817" s="405"/>
      <c r="Z817" s="405"/>
      <c r="AA817" s="405"/>
      <c r="AB817" s="405"/>
      <c r="AC817" s="405"/>
      <c r="AD817" s="405"/>
      <c r="AE817" s="405"/>
      <c r="AF817" s="405"/>
      <c r="AG817" s="405"/>
      <c r="AH817" s="405"/>
      <c r="AI817" s="405"/>
      <c r="AJ817" s="405"/>
      <c r="AK817" s="405"/>
      <c r="AL817" s="405"/>
      <c r="AM817" s="406"/>
      <c r="AN817" s="406"/>
      <c r="AO817" s="406"/>
      <c r="AP817" s="406"/>
      <c r="AQ817" s="403"/>
      <c r="AR817" s="403"/>
      <c r="AS817" s="403"/>
      <c r="AT817" s="403"/>
      <c r="AU817" s="403"/>
      <c r="AV817" s="403"/>
      <c r="AW817" s="403"/>
      <c r="AX817" s="403"/>
      <c r="AY817" s="403"/>
    </row>
    <row r="818">
      <c r="A818" s="415"/>
      <c r="B818" s="415"/>
      <c r="C818" s="410"/>
      <c r="D818" s="429"/>
      <c r="E818" s="416"/>
      <c r="F818" s="413"/>
      <c r="G818" s="413"/>
      <c r="H818" s="415"/>
      <c r="I818" s="415"/>
      <c r="J818" s="415"/>
      <c r="K818" s="415"/>
      <c r="L818" s="417"/>
      <c r="M818" s="403"/>
      <c r="N818" s="403"/>
      <c r="O818" s="403"/>
      <c r="P818" s="403"/>
      <c r="Q818" s="403"/>
      <c r="R818" s="403"/>
      <c r="S818" s="403"/>
      <c r="T818" s="403"/>
      <c r="U818" s="403"/>
      <c r="V818" s="403"/>
      <c r="W818" s="404"/>
      <c r="X818" s="405"/>
      <c r="Y818" s="405"/>
      <c r="Z818" s="405"/>
      <c r="AA818" s="405"/>
      <c r="AB818" s="405"/>
      <c r="AC818" s="405"/>
      <c r="AD818" s="405"/>
      <c r="AE818" s="405"/>
      <c r="AF818" s="405"/>
      <c r="AG818" s="405"/>
      <c r="AH818" s="405"/>
      <c r="AI818" s="405"/>
      <c r="AJ818" s="405"/>
      <c r="AK818" s="405"/>
      <c r="AL818" s="405"/>
      <c r="AM818" s="406"/>
      <c r="AN818" s="406"/>
      <c r="AO818" s="406"/>
      <c r="AP818" s="406"/>
      <c r="AQ818" s="403"/>
      <c r="AR818" s="403"/>
      <c r="AS818" s="403"/>
      <c r="AT818" s="403"/>
      <c r="AU818" s="403"/>
      <c r="AV818" s="403"/>
      <c r="AW818" s="403"/>
      <c r="AX818" s="403"/>
      <c r="AY818" s="403"/>
    </row>
    <row r="819">
      <c r="A819" s="415"/>
      <c r="B819" s="415"/>
      <c r="C819" s="410"/>
      <c r="D819" s="429"/>
      <c r="E819" s="416"/>
      <c r="F819" s="413"/>
      <c r="G819" s="413"/>
      <c r="H819" s="415"/>
      <c r="I819" s="415"/>
      <c r="J819" s="415"/>
      <c r="K819" s="415"/>
      <c r="L819" s="417"/>
      <c r="M819" s="403"/>
      <c r="N819" s="403"/>
      <c r="O819" s="403"/>
      <c r="P819" s="403"/>
      <c r="Q819" s="403"/>
      <c r="R819" s="403"/>
      <c r="S819" s="403"/>
      <c r="T819" s="403"/>
      <c r="U819" s="403"/>
      <c r="V819" s="403"/>
      <c r="W819" s="404"/>
      <c r="X819" s="405"/>
      <c r="Y819" s="405"/>
      <c r="Z819" s="405"/>
      <c r="AA819" s="405"/>
      <c r="AB819" s="405"/>
      <c r="AC819" s="405"/>
      <c r="AD819" s="405"/>
      <c r="AE819" s="405"/>
      <c r="AF819" s="405"/>
      <c r="AG819" s="405"/>
      <c r="AH819" s="405"/>
      <c r="AI819" s="405"/>
      <c r="AJ819" s="405"/>
      <c r="AK819" s="405"/>
      <c r="AL819" s="405"/>
      <c r="AM819" s="406"/>
      <c r="AN819" s="406"/>
      <c r="AO819" s="406"/>
      <c r="AP819" s="406"/>
      <c r="AQ819" s="403"/>
      <c r="AR819" s="403"/>
      <c r="AS819" s="403"/>
      <c r="AT819" s="403"/>
      <c r="AU819" s="403"/>
      <c r="AV819" s="403"/>
      <c r="AW819" s="403"/>
      <c r="AX819" s="403"/>
      <c r="AY819" s="403"/>
    </row>
    <row r="820">
      <c r="A820" s="415"/>
      <c r="B820" s="415"/>
      <c r="C820" s="410"/>
      <c r="D820" s="429"/>
      <c r="E820" s="416"/>
      <c r="F820" s="413"/>
      <c r="G820" s="413"/>
      <c r="H820" s="415"/>
      <c r="I820" s="415"/>
      <c r="J820" s="415"/>
      <c r="K820" s="415"/>
      <c r="L820" s="417"/>
      <c r="M820" s="403"/>
      <c r="N820" s="403"/>
      <c r="O820" s="403"/>
      <c r="P820" s="403"/>
      <c r="Q820" s="403"/>
      <c r="R820" s="403"/>
      <c r="S820" s="403"/>
      <c r="T820" s="403"/>
      <c r="U820" s="403"/>
      <c r="V820" s="403"/>
      <c r="W820" s="404"/>
      <c r="X820" s="405"/>
      <c r="Y820" s="405"/>
      <c r="Z820" s="405"/>
      <c r="AA820" s="405"/>
      <c r="AB820" s="405"/>
      <c r="AC820" s="405"/>
      <c r="AD820" s="405"/>
      <c r="AE820" s="405"/>
      <c r="AF820" s="405"/>
      <c r="AG820" s="405"/>
      <c r="AH820" s="405"/>
      <c r="AI820" s="405"/>
      <c r="AJ820" s="405"/>
      <c r="AK820" s="405"/>
      <c r="AL820" s="405"/>
      <c r="AM820" s="406"/>
      <c r="AN820" s="406"/>
      <c r="AO820" s="406"/>
      <c r="AP820" s="406"/>
      <c r="AQ820" s="403"/>
      <c r="AR820" s="403"/>
      <c r="AS820" s="403"/>
      <c r="AT820" s="403"/>
      <c r="AU820" s="403"/>
      <c r="AV820" s="403"/>
      <c r="AW820" s="403"/>
      <c r="AX820" s="403"/>
      <c r="AY820" s="403"/>
    </row>
    <row r="821">
      <c r="A821" s="415"/>
      <c r="B821" s="415"/>
      <c r="C821" s="410"/>
      <c r="D821" s="429"/>
      <c r="E821" s="416"/>
      <c r="F821" s="413"/>
      <c r="G821" s="413"/>
      <c r="H821" s="415"/>
      <c r="I821" s="415"/>
      <c r="J821" s="415"/>
      <c r="K821" s="415"/>
      <c r="L821" s="417"/>
      <c r="M821" s="403"/>
      <c r="N821" s="403"/>
      <c r="O821" s="403"/>
      <c r="P821" s="403"/>
      <c r="Q821" s="403"/>
      <c r="R821" s="403"/>
      <c r="S821" s="403"/>
      <c r="T821" s="403"/>
      <c r="U821" s="403"/>
      <c r="V821" s="403"/>
      <c r="W821" s="404"/>
      <c r="X821" s="405"/>
      <c r="Y821" s="405"/>
      <c r="Z821" s="405"/>
      <c r="AA821" s="405"/>
      <c r="AB821" s="405"/>
      <c r="AC821" s="405"/>
      <c r="AD821" s="405"/>
      <c r="AE821" s="405"/>
      <c r="AF821" s="405"/>
      <c r="AG821" s="405"/>
      <c r="AH821" s="405"/>
      <c r="AI821" s="405"/>
      <c r="AJ821" s="405"/>
      <c r="AK821" s="405"/>
      <c r="AL821" s="405"/>
      <c r="AM821" s="406"/>
      <c r="AN821" s="406"/>
      <c r="AO821" s="406"/>
      <c r="AP821" s="406"/>
      <c r="AQ821" s="403"/>
      <c r="AR821" s="403"/>
      <c r="AS821" s="403"/>
      <c r="AT821" s="403"/>
      <c r="AU821" s="403"/>
      <c r="AV821" s="403"/>
      <c r="AW821" s="403"/>
      <c r="AX821" s="403"/>
      <c r="AY821" s="403"/>
    </row>
    <row r="822">
      <c r="A822" s="415"/>
      <c r="B822" s="415"/>
      <c r="C822" s="410"/>
      <c r="D822" s="429"/>
      <c r="E822" s="416"/>
      <c r="F822" s="413"/>
      <c r="G822" s="413"/>
      <c r="H822" s="415"/>
      <c r="I822" s="415"/>
      <c r="J822" s="415"/>
      <c r="K822" s="415"/>
      <c r="L822" s="417"/>
      <c r="M822" s="403"/>
      <c r="N822" s="403"/>
      <c r="O822" s="403"/>
      <c r="P822" s="403"/>
      <c r="Q822" s="403"/>
      <c r="R822" s="403"/>
      <c r="S822" s="403"/>
      <c r="T822" s="403"/>
      <c r="U822" s="403"/>
      <c r="V822" s="403"/>
      <c r="W822" s="404"/>
      <c r="X822" s="405"/>
      <c r="Y822" s="405"/>
      <c r="Z822" s="405"/>
      <c r="AA822" s="405"/>
      <c r="AB822" s="405"/>
      <c r="AC822" s="405"/>
      <c r="AD822" s="405"/>
      <c r="AE822" s="405"/>
      <c r="AF822" s="405"/>
      <c r="AG822" s="405"/>
      <c r="AH822" s="405"/>
      <c r="AI822" s="405"/>
      <c r="AJ822" s="405"/>
      <c r="AK822" s="405"/>
      <c r="AL822" s="405"/>
      <c r="AM822" s="406"/>
      <c r="AN822" s="406"/>
      <c r="AO822" s="406"/>
      <c r="AP822" s="406"/>
      <c r="AQ822" s="403"/>
      <c r="AR822" s="403"/>
      <c r="AS822" s="403"/>
      <c r="AT822" s="403"/>
      <c r="AU822" s="403"/>
      <c r="AV822" s="403"/>
      <c r="AW822" s="403"/>
      <c r="AX822" s="403"/>
      <c r="AY822" s="403"/>
    </row>
    <row r="823">
      <c r="A823" s="415"/>
      <c r="B823" s="415"/>
      <c r="C823" s="410"/>
      <c r="D823" s="429"/>
      <c r="E823" s="416"/>
      <c r="F823" s="413"/>
      <c r="G823" s="413"/>
      <c r="H823" s="415"/>
      <c r="I823" s="415"/>
      <c r="J823" s="415"/>
      <c r="K823" s="415"/>
      <c r="L823" s="417"/>
      <c r="M823" s="403"/>
      <c r="N823" s="403"/>
      <c r="O823" s="403"/>
      <c r="P823" s="403"/>
      <c r="Q823" s="403"/>
      <c r="R823" s="403"/>
      <c r="S823" s="403"/>
      <c r="T823" s="403"/>
      <c r="U823" s="403"/>
      <c r="V823" s="403"/>
      <c r="W823" s="404"/>
      <c r="X823" s="405"/>
      <c r="Y823" s="405"/>
      <c r="Z823" s="405"/>
      <c r="AA823" s="405"/>
      <c r="AB823" s="405"/>
      <c r="AC823" s="405"/>
      <c r="AD823" s="405"/>
      <c r="AE823" s="405"/>
      <c r="AF823" s="405"/>
      <c r="AG823" s="405"/>
      <c r="AH823" s="405"/>
      <c r="AI823" s="405"/>
      <c r="AJ823" s="405"/>
      <c r="AK823" s="405"/>
      <c r="AL823" s="405"/>
      <c r="AM823" s="406"/>
      <c r="AN823" s="406"/>
      <c r="AO823" s="406"/>
      <c r="AP823" s="406"/>
      <c r="AQ823" s="403"/>
      <c r="AR823" s="403"/>
      <c r="AS823" s="403"/>
      <c r="AT823" s="403"/>
      <c r="AU823" s="403"/>
      <c r="AV823" s="403"/>
      <c r="AW823" s="403"/>
      <c r="AX823" s="403"/>
      <c r="AY823" s="403"/>
    </row>
    <row r="824">
      <c r="A824" s="415"/>
      <c r="B824" s="415"/>
      <c r="C824" s="410"/>
      <c r="D824" s="429"/>
      <c r="E824" s="416"/>
      <c r="F824" s="413"/>
      <c r="G824" s="413"/>
      <c r="H824" s="415"/>
      <c r="I824" s="415"/>
      <c r="J824" s="415"/>
      <c r="K824" s="415"/>
      <c r="L824" s="417"/>
      <c r="M824" s="403"/>
      <c r="N824" s="403"/>
      <c r="O824" s="403"/>
      <c r="P824" s="403"/>
      <c r="Q824" s="403"/>
      <c r="R824" s="403"/>
      <c r="S824" s="403"/>
      <c r="T824" s="403"/>
      <c r="U824" s="403"/>
      <c r="V824" s="403"/>
      <c r="W824" s="404"/>
      <c r="X824" s="405"/>
      <c r="Y824" s="405"/>
      <c r="Z824" s="405"/>
      <c r="AA824" s="405"/>
      <c r="AB824" s="405"/>
      <c r="AC824" s="405"/>
      <c r="AD824" s="405"/>
      <c r="AE824" s="405"/>
      <c r="AF824" s="405"/>
      <c r="AG824" s="405"/>
      <c r="AH824" s="405"/>
      <c r="AI824" s="405"/>
      <c r="AJ824" s="405"/>
      <c r="AK824" s="405"/>
      <c r="AL824" s="405"/>
      <c r="AM824" s="406"/>
      <c r="AN824" s="406"/>
      <c r="AO824" s="406"/>
      <c r="AP824" s="406"/>
      <c r="AQ824" s="403"/>
      <c r="AR824" s="403"/>
      <c r="AS824" s="403"/>
      <c r="AT824" s="403"/>
      <c r="AU824" s="403"/>
      <c r="AV824" s="403"/>
      <c r="AW824" s="403"/>
      <c r="AX824" s="403"/>
      <c r="AY824" s="403"/>
    </row>
    <row r="825">
      <c r="A825" s="415"/>
      <c r="B825" s="415"/>
      <c r="C825" s="410"/>
      <c r="D825" s="429"/>
      <c r="E825" s="416"/>
      <c r="F825" s="413"/>
      <c r="G825" s="413"/>
      <c r="H825" s="415"/>
      <c r="I825" s="415"/>
      <c r="J825" s="415"/>
      <c r="K825" s="415"/>
      <c r="L825" s="417"/>
      <c r="M825" s="403"/>
      <c r="N825" s="403"/>
      <c r="O825" s="403"/>
      <c r="P825" s="403"/>
      <c r="Q825" s="403"/>
      <c r="R825" s="403"/>
      <c r="S825" s="403"/>
      <c r="T825" s="403"/>
      <c r="U825" s="403"/>
      <c r="V825" s="403"/>
      <c r="W825" s="404"/>
      <c r="X825" s="405"/>
      <c r="Y825" s="405"/>
      <c r="Z825" s="405"/>
      <c r="AA825" s="405"/>
      <c r="AB825" s="405"/>
      <c r="AC825" s="405"/>
      <c r="AD825" s="405"/>
      <c r="AE825" s="405"/>
      <c r="AF825" s="405"/>
      <c r="AG825" s="405"/>
      <c r="AH825" s="405"/>
      <c r="AI825" s="405"/>
      <c r="AJ825" s="405"/>
      <c r="AK825" s="405"/>
      <c r="AL825" s="405"/>
      <c r="AM825" s="406"/>
      <c r="AN825" s="406"/>
      <c r="AO825" s="406"/>
      <c r="AP825" s="406"/>
      <c r="AQ825" s="403"/>
      <c r="AR825" s="403"/>
      <c r="AS825" s="403"/>
      <c r="AT825" s="403"/>
      <c r="AU825" s="403"/>
      <c r="AV825" s="403"/>
      <c r="AW825" s="403"/>
      <c r="AX825" s="403"/>
      <c r="AY825" s="403"/>
    </row>
    <row r="826">
      <c r="A826" s="415"/>
      <c r="B826" s="415"/>
      <c r="C826" s="410"/>
      <c r="D826" s="429"/>
      <c r="E826" s="416"/>
      <c r="F826" s="413"/>
      <c r="G826" s="413"/>
      <c r="H826" s="415"/>
      <c r="I826" s="415"/>
      <c r="J826" s="415"/>
      <c r="K826" s="415"/>
      <c r="L826" s="417"/>
      <c r="M826" s="403"/>
      <c r="N826" s="403"/>
      <c r="O826" s="403"/>
      <c r="P826" s="403"/>
      <c r="Q826" s="403"/>
      <c r="R826" s="403"/>
      <c r="S826" s="403"/>
      <c r="T826" s="403"/>
      <c r="U826" s="403"/>
      <c r="V826" s="403"/>
      <c r="W826" s="404"/>
      <c r="X826" s="405"/>
      <c r="Y826" s="405"/>
      <c r="Z826" s="405"/>
      <c r="AA826" s="405"/>
      <c r="AB826" s="405"/>
      <c r="AC826" s="405"/>
      <c r="AD826" s="405"/>
      <c r="AE826" s="405"/>
      <c r="AF826" s="405"/>
      <c r="AG826" s="405"/>
      <c r="AH826" s="405"/>
      <c r="AI826" s="405"/>
      <c r="AJ826" s="405"/>
      <c r="AK826" s="405"/>
      <c r="AL826" s="405"/>
      <c r="AM826" s="406"/>
      <c r="AN826" s="406"/>
      <c r="AO826" s="406"/>
      <c r="AP826" s="406"/>
      <c r="AQ826" s="403"/>
      <c r="AR826" s="403"/>
      <c r="AS826" s="403"/>
      <c r="AT826" s="403"/>
      <c r="AU826" s="403"/>
      <c r="AV826" s="403"/>
      <c r="AW826" s="403"/>
      <c r="AX826" s="403"/>
      <c r="AY826" s="403"/>
    </row>
    <row r="827">
      <c r="A827" s="415"/>
      <c r="B827" s="415"/>
      <c r="C827" s="410"/>
      <c r="D827" s="429"/>
      <c r="E827" s="416"/>
      <c r="F827" s="413"/>
      <c r="G827" s="413"/>
      <c r="H827" s="415"/>
      <c r="I827" s="415"/>
      <c r="J827" s="415"/>
      <c r="K827" s="415"/>
      <c r="L827" s="417"/>
      <c r="M827" s="403"/>
      <c r="N827" s="403"/>
      <c r="O827" s="403"/>
      <c r="P827" s="403"/>
      <c r="Q827" s="403"/>
      <c r="R827" s="403"/>
      <c r="S827" s="403"/>
      <c r="T827" s="403"/>
      <c r="U827" s="403"/>
      <c r="V827" s="403"/>
      <c r="W827" s="404"/>
      <c r="X827" s="405"/>
      <c r="Y827" s="405"/>
      <c r="Z827" s="405"/>
      <c r="AA827" s="405"/>
      <c r="AB827" s="405"/>
      <c r="AC827" s="405"/>
      <c r="AD827" s="405"/>
      <c r="AE827" s="405"/>
      <c r="AF827" s="405"/>
      <c r="AG827" s="405"/>
      <c r="AH827" s="405"/>
      <c r="AI827" s="405"/>
      <c r="AJ827" s="405"/>
      <c r="AK827" s="405"/>
      <c r="AL827" s="405"/>
      <c r="AM827" s="406"/>
      <c r="AN827" s="406"/>
      <c r="AO827" s="406"/>
      <c r="AP827" s="406"/>
      <c r="AQ827" s="403"/>
      <c r="AR827" s="403"/>
      <c r="AS827" s="403"/>
      <c r="AT827" s="403"/>
      <c r="AU827" s="403"/>
      <c r="AV827" s="403"/>
      <c r="AW827" s="403"/>
      <c r="AX827" s="403"/>
      <c r="AY827" s="403"/>
    </row>
    <row r="828">
      <c r="A828" s="415"/>
      <c r="B828" s="415"/>
      <c r="C828" s="410"/>
      <c r="D828" s="429"/>
      <c r="E828" s="416"/>
      <c r="F828" s="413"/>
      <c r="G828" s="413"/>
      <c r="H828" s="415"/>
      <c r="I828" s="415"/>
      <c r="J828" s="415"/>
      <c r="K828" s="415"/>
      <c r="L828" s="417"/>
      <c r="M828" s="403"/>
      <c r="N828" s="403"/>
      <c r="O828" s="403"/>
      <c r="P828" s="403"/>
      <c r="Q828" s="403"/>
      <c r="R828" s="403"/>
      <c r="S828" s="403"/>
      <c r="T828" s="403"/>
      <c r="U828" s="403"/>
      <c r="V828" s="403"/>
      <c r="W828" s="404"/>
      <c r="X828" s="405"/>
      <c r="Y828" s="405"/>
      <c r="Z828" s="405"/>
      <c r="AA828" s="405"/>
      <c r="AB828" s="405"/>
      <c r="AC828" s="405"/>
      <c r="AD828" s="405"/>
      <c r="AE828" s="405"/>
      <c r="AF828" s="405"/>
      <c r="AG828" s="405"/>
      <c r="AH828" s="405"/>
      <c r="AI828" s="405"/>
      <c r="AJ828" s="405"/>
      <c r="AK828" s="405"/>
      <c r="AL828" s="405"/>
      <c r="AM828" s="406"/>
      <c r="AN828" s="406"/>
      <c r="AO828" s="406"/>
      <c r="AP828" s="406"/>
      <c r="AQ828" s="403"/>
      <c r="AR828" s="403"/>
      <c r="AS828" s="403"/>
      <c r="AT828" s="403"/>
      <c r="AU828" s="403"/>
      <c r="AV828" s="403"/>
      <c r="AW828" s="403"/>
      <c r="AX828" s="403"/>
      <c r="AY828" s="403"/>
    </row>
    <row r="829">
      <c r="A829" s="415"/>
      <c r="B829" s="415"/>
      <c r="C829" s="410"/>
      <c r="D829" s="429"/>
      <c r="E829" s="416"/>
      <c r="F829" s="413"/>
      <c r="G829" s="413"/>
      <c r="H829" s="415"/>
      <c r="I829" s="415"/>
      <c r="J829" s="415"/>
      <c r="K829" s="415"/>
      <c r="L829" s="417"/>
      <c r="M829" s="403"/>
      <c r="N829" s="403"/>
      <c r="O829" s="403"/>
      <c r="P829" s="403"/>
      <c r="Q829" s="403"/>
      <c r="R829" s="403"/>
      <c r="S829" s="403"/>
      <c r="T829" s="403"/>
      <c r="U829" s="403"/>
      <c r="V829" s="403"/>
      <c r="W829" s="404"/>
      <c r="X829" s="405"/>
      <c r="Y829" s="405"/>
      <c r="Z829" s="405"/>
      <c r="AA829" s="405"/>
      <c r="AB829" s="405"/>
      <c r="AC829" s="405"/>
      <c r="AD829" s="405"/>
      <c r="AE829" s="405"/>
      <c r="AF829" s="405"/>
      <c r="AG829" s="405"/>
      <c r="AH829" s="405"/>
      <c r="AI829" s="405"/>
      <c r="AJ829" s="405"/>
      <c r="AK829" s="405"/>
      <c r="AL829" s="405"/>
      <c r="AM829" s="406"/>
      <c r="AN829" s="406"/>
      <c r="AO829" s="406"/>
      <c r="AP829" s="406"/>
      <c r="AQ829" s="403"/>
      <c r="AR829" s="403"/>
      <c r="AS829" s="403"/>
      <c r="AT829" s="403"/>
      <c r="AU829" s="403"/>
      <c r="AV829" s="403"/>
      <c r="AW829" s="403"/>
      <c r="AX829" s="403"/>
      <c r="AY829" s="403"/>
    </row>
    <row r="830">
      <c r="A830" s="415"/>
      <c r="B830" s="415"/>
      <c r="C830" s="410"/>
      <c r="D830" s="429"/>
      <c r="E830" s="416"/>
      <c r="F830" s="413"/>
      <c r="G830" s="413"/>
      <c r="H830" s="415"/>
      <c r="I830" s="415"/>
      <c r="J830" s="415"/>
      <c r="K830" s="415"/>
      <c r="L830" s="417"/>
      <c r="M830" s="403"/>
      <c r="N830" s="403"/>
      <c r="O830" s="403"/>
      <c r="P830" s="403"/>
      <c r="Q830" s="403"/>
      <c r="R830" s="403"/>
      <c r="S830" s="403"/>
      <c r="T830" s="403"/>
      <c r="U830" s="403"/>
      <c r="V830" s="403"/>
      <c r="W830" s="404"/>
      <c r="X830" s="405"/>
      <c r="Y830" s="405"/>
      <c r="Z830" s="405"/>
      <c r="AA830" s="405"/>
      <c r="AB830" s="405"/>
      <c r="AC830" s="405"/>
      <c r="AD830" s="405"/>
      <c r="AE830" s="405"/>
      <c r="AF830" s="405"/>
      <c r="AG830" s="405"/>
      <c r="AH830" s="405"/>
      <c r="AI830" s="405"/>
      <c r="AJ830" s="405"/>
      <c r="AK830" s="405"/>
      <c r="AL830" s="405"/>
      <c r="AM830" s="406"/>
      <c r="AN830" s="406"/>
      <c r="AO830" s="406"/>
      <c r="AP830" s="406"/>
      <c r="AQ830" s="403"/>
      <c r="AR830" s="403"/>
      <c r="AS830" s="403"/>
      <c r="AT830" s="403"/>
      <c r="AU830" s="403"/>
      <c r="AV830" s="403"/>
      <c r="AW830" s="403"/>
      <c r="AX830" s="403"/>
      <c r="AY830" s="403"/>
    </row>
    <row r="831">
      <c r="A831" s="415"/>
      <c r="B831" s="415"/>
      <c r="C831" s="410"/>
      <c r="D831" s="429"/>
      <c r="E831" s="416"/>
      <c r="F831" s="413"/>
      <c r="G831" s="413"/>
      <c r="H831" s="415"/>
      <c r="I831" s="415"/>
      <c r="J831" s="415"/>
      <c r="K831" s="415"/>
      <c r="L831" s="417"/>
      <c r="M831" s="403"/>
      <c r="N831" s="403"/>
      <c r="O831" s="403"/>
      <c r="P831" s="403"/>
      <c r="Q831" s="403"/>
      <c r="R831" s="403"/>
      <c r="S831" s="403"/>
      <c r="T831" s="403"/>
      <c r="U831" s="403"/>
      <c r="V831" s="403"/>
      <c r="W831" s="404"/>
      <c r="X831" s="405"/>
      <c r="Y831" s="405"/>
      <c r="Z831" s="405"/>
      <c r="AA831" s="405"/>
      <c r="AB831" s="405"/>
      <c r="AC831" s="405"/>
      <c r="AD831" s="405"/>
      <c r="AE831" s="405"/>
      <c r="AF831" s="405"/>
      <c r="AG831" s="405"/>
      <c r="AH831" s="405"/>
      <c r="AI831" s="405"/>
      <c r="AJ831" s="405"/>
      <c r="AK831" s="405"/>
      <c r="AL831" s="405"/>
      <c r="AM831" s="406"/>
      <c r="AN831" s="406"/>
      <c r="AO831" s="406"/>
      <c r="AP831" s="406"/>
      <c r="AQ831" s="403"/>
      <c r="AR831" s="403"/>
      <c r="AS831" s="403"/>
      <c r="AT831" s="403"/>
      <c r="AU831" s="403"/>
      <c r="AV831" s="403"/>
      <c r="AW831" s="403"/>
      <c r="AX831" s="403"/>
      <c r="AY831" s="403"/>
    </row>
    <row r="832">
      <c r="A832" s="415"/>
      <c r="B832" s="415"/>
      <c r="C832" s="410"/>
      <c r="D832" s="429"/>
      <c r="E832" s="416"/>
      <c r="F832" s="413"/>
      <c r="G832" s="413"/>
      <c r="H832" s="415"/>
      <c r="I832" s="415"/>
      <c r="J832" s="415"/>
      <c r="K832" s="415"/>
      <c r="L832" s="417"/>
      <c r="M832" s="403"/>
      <c r="N832" s="403"/>
      <c r="O832" s="403"/>
      <c r="P832" s="403"/>
      <c r="Q832" s="403"/>
      <c r="R832" s="403"/>
      <c r="S832" s="403"/>
      <c r="T832" s="403"/>
      <c r="U832" s="403"/>
      <c r="V832" s="403"/>
      <c r="W832" s="404"/>
      <c r="X832" s="405"/>
      <c r="Y832" s="405"/>
      <c r="Z832" s="405"/>
      <c r="AA832" s="405"/>
      <c r="AB832" s="405"/>
      <c r="AC832" s="405"/>
      <c r="AD832" s="405"/>
      <c r="AE832" s="405"/>
      <c r="AF832" s="405"/>
      <c r="AG832" s="405"/>
      <c r="AH832" s="405"/>
      <c r="AI832" s="405"/>
      <c r="AJ832" s="405"/>
      <c r="AK832" s="405"/>
      <c r="AL832" s="405"/>
      <c r="AM832" s="406"/>
      <c r="AN832" s="406"/>
      <c r="AO832" s="406"/>
      <c r="AP832" s="406"/>
      <c r="AQ832" s="403"/>
      <c r="AR832" s="403"/>
      <c r="AS832" s="403"/>
      <c r="AT832" s="403"/>
      <c r="AU832" s="403"/>
      <c r="AV832" s="403"/>
      <c r="AW832" s="403"/>
      <c r="AX832" s="403"/>
      <c r="AY832" s="403"/>
    </row>
    <row r="833">
      <c r="A833" s="415"/>
      <c r="B833" s="415"/>
      <c r="C833" s="410"/>
      <c r="D833" s="429"/>
      <c r="E833" s="416"/>
      <c r="F833" s="413"/>
      <c r="G833" s="413"/>
      <c r="H833" s="415"/>
      <c r="I833" s="415"/>
      <c r="J833" s="415"/>
      <c r="K833" s="415"/>
      <c r="L833" s="417"/>
      <c r="M833" s="403"/>
      <c r="N833" s="403"/>
      <c r="O833" s="403"/>
      <c r="P833" s="403"/>
      <c r="Q833" s="403"/>
      <c r="R833" s="403"/>
      <c r="S833" s="403"/>
      <c r="T833" s="403"/>
      <c r="U833" s="403"/>
      <c r="V833" s="403"/>
      <c r="W833" s="404"/>
      <c r="X833" s="405"/>
      <c r="Y833" s="405"/>
      <c r="Z833" s="405"/>
      <c r="AA833" s="405"/>
      <c r="AB833" s="405"/>
      <c r="AC833" s="405"/>
      <c r="AD833" s="405"/>
      <c r="AE833" s="405"/>
      <c r="AF833" s="405"/>
      <c r="AG833" s="405"/>
      <c r="AH833" s="405"/>
      <c r="AI833" s="405"/>
      <c r="AJ833" s="405"/>
      <c r="AK833" s="405"/>
      <c r="AL833" s="405"/>
      <c r="AM833" s="406"/>
      <c r="AN833" s="406"/>
      <c r="AO833" s="406"/>
      <c r="AP833" s="406"/>
      <c r="AQ833" s="403"/>
      <c r="AR833" s="403"/>
      <c r="AS833" s="403"/>
      <c r="AT833" s="403"/>
      <c r="AU833" s="403"/>
      <c r="AV833" s="403"/>
      <c r="AW833" s="403"/>
      <c r="AX833" s="403"/>
      <c r="AY833" s="403"/>
    </row>
    <row r="834">
      <c r="A834" s="415"/>
      <c r="B834" s="415"/>
      <c r="C834" s="410"/>
      <c r="D834" s="429"/>
      <c r="E834" s="416"/>
      <c r="F834" s="413"/>
      <c r="G834" s="413"/>
      <c r="H834" s="415"/>
      <c r="I834" s="415"/>
      <c r="J834" s="415"/>
      <c r="K834" s="415"/>
      <c r="L834" s="417"/>
      <c r="M834" s="403"/>
      <c r="N834" s="403"/>
      <c r="O834" s="403"/>
      <c r="P834" s="403"/>
      <c r="Q834" s="403"/>
      <c r="R834" s="403"/>
      <c r="S834" s="403"/>
      <c r="T834" s="403"/>
      <c r="U834" s="403"/>
      <c r="V834" s="403"/>
      <c r="W834" s="404"/>
      <c r="X834" s="405"/>
      <c r="Y834" s="405"/>
      <c r="Z834" s="405"/>
      <c r="AA834" s="405"/>
      <c r="AB834" s="405"/>
      <c r="AC834" s="405"/>
      <c r="AD834" s="405"/>
      <c r="AE834" s="405"/>
      <c r="AF834" s="405"/>
      <c r="AG834" s="405"/>
      <c r="AH834" s="405"/>
      <c r="AI834" s="405"/>
      <c r="AJ834" s="405"/>
      <c r="AK834" s="405"/>
      <c r="AL834" s="405"/>
      <c r="AM834" s="406"/>
      <c r="AN834" s="406"/>
      <c r="AO834" s="406"/>
      <c r="AP834" s="406"/>
      <c r="AQ834" s="403"/>
      <c r="AR834" s="403"/>
      <c r="AS834" s="403"/>
      <c r="AT834" s="403"/>
      <c r="AU834" s="403"/>
      <c r="AV834" s="403"/>
      <c r="AW834" s="403"/>
      <c r="AX834" s="403"/>
      <c r="AY834" s="403"/>
    </row>
    <row r="835">
      <c r="A835" s="415"/>
      <c r="B835" s="415"/>
      <c r="C835" s="410"/>
      <c r="D835" s="429"/>
      <c r="E835" s="416"/>
      <c r="F835" s="413"/>
      <c r="G835" s="413"/>
      <c r="H835" s="415"/>
      <c r="I835" s="415"/>
      <c r="J835" s="415"/>
      <c r="K835" s="415"/>
      <c r="L835" s="417"/>
      <c r="M835" s="403"/>
      <c r="N835" s="403"/>
      <c r="O835" s="403"/>
      <c r="P835" s="403"/>
      <c r="Q835" s="403"/>
      <c r="R835" s="403"/>
      <c r="S835" s="403"/>
      <c r="T835" s="403"/>
      <c r="U835" s="403"/>
      <c r="V835" s="403"/>
      <c r="W835" s="404"/>
      <c r="X835" s="405"/>
      <c r="Y835" s="405"/>
      <c r="Z835" s="405"/>
      <c r="AA835" s="405"/>
      <c r="AB835" s="405"/>
      <c r="AC835" s="405"/>
      <c r="AD835" s="405"/>
      <c r="AE835" s="405"/>
      <c r="AF835" s="405"/>
      <c r="AG835" s="405"/>
      <c r="AH835" s="405"/>
      <c r="AI835" s="405"/>
      <c r="AJ835" s="405"/>
      <c r="AK835" s="405"/>
      <c r="AL835" s="405"/>
      <c r="AM835" s="406"/>
      <c r="AN835" s="406"/>
      <c r="AO835" s="406"/>
      <c r="AP835" s="406"/>
      <c r="AQ835" s="403"/>
      <c r="AR835" s="403"/>
      <c r="AS835" s="403"/>
      <c r="AT835" s="403"/>
      <c r="AU835" s="403"/>
      <c r="AV835" s="403"/>
      <c r="AW835" s="403"/>
      <c r="AX835" s="403"/>
      <c r="AY835" s="403"/>
    </row>
    <row r="836">
      <c r="A836" s="415"/>
      <c r="B836" s="415"/>
      <c r="C836" s="410"/>
      <c r="D836" s="429"/>
      <c r="E836" s="416"/>
      <c r="F836" s="413"/>
      <c r="G836" s="413"/>
      <c r="H836" s="415"/>
      <c r="I836" s="415"/>
      <c r="J836" s="415"/>
      <c r="K836" s="415"/>
      <c r="L836" s="417"/>
      <c r="M836" s="403"/>
      <c r="N836" s="403"/>
      <c r="O836" s="403"/>
      <c r="P836" s="403"/>
      <c r="Q836" s="403"/>
      <c r="R836" s="403"/>
      <c r="S836" s="403"/>
      <c r="T836" s="403"/>
      <c r="U836" s="403"/>
      <c r="V836" s="403"/>
      <c r="W836" s="404"/>
      <c r="X836" s="405"/>
      <c r="Y836" s="405"/>
      <c r="Z836" s="405"/>
      <c r="AA836" s="405"/>
      <c r="AB836" s="405"/>
      <c r="AC836" s="405"/>
      <c r="AD836" s="405"/>
      <c r="AE836" s="405"/>
      <c r="AF836" s="405"/>
      <c r="AG836" s="405"/>
      <c r="AH836" s="405"/>
      <c r="AI836" s="405"/>
      <c r="AJ836" s="405"/>
      <c r="AK836" s="405"/>
      <c r="AL836" s="405"/>
      <c r="AM836" s="406"/>
      <c r="AN836" s="406"/>
      <c r="AO836" s="406"/>
      <c r="AP836" s="406"/>
      <c r="AQ836" s="403"/>
      <c r="AR836" s="403"/>
      <c r="AS836" s="403"/>
      <c r="AT836" s="403"/>
      <c r="AU836" s="403"/>
      <c r="AV836" s="403"/>
      <c r="AW836" s="403"/>
      <c r="AX836" s="403"/>
      <c r="AY836" s="403"/>
    </row>
    <row r="837">
      <c r="A837" s="415"/>
      <c r="B837" s="415"/>
      <c r="C837" s="410"/>
      <c r="D837" s="429"/>
      <c r="E837" s="416"/>
      <c r="F837" s="413"/>
      <c r="G837" s="413"/>
      <c r="H837" s="415"/>
      <c r="I837" s="415"/>
      <c r="J837" s="415"/>
      <c r="K837" s="415"/>
      <c r="L837" s="417"/>
      <c r="M837" s="403"/>
      <c r="N837" s="403"/>
      <c r="O837" s="403"/>
      <c r="P837" s="403"/>
      <c r="Q837" s="403"/>
      <c r="R837" s="403"/>
      <c r="S837" s="403"/>
      <c r="T837" s="403"/>
      <c r="U837" s="403"/>
      <c r="V837" s="403"/>
      <c r="W837" s="404"/>
      <c r="X837" s="405"/>
      <c r="Y837" s="405"/>
      <c r="Z837" s="405"/>
      <c r="AA837" s="405"/>
      <c r="AB837" s="405"/>
      <c r="AC837" s="405"/>
      <c r="AD837" s="405"/>
      <c r="AE837" s="405"/>
      <c r="AF837" s="405"/>
      <c r="AG837" s="405"/>
      <c r="AH837" s="405"/>
      <c r="AI837" s="405"/>
      <c r="AJ837" s="405"/>
      <c r="AK837" s="405"/>
      <c r="AL837" s="405"/>
      <c r="AM837" s="406"/>
      <c r="AN837" s="406"/>
      <c r="AO837" s="406"/>
      <c r="AP837" s="406"/>
      <c r="AQ837" s="403"/>
      <c r="AR837" s="403"/>
      <c r="AS837" s="403"/>
      <c r="AT837" s="403"/>
      <c r="AU837" s="403"/>
      <c r="AV837" s="403"/>
      <c r="AW837" s="403"/>
      <c r="AX837" s="403"/>
      <c r="AY837" s="403"/>
    </row>
    <row r="838">
      <c r="A838" s="415"/>
      <c r="B838" s="415"/>
      <c r="C838" s="410"/>
      <c r="D838" s="429"/>
      <c r="E838" s="416"/>
      <c r="F838" s="413"/>
      <c r="G838" s="413"/>
      <c r="H838" s="415"/>
      <c r="I838" s="415"/>
      <c r="J838" s="415"/>
      <c r="K838" s="415"/>
      <c r="L838" s="417"/>
      <c r="M838" s="403"/>
      <c r="N838" s="403"/>
      <c r="O838" s="403"/>
      <c r="P838" s="403"/>
      <c r="Q838" s="403"/>
      <c r="R838" s="403"/>
      <c r="S838" s="403"/>
      <c r="T838" s="403"/>
      <c r="U838" s="403"/>
      <c r="V838" s="403"/>
      <c r="W838" s="404"/>
      <c r="X838" s="405"/>
      <c r="Y838" s="405"/>
      <c r="Z838" s="405"/>
      <c r="AA838" s="405"/>
      <c r="AB838" s="405"/>
      <c r="AC838" s="405"/>
      <c r="AD838" s="405"/>
      <c r="AE838" s="405"/>
      <c r="AF838" s="405"/>
      <c r="AG838" s="405"/>
      <c r="AH838" s="405"/>
      <c r="AI838" s="405"/>
      <c r="AJ838" s="405"/>
      <c r="AK838" s="405"/>
      <c r="AL838" s="405"/>
      <c r="AM838" s="406"/>
      <c r="AN838" s="406"/>
      <c r="AO838" s="406"/>
      <c r="AP838" s="406"/>
      <c r="AQ838" s="403"/>
      <c r="AR838" s="403"/>
      <c r="AS838" s="403"/>
      <c r="AT838" s="403"/>
      <c r="AU838" s="403"/>
      <c r="AV838" s="403"/>
      <c r="AW838" s="403"/>
      <c r="AX838" s="403"/>
      <c r="AY838" s="403"/>
    </row>
    <row r="839">
      <c r="A839" s="415"/>
      <c r="B839" s="415"/>
      <c r="C839" s="410"/>
      <c r="D839" s="429"/>
      <c r="E839" s="416"/>
      <c r="F839" s="413"/>
      <c r="G839" s="413"/>
      <c r="H839" s="415"/>
      <c r="I839" s="415"/>
      <c r="J839" s="415"/>
      <c r="K839" s="415"/>
      <c r="L839" s="417"/>
      <c r="M839" s="403"/>
      <c r="N839" s="403"/>
      <c r="O839" s="403"/>
      <c r="P839" s="403"/>
      <c r="Q839" s="403"/>
      <c r="R839" s="403"/>
      <c r="S839" s="403"/>
      <c r="T839" s="403"/>
      <c r="U839" s="403"/>
      <c r="V839" s="403"/>
      <c r="W839" s="404"/>
      <c r="X839" s="405"/>
      <c r="Y839" s="405"/>
      <c r="Z839" s="405"/>
      <c r="AA839" s="405"/>
      <c r="AB839" s="405"/>
      <c r="AC839" s="405"/>
      <c r="AD839" s="405"/>
      <c r="AE839" s="405"/>
      <c r="AF839" s="405"/>
      <c r="AG839" s="405"/>
      <c r="AH839" s="405"/>
      <c r="AI839" s="405"/>
      <c r="AJ839" s="405"/>
      <c r="AK839" s="405"/>
      <c r="AL839" s="405"/>
      <c r="AM839" s="406"/>
      <c r="AN839" s="406"/>
      <c r="AO839" s="406"/>
      <c r="AP839" s="406"/>
      <c r="AQ839" s="403"/>
      <c r="AR839" s="403"/>
      <c r="AS839" s="403"/>
      <c r="AT839" s="403"/>
      <c r="AU839" s="403"/>
      <c r="AV839" s="403"/>
      <c r="AW839" s="403"/>
      <c r="AX839" s="403"/>
      <c r="AY839" s="403"/>
    </row>
    <row r="840">
      <c r="A840" s="415"/>
      <c r="B840" s="415"/>
      <c r="C840" s="410"/>
      <c r="D840" s="429"/>
      <c r="E840" s="416"/>
      <c r="F840" s="413"/>
      <c r="G840" s="413"/>
      <c r="H840" s="415"/>
      <c r="I840" s="415"/>
      <c r="J840" s="415"/>
      <c r="K840" s="415"/>
      <c r="L840" s="417"/>
      <c r="M840" s="403"/>
      <c r="N840" s="403"/>
      <c r="O840" s="403"/>
      <c r="P840" s="403"/>
      <c r="Q840" s="403"/>
      <c r="R840" s="403"/>
      <c r="S840" s="403"/>
      <c r="T840" s="403"/>
      <c r="U840" s="403"/>
      <c r="V840" s="403"/>
      <c r="W840" s="404"/>
      <c r="X840" s="405"/>
      <c r="Y840" s="405"/>
      <c r="Z840" s="405"/>
      <c r="AA840" s="405"/>
      <c r="AB840" s="405"/>
      <c r="AC840" s="405"/>
      <c r="AD840" s="405"/>
      <c r="AE840" s="405"/>
      <c r="AF840" s="405"/>
      <c r="AG840" s="405"/>
      <c r="AH840" s="405"/>
      <c r="AI840" s="405"/>
      <c r="AJ840" s="405"/>
      <c r="AK840" s="405"/>
      <c r="AL840" s="405"/>
      <c r="AM840" s="406"/>
      <c r="AN840" s="406"/>
      <c r="AO840" s="406"/>
      <c r="AP840" s="406"/>
      <c r="AQ840" s="403"/>
      <c r="AR840" s="403"/>
      <c r="AS840" s="403"/>
      <c r="AT840" s="403"/>
      <c r="AU840" s="403"/>
      <c r="AV840" s="403"/>
      <c r="AW840" s="403"/>
      <c r="AX840" s="403"/>
      <c r="AY840" s="403"/>
    </row>
    <row r="841">
      <c r="A841" s="415"/>
      <c r="B841" s="415"/>
      <c r="C841" s="410"/>
      <c r="D841" s="429"/>
      <c r="E841" s="416"/>
      <c r="F841" s="413"/>
      <c r="G841" s="413"/>
      <c r="H841" s="415"/>
      <c r="I841" s="415"/>
      <c r="J841" s="415"/>
      <c r="K841" s="415"/>
      <c r="L841" s="417"/>
      <c r="M841" s="403"/>
      <c r="N841" s="403"/>
      <c r="O841" s="403"/>
      <c r="P841" s="403"/>
      <c r="Q841" s="403"/>
      <c r="R841" s="403"/>
      <c r="S841" s="403"/>
      <c r="T841" s="403"/>
      <c r="U841" s="403"/>
      <c r="V841" s="403"/>
      <c r="W841" s="404"/>
      <c r="X841" s="405"/>
      <c r="Y841" s="405"/>
      <c r="Z841" s="405"/>
      <c r="AA841" s="405"/>
      <c r="AB841" s="405"/>
      <c r="AC841" s="405"/>
      <c r="AD841" s="405"/>
      <c r="AE841" s="405"/>
      <c r="AF841" s="405"/>
      <c r="AG841" s="405"/>
      <c r="AH841" s="405"/>
      <c r="AI841" s="405"/>
      <c r="AJ841" s="405"/>
      <c r="AK841" s="405"/>
      <c r="AL841" s="405"/>
      <c r="AM841" s="406"/>
      <c r="AN841" s="406"/>
      <c r="AO841" s="406"/>
      <c r="AP841" s="406"/>
      <c r="AQ841" s="403"/>
      <c r="AR841" s="403"/>
      <c r="AS841" s="403"/>
      <c r="AT841" s="403"/>
      <c r="AU841" s="403"/>
      <c r="AV841" s="403"/>
      <c r="AW841" s="403"/>
      <c r="AX841" s="403"/>
      <c r="AY841" s="403"/>
    </row>
    <row r="842">
      <c r="A842" s="415"/>
      <c r="B842" s="415"/>
      <c r="C842" s="410"/>
      <c r="D842" s="429"/>
      <c r="E842" s="416"/>
      <c r="F842" s="413"/>
      <c r="G842" s="413"/>
      <c r="H842" s="415"/>
      <c r="I842" s="415"/>
      <c r="J842" s="415"/>
      <c r="K842" s="415"/>
      <c r="L842" s="417"/>
      <c r="M842" s="403"/>
      <c r="N842" s="403"/>
      <c r="O842" s="403"/>
      <c r="P842" s="403"/>
      <c r="Q842" s="403"/>
      <c r="R842" s="403"/>
      <c r="S842" s="403"/>
      <c r="T842" s="403"/>
      <c r="U842" s="403"/>
      <c r="V842" s="403"/>
      <c r="W842" s="404"/>
      <c r="X842" s="405"/>
      <c r="Y842" s="405"/>
      <c r="Z842" s="405"/>
      <c r="AA842" s="405"/>
      <c r="AB842" s="405"/>
      <c r="AC842" s="405"/>
      <c r="AD842" s="405"/>
      <c r="AE842" s="405"/>
      <c r="AF842" s="405"/>
      <c r="AG842" s="405"/>
      <c r="AH842" s="405"/>
      <c r="AI842" s="405"/>
      <c r="AJ842" s="405"/>
      <c r="AK842" s="405"/>
      <c r="AL842" s="405"/>
      <c r="AM842" s="406"/>
      <c r="AN842" s="406"/>
      <c r="AO842" s="406"/>
      <c r="AP842" s="406"/>
      <c r="AQ842" s="403"/>
      <c r="AR842" s="403"/>
      <c r="AS842" s="403"/>
      <c r="AT842" s="403"/>
      <c r="AU842" s="403"/>
      <c r="AV842" s="403"/>
      <c r="AW842" s="403"/>
      <c r="AX842" s="403"/>
      <c r="AY842" s="403"/>
    </row>
    <row r="843">
      <c r="A843" s="415"/>
      <c r="B843" s="415"/>
      <c r="C843" s="410"/>
      <c r="D843" s="429"/>
      <c r="E843" s="416"/>
      <c r="F843" s="413"/>
      <c r="G843" s="413"/>
      <c r="H843" s="415"/>
      <c r="I843" s="415"/>
      <c r="J843" s="415"/>
      <c r="K843" s="415"/>
      <c r="L843" s="417"/>
      <c r="M843" s="403"/>
      <c r="N843" s="403"/>
      <c r="O843" s="403"/>
      <c r="P843" s="403"/>
      <c r="Q843" s="403"/>
      <c r="R843" s="403"/>
      <c r="S843" s="403"/>
      <c r="T843" s="403"/>
      <c r="U843" s="403"/>
      <c r="V843" s="403"/>
      <c r="W843" s="404"/>
      <c r="X843" s="405"/>
      <c r="Y843" s="405"/>
      <c r="Z843" s="405"/>
      <c r="AA843" s="405"/>
      <c r="AB843" s="405"/>
      <c r="AC843" s="405"/>
      <c r="AD843" s="405"/>
      <c r="AE843" s="405"/>
      <c r="AF843" s="405"/>
      <c r="AG843" s="405"/>
      <c r="AH843" s="405"/>
      <c r="AI843" s="405"/>
      <c r="AJ843" s="405"/>
      <c r="AK843" s="405"/>
      <c r="AL843" s="405"/>
      <c r="AM843" s="406"/>
      <c r="AN843" s="406"/>
      <c r="AO843" s="406"/>
      <c r="AP843" s="406"/>
      <c r="AQ843" s="403"/>
      <c r="AR843" s="403"/>
      <c r="AS843" s="403"/>
      <c r="AT843" s="403"/>
      <c r="AU843" s="403"/>
      <c r="AV843" s="403"/>
      <c r="AW843" s="403"/>
      <c r="AX843" s="403"/>
      <c r="AY843" s="403"/>
    </row>
    <row r="844">
      <c r="A844" s="415"/>
      <c r="B844" s="415"/>
      <c r="C844" s="410"/>
      <c r="D844" s="429"/>
      <c r="E844" s="416"/>
      <c r="F844" s="413"/>
      <c r="G844" s="413"/>
      <c r="H844" s="415"/>
      <c r="I844" s="415"/>
      <c r="J844" s="415"/>
      <c r="K844" s="415"/>
      <c r="L844" s="417"/>
      <c r="M844" s="403"/>
      <c r="N844" s="403"/>
      <c r="O844" s="403"/>
      <c r="P844" s="403"/>
      <c r="Q844" s="403"/>
      <c r="R844" s="403"/>
      <c r="S844" s="403"/>
      <c r="T844" s="403"/>
      <c r="U844" s="403"/>
      <c r="V844" s="403"/>
      <c r="W844" s="404"/>
      <c r="X844" s="405"/>
      <c r="Y844" s="405"/>
      <c r="Z844" s="405"/>
      <c r="AA844" s="405"/>
      <c r="AB844" s="405"/>
      <c r="AC844" s="405"/>
      <c r="AD844" s="405"/>
      <c r="AE844" s="405"/>
      <c r="AF844" s="405"/>
      <c r="AG844" s="405"/>
      <c r="AH844" s="405"/>
      <c r="AI844" s="405"/>
      <c r="AJ844" s="405"/>
      <c r="AK844" s="405"/>
      <c r="AL844" s="405"/>
      <c r="AM844" s="406"/>
      <c r="AN844" s="406"/>
      <c r="AO844" s="406"/>
      <c r="AP844" s="406"/>
      <c r="AQ844" s="403"/>
      <c r="AR844" s="403"/>
      <c r="AS844" s="403"/>
      <c r="AT844" s="403"/>
      <c r="AU844" s="403"/>
      <c r="AV844" s="403"/>
      <c r="AW844" s="403"/>
      <c r="AX844" s="403"/>
      <c r="AY844" s="403"/>
    </row>
    <row r="845">
      <c r="A845" s="415"/>
      <c r="B845" s="415"/>
      <c r="C845" s="410"/>
      <c r="D845" s="429"/>
      <c r="E845" s="416"/>
      <c r="F845" s="413"/>
      <c r="G845" s="413"/>
      <c r="H845" s="415"/>
      <c r="I845" s="415"/>
      <c r="J845" s="415"/>
      <c r="K845" s="415"/>
      <c r="L845" s="417"/>
      <c r="M845" s="403"/>
      <c r="N845" s="403"/>
      <c r="O845" s="403"/>
      <c r="P845" s="403"/>
      <c r="Q845" s="403"/>
      <c r="R845" s="403"/>
      <c r="S845" s="403"/>
      <c r="T845" s="403"/>
      <c r="U845" s="403"/>
      <c r="V845" s="403"/>
      <c r="W845" s="404"/>
      <c r="X845" s="405"/>
      <c r="Y845" s="405"/>
      <c r="Z845" s="405"/>
      <c r="AA845" s="405"/>
      <c r="AB845" s="405"/>
      <c r="AC845" s="405"/>
      <c r="AD845" s="405"/>
      <c r="AE845" s="405"/>
      <c r="AF845" s="405"/>
      <c r="AG845" s="405"/>
      <c r="AH845" s="405"/>
      <c r="AI845" s="405"/>
      <c r="AJ845" s="405"/>
      <c r="AK845" s="405"/>
      <c r="AL845" s="405"/>
      <c r="AM845" s="406"/>
      <c r="AN845" s="406"/>
      <c r="AO845" s="406"/>
      <c r="AP845" s="406"/>
      <c r="AQ845" s="403"/>
      <c r="AR845" s="403"/>
      <c r="AS845" s="403"/>
      <c r="AT845" s="403"/>
      <c r="AU845" s="403"/>
      <c r="AV845" s="403"/>
      <c r="AW845" s="403"/>
      <c r="AX845" s="403"/>
      <c r="AY845" s="403"/>
    </row>
    <row r="846">
      <c r="A846" s="415"/>
      <c r="B846" s="415"/>
      <c r="C846" s="410"/>
      <c r="D846" s="429"/>
      <c r="E846" s="416"/>
      <c r="F846" s="413"/>
      <c r="G846" s="413"/>
      <c r="H846" s="415"/>
      <c r="I846" s="415"/>
      <c r="J846" s="415"/>
      <c r="K846" s="415"/>
      <c r="L846" s="417"/>
      <c r="M846" s="403"/>
      <c r="N846" s="403"/>
      <c r="O846" s="403"/>
      <c r="P846" s="403"/>
      <c r="Q846" s="403"/>
      <c r="R846" s="403"/>
      <c r="S846" s="403"/>
      <c r="T846" s="403"/>
      <c r="U846" s="403"/>
      <c r="V846" s="403"/>
      <c r="W846" s="404"/>
      <c r="X846" s="405"/>
      <c r="Y846" s="405"/>
      <c r="Z846" s="405"/>
      <c r="AA846" s="405"/>
      <c r="AB846" s="405"/>
      <c r="AC846" s="405"/>
      <c r="AD846" s="405"/>
      <c r="AE846" s="405"/>
      <c r="AF846" s="405"/>
      <c r="AG846" s="405"/>
      <c r="AH846" s="405"/>
      <c r="AI846" s="405"/>
      <c r="AJ846" s="405"/>
      <c r="AK846" s="405"/>
      <c r="AL846" s="405"/>
      <c r="AM846" s="406"/>
      <c r="AN846" s="406"/>
      <c r="AO846" s="406"/>
      <c r="AP846" s="406"/>
      <c r="AQ846" s="403"/>
      <c r="AR846" s="403"/>
      <c r="AS846" s="403"/>
      <c r="AT846" s="403"/>
      <c r="AU846" s="403"/>
      <c r="AV846" s="403"/>
      <c r="AW846" s="403"/>
      <c r="AX846" s="403"/>
      <c r="AY846" s="403"/>
    </row>
    <row r="847">
      <c r="A847" s="415"/>
      <c r="B847" s="415"/>
      <c r="C847" s="410"/>
      <c r="D847" s="429"/>
      <c r="E847" s="416"/>
      <c r="F847" s="413"/>
      <c r="G847" s="413"/>
      <c r="H847" s="415"/>
      <c r="I847" s="415"/>
      <c r="J847" s="415"/>
      <c r="K847" s="415"/>
      <c r="L847" s="417"/>
      <c r="M847" s="403"/>
      <c r="N847" s="403"/>
      <c r="O847" s="403"/>
      <c r="P847" s="403"/>
      <c r="Q847" s="403"/>
      <c r="R847" s="403"/>
      <c r="S847" s="403"/>
      <c r="T847" s="403"/>
      <c r="U847" s="403"/>
      <c r="V847" s="403"/>
      <c r="W847" s="404"/>
      <c r="X847" s="405"/>
      <c r="Y847" s="405"/>
      <c r="Z847" s="405"/>
      <c r="AA847" s="405"/>
      <c r="AB847" s="405"/>
      <c r="AC847" s="405"/>
      <c r="AD847" s="405"/>
      <c r="AE847" s="405"/>
      <c r="AF847" s="405"/>
      <c r="AG847" s="405"/>
      <c r="AH847" s="405"/>
      <c r="AI847" s="405"/>
      <c r="AJ847" s="405"/>
      <c r="AK847" s="405"/>
      <c r="AL847" s="405"/>
      <c r="AM847" s="406"/>
      <c r="AN847" s="406"/>
      <c r="AO847" s="406"/>
      <c r="AP847" s="406"/>
      <c r="AQ847" s="403"/>
      <c r="AR847" s="403"/>
      <c r="AS847" s="403"/>
      <c r="AT847" s="403"/>
      <c r="AU847" s="403"/>
      <c r="AV847" s="403"/>
      <c r="AW847" s="403"/>
      <c r="AX847" s="403"/>
      <c r="AY847" s="403"/>
    </row>
    <row r="848">
      <c r="A848" s="415"/>
      <c r="B848" s="415"/>
      <c r="C848" s="410"/>
      <c r="D848" s="429"/>
      <c r="E848" s="416"/>
      <c r="F848" s="413"/>
      <c r="G848" s="413"/>
      <c r="H848" s="415"/>
      <c r="I848" s="415"/>
      <c r="J848" s="415"/>
      <c r="K848" s="415"/>
      <c r="L848" s="417"/>
      <c r="M848" s="403"/>
      <c r="N848" s="403"/>
      <c r="O848" s="403"/>
      <c r="P848" s="403"/>
      <c r="Q848" s="403"/>
      <c r="R848" s="403"/>
      <c r="S848" s="403"/>
      <c r="T848" s="403"/>
      <c r="U848" s="403"/>
      <c r="V848" s="403"/>
      <c r="W848" s="404"/>
      <c r="X848" s="405"/>
      <c r="Y848" s="405"/>
      <c r="Z848" s="405"/>
      <c r="AA848" s="405"/>
      <c r="AB848" s="405"/>
      <c r="AC848" s="405"/>
      <c r="AD848" s="405"/>
      <c r="AE848" s="405"/>
      <c r="AF848" s="405"/>
      <c r="AG848" s="405"/>
      <c r="AH848" s="405"/>
      <c r="AI848" s="405"/>
      <c r="AJ848" s="405"/>
      <c r="AK848" s="405"/>
      <c r="AL848" s="405"/>
      <c r="AM848" s="406"/>
      <c r="AN848" s="406"/>
      <c r="AO848" s="406"/>
      <c r="AP848" s="406"/>
      <c r="AQ848" s="403"/>
      <c r="AR848" s="403"/>
      <c r="AS848" s="403"/>
      <c r="AT848" s="403"/>
      <c r="AU848" s="403"/>
      <c r="AV848" s="403"/>
      <c r="AW848" s="403"/>
      <c r="AX848" s="403"/>
      <c r="AY848" s="403"/>
    </row>
    <row r="849">
      <c r="A849" s="415"/>
      <c r="B849" s="415"/>
      <c r="C849" s="410"/>
      <c r="D849" s="429"/>
      <c r="E849" s="416"/>
      <c r="F849" s="413"/>
      <c r="G849" s="413"/>
      <c r="H849" s="415"/>
      <c r="I849" s="415"/>
      <c r="J849" s="415"/>
      <c r="K849" s="415"/>
      <c r="L849" s="417"/>
      <c r="M849" s="403"/>
      <c r="N849" s="403"/>
      <c r="O849" s="403"/>
      <c r="P849" s="403"/>
      <c r="Q849" s="403"/>
      <c r="R849" s="403"/>
      <c r="S849" s="403"/>
      <c r="T849" s="403"/>
      <c r="U849" s="403"/>
      <c r="V849" s="403"/>
      <c r="W849" s="404"/>
      <c r="X849" s="405"/>
      <c r="Y849" s="405"/>
      <c r="Z849" s="405"/>
      <c r="AA849" s="405"/>
      <c r="AB849" s="405"/>
      <c r="AC849" s="405"/>
      <c r="AD849" s="405"/>
      <c r="AE849" s="405"/>
      <c r="AF849" s="405"/>
      <c r="AG849" s="405"/>
      <c r="AH849" s="405"/>
      <c r="AI849" s="405"/>
      <c r="AJ849" s="405"/>
      <c r="AK849" s="405"/>
      <c r="AL849" s="405"/>
      <c r="AM849" s="406"/>
      <c r="AN849" s="406"/>
      <c r="AO849" s="406"/>
      <c r="AP849" s="406"/>
      <c r="AQ849" s="403"/>
      <c r="AR849" s="403"/>
      <c r="AS849" s="403"/>
      <c r="AT849" s="403"/>
      <c r="AU849" s="403"/>
      <c r="AV849" s="403"/>
      <c r="AW849" s="403"/>
      <c r="AX849" s="403"/>
      <c r="AY849" s="403"/>
    </row>
    <row r="850">
      <c r="A850" s="415"/>
      <c r="B850" s="415"/>
      <c r="C850" s="410"/>
      <c r="D850" s="429"/>
      <c r="E850" s="416"/>
      <c r="F850" s="413"/>
      <c r="G850" s="413"/>
      <c r="H850" s="415"/>
      <c r="I850" s="415"/>
      <c r="J850" s="415"/>
      <c r="K850" s="415"/>
      <c r="L850" s="417"/>
      <c r="M850" s="403"/>
      <c r="N850" s="403"/>
      <c r="O850" s="403"/>
      <c r="P850" s="403"/>
      <c r="Q850" s="403"/>
      <c r="R850" s="403"/>
      <c r="S850" s="403"/>
      <c r="T850" s="403"/>
      <c r="U850" s="403"/>
      <c r="V850" s="403"/>
      <c r="W850" s="404"/>
      <c r="X850" s="405"/>
      <c r="Y850" s="405"/>
      <c r="Z850" s="405"/>
      <c r="AA850" s="405"/>
      <c r="AB850" s="405"/>
      <c r="AC850" s="405"/>
      <c r="AD850" s="405"/>
      <c r="AE850" s="405"/>
      <c r="AF850" s="405"/>
      <c r="AG850" s="405"/>
      <c r="AH850" s="405"/>
      <c r="AI850" s="405"/>
      <c r="AJ850" s="405"/>
      <c r="AK850" s="405"/>
      <c r="AL850" s="405"/>
      <c r="AM850" s="406"/>
      <c r="AN850" s="406"/>
      <c r="AO850" s="406"/>
      <c r="AP850" s="406"/>
      <c r="AQ850" s="403"/>
      <c r="AR850" s="403"/>
      <c r="AS850" s="403"/>
      <c r="AT850" s="403"/>
      <c r="AU850" s="403"/>
      <c r="AV850" s="403"/>
      <c r="AW850" s="403"/>
      <c r="AX850" s="403"/>
      <c r="AY850" s="403"/>
    </row>
    <row r="851">
      <c r="A851" s="415"/>
      <c r="B851" s="415"/>
      <c r="C851" s="410"/>
      <c r="D851" s="429"/>
      <c r="E851" s="416"/>
      <c r="F851" s="413"/>
      <c r="G851" s="413"/>
      <c r="H851" s="415"/>
      <c r="I851" s="415"/>
      <c r="J851" s="415"/>
      <c r="K851" s="415"/>
      <c r="L851" s="417"/>
      <c r="M851" s="403"/>
      <c r="N851" s="403"/>
      <c r="O851" s="403"/>
      <c r="P851" s="403"/>
      <c r="Q851" s="403"/>
      <c r="R851" s="403"/>
      <c r="S851" s="403"/>
      <c r="T851" s="403"/>
      <c r="U851" s="403"/>
      <c r="V851" s="403"/>
      <c r="W851" s="404"/>
      <c r="X851" s="405"/>
      <c r="Y851" s="405"/>
      <c r="Z851" s="405"/>
      <c r="AA851" s="405"/>
      <c r="AB851" s="405"/>
      <c r="AC851" s="405"/>
      <c r="AD851" s="405"/>
      <c r="AE851" s="405"/>
      <c r="AF851" s="405"/>
      <c r="AG851" s="405"/>
      <c r="AH851" s="405"/>
      <c r="AI851" s="405"/>
      <c r="AJ851" s="405"/>
      <c r="AK851" s="405"/>
      <c r="AL851" s="405"/>
      <c r="AM851" s="406"/>
      <c r="AN851" s="406"/>
      <c r="AO851" s="406"/>
      <c r="AP851" s="406"/>
      <c r="AQ851" s="403"/>
      <c r="AR851" s="403"/>
      <c r="AS851" s="403"/>
      <c r="AT851" s="403"/>
      <c r="AU851" s="403"/>
      <c r="AV851" s="403"/>
      <c r="AW851" s="403"/>
      <c r="AX851" s="403"/>
      <c r="AY851" s="403"/>
    </row>
    <row r="852">
      <c r="A852" s="415"/>
      <c r="B852" s="415"/>
      <c r="C852" s="410"/>
      <c r="D852" s="429"/>
      <c r="E852" s="416"/>
      <c r="F852" s="413"/>
      <c r="G852" s="413"/>
      <c r="H852" s="415"/>
      <c r="I852" s="415"/>
      <c r="J852" s="415"/>
      <c r="K852" s="415"/>
      <c r="L852" s="417"/>
      <c r="M852" s="403"/>
      <c r="N852" s="403"/>
      <c r="O852" s="403"/>
      <c r="P852" s="403"/>
      <c r="Q852" s="403"/>
      <c r="R852" s="403"/>
      <c r="S852" s="403"/>
      <c r="T852" s="403"/>
      <c r="U852" s="403"/>
      <c r="V852" s="403"/>
      <c r="W852" s="404"/>
      <c r="X852" s="405"/>
      <c r="Y852" s="405"/>
      <c r="Z852" s="405"/>
      <c r="AA852" s="405"/>
      <c r="AB852" s="405"/>
      <c r="AC852" s="405"/>
      <c r="AD852" s="405"/>
      <c r="AE852" s="405"/>
      <c r="AF852" s="405"/>
      <c r="AG852" s="405"/>
      <c r="AH852" s="405"/>
      <c r="AI852" s="405"/>
      <c r="AJ852" s="405"/>
      <c r="AK852" s="405"/>
      <c r="AL852" s="405"/>
      <c r="AM852" s="406"/>
      <c r="AN852" s="406"/>
      <c r="AO852" s="406"/>
      <c r="AP852" s="406"/>
      <c r="AQ852" s="403"/>
      <c r="AR852" s="403"/>
      <c r="AS852" s="403"/>
      <c r="AT852" s="403"/>
      <c r="AU852" s="403"/>
      <c r="AV852" s="403"/>
      <c r="AW852" s="403"/>
      <c r="AX852" s="403"/>
      <c r="AY852" s="403"/>
    </row>
    <row r="853">
      <c r="A853" s="415"/>
      <c r="B853" s="415"/>
      <c r="C853" s="410"/>
      <c r="D853" s="429"/>
      <c r="E853" s="416"/>
      <c r="F853" s="413"/>
      <c r="G853" s="413"/>
      <c r="H853" s="415"/>
      <c r="I853" s="415"/>
      <c r="J853" s="415"/>
      <c r="K853" s="415"/>
      <c r="L853" s="417"/>
      <c r="M853" s="403"/>
      <c r="N853" s="403"/>
      <c r="O853" s="403"/>
      <c r="P853" s="403"/>
      <c r="Q853" s="403"/>
      <c r="R853" s="403"/>
      <c r="S853" s="403"/>
      <c r="T853" s="403"/>
      <c r="U853" s="403"/>
      <c r="V853" s="403"/>
      <c r="W853" s="404"/>
      <c r="X853" s="405"/>
      <c r="Y853" s="405"/>
      <c r="Z853" s="405"/>
      <c r="AA853" s="405"/>
      <c r="AB853" s="405"/>
      <c r="AC853" s="405"/>
      <c r="AD853" s="405"/>
      <c r="AE853" s="405"/>
      <c r="AF853" s="405"/>
      <c r="AG853" s="405"/>
      <c r="AH853" s="405"/>
      <c r="AI853" s="405"/>
      <c r="AJ853" s="405"/>
      <c r="AK853" s="405"/>
      <c r="AL853" s="405"/>
      <c r="AM853" s="406"/>
      <c r="AN853" s="406"/>
      <c r="AO853" s="406"/>
      <c r="AP853" s="406"/>
      <c r="AQ853" s="403"/>
      <c r="AR853" s="403"/>
      <c r="AS853" s="403"/>
      <c r="AT853" s="403"/>
      <c r="AU853" s="403"/>
      <c r="AV853" s="403"/>
      <c r="AW853" s="403"/>
      <c r="AX853" s="403"/>
      <c r="AY853" s="403"/>
    </row>
    <row r="854">
      <c r="A854" s="415"/>
      <c r="B854" s="415"/>
      <c r="C854" s="410"/>
      <c r="D854" s="429"/>
      <c r="E854" s="416"/>
      <c r="F854" s="413"/>
      <c r="G854" s="413"/>
      <c r="H854" s="415"/>
      <c r="I854" s="415"/>
      <c r="J854" s="415"/>
      <c r="K854" s="415"/>
      <c r="L854" s="417"/>
      <c r="M854" s="403"/>
      <c r="N854" s="403"/>
      <c r="O854" s="403"/>
      <c r="P854" s="403"/>
      <c r="Q854" s="403"/>
      <c r="R854" s="403"/>
      <c r="S854" s="403"/>
      <c r="T854" s="403"/>
      <c r="U854" s="403"/>
      <c r="V854" s="403"/>
      <c r="W854" s="404"/>
      <c r="X854" s="405"/>
      <c r="Y854" s="405"/>
      <c r="Z854" s="405"/>
      <c r="AA854" s="405"/>
      <c r="AB854" s="405"/>
      <c r="AC854" s="405"/>
      <c r="AD854" s="405"/>
      <c r="AE854" s="405"/>
      <c r="AF854" s="405"/>
      <c r="AG854" s="405"/>
      <c r="AH854" s="405"/>
      <c r="AI854" s="405"/>
      <c r="AJ854" s="405"/>
      <c r="AK854" s="405"/>
      <c r="AL854" s="405"/>
      <c r="AM854" s="406"/>
      <c r="AN854" s="406"/>
      <c r="AO854" s="406"/>
      <c r="AP854" s="406"/>
      <c r="AQ854" s="403"/>
      <c r="AR854" s="403"/>
      <c r="AS854" s="403"/>
      <c r="AT854" s="403"/>
      <c r="AU854" s="403"/>
      <c r="AV854" s="403"/>
      <c r="AW854" s="403"/>
      <c r="AX854" s="403"/>
      <c r="AY854" s="403"/>
    </row>
    <row r="855">
      <c r="A855" s="415"/>
      <c r="B855" s="415"/>
      <c r="C855" s="410"/>
      <c r="D855" s="429"/>
      <c r="E855" s="416"/>
      <c r="F855" s="413"/>
      <c r="G855" s="413"/>
      <c r="H855" s="415"/>
      <c r="I855" s="415"/>
      <c r="J855" s="415"/>
      <c r="K855" s="415"/>
      <c r="L855" s="417"/>
      <c r="M855" s="403"/>
      <c r="N855" s="403"/>
      <c r="O855" s="403"/>
      <c r="P855" s="403"/>
      <c r="Q855" s="403"/>
      <c r="R855" s="403"/>
      <c r="S855" s="403"/>
      <c r="T855" s="403"/>
      <c r="U855" s="403"/>
      <c r="V855" s="403"/>
      <c r="W855" s="404"/>
      <c r="X855" s="405"/>
      <c r="Y855" s="405"/>
      <c r="Z855" s="405"/>
      <c r="AA855" s="405"/>
      <c r="AB855" s="405"/>
      <c r="AC855" s="405"/>
      <c r="AD855" s="405"/>
      <c r="AE855" s="405"/>
      <c r="AF855" s="405"/>
      <c r="AG855" s="405"/>
      <c r="AH855" s="405"/>
      <c r="AI855" s="405"/>
      <c r="AJ855" s="405"/>
      <c r="AK855" s="405"/>
      <c r="AL855" s="405"/>
      <c r="AM855" s="406"/>
      <c r="AN855" s="406"/>
      <c r="AO855" s="406"/>
      <c r="AP855" s="406"/>
      <c r="AQ855" s="403"/>
      <c r="AR855" s="403"/>
      <c r="AS855" s="403"/>
      <c r="AT855" s="403"/>
      <c r="AU855" s="403"/>
      <c r="AV855" s="403"/>
      <c r="AW855" s="403"/>
      <c r="AX855" s="403"/>
      <c r="AY855" s="403"/>
    </row>
    <row r="856">
      <c r="A856" s="415"/>
      <c r="B856" s="415"/>
      <c r="C856" s="410"/>
      <c r="D856" s="429"/>
      <c r="E856" s="416"/>
      <c r="F856" s="413"/>
      <c r="G856" s="413"/>
      <c r="H856" s="415"/>
      <c r="I856" s="415"/>
      <c r="J856" s="415"/>
      <c r="K856" s="415"/>
      <c r="L856" s="417"/>
      <c r="M856" s="403"/>
      <c r="N856" s="403"/>
      <c r="O856" s="403"/>
      <c r="P856" s="403"/>
      <c r="Q856" s="403"/>
      <c r="R856" s="403"/>
      <c r="S856" s="403"/>
      <c r="T856" s="403"/>
      <c r="U856" s="403"/>
      <c r="V856" s="403"/>
      <c r="W856" s="404"/>
      <c r="X856" s="405"/>
      <c r="Y856" s="405"/>
      <c r="Z856" s="405"/>
      <c r="AA856" s="405"/>
      <c r="AB856" s="405"/>
      <c r="AC856" s="405"/>
      <c r="AD856" s="405"/>
      <c r="AE856" s="405"/>
      <c r="AF856" s="405"/>
      <c r="AG856" s="405"/>
      <c r="AH856" s="405"/>
      <c r="AI856" s="405"/>
      <c r="AJ856" s="405"/>
      <c r="AK856" s="405"/>
      <c r="AL856" s="405"/>
      <c r="AM856" s="406"/>
      <c r="AN856" s="406"/>
      <c r="AO856" s="406"/>
      <c r="AP856" s="406"/>
      <c r="AQ856" s="403"/>
      <c r="AR856" s="403"/>
      <c r="AS856" s="403"/>
      <c r="AT856" s="403"/>
      <c r="AU856" s="403"/>
      <c r="AV856" s="403"/>
      <c r="AW856" s="403"/>
      <c r="AX856" s="403"/>
      <c r="AY856" s="403"/>
    </row>
    <row r="857">
      <c r="A857" s="415"/>
      <c r="B857" s="415"/>
      <c r="C857" s="410"/>
      <c r="D857" s="429"/>
      <c r="E857" s="416"/>
      <c r="F857" s="413"/>
      <c r="G857" s="413"/>
      <c r="H857" s="415"/>
      <c r="I857" s="415"/>
      <c r="J857" s="415"/>
      <c r="K857" s="415"/>
      <c r="L857" s="417"/>
      <c r="M857" s="403"/>
      <c r="N857" s="403"/>
      <c r="O857" s="403"/>
      <c r="P857" s="403"/>
      <c r="Q857" s="403"/>
      <c r="R857" s="403"/>
      <c r="S857" s="403"/>
      <c r="T857" s="403"/>
      <c r="U857" s="403"/>
      <c r="V857" s="403"/>
      <c r="W857" s="404"/>
      <c r="X857" s="405"/>
      <c r="Y857" s="405"/>
      <c r="Z857" s="405"/>
      <c r="AA857" s="405"/>
      <c r="AB857" s="405"/>
      <c r="AC857" s="405"/>
      <c r="AD857" s="405"/>
      <c r="AE857" s="405"/>
      <c r="AF857" s="405"/>
      <c r="AG857" s="405"/>
      <c r="AH857" s="405"/>
      <c r="AI857" s="405"/>
      <c r="AJ857" s="405"/>
      <c r="AK857" s="405"/>
      <c r="AL857" s="405"/>
      <c r="AM857" s="406"/>
      <c r="AN857" s="406"/>
      <c r="AO857" s="406"/>
      <c r="AP857" s="406"/>
      <c r="AQ857" s="403"/>
      <c r="AR857" s="403"/>
      <c r="AS857" s="403"/>
      <c r="AT857" s="403"/>
      <c r="AU857" s="403"/>
      <c r="AV857" s="403"/>
      <c r="AW857" s="403"/>
      <c r="AX857" s="403"/>
      <c r="AY857" s="403"/>
    </row>
    <row r="858">
      <c r="A858" s="415"/>
      <c r="B858" s="415"/>
      <c r="C858" s="410"/>
      <c r="D858" s="429"/>
      <c r="E858" s="416"/>
      <c r="F858" s="413"/>
      <c r="G858" s="413"/>
      <c r="H858" s="415"/>
      <c r="I858" s="415"/>
      <c r="J858" s="415"/>
      <c r="K858" s="415"/>
      <c r="L858" s="417"/>
      <c r="M858" s="403"/>
      <c r="N858" s="403"/>
      <c r="O858" s="403"/>
      <c r="P858" s="403"/>
      <c r="Q858" s="403"/>
      <c r="R858" s="403"/>
      <c r="S858" s="403"/>
      <c r="T858" s="403"/>
      <c r="U858" s="403"/>
      <c r="V858" s="403"/>
      <c r="W858" s="404"/>
      <c r="X858" s="405"/>
      <c r="Y858" s="405"/>
      <c r="Z858" s="405"/>
      <c r="AA858" s="405"/>
      <c r="AB858" s="405"/>
      <c r="AC858" s="405"/>
      <c r="AD858" s="405"/>
      <c r="AE858" s="405"/>
      <c r="AF858" s="405"/>
      <c r="AG858" s="405"/>
      <c r="AH858" s="405"/>
      <c r="AI858" s="405"/>
      <c r="AJ858" s="405"/>
      <c r="AK858" s="405"/>
      <c r="AL858" s="405"/>
      <c r="AM858" s="406"/>
      <c r="AN858" s="406"/>
      <c r="AO858" s="406"/>
      <c r="AP858" s="406"/>
      <c r="AQ858" s="403"/>
      <c r="AR858" s="403"/>
      <c r="AS858" s="403"/>
      <c r="AT858" s="403"/>
      <c r="AU858" s="403"/>
      <c r="AV858" s="403"/>
      <c r="AW858" s="403"/>
      <c r="AX858" s="403"/>
      <c r="AY858" s="403"/>
    </row>
    <row r="859">
      <c r="A859" s="415"/>
      <c r="B859" s="415"/>
      <c r="C859" s="410"/>
      <c r="D859" s="429"/>
      <c r="E859" s="416"/>
      <c r="F859" s="413"/>
      <c r="G859" s="413"/>
      <c r="H859" s="415"/>
      <c r="I859" s="415"/>
      <c r="J859" s="415"/>
      <c r="K859" s="415"/>
      <c r="L859" s="417"/>
      <c r="M859" s="403"/>
      <c r="N859" s="403"/>
      <c r="O859" s="403"/>
      <c r="P859" s="403"/>
      <c r="Q859" s="403"/>
      <c r="R859" s="403"/>
      <c r="S859" s="403"/>
      <c r="T859" s="403"/>
      <c r="U859" s="403"/>
      <c r="V859" s="403"/>
      <c r="W859" s="404"/>
      <c r="X859" s="405"/>
      <c r="Y859" s="405"/>
      <c r="Z859" s="405"/>
      <c r="AA859" s="405"/>
      <c r="AB859" s="405"/>
      <c r="AC859" s="405"/>
      <c r="AD859" s="405"/>
      <c r="AE859" s="405"/>
      <c r="AF859" s="405"/>
      <c r="AG859" s="405"/>
      <c r="AH859" s="405"/>
      <c r="AI859" s="405"/>
      <c r="AJ859" s="405"/>
      <c r="AK859" s="405"/>
      <c r="AL859" s="405"/>
      <c r="AM859" s="406"/>
      <c r="AN859" s="406"/>
      <c r="AO859" s="406"/>
      <c r="AP859" s="406"/>
      <c r="AQ859" s="403"/>
      <c r="AR859" s="403"/>
      <c r="AS859" s="403"/>
      <c r="AT859" s="403"/>
      <c r="AU859" s="403"/>
      <c r="AV859" s="403"/>
      <c r="AW859" s="403"/>
      <c r="AX859" s="403"/>
      <c r="AY859" s="403"/>
    </row>
    <row r="860">
      <c r="A860" s="415"/>
      <c r="B860" s="415"/>
      <c r="C860" s="410"/>
      <c r="D860" s="429"/>
      <c r="E860" s="416"/>
      <c r="F860" s="413"/>
      <c r="G860" s="413"/>
      <c r="H860" s="415"/>
      <c r="I860" s="415"/>
      <c r="J860" s="415"/>
      <c r="K860" s="415"/>
      <c r="L860" s="417"/>
      <c r="M860" s="403"/>
      <c r="N860" s="403"/>
      <c r="O860" s="403"/>
      <c r="P860" s="403"/>
      <c r="Q860" s="403"/>
      <c r="R860" s="403"/>
      <c r="S860" s="403"/>
      <c r="T860" s="403"/>
      <c r="U860" s="403"/>
      <c r="V860" s="403"/>
      <c r="W860" s="404"/>
      <c r="X860" s="405"/>
      <c r="Y860" s="405"/>
      <c r="Z860" s="405"/>
      <c r="AA860" s="405"/>
      <c r="AB860" s="405"/>
      <c r="AC860" s="405"/>
      <c r="AD860" s="405"/>
      <c r="AE860" s="405"/>
      <c r="AF860" s="405"/>
      <c r="AG860" s="405"/>
      <c r="AH860" s="405"/>
      <c r="AI860" s="405"/>
      <c r="AJ860" s="405"/>
      <c r="AK860" s="405"/>
      <c r="AL860" s="405"/>
      <c r="AM860" s="406"/>
      <c r="AN860" s="406"/>
      <c r="AO860" s="406"/>
      <c r="AP860" s="406"/>
      <c r="AQ860" s="403"/>
      <c r="AR860" s="403"/>
      <c r="AS860" s="403"/>
      <c r="AT860" s="403"/>
      <c r="AU860" s="403"/>
      <c r="AV860" s="403"/>
      <c r="AW860" s="403"/>
      <c r="AX860" s="403"/>
      <c r="AY860" s="403"/>
    </row>
    <row r="861">
      <c r="A861" s="415"/>
      <c r="B861" s="415"/>
      <c r="C861" s="410"/>
      <c r="D861" s="429"/>
      <c r="E861" s="416"/>
      <c r="F861" s="413"/>
      <c r="G861" s="413"/>
      <c r="H861" s="415"/>
      <c r="I861" s="415"/>
      <c r="J861" s="415"/>
      <c r="K861" s="415"/>
      <c r="L861" s="417"/>
      <c r="M861" s="403"/>
      <c r="N861" s="403"/>
      <c r="O861" s="403"/>
      <c r="P861" s="403"/>
      <c r="Q861" s="403"/>
      <c r="R861" s="403"/>
      <c r="S861" s="403"/>
      <c r="T861" s="403"/>
      <c r="U861" s="403"/>
      <c r="V861" s="403"/>
      <c r="W861" s="404"/>
      <c r="X861" s="405"/>
      <c r="Y861" s="405"/>
      <c r="Z861" s="405"/>
      <c r="AA861" s="405"/>
      <c r="AB861" s="405"/>
      <c r="AC861" s="405"/>
      <c r="AD861" s="405"/>
      <c r="AE861" s="405"/>
      <c r="AF861" s="405"/>
      <c r="AG861" s="405"/>
      <c r="AH861" s="405"/>
      <c r="AI861" s="405"/>
      <c r="AJ861" s="405"/>
      <c r="AK861" s="405"/>
      <c r="AL861" s="405"/>
      <c r="AM861" s="406"/>
      <c r="AN861" s="406"/>
      <c r="AO861" s="406"/>
      <c r="AP861" s="406"/>
      <c r="AQ861" s="403"/>
      <c r="AR861" s="403"/>
      <c r="AS861" s="403"/>
      <c r="AT861" s="403"/>
      <c r="AU861" s="403"/>
      <c r="AV861" s="403"/>
      <c r="AW861" s="403"/>
      <c r="AX861" s="403"/>
      <c r="AY861" s="403"/>
    </row>
    <row r="862">
      <c r="A862" s="415"/>
      <c r="B862" s="415"/>
      <c r="C862" s="410"/>
      <c r="D862" s="429"/>
      <c r="E862" s="416"/>
      <c r="F862" s="413"/>
      <c r="G862" s="413"/>
      <c r="H862" s="415"/>
      <c r="I862" s="415"/>
      <c r="J862" s="415"/>
      <c r="K862" s="415"/>
      <c r="L862" s="417"/>
      <c r="M862" s="403"/>
      <c r="N862" s="403"/>
      <c r="O862" s="403"/>
      <c r="P862" s="403"/>
      <c r="Q862" s="403"/>
      <c r="R862" s="403"/>
      <c r="S862" s="403"/>
      <c r="T862" s="403"/>
      <c r="U862" s="403"/>
      <c r="V862" s="403"/>
      <c r="W862" s="404"/>
      <c r="X862" s="405"/>
      <c r="Y862" s="405"/>
      <c r="Z862" s="405"/>
      <c r="AA862" s="405"/>
      <c r="AB862" s="405"/>
      <c r="AC862" s="405"/>
      <c r="AD862" s="405"/>
      <c r="AE862" s="405"/>
      <c r="AF862" s="405"/>
      <c r="AG862" s="405"/>
      <c r="AH862" s="405"/>
      <c r="AI862" s="405"/>
      <c r="AJ862" s="405"/>
      <c r="AK862" s="405"/>
      <c r="AL862" s="405"/>
      <c r="AM862" s="406"/>
      <c r="AN862" s="406"/>
      <c r="AO862" s="406"/>
      <c r="AP862" s="406"/>
      <c r="AQ862" s="403"/>
      <c r="AR862" s="403"/>
      <c r="AS862" s="403"/>
      <c r="AT862" s="403"/>
      <c r="AU862" s="403"/>
      <c r="AV862" s="403"/>
      <c r="AW862" s="403"/>
      <c r="AX862" s="403"/>
      <c r="AY862" s="403"/>
    </row>
    <row r="863">
      <c r="A863" s="415"/>
      <c r="B863" s="415"/>
      <c r="C863" s="410"/>
      <c r="D863" s="429"/>
      <c r="E863" s="416"/>
      <c r="F863" s="413"/>
      <c r="G863" s="413"/>
      <c r="H863" s="415"/>
      <c r="I863" s="415"/>
      <c r="J863" s="415"/>
      <c r="K863" s="415"/>
      <c r="L863" s="417"/>
      <c r="M863" s="403"/>
      <c r="N863" s="403"/>
      <c r="O863" s="403"/>
      <c r="P863" s="403"/>
      <c r="Q863" s="403"/>
      <c r="R863" s="403"/>
      <c r="S863" s="403"/>
      <c r="T863" s="403"/>
      <c r="U863" s="403"/>
      <c r="V863" s="403"/>
      <c r="W863" s="404"/>
      <c r="X863" s="405"/>
      <c r="Y863" s="405"/>
      <c r="Z863" s="405"/>
      <c r="AA863" s="405"/>
      <c r="AB863" s="405"/>
      <c r="AC863" s="405"/>
      <c r="AD863" s="405"/>
      <c r="AE863" s="405"/>
      <c r="AF863" s="405"/>
      <c r="AG863" s="405"/>
      <c r="AH863" s="405"/>
      <c r="AI863" s="405"/>
      <c r="AJ863" s="405"/>
      <c r="AK863" s="405"/>
      <c r="AL863" s="405"/>
      <c r="AM863" s="406"/>
      <c r="AN863" s="406"/>
      <c r="AO863" s="406"/>
      <c r="AP863" s="406"/>
      <c r="AQ863" s="403"/>
      <c r="AR863" s="403"/>
      <c r="AS863" s="403"/>
      <c r="AT863" s="403"/>
      <c r="AU863" s="403"/>
      <c r="AV863" s="403"/>
      <c r="AW863" s="403"/>
      <c r="AX863" s="403"/>
      <c r="AY863" s="403"/>
    </row>
    <row r="864">
      <c r="A864" s="415"/>
      <c r="B864" s="415"/>
      <c r="C864" s="410"/>
      <c r="D864" s="429"/>
      <c r="E864" s="416"/>
      <c r="F864" s="413"/>
      <c r="G864" s="413"/>
      <c r="H864" s="415"/>
      <c r="I864" s="415"/>
      <c r="J864" s="415"/>
      <c r="K864" s="415"/>
      <c r="L864" s="417"/>
      <c r="M864" s="403"/>
      <c r="N864" s="403"/>
      <c r="O864" s="403"/>
      <c r="P864" s="403"/>
      <c r="Q864" s="403"/>
      <c r="R864" s="403"/>
      <c r="S864" s="403"/>
      <c r="T864" s="403"/>
      <c r="U864" s="403"/>
      <c r="V864" s="403"/>
      <c r="W864" s="404"/>
      <c r="X864" s="405"/>
      <c r="Y864" s="405"/>
      <c r="Z864" s="405"/>
      <c r="AA864" s="405"/>
      <c r="AB864" s="405"/>
      <c r="AC864" s="405"/>
      <c r="AD864" s="405"/>
      <c r="AE864" s="405"/>
      <c r="AF864" s="405"/>
      <c r="AG864" s="405"/>
      <c r="AH864" s="405"/>
      <c r="AI864" s="405"/>
      <c r="AJ864" s="405"/>
      <c r="AK864" s="405"/>
      <c r="AL864" s="405"/>
      <c r="AM864" s="406"/>
      <c r="AN864" s="406"/>
      <c r="AO864" s="406"/>
      <c r="AP864" s="406"/>
      <c r="AQ864" s="403"/>
      <c r="AR864" s="403"/>
      <c r="AS864" s="403"/>
      <c r="AT864" s="403"/>
      <c r="AU864" s="403"/>
      <c r="AV864" s="403"/>
      <c r="AW864" s="403"/>
      <c r="AX864" s="403"/>
      <c r="AY864" s="403"/>
    </row>
    <row r="865">
      <c r="A865" s="415"/>
      <c r="B865" s="415"/>
      <c r="C865" s="410"/>
      <c r="D865" s="429"/>
      <c r="E865" s="416"/>
      <c r="F865" s="413"/>
      <c r="G865" s="413"/>
      <c r="H865" s="415"/>
      <c r="I865" s="415"/>
      <c r="J865" s="415"/>
      <c r="K865" s="415"/>
      <c r="L865" s="417"/>
      <c r="M865" s="403"/>
      <c r="N865" s="403"/>
      <c r="O865" s="403"/>
      <c r="P865" s="403"/>
      <c r="Q865" s="403"/>
      <c r="R865" s="403"/>
      <c r="S865" s="403"/>
      <c r="T865" s="403"/>
      <c r="U865" s="403"/>
      <c r="V865" s="403"/>
      <c r="W865" s="404"/>
      <c r="X865" s="405"/>
      <c r="Y865" s="405"/>
      <c r="Z865" s="405"/>
      <c r="AA865" s="405"/>
      <c r="AB865" s="405"/>
      <c r="AC865" s="405"/>
      <c r="AD865" s="405"/>
      <c r="AE865" s="405"/>
      <c r="AF865" s="405"/>
      <c r="AG865" s="405"/>
      <c r="AH865" s="405"/>
      <c r="AI865" s="405"/>
      <c r="AJ865" s="405"/>
      <c r="AK865" s="405"/>
      <c r="AL865" s="405"/>
      <c r="AM865" s="406"/>
      <c r="AN865" s="406"/>
      <c r="AO865" s="406"/>
      <c r="AP865" s="406"/>
      <c r="AQ865" s="403"/>
      <c r="AR865" s="403"/>
      <c r="AS865" s="403"/>
      <c r="AT865" s="403"/>
      <c r="AU865" s="403"/>
      <c r="AV865" s="403"/>
      <c r="AW865" s="403"/>
      <c r="AX865" s="403"/>
      <c r="AY865" s="403"/>
    </row>
    <row r="866">
      <c r="A866" s="415"/>
      <c r="B866" s="415"/>
      <c r="C866" s="410"/>
      <c r="D866" s="429"/>
      <c r="E866" s="416"/>
      <c r="F866" s="413"/>
      <c r="G866" s="413"/>
      <c r="H866" s="415"/>
      <c r="I866" s="415"/>
      <c r="J866" s="415"/>
      <c r="K866" s="415"/>
      <c r="L866" s="417"/>
      <c r="M866" s="403"/>
      <c r="N866" s="403"/>
      <c r="O866" s="403"/>
      <c r="P866" s="403"/>
      <c r="Q866" s="403"/>
      <c r="R866" s="403"/>
      <c r="S866" s="403"/>
      <c r="T866" s="403"/>
      <c r="U866" s="403"/>
      <c r="V866" s="403"/>
      <c r="W866" s="404"/>
      <c r="X866" s="405"/>
      <c r="Y866" s="405"/>
      <c r="Z866" s="405"/>
      <c r="AA866" s="405"/>
      <c r="AB866" s="405"/>
      <c r="AC866" s="405"/>
      <c r="AD866" s="405"/>
      <c r="AE866" s="405"/>
      <c r="AF866" s="405"/>
      <c r="AG866" s="405"/>
      <c r="AH866" s="405"/>
      <c r="AI866" s="405"/>
      <c r="AJ866" s="405"/>
      <c r="AK866" s="405"/>
      <c r="AL866" s="405"/>
      <c r="AM866" s="406"/>
      <c r="AN866" s="406"/>
      <c r="AO866" s="406"/>
      <c r="AP866" s="406"/>
      <c r="AQ866" s="403"/>
      <c r="AR866" s="403"/>
      <c r="AS866" s="403"/>
      <c r="AT866" s="403"/>
      <c r="AU866" s="403"/>
      <c r="AV866" s="403"/>
      <c r="AW866" s="403"/>
      <c r="AX866" s="403"/>
      <c r="AY866" s="403"/>
    </row>
    <row r="867">
      <c r="A867" s="415"/>
      <c r="B867" s="415"/>
      <c r="C867" s="410"/>
      <c r="D867" s="429"/>
      <c r="E867" s="416"/>
      <c r="F867" s="413"/>
      <c r="G867" s="413"/>
      <c r="H867" s="415"/>
      <c r="I867" s="415"/>
      <c r="J867" s="415"/>
      <c r="K867" s="415"/>
      <c r="L867" s="417"/>
      <c r="M867" s="403"/>
      <c r="N867" s="403"/>
      <c r="O867" s="403"/>
      <c r="P867" s="403"/>
      <c r="Q867" s="403"/>
      <c r="R867" s="403"/>
      <c r="S867" s="403"/>
      <c r="T867" s="403"/>
      <c r="U867" s="403"/>
      <c r="V867" s="403"/>
      <c r="W867" s="404"/>
      <c r="X867" s="405"/>
      <c r="Y867" s="405"/>
      <c r="Z867" s="405"/>
      <c r="AA867" s="405"/>
      <c r="AB867" s="405"/>
      <c r="AC867" s="405"/>
      <c r="AD867" s="405"/>
      <c r="AE867" s="405"/>
      <c r="AF867" s="405"/>
      <c r="AG867" s="405"/>
      <c r="AH867" s="405"/>
      <c r="AI867" s="405"/>
      <c r="AJ867" s="405"/>
      <c r="AK867" s="405"/>
      <c r="AL867" s="405"/>
      <c r="AM867" s="406"/>
      <c r="AN867" s="406"/>
      <c r="AO867" s="406"/>
      <c r="AP867" s="406"/>
      <c r="AQ867" s="403"/>
      <c r="AR867" s="403"/>
      <c r="AS867" s="403"/>
      <c r="AT867" s="403"/>
      <c r="AU867" s="403"/>
      <c r="AV867" s="403"/>
      <c r="AW867" s="403"/>
      <c r="AX867" s="403"/>
      <c r="AY867" s="403"/>
    </row>
    <row r="868">
      <c r="A868" s="415"/>
      <c r="B868" s="415"/>
      <c r="C868" s="410"/>
      <c r="D868" s="429"/>
      <c r="E868" s="416"/>
      <c r="F868" s="413"/>
      <c r="G868" s="413"/>
      <c r="H868" s="415"/>
      <c r="I868" s="415"/>
      <c r="J868" s="415"/>
      <c r="K868" s="415"/>
      <c r="L868" s="417"/>
      <c r="M868" s="403"/>
      <c r="N868" s="403"/>
      <c r="O868" s="403"/>
      <c r="P868" s="403"/>
      <c r="Q868" s="403"/>
      <c r="R868" s="403"/>
      <c r="S868" s="403"/>
      <c r="T868" s="403"/>
      <c r="U868" s="403"/>
      <c r="V868" s="403"/>
      <c r="W868" s="404"/>
      <c r="X868" s="405"/>
      <c r="Y868" s="405"/>
      <c r="Z868" s="405"/>
      <c r="AA868" s="405"/>
      <c r="AB868" s="405"/>
      <c r="AC868" s="405"/>
      <c r="AD868" s="405"/>
      <c r="AE868" s="405"/>
      <c r="AF868" s="405"/>
      <c r="AG868" s="405"/>
      <c r="AH868" s="405"/>
      <c r="AI868" s="405"/>
      <c r="AJ868" s="405"/>
      <c r="AK868" s="405"/>
      <c r="AL868" s="405"/>
      <c r="AM868" s="406"/>
      <c r="AN868" s="406"/>
      <c r="AO868" s="406"/>
      <c r="AP868" s="406"/>
      <c r="AQ868" s="403"/>
      <c r="AR868" s="403"/>
      <c r="AS868" s="403"/>
      <c r="AT868" s="403"/>
      <c r="AU868" s="403"/>
      <c r="AV868" s="403"/>
      <c r="AW868" s="403"/>
      <c r="AX868" s="403"/>
      <c r="AY868" s="403"/>
    </row>
    <row r="869">
      <c r="A869" s="415"/>
      <c r="B869" s="415"/>
      <c r="C869" s="410"/>
      <c r="D869" s="429"/>
      <c r="E869" s="416"/>
      <c r="F869" s="413"/>
      <c r="G869" s="413"/>
      <c r="H869" s="415"/>
      <c r="I869" s="415"/>
      <c r="J869" s="415"/>
      <c r="K869" s="415"/>
      <c r="L869" s="417"/>
      <c r="M869" s="403"/>
      <c r="N869" s="403"/>
      <c r="O869" s="403"/>
      <c r="P869" s="403"/>
      <c r="Q869" s="403"/>
      <c r="R869" s="403"/>
      <c r="S869" s="403"/>
      <c r="T869" s="403"/>
      <c r="U869" s="403"/>
      <c r="V869" s="403"/>
      <c r="W869" s="404"/>
      <c r="X869" s="405"/>
      <c r="Y869" s="405"/>
      <c r="Z869" s="405"/>
      <c r="AA869" s="405"/>
      <c r="AB869" s="405"/>
      <c r="AC869" s="405"/>
      <c r="AD869" s="405"/>
      <c r="AE869" s="405"/>
      <c r="AF869" s="405"/>
      <c r="AG869" s="405"/>
      <c r="AH869" s="405"/>
      <c r="AI869" s="405"/>
      <c r="AJ869" s="405"/>
      <c r="AK869" s="405"/>
      <c r="AL869" s="405"/>
      <c r="AM869" s="406"/>
      <c r="AN869" s="406"/>
      <c r="AO869" s="406"/>
      <c r="AP869" s="406"/>
      <c r="AQ869" s="403"/>
      <c r="AR869" s="403"/>
      <c r="AS869" s="403"/>
      <c r="AT869" s="403"/>
      <c r="AU869" s="403"/>
      <c r="AV869" s="403"/>
      <c r="AW869" s="403"/>
      <c r="AX869" s="403"/>
      <c r="AY869" s="403"/>
    </row>
    <row r="870">
      <c r="A870" s="415"/>
      <c r="B870" s="415"/>
      <c r="C870" s="410"/>
      <c r="D870" s="429"/>
      <c r="E870" s="416"/>
      <c r="F870" s="413"/>
      <c r="G870" s="413"/>
      <c r="H870" s="415"/>
      <c r="I870" s="415"/>
      <c r="J870" s="415"/>
      <c r="K870" s="415"/>
      <c r="L870" s="417"/>
      <c r="M870" s="403"/>
      <c r="N870" s="403"/>
      <c r="O870" s="403"/>
      <c r="P870" s="403"/>
      <c r="Q870" s="403"/>
      <c r="R870" s="403"/>
      <c r="S870" s="403"/>
      <c r="T870" s="403"/>
      <c r="U870" s="403"/>
      <c r="V870" s="403"/>
      <c r="W870" s="404"/>
      <c r="X870" s="405"/>
      <c r="Y870" s="405"/>
      <c r="Z870" s="405"/>
      <c r="AA870" s="405"/>
      <c r="AB870" s="405"/>
      <c r="AC870" s="405"/>
      <c r="AD870" s="405"/>
      <c r="AE870" s="405"/>
      <c r="AF870" s="405"/>
      <c r="AG870" s="405"/>
      <c r="AH870" s="405"/>
      <c r="AI870" s="405"/>
      <c r="AJ870" s="405"/>
      <c r="AK870" s="405"/>
      <c r="AL870" s="405"/>
      <c r="AM870" s="406"/>
      <c r="AN870" s="406"/>
      <c r="AO870" s="406"/>
      <c r="AP870" s="406"/>
      <c r="AQ870" s="403"/>
      <c r="AR870" s="403"/>
      <c r="AS870" s="403"/>
      <c r="AT870" s="403"/>
      <c r="AU870" s="403"/>
      <c r="AV870" s="403"/>
      <c r="AW870" s="403"/>
      <c r="AX870" s="403"/>
      <c r="AY870" s="403"/>
    </row>
    <row r="871">
      <c r="A871" s="415"/>
      <c r="B871" s="415"/>
      <c r="C871" s="410"/>
      <c r="D871" s="429"/>
      <c r="E871" s="416"/>
      <c r="F871" s="413"/>
      <c r="G871" s="413"/>
      <c r="H871" s="415"/>
      <c r="I871" s="415"/>
      <c r="J871" s="415"/>
      <c r="K871" s="415"/>
      <c r="L871" s="417"/>
      <c r="M871" s="403"/>
      <c r="N871" s="403"/>
      <c r="O871" s="403"/>
      <c r="P871" s="403"/>
      <c r="Q871" s="403"/>
      <c r="R871" s="403"/>
      <c r="S871" s="403"/>
      <c r="T871" s="403"/>
      <c r="U871" s="403"/>
      <c r="V871" s="403"/>
      <c r="W871" s="404"/>
      <c r="X871" s="405"/>
      <c r="Y871" s="405"/>
      <c r="Z871" s="405"/>
      <c r="AA871" s="405"/>
      <c r="AB871" s="405"/>
      <c r="AC871" s="405"/>
      <c r="AD871" s="405"/>
      <c r="AE871" s="405"/>
      <c r="AF871" s="405"/>
      <c r="AG871" s="405"/>
      <c r="AH871" s="405"/>
      <c r="AI871" s="405"/>
      <c r="AJ871" s="405"/>
      <c r="AK871" s="405"/>
      <c r="AL871" s="405"/>
      <c r="AM871" s="406"/>
      <c r="AN871" s="406"/>
      <c r="AO871" s="406"/>
      <c r="AP871" s="406"/>
      <c r="AQ871" s="403"/>
      <c r="AR871" s="403"/>
      <c r="AS871" s="403"/>
      <c r="AT871" s="403"/>
      <c r="AU871" s="403"/>
      <c r="AV871" s="403"/>
      <c r="AW871" s="403"/>
      <c r="AX871" s="403"/>
      <c r="AY871" s="403"/>
    </row>
    <row r="872">
      <c r="A872" s="415"/>
      <c r="B872" s="415"/>
      <c r="C872" s="410"/>
      <c r="D872" s="429"/>
      <c r="E872" s="416"/>
      <c r="F872" s="413"/>
      <c r="G872" s="413"/>
      <c r="H872" s="415"/>
      <c r="I872" s="415"/>
      <c r="J872" s="415"/>
      <c r="K872" s="415"/>
      <c r="L872" s="417"/>
      <c r="M872" s="403"/>
      <c r="N872" s="403"/>
      <c r="O872" s="403"/>
      <c r="P872" s="403"/>
      <c r="Q872" s="403"/>
      <c r="R872" s="403"/>
      <c r="S872" s="403"/>
      <c r="T872" s="403"/>
      <c r="U872" s="403"/>
      <c r="V872" s="403"/>
      <c r="W872" s="404"/>
      <c r="X872" s="405"/>
      <c r="Y872" s="405"/>
      <c r="Z872" s="405"/>
      <c r="AA872" s="405"/>
      <c r="AB872" s="405"/>
      <c r="AC872" s="405"/>
      <c r="AD872" s="405"/>
      <c r="AE872" s="405"/>
      <c r="AF872" s="405"/>
      <c r="AG872" s="405"/>
      <c r="AH872" s="405"/>
      <c r="AI872" s="405"/>
      <c r="AJ872" s="405"/>
      <c r="AK872" s="405"/>
      <c r="AL872" s="405"/>
      <c r="AM872" s="406"/>
      <c r="AN872" s="406"/>
      <c r="AO872" s="406"/>
      <c r="AP872" s="406"/>
      <c r="AQ872" s="403"/>
      <c r="AR872" s="403"/>
      <c r="AS872" s="403"/>
      <c r="AT872" s="403"/>
      <c r="AU872" s="403"/>
      <c r="AV872" s="403"/>
      <c r="AW872" s="403"/>
      <c r="AX872" s="403"/>
      <c r="AY872" s="403"/>
    </row>
    <row r="873">
      <c r="A873" s="415"/>
      <c r="B873" s="415"/>
      <c r="C873" s="410"/>
      <c r="D873" s="429"/>
      <c r="E873" s="416"/>
      <c r="F873" s="413"/>
      <c r="G873" s="413"/>
      <c r="H873" s="415"/>
      <c r="I873" s="415"/>
      <c r="J873" s="415"/>
      <c r="K873" s="415"/>
      <c r="L873" s="417"/>
      <c r="M873" s="403"/>
      <c r="N873" s="403"/>
      <c r="O873" s="403"/>
      <c r="P873" s="403"/>
      <c r="Q873" s="403"/>
      <c r="R873" s="403"/>
      <c r="S873" s="403"/>
      <c r="T873" s="403"/>
      <c r="U873" s="403"/>
      <c r="V873" s="403"/>
      <c r="W873" s="404"/>
      <c r="X873" s="405"/>
      <c r="Y873" s="405"/>
      <c r="Z873" s="405"/>
      <c r="AA873" s="405"/>
      <c r="AB873" s="405"/>
      <c r="AC873" s="405"/>
      <c r="AD873" s="405"/>
      <c r="AE873" s="405"/>
      <c r="AF873" s="405"/>
      <c r="AG873" s="405"/>
      <c r="AH873" s="405"/>
      <c r="AI873" s="405"/>
      <c r="AJ873" s="405"/>
      <c r="AK873" s="405"/>
      <c r="AL873" s="405"/>
      <c r="AM873" s="406"/>
      <c r="AN873" s="406"/>
      <c r="AO873" s="406"/>
      <c r="AP873" s="406"/>
      <c r="AQ873" s="403"/>
      <c r="AR873" s="403"/>
      <c r="AS873" s="403"/>
      <c r="AT873" s="403"/>
      <c r="AU873" s="403"/>
      <c r="AV873" s="403"/>
      <c r="AW873" s="403"/>
      <c r="AX873" s="403"/>
      <c r="AY873" s="403"/>
    </row>
    <row r="874">
      <c r="A874" s="415"/>
      <c r="B874" s="415"/>
      <c r="C874" s="410"/>
      <c r="D874" s="429"/>
      <c r="E874" s="416"/>
      <c r="F874" s="413"/>
      <c r="G874" s="413"/>
      <c r="H874" s="415"/>
      <c r="I874" s="415"/>
      <c r="J874" s="415"/>
      <c r="K874" s="415"/>
      <c r="L874" s="417"/>
      <c r="M874" s="403"/>
      <c r="N874" s="403"/>
      <c r="O874" s="403"/>
      <c r="P874" s="403"/>
      <c r="Q874" s="403"/>
      <c r="R874" s="403"/>
      <c r="S874" s="403"/>
      <c r="T874" s="403"/>
      <c r="U874" s="403"/>
      <c r="V874" s="403"/>
      <c r="W874" s="404"/>
      <c r="X874" s="405"/>
      <c r="Y874" s="405"/>
      <c r="Z874" s="405"/>
      <c r="AA874" s="405"/>
      <c r="AB874" s="405"/>
      <c r="AC874" s="405"/>
      <c r="AD874" s="405"/>
      <c r="AE874" s="405"/>
      <c r="AF874" s="405"/>
      <c r="AG874" s="405"/>
      <c r="AH874" s="405"/>
      <c r="AI874" s="405"/>
      <c r="AJ874" s="405"/>
      <c r="AK874" s="405"/>
      <c r="AL874" s="405"/>
      <c r="AM874" s="406"/>
      <c r="AN874" s="406"/>
      <c r="AO874" s="406"/>
      <c r="AP874" s="406"/>
      <c r="AQ874" s="403"/>
      <c r="AR874" s="403"/>
      <c r="AS874" s="403"/>
      <c r="AT874" s="403"/>
      <c r="AU874" s="403"/>
      <c r="AV874" s="403"/>
      <c r="AW874" s="403"/>
      <c r="AX874" s="403"/>
      <c r="AY874" s="403"/>
    </row>
    <row r="875">
      <c r="A875" s="415"/>
      <c r="B875" s="415"/>
      <c r="C875" s="410"/>
      <c r="D875" s="429"/>
      <c r="E875" s="416"/>
      <c r="F875" s="413"/>
      <c r="G875" s="413"/>
      <c r="H875" s="415"/>
      <c r="I875" s="415"/>
      <c r="J875" s="415"/>
      <c r="K875" s="415"/>
      <c r="L875" s="417"/>
      <c r="M875" s="403"/>
      <c r="N875" s="403"/>
      <c r="O875" s="403"/>
      <c r="P875" s="403"/>
      <c r="Q875" s="403"/>
      <c r="R875" s="403"/>
      <c r="S875" s="403"/>
      <c r="T875" s="403"/>
      <c r="U875" s="403"/>
      <c r="V875" s="403"/>
      <c r="W875" s="404"/>
      <c r="X875" s="405"/>
      <c r="Y875" s="405"/>
      <c r="Z875" s="405"/>
      <c r="AA875" s="405"/>
      <c r="AB875" s="405"/>
      <c r="AC875" s="405"/>
      <c r="AD875" s="405"/>
      <c r="AE875" s="405"/>
      <c r="AF875" s="405"/>
      <c r="AG875" s="405"/>
      <c r="AH875" s="405"/>
      <c r="AI875" s="405"/>
      <c r="AJ875" s="405"/>
      <c r="AK875" s="405"/>
      <c r="AL875" s="405"/>
      <c r="AM875" s="406"/>
      <c r="AN875" s="406"/>
      <c r="AO875" s="406"/>
      <c r="AP875" s="406"/>
      <c r="AQ875" s="403"/>
      <c r="AR875" s="403"/>
      <c r="AS875" s="403"/>
      <c r="AT875" s="403"/>
      <c r="AU875" s="403"/>
      <c r="AV875" s="403"/>
      <c r="AW875" s="403"/>
      <c r="AX875" s="403"/>
      <c r="AY875" s="403"/>
    </row>
    <row r="876">
      <c r="A876" s="415"/>
      <c r="B876" s="415"/>
      <c r="C876" s="410"/>
      <c r="D876" s="429"/>
      <c r="E876" s="416"/>
      <c r="F876" s="413"/>
      <c r="G876" s="413"/>
      <c r="H876" s="415"/>
      <c r="I876" s="415"/>
      <c r="J876" s="415"/>
      <c r="K876" s="415"/>
      <c r="L876" s="417"/>
      <c r="M876" s="403"/>
      <c r="N876" s="403"/>
      <c r="O876" s="403"/>
      <c r="P876" s="403"/>
      <c r="Q876" s="403"/>
      <c r="R876" s="403"/>
      <c r="S876" s="403"/>
      <c r="T876" s="403"/>
      <c r="U876" s="403"/>
      <c r="V876" s="403"/>
      <c r="W876" s="404"/>
      <c r="X876" s="405"/>
      <c r="Y876" s="405"/>
      <c r="Z876" s="405"/>
      <c r="AA876" s="405"/>
      <c r="AB876" s="405"/>
      <c r="AC876" s="405"/>
      <c r="AD876" s="405"/>
      <c r="AE876" s="405"/>
      <c r="AF876" s="405"/>
      <c r="AG876" s="405"/>
      <c r="AH876" s="405"/>
      <c r="AI876" s="405"/>
      <c r="AJ876" s="405"/>
      <c r="AK876" s="405"/>
      <c r="AL876" s="405"/>
      <c r="AM876" s="406"/>
      <c r="AN876" s="406"/>
      <c r="AO876" s="406"/>
      <c r="AP876" s="406"/>
      <c r="AQ876" s="403"/>
      <c r="AR876" s="403"/>
      <c r="AS876" s="403"/>
      <c r="AT876" s="403"/>
      <c r="AU876" s="403"/>
      <c r="AV876" s="403"/>
      <c r="AW876" s="403"/>
      <c r="AX876" s="403"/>
      <c r="AY876" s="403"/>
    </row>
    <row r="877">
      <c r="A877" s="415"/>
      <c r="B877" s="415"/>
      <c r="C877" s="410"/>
      <c r="D877" s="429"/>
      <c r="E877" s="416"/>
      <c r="F877" s="413"/>
      <c r="G877" s="413"/>
      <c r="H877" s="415"/>
      <c r="I877" s="415"/>
      <c r="J877" s="415"/>
      <c r="K877" s="415"/>
      <c r="L877" s="417"/>
      <c r="M877" s="403"/>
      <c r="N877" s="403"/>
      <c r="O877" s="403"/>
      <c r="P877" s="403"/>
      <c r="Q877" s="403"/>
      <c r="R877" s="403"/>
      <c r="S877" s="403"/>
      <c r="T877" s="403"/>
      <c r="U877" s="403"/>
      <c r="V877" s="403"/>
      <c r="W877" s="404"/>
      <c r="X877" s="405"/>
      <c r="Y877" s="405"/>
      <c r="Z877" s="405"/>
      <c r="AA877" s="405"/>
      <c r="AB877" s="405"/>
      <c r="AC877" s="405"/>
      <c r="AD877" s="405"/>
      <c r="AE877" s="405"/>
      <c r="AF877" s="405"/>
      <c r="AG877" s="405"/>
      <c r="AH877" s="405"/>
      <c r="AI877" s="405"/>
      <c r="AJ877" s="405"/>
      <c r="AK877" s="405"/>
      <c r="AL877" s="405"/>
      <c r="AM877" s="406"/>
      <c r="AN877" s="406"/>
      <c r="AO877" s="406"/>
      <c r="AP877" s="406"/>
      <c r="AQ877" s="403"/>
      <c r="AR877" s="403"/>
      <c r="AS877" s="403"/>
      <c r="AT877" s="403"/>
      <c r="AU877" s="403"/>
      <c r="AV877" s="403"/>
      <c r="AW877" s="403"/>
      <c r="AX877" s="403"/>
      <c r="AY877" s="403"/>
    </row>
    <row r="878">
      <c r="A878" s="415"/>
      <c r="B878" s="415"/>
      <c r="C878" s="410"/>
      <c r="D878" s="429"/>
      <c r="E878" s="416"/>
      <c r="F878" s="413"/>
      <c r="G878" s="413"/>
      <c r="H878" s="415"/>
      <c r="I878" s="415"/>
      <c r="J878" s="415"/>
      <c r="K878" s="415"/>
      <c r="L878" s="417"/>
      <c r="M878" s="403"/>
      <c r="N878" s="403"/>
      <c r="O878" s="403"/>
      <c r="P878" s="403"/>
      <c r="Q878" s="403"/>
      <c r="R878" s="403"/>
      <c r="S878" s="403"/>
      <c r="T878" s="403"/>
      <c r="U878" s="403"/>
      <c r="V878" s="403"/>
      <c r="W878" s="404"/>
      <c r="X878" s="405"/>
      <c r="Y878" s="405"/>
      <c r="Z878" s="405"/>
      <c r="AA878" s="405"/>
      <c r="AB878" s="405"/>
      <c r="AC878" s="405"/>
      <c r="AD878" s="405"/>
      <c r="AE878" s="405"/>
      <c r="AF878" s="405"/>
      <c r="AG878" s="405"/>
      <c r="AH878" s="405"/>
      <c r="AI878" s="405"/>
      <c r="AJ878" s="405"/>
      <c r="AK878" s="405"/>
      <c r="AL878" s="405"/>
      <c r="AM878" s="406"/>
      <c r="AN878" s="406"/>
      <c r="AO878" s="406"/>
      <c r="AP878" s="406"/>
      <c r="AQ878" s="403"/>
      <c r="AR878" s="403"/>
      <c r="AS878" s="403"/>
      <c r="AT878" s="403"/>
      <c r="AU878" s="403"/>
      <c r="AV878" s="403"/>
      <c r="AW878" s="403"/>
      <c r="AX878" s="403"/>
      <c r="AY878" s="403"/>
    </row>
    <row r="879">
      <c r="A879" s="415"/>
      <c r="B879" s="415"/>
      <c r="C879" s="410"/>
      <c r="D879" s="429"/>
      <c r="E879" s="416"/>
      <c r="F879" s="413"/>
      <c r="G879" s="413"/>
      <c r="H879" s="415"/>
      <c r="I879" s="415"/>
      <c r="J879" s="415"/>
      <c r="K879" s="415"/>
      <c r="L879" s="417"/>
      <c r="M879" s="403"/>
      <c r="N879" s="403"/>
      <c r="O879" s="403"/>
      <c r="P879" s="403"/>
      <c r="Q879" s="403"/>
      <c r="R879" s="403"/>
      <c r="S879" s="403"/>
      <c r="T879" s="403"/>
      <c r="U879" s="403"/>
      <c r="V879" s="403"/>
      <c r="W879" s="404"/>
      <c r="X879" s="405"/>
      <c r="Y879" s="405"/>
      <c r="Z879" s="405"/>
      <c r="AA879" s="405"/>
      <c r="AB879" s="405"/>
      <c r="AC879" s="405"/>
      <c r="AD879" s="405"/>
      <c r="AE879" s="405"/>
      <c r="AF879" s="405"/>
      <c r="AG879" s="405"/>
      <c r="AH879" s="405"/>
      <c r="AI879" s="405"/>
      <c r="AJ879" s="405"/>
      <c r="AK879" s="405"/>
      <c r="AL879" s="405"/>
      <c r="AM879" s="406"/>
      <c r="AN879" s="406"/>
      <c r="AO879" s="406"/>
      <c r="AP879" s="406"/>
      <c r="AQ879" s="403"/>
      <c r="AR879" s="403"/>
      <c r="AS879" s="403"/>
      <c r="AT879" s="403"/>
      <c r="AU879" s="403"/>
      <c r="AV879" s="403"/>
      <c r="AW879" s="403"/>
      <c r="AX879" s="403"/>
      <c r="AY879" s="403"/>
    </row>
    <row r="880">
      <c r="A880" s="415"/>
      <c r="B880" s="415"/>
      <c r="C880" s="410"/>
      <c r="D880" s="429"/>
      <c r="E880" s="416"/>
      <c r="F880" s="413"/>
      <c r="G880" s="413"/>
      <c r="H880" s="415"/>
      <c r="I880" s="415"/>
      <c r="J880" s="415"/>
      <c r="K880" s="415"/>
      <c r="L880" s="417"/>
      <c r="M880" s="403"/>
      <c r="N880" s="403"/>
      <c r="O880" s="403"/>
      <c r="P880" s="403"/>
      <c r="Q880" s="403"/>
      <c r="R880" s="403"/>
      <c r="S880" s="403"/>
      <c r="T880" s="403"/>
      <c r="U880" s="403"/>
      <c r="V880" s="403"/>
      <c r="W880" s="404"/>
      <c r="X880" s="405"/>
      <c r="Y880" s="405"/>
      <c r="Z880" s="405"/>
      <c r="AA880" s="405"/>
      <c r="AB880" s="405"/>
      <c r="AC880" s="405"/>
      <c r="AD880" s="405"/>
      <c r="AE880" s="405"/>
      <c r="AF880" s="405"/>
      <c r="AG880" s="405"/>
      <c r="AH880" s="405"/>
      <c r="AI880" s="405"/>
      <c r="AJ880" s="405"/>
      <c r="AK880" s="405"/>
      <c r="AL880" s="405"/>
      <c r="AM880" s="406"/>
      <c r="AN880" s="406"/>
      <c r="AO880" s="406"/>
      <c r="AP880" s="406"/>
      <c r="AQ880" s="403"/>
      <c r="AR880" s="403"/>
      <c r="AS880" s="403"/>
      <c r="AT880" s="403"/>
      <c r="AU880" s="403"/>
      <c r="AV880" s="403"/>
      <c r="AW880" s="403"/>
      <c r="AX880" s="403"/>
      <c r="AY880" s="403"/>
    </row>
    <row r="881">
      <c r="A881" s="415"/>
      <c r="B881" s="415"/>
      <c r="C881" s="410"/>
      <c r="D881" s="429"/>
      <c r="E881" s="416"/>
      <c r="F881" s="413"/>
      <c r="G881" s="413"/>
      <c r="H881" s="415"/>
      <c r="I881" s="415"/>
      <c r="J881" s="415"/>
      <c r="K881" s="415"/>
      <c r="L881" s="417"/>
      <c r="M881" s="403"/>
      <c r="N881" s="403"/>
      <c r="O881" s="403"/>
      <c r="P881" s="403"/>
      <c r="Q881" s="403"/>
      <c r="R881" s="403"/>
      <c r="S881" s="403"/>
      <c r="T881" s="403"/>
      <c r="U881" s="403"/>
      <c r="V881" s="403"/>
      <c r="W881" s="404"/>
      <c r="X881" s="405"/>
      <c r="Y881" s="405"/>
      <c r="Z881" s="405"/>
      <c r="AA881" s="405"/>
      <c r="AB881" s="405"/>
      <c r="AC881" s="405"/>
      <c r="AD881" s="405"/>
      <c r="AE881" s="405"/>
      <c r="AF881" s="405"/>
      <c r="AG881" s="405"/>
      <c r="AH881" s="405"/>
      <c r="AI881" s="405"/>
      <c r="AJ881" s="405"/>
      <c r="AK881" s="405"/>
      <c r="AL881" s="405"/>
      <c r="AM881" s="406"/>
      <c r="AN881" s="406"/>
      <c r="AO881" s="406"/>
      <c r="AP881" s="406"/>
      <c r="AQ881" s="403"/>
      <c r="AR881" s="403"/>
      <c r="AS881" s="403"/>
      <c r="AT881" s="403"/>
      <c r="AU881" s="403"/>
      <c r="AV881" s="403"/>
      <c r="AW881" s="403"/>
      <c r="AX881" s="403"/>
      <c r="AY881" s="403"/>
    </row>
    <row r="882">
      <c r="A882" s="415"/>
      <c r="B882" s="415"/>
      <c r="C882" s="410"/>
      <c r="D882" s="429"/>
      <c r="E882" s="416"/>
      <c r="F882" s="413"/>
      <c r="G882" s="413"/>
      <c r="H882" s="415"/>
      <c r="I882" s="415"/>
      <c r="J882" s="415"/>
      <c r="K882" s="415"/>
      <c r="L882" s="417"/>
      <c r="M882" s="403"/>
      <c r="N882" s="403"/>
      <c r="O882" s="403"/>
      <c r="P882" s="403"/>
      <c r="Q882" s="403"/>
      <c r="R882" s="403"/>
      <c r="S882" s="403"/>
      <c r="T882" s="403"/>
      <c r="U882" s="403"/>
      <c r="V882" s="403"/>
      <c r="W882" s="404"/>
      <c r="X882" s="405"/>
      <c r="Y882" s="405"/>
      <c r="Z882" s="405"/>
      <c r="AA882" s="405"/>
      <c r="AB882" s="405"/>
      <c r="AC882" s="405"/>
      <c r="AD882" s="405"/>
      <c r="AE882" s="405"/>
      <c r="AF882" s="405"/>
      <c r="AG882" s="405"/>
      <c r="AH882" s="405"/>
      <c r="AI882" s="405"/>
      <c r="AJ882" s="405"/>
      <c r="AK882" s="405"/>
      <c r="AL882" s="405"/>
      <c r="AM882" s="406"/>
      <c r="AN882" s="406"/>
      <c r="AO882" s="406"/>
      <c r="AP882" s="406"/>
      <c r="AQ882" s="403"/>
      <c r="AR882" s="403"/>
      <c r="AS882" s="403"/>
      <c r="AT882" s="403"/>
      <c r="AU882" s="403"/>
      <c r="AV882" s="403"/>
      <c r="AW882" s="403"/>
      <c r="AX882" s="403"/>
      <c r="AY882" s="403"/>
    </row>
    <row r="883">
      <c r="A883" s="415"/>
      <c r="B883" s="415"/>
      <c r="C883" s="410"/>
      <c r="D883" s="429"/>
      <c r="E883" s="416"/>
      <c r="F883" s="413"/>
      <c r="G883" s="413"/>
      <c r="H883" s="415"/>
      <c r="I883" s="415"/>
      <c r="J883" s="415"/>
      <c r="K883" s="415"/>
      <c r="L883" s="417"/>
      <c r="M883" s="403"/>
      <c r="N883" s="403"/>
      <c r="O883" s="403"/>
      <c r="P883" s="403"/>
      <c r="Q883" s="403"/>
      <c r="R883" s="403"/>
      <c r="S883" s="403"/>
      <c r="T883" s="403"/>
      <c r="U883" s="403"/>
      <c r="V883" s="403"/>
      <c r="W883" s="404"/>
      <c r="X883" s="405"/>
      <c r="Y883" s="405"/>
      <c r="Z883" s="405"/>
      <c r="AA883" s="405"/>
      <c r="AB883" s="405"/>
      <c r="AC883" s="405"/>
      <c r="AD883" s="405"/>
      <c r="AE883" s="405"/>
      <c r="AF883" s="405"/>
      <c r="AG883" s="405"/>
      <c r="AH883" s="405"/>
      <c r="AI883" s="405"/>
      <c r="AJ883" s="405"/>
      <c r="AK883" s="405"/>
      <c r="AL883" s="405"/>
      <c r="AM883" s="406"/>
      <c r="AN883" s="406"/>
      <c r="AO883" s="406"/>
      <c r="AP883" s="406"/>
      <c r="AQ883" s="403"/>
      <c r="AR883" s="403"/>
      <c r="AS883" s="403"/>
      <c r="AT883" s="403"/>
      <c r="AU883" s="403"/>
      <c r="AV883" s="403"/>
      <c r="AW883" s="403"/>
      <c r="AX883" s="403"/>
      <c r="AY883" s="403"/>
    </row>
    <row r="884">
      <c r="A884" s="415"/>
      <c r="B884" s="415"/>
      <c r="C884" s="410"/>
      <c r="D884" s="429"/>
      <c r="E884" s="416"/>
      <c r="F884" s="413"/>
      <c r="G884" s="413"/>
      <c r="H884" s="415"/>
      <c r="I884" s="415"/>
      <c r="J884" s="415"/>
      <c r="K884" s="415"/>
      <c r="L884" s="417"/>
      <c r="M884" s="403"/>
      <c r="N884" s="403"/>
      <c r="O884" s="403"/>
      <c r="P884" s="403"/>
      <c r="Q884" s="403"/>
      <c r="R884" s="403"/>
      <c r="S884" s="403"/>
      <c r="T884" s="403"/>
      <c r="U884" s="403"/>
      <c r="V884" s="403"/>
      <c r="W884" s="404"/>
      <c r="X884" s="405"/>
      <c r="Y884" s="405"/>
      <c r="Z884" s="405"/>
      <c r="AA884" s="405"/>
      <c r="AB884" s="405"/>
      <c r="AC884" s="405"/>
      <c r="AD884" s="405"/>
      <c r="AE884" s="405"/>
      <c r="AF884" s="405"/>
      <c r="AG884" s="405"/>
      <c r="AH884" s="405"/>
      <c r="AI884" s="405"/>
      <c r="AJ884" s="405"/>
      <c r="AK884" s="405"/>
      <c r="AL884" s="405"/>
      <c r="AM884" s="406"/>
      <c r="AN884" s="406"/>
      <c r="AO884" s="406"/>
      <c r="AP884" s="406"/>
      <c r="AQ884" s="403"/>
      <c r="AR884" s="403"/>
      <c r="AS884" s="403"/>
      <c r="AT884" s="403"/>
      <c r="AU884" s="403"/>
      <c r="AV884" s="403"/>
      <c r="AW884" s="403"/>
      <c r="AX884" s="403"/>
      <c r="AY884" s="403"/>
    </row>
    <row r="885">
      <c r="A885" s="415"/>
      <c r="B885" s="415"/>
      <c r="C885" s="410"/>
      <c r="D885" s="429"/>
      <c r="E885" s="416"/>
      <c r="F885" s="413"/>
      <c r="G885" s="413"/>
      <c r="H885" s="415"/>
      <c r="I885" s="415"/>
      <c r="J885" s="415"/>
      <c r="K885" s="415"/>
      <c r="L885" s="417"/>
      <c r="M885" s="403"/>
      <c r="N885" s="403"/>
      <c r="O885" s="403"/>
      <c r="P885" s="403"/>
      <c r="Q885" s="403"/>
      <c r="R885" s="403"/>
      <c r="S885" s="403"/>
      <c r="T885" s="403"/>
      <c r="U885" s="403"/>
      <c r="V885" s="403"/>
      <c r="W885" s="404"/>
      <c r="X885" s="405"/>
      <c r="Y885" s="405"/>
      <c r="Z885" s="405"/>
      <c r="AA885" s="405"/>
      <c r="AB885" s="405"/>
      <c r="AC885" s="405"/>
      <c r="AD885" s="405"/>
      <c r="AE885" s="405"/>
      <c r="AF885" s="405"/>
      <c r="AG885" s="405"/>
      <c r="AH885" s="405"/>
      <c r="AI885" s="405"/>
      <c r="AJ885" s="405"/>
      <c r="AK885" s="405"/>
      <c r="AL885" s="405"/>
      <c r="AM885" s="406"/>
      <c r="AN885" s="406"/>
      <c r="AO885" s="406"/>
      <c r="AP885" s="406"/>
      <c r="AQ885" s="403"/>
      <c r="AR885" s="403"/>
      <c r="AS885" s="403"/>
      <c r="AT885" s="403"/>
      <c r="AU885" s="403"/>
      <c r="AV885" s="403"/>
      <c r="AW885" s="403"/>
      <c r="AX885" s="403"/>
      <c r="AY885" s="403"/>
    </row>
    <row r="886">
      <c r="A886" s="415"/>
      <c r="B886" s="415"/>
      <c r="C886" s="410"/>
      <c r="D886" s="429"/>
      <c r="E886" s="416"/>
      <c r="F886" s="413"/>
      <c r="G886" s="413"/>
      <c r="H886" s="415"/>
      <c r="I886" s="415"/>
      <c r="J886" s="415"/>
      <c r="K886" s="415"/>
      <c r="L886" s="417"/>
      <c r="M886" s="403"/>
      <c r="N886" s="403"/>
      <c r="O886" s="403"/>
      <c r="P886" s="403"/>
      <c r="Q886" s="403"/>
      <c r="R886" s="403"/>
      <c r="S886" s="403"/>
      <c r="T886" s="403"/>
      <c r="U886" s="403"/>
      <c r="V886" s="403"/>
      <c r="W886" s="404"/>
      <c r="X886" s="405"/>
      <c r="Y886" s="405"/>
      <c r="Z886" s="405"/>
      <c r="AA886" s="405"/>
      <c r="AB886" s="405"/>
      <c r="AC886" s="405"/>
      <c r="AD886" s="405"/>
      <c r="AE886" s="405"/>
      <c r="AF886" s="405"/>
      <c r="AG886" s="405"/>
      <c r="AH886" s="405"/>
      <c r="AI886" s="405"/>
      <c r="AJ886" s="405"/>
      <c r="AK886" s="405"/>
      <c r="AL886" s="405"/>
      <c r="AM886" s="406"/>
      <c r="AN886" s="406"/>
      <c r="AO886" s="406"/>
      <c r="AP886" s="406"/>
      <c r="AQ886" s="403"/>
      <c r="AR886" s="403"/>
      <c r="AS886" s="403"/>
      <c r="AT886" s="403"/>
      <c r="AU886" s="403"/>
      <c r="AV886" s="403"/>
      <c r="AW886" s="403"/>
      <c r="AX886" s="403"/>
      <c r="AY886" s="403"/>
    </row>
    <row r="887">
      <c r="A887" s="415"/>
      <c r="B887" s="415"/>
      <c r="C887" s="410"/>
      <c r="D887" s="429"/>
      <c r="E887" s="416"/>
      <c r="F887" s="413"/>
      <c r="G887" s="413"/>
      <c r="H887" s="415"/>
      <c r="I887" s="415"/>
      <c r="J887" s="415"/>
      <c r="K887" s="415"/>
      <c r="L887" s="417"/>
      <c r="M887" s="403"/>
      <c r="N887" s="403"/>
      <c r="O887" s="403"/>
      <c r="P887" s="403"/>
      <c r="Q887" s="403"/>
      <c r="R887" s="403"/>
      <c r="S887" s="403"/>
      <c r="T887" s="403"/>
      <c r="U887" s="403"/>
      <c r="V887" s="403"/>
      <c r="W887" s="404"/>
      <c r="X887" s="405"/>
      <c r="Y887" s="405"/>
      <c r="Z887" s="405"/>
      <c r="AA887" s="405"/>
      <c r="AB887" s="405"/>
      <c r="AC887" s="405"/>
      <c r="AD887" s="405"/>
      <c r="AE887" s="405"/>
      <c r="AF887" s="405"/>
      <c r="AG887" s="405"/>
      <c r="AH887" s="405"/>
      <c r="AI887" s="405"/>
      <c r="AJ887" s="405"/>
      <c r="AK887" s="405"/>
      <c r="AL887" s="405"/>
      <c r="AM887" s="406"/>
      <c r="AN887" s="406"/>
      <c r="AO887" s="406"/>
      <c r="AP887" s="406"/>
      <c r="AQ887" s="403"/>
      <c r="AR887" s="403"/>
      <c r="AS887" s="403"/>
      <c r="AT887" s="403"/>
      <c r="AU887" s="403"/>
      <c r="AV887" s="403"/>
      <c r="AW887" s="403"/>
      <c r="AX887" s="403"/>
      <c r="AY887" s="403"/>
    </row>
    <row r="888">
      <c r="A888" s="415"/>
      <c r="B888" s="415"/>
      <c r="C888" s="410"/>
      <c r="D888" s="429"/>
      <c r="E888" s="416"/>
      <c r="F888" s="413"/>
      <c r="G888" s="413"/>
      <c r="H888" s="415"/>
      <c r="I888" s="415"/>
      <c r="J888" s="415"/>
      <c r="K888" s="415"/>
      <c r="L888" s="417"/>
      <c r="M888" s="403"/>
      <c r="N888" s="403"/>
      <c r="O888" s="403"/>
      <c r="P888" s="403"/>
      <c r="Q888" s="403"/>
      <c r="R888" s="403"/>
      <c r="S888" s="403"/>
      <c r="T888" s="403"/>
      <c r="U888" s="403"/>
      <c r="V888" s="403"/>
      <c r="W888" s="404"/>
      <c r="X888" s="405"/>
      <c r="Y888" s="405"/>
      <c r="Z888" s="405"/>
      <c r="AA888" s="405"/>
      <c r="AB888" s="405"/>
      <c r="AC888" s="405"/>
      <c r="AD888" s="405"/>
      <c r="AE888" s="405"/>
      <c r="AF888" s="405"/>
      <c r="AG888" s="405"/>
      <c r="AH888" s="405"/>
      <c r="AI888" s="405"/>
      <c r="AJ888" s="405"/>
      <c r="AK888" s="405"/>
      <c r="AL888" s="405"/>
      <c r="AM888" s="406"/>
      <c r="AN888" s="406"/>
      <c r="AO888" s="406"/>
      <c r="AP888" s="406"/>
      <c r="AQ888" s="403"/>
      <c r="AR888" s="403"/>
      <c r="AS888" s="403"/>
      <c r="AT888" s="403"/>
      <c r="AU888" s="403"/>
      <c r="AV888" s="403"/>
      <c r="AW888" s="403"/>
      <c r="AX888" s="403"/>
      <c r="AY888" s="403"/>
    </row>
    <row r="889">
      <c r="A889" s="415"/>
      <c r="B889" s="415"/>
      <c r="C889" s="410"/>
      <c r="D889" s="429"/>
      <c r="E889" s="416"/>
      <c r="F889" s="413"/>
      <c r="G889" s="413"/>
      <c r="H889" s="415"/>
      <c r="I889" s="415"/>
      <c r="J889" s="415"/>
      <c r="K889" s="415"/>
      <c r="L889" s="417"/>
      <c r="M889" s="403"/>
      <c r="N889" s="403"/>
      <c r="O889" s="403"/>
      <c r="P889" s="403"/>
      <c r="Q889" s="403"/>
      <c r="R889" s="403"/>
      <c r="S889" s="403"/>
      <c r="T889" s="403"/>
      <c r="U889" s="403"/>
      <c r="V889" s="403"/>
      <c r="W889" s="404"/>
      <c r="X889" s="405"/>
      <c r="Y889" s="405"/>
      <c r="Z889" s="405"/>
      <c r="AA889" s="405"/>
      <c r="AB889" s="405"/>
      <c r="AC889" s="405"/>
      <c r="AD889" s="405"/>
      <c r="AE889" s="405"/>
      <c r="AF889" s="405"/>
      <c r="AG889" s="405"/>
      <c r="AH889" s="405"/>
      <c r="AI889" s="405"/>
      <c r="AJ889" s="405"/>
      <c r="AK889" s="405"/>
      <c r="AL889" s="405"/>
      <c r="AM889" s="406"/>
      <c r="AN889" s="406"/>
      <c r="AO889" s="406"/>
      <c r="AP889" s="406"/>
      <c r="AQ889" s="403"/>
      <c r="AR889" s="403"/>
      <c r="AS889" s="403"/>
      <c r="AT889" s="403"/>
      <c r="AU889" s="403"/>
      <c r="AV889" s="403"/>
      <c r="AW889" s="403"/>
      <c r="AX889" s="403"/>
      <c r="AY889" s="403"/>
    </row>
    <row r="890">
      <c r="A890" s="415"/>
      <c r="B890" s="415"/>
      <c r="C890" s="410"/>
      <c r="D890" s="429"/>
      <c r="E890" s="416"/>
      <c r="F890" s="413"/>
      <c r="G890" s="413"/>
      <c r="H890" s="415"/>
      <c r="I890" s="415"/>
      <c r="J890" s="415"/>
      <c r="K890" s="415"/>
      <c r="L890" s="417"/>
      <c r="M890" s="403"/>
      <c r="N890" s="403"/>
      <c r="O890" s="403"/>
      <c r="P890" s="403"/>
      <c r="Q890" s="403"/>
      <c r="R890" s="403"/>
      <c r="S890" s="403"/>
      <c r="T890" s="403"/>
      <c r="U890" s="403"/>
      <c r="V890" s="403"/>
      <c r="W890" s="404"/>
      <c r="X890" s="405"/>
      <c r="Y890" s="405"/>
      <c r="Z890" s="405"/>
      <c r="AA890" s="405"/>
      <c r="AB890" s="405"/>
      <c r="AC890" s="405"/>
      <c r="AD890" s="405"/>
      <c r="AE890" s="405"/>
      <c r="AF890" s="405"/>
      <c r="AG890" s="405"/>
      <c r="AH890" s="405"/>
      <c r="AI890" s="405"/>
      <c r="AJ890" s="405"/>
      <c r="AK890" s="405"/>
      <c r="AL890" s="405"/>
      <c r="AM890" s="406"/>
      <c r="AN890" s="406"/>
      <c r="AO890" s="406"/>
      <c r="AP890" s="406"/>
      <c r="AQ890" s="403"/>
      <c r="AR890" s="403"/>
      <c r="AS890" s="403"/>
      <c r="AT890" s="403"/>
      <c r="AU890" s="403"/>
      <c r="AV890" s="403"/>
      <c r="AW890" s="403"/>
      <c r="AX890" s="403"/>
      <c r="AY890" s="403"/>
    </row>
    <row r="891">
      <c r="A891" s="415"/>
      <c r="B891" s="415"/>
      <c r="C891" s="410"/>
      <c r="D891" s="429"/>
      <c r="E891" s="416"/>
      <c r="F891" s="413"/>
      <c r="G891" s="413"/>
      <c r="H891" s="415"/>
      <c r="I891" s="415"/>
      <c r="J891" s="415"/>
      <c r="K891" s="415"/>
      <c r="L891" s="417"/>
      <c r="M891" s="403"/>
      <c r="N891" s="403"/>
      <c r="O891" s="403"/>
      <c r="P891" s="403"/>
      <c r="Q891" s="403"/>
      <c r="R891" s="403"/>
      <c r="S891" s="403"/>
      <c r="T891" s="403"/>
      <c r="U891" s="403"/>
      <c r="V891" s="403"/>
      <c r="W891" s="404"/>
      <c r="X891" s="405"/>
      <c r="Y891" s="405"/>
      <c r="Z891" s="405"/>
      <c r="AA891" s="405"/>
      <c r="AB891" s="405"/>
      <c r="AC891" s="405"/>
      <c r="AD891" s="405"/>
      <c r="AE891" s="405"/>
      <c r="AF891" s="405"/>
      <c r="AG891" s="405"/>
      <c r="AH891" s="405"/>
      <c r="AI891" s="405"/>
      <c r="AJ891" s="405"/>
      <c r="AK891" s="405"/>
      <c r="AL891" s="405"/>
      <c r="AM891" s="406"/>
      <c r="AN891" s="406"/>
      <c r="AO891" s="406"/>
      <c r="AP891" s="406"/>
      <c r="AQ891" s="403"/>
      <c r="AR891" s="403"/>
      <c r="AS891" s="403"/>
      <c r="AT891" s="403"/>
      <c r="AU891" s="403"/>
      <c r="AV891" s="403"/>
      <c r="AW891" s="403"/>
      <c r="AX891" s="403"/>
      <c r="AY891" s="403"/>
    </row>
    <row r="892">
      <c r="A892" s="415"/>
      <c r="B892" s="415"/>
      <c r="C892" s="410"/>
      <c r="D892" s="429"/>
      <c r="E892" s="416"/>
      <c r="F892" s="413"/>
      <c r="G892" s="413"/>
      <c r="H892" s="415"/>
      <c r="I892" s="415"/>
      <c r="J892" s="415"/>
      <c r="K892" s="415"/>
      <c r="L892" s="417"/>
      <c r="M892" s="403"/>
      <c r="N892" s="403"/>
      <c r="O892" s="403"/>
      <c r="P892" s="403"/>
      <c r="Q892" s="403"/>
      <c r="R892" s="403"/>
      <c r="S892" s="403"/>
      <c r="T892" s="403"/>
      <c r="U892" s="403"/>
      <c r="V892" s="403"/>
      <c r="W892" s="404"/>
      <c r="X892" s="405"/>
      <c r="Y892" s="405"/>
      <c r="Z892" s="405"/>
      <c r="AA892" s="405"/>
      <c r="AB892" s="405"/>
      <c r="AC892" s="405"/>
      <c r="AD892" s="405"/>
      <c r="AE892" s="405"/>
      <c r="AF892" s="405"/>
      <c r="AG892" s="405"/>
      <c r="AH892" s="405"/>
      <c r="AI892" s="405"/>
      <c r="AJ892" s="405"/>
      <c r="AK892" s="405"/>
      <c r="AL892" s="405"/>
      <c r="AM892" s="406"/>
      <c r="AN892" s="406"/>
      <c r="AO892" s="406"/>
      <c r="AP892" s="406"/>
      <c r="AQ892" s="403"/>
      <c r="AR892" s="403"/>
      <c r="AS892" s="403"/>
      <c r="AT892" s="403"/>
      <c r="AU892" s="403"/>
      <c r="AV892" s="403"/>
      <c r="AW892" s="403"/>
      <c r="AX892" s="403"/>
      <c r="AY892" s="403"/>
    </row>
    <row r="893">
      <c r="A893" s="415"/>
      <c r="B893" s="415"/>
      <c r="C893" s="410"/>
      <c r="D893" s="429"/>
      <c r="E893" s="416"/>
      <c r="F893" s="413"/>
      <c r="G893" s="413"/>
      <c r="H893" s="415"/>
      <c r="I893" s="415"/>
      <c r="J893" s="415"/>
      <c r="K893" s="415"/>
      <c r="L893" s="417"/>
      <c r="M893" s="403"/>
      <c r="N893" s="403"/>
      <c r="O893" s="403"/>
      <c r="P893" s="403"/>
      <c r="Q893" s="403"/>
      <c r="R893" s="403"/>
      <c r="S893" s="403"/>
      <c r="T893" s="403"/>
      <c r="U893" s="403"/>
      <c r="V893" s="403"/>
      <c r="W893" s="404"/>
      <c r="X893" s="405"/>
      <c r="Y893" s="405"/>
      <c r="Z893" s="405"/>
      <c r="AA893" s="405"/>
      <c r="AB893" s="405"/>
      <c r="AC893" s="405"/>
      <c r="AD893" s="405"/>
      <c r="AE893" s="405"/>
      <c r="AF893" s="405"/>
      <c r="AG893" s="405"/>
      <c r="AH893" s="405"/>
      <c r="AI893" s="405"/>
      <c r="AJ893" s="405"/>
      <c r="AK893" s="405"/>
      <c r="AL893" s="405"/>
      <c r="AM893" s="406"/>
      <c r="AN893" s="406"/>
      <c r="AO893" s="406"/>
      <c r="AP893" s="406"/>
      <c r="AQ893" s="403"/>
      <c r="AR893" s="403"/>
      <c r="AS893" s="403"/>
      <c r="AT893" s="403"/>
      <c r="AU893" s="403"/>
      <c r="AV893" s="403"/>
      <c r="AW893" s="403"/>
      <c r="AX893" s="403"/>
      <c r="AY893" s="403"/>
    </row>
    <row r="894">
      <c r="A894" s="415"/>
      <c r="B894" s="415"/>
      <c r="C894" s="410"/>
      <c r="D894" s="429"/>
      <c r="E894" s="416"/>
      <c r="F894" s="413"/>
      <c r="G894" s="413"/>
      <c r="H894" s="415"/>
      <c r="I894" s="415"/>
      <c r="J894" s="415"/>
      <c r="K894" s="415"/>
      <c r="L894" s="417"/>
      <c r="M894" s="403"/>
      <c r="N894" s="403"/>
      <c r="O894" s="403"/>
      <c r="P894" s="403"/>
      <c r="Q894" s="403"/>
      <c r="R894" s="403"/>
      <c r="S894" s="403"/>
      <c r="T894" s="403"/>
      <c r="U894" s="403"/>
      <c r="V894" s="403"/>
      <c r="W894" s="404"/>
      <c r="X894" s="405"/>
      <c r="Y894" s="405"/>
      <c r="Z894" s="405"/>
      <c r="AA894" s="405"/>
      <c r="AB894" s="405"/>
      <c r="AC894" s="405"/>
      <c r="AD894" s="405"/>
      <c r="AE894" s="405"/>
      <c r="AF894" s="405"/>
      <c r="AG894" s="405"/>
      <c r="AH894" s="405"/>
      <c r="AI894" s="405"/>
      <c r="AJ894" s="405"/>
      <c r="AK894" s="405"/>
      <c r="AL894" s="405"/>
      <c r="AM894" s="406"/>
      <c r="AN894" s="406"/>
      <c r="AO894" s="406"/>
      <c r="AP894" s="406"/>
      <c r="AQ894" s="403"/>
      <c r="AR894" s="403"/>
      <c r="AS894" s="403"/>
      <c r="AT894" s="403"/>
      <c r="AU894" s="403"/>
      <c r="AV894" s="403"/>
      <c r="AW894" s="403"/>
      <c r="AX894" s="403"/>
      <c r="AY894" s="403"/>
    </row>
    <row r="895">
      <c r="A895" s="415"/>
      <c r="B895" s="415"/>
      <c r="C895" s="410"/>
      <c r="D895" s="429"/>
      <c r="E895" s="416"/>
      <c r="F895" s="413"/>
      <c r="G895" s="413"/>
      <c r="H895" s="415"/>
      <c r="I895" s="415"/>
      <c r="J895" s="415"/>
      <c r="K895" s="415"/>
      <c r="L895" s="417"/>
      <c r="M895" s="403"/>
      <c r="N895" s="403"/>
      <c r="O895" s="403"/>
      <c r="P895" s="403"/>
      <c r="Q895" s="403"/>
      <c r="R895" s="403"/>
      <c r="S895" s="403"/>
      <c r="T895" s="403"/>
      <c r="U895" s="403"/>
      <c r="V895" s="403"/>
      <c r="W895" s="404"/>
      <c r="X895" s="405"/>
      <c r="Y895" s="405"/>
      <c r="Z895" s="405"/>
      <c r="AA895" s="405"/>
      <c r="AB895" s="405"/>
      <c r="AC895" s="405"/>
      <c r="AD895" s="405"/>
      <c r="AE895" s="405"/>
      <c r="AF895" s="405"/>
      <c r="AG895" s="405"/>
      <c r="AH895" s="405"/>
      <c r="AI895" s="405"/>
      <c r="AJ895" s="405"/>
      <c r="AK895" s="405"/>
      <c r="AL895" s="405"/>
      <c r="AM895" s="406"/>
      <c r="AN895" s="406"/>
      <c r="AO895" s="406"/>
      <c r="AP895" s="406"/>
      <c r="AQ895" s="403"/>
      <c r="AR895" s="403"/>
      <c r="AS895" s="403"/>
      <c r="AT895" s="403"/>
      <c r="AU895" s="403"/>
      <c r="AV895" s="403"/>
      <c r="AW895" s="403"/>
      <c r="AX895" s="403"/>
      <c r="AY895" s="403"/>
    </row>
    <row r="896">
      <c r="A896" s="415"/>
      <c r="B896" s="415"/>
      <c r="C896" s="410"/>
      <c r="D896" s="429"/>
      <c r="E896" s="416"/>
      <c r="F896" s="413"/>
      <c r="G896" s="413"/>
      <c r="H896" s="415"/>
      <c r="I896" s="415"/>
      <c r="J896" s="415"/>
      <c r="K896" s="415"/>
      <c r="L896" s="417"/>
      <c r="M896" s="403"/>
      <c r="N896" s="403"/>
      <c r="O896" s="403"/>
      <c r="P896" s="403"/>
      <c r="Q896" s="403"/>
      <c r="R896" s="403"/>
      <c r="S896" s="403"/>
      <c r="T896" s="403"/>
      <c r="U896" s="403"/>
      <c r="V896" s="403"/>
      <c r="W896" s="404"/>
      <c r="X896" s="405"/>
      <c r="Y896" s="405"/>
      <c r="Z896" s="405"/>
      <c r="AA896" s="405"/>
      <c r="AB896" s="405"/>
      <c r="AC896" s="405"/>
      <c r="AD896" s="405"/>
      <c r="AE896" s="405"/>
      <c r="AF896" s="405"/>
      <c r="AG896" s="405"/>
      <c r="AH896" s="405"/>
      <c r="AI896" s="405"/>
      <c r="AJ896" s="405"/>
      <c r="AK896" s="405"/>
      <c r="AL896" s="405"/>
      <c r="AM896" s="406"/>
      <c r="AN896" s="406"/>
      <c r="AO896" s="406"/>
      <c r="AP896" s="406"/>
      <c r="AQ896" s="403"/>
      <c r="AR896" s="403"/>
      <c r="AS896" s="403"/>
      <c r="AT896" s="403"/>
      <c r="AU896" s="403"/>
      <c r="AV896" s="403"/>
      <c r="AW896" s="403"/>
      <c r="AX896" s="403"/>
      <c r="AY896" s="403"/>
    </row>
    <row r="897">
      <c r="A897" s="415"/>
      <c r="B897" s="415"/>
      <c r="C897" s="410"/>
      <c r="D897" s="429"/>
      <c r="E897" s="416"/>
      <c r="F897" s="413"/>
      <c r="G897" s="413"/>
      <c r="H897" s="415"/>
      <c r="I897" s="415"/>
      <c r="J897" s="415"/>
      <c r="K897" s="415"/>
      <c r="L897" s="417"/>
      <c r="M897" s="403"/>
      <c r="N897" s="403"/>
      <c r="O897" s="403"/>
      <c r="P897" s="403"/>
      <c r="Q897" s="403"/>
      <c r="R897" s="403"/>
      <c r="S897" s="403"/>
      <c r="T897" s="403"/>
      <c r="U897" s="403"/>
      <c r="V897" s="403"/>
      <c r="W897" s="404"/>
      <c r="X897" s="405"/>
      <c r="Y897" s="405"/>
      <c r="Z897" s="405"/>
      <c r="AA897" s="405"/>
      <c r="AB897" s="405"/>
      <c r="AC897" s="405"/>
      <c r="AD897" s="405"/>
      <c r="AE897" s="405"/>
      <c r="AF897" s="405"/>
      <c r="AG897" s="405"/>
      <c r="AH897" s="405"/>
      <c r="AI897" s="405"/>
      <c r="AJ897" s="405"/>
      <c r="AK897" s="405"/>
      <c r="AL897" s="405"/>
      <c r="AM897" s="406"/>
      <c r="AN897" s="406"/>
      <c r="AO897" s="406"/>
      <c r="AP897" s="406"/>
      <c r="AQ897" s="403"/>
      <c r="AR897" s="403"/>
      <c r="AS897" s="403"/>
      <c r="AT897" s="403"/>
      <c r="AU897" s="403"/>
      <c r="AV897" s="403"/>
      <c r="AW897" s="403"/>
      <c r="AX897" s="403"/>
      <c r="AY897" s="403"/>
    </row>
    <row r="898">
      <c r="A898" s="415"/>
      <c r="B898" s="415"/>
      <c r="C898" s="410"/>
      <c r="D898" s="429"/>
      <c r="E898" s="416"/>
      <c r="F898" s="413"/>
      <c r="G898" s="413"/>
      <c r="H898" s="415"/>
      <c r="I898" s="415"/>
      <c r="J898" s="415"/>
      <c r="K898" s="415"/>
      <c r="L898" s="417"/>
      <c r="M898" s="403"/>
      <c r="N898" s="403"/>
      <c r="O898" s="403"/>
      <c r="P898" s="403"/>
      <c r="Q898" s="403"/>
      <c r="R898" s="403"/>
      <c r="S898" s="403"/>
      <c r="T898" s="403"/>
      <c r="U898" s="403"/>
      <c r="V898" s="403"/>
      <c r="W898" s="404"/>
      <c r="X898" s="405"/>
      <c r="Y898" s="405"/>
      <c r="Z898" s="405"/>
      <c r="AA898" s="405"/>
      <c r="AB898" s="405"/>
      <c r="AC898" s="405"/>
      <c r="AD898" s="405"/>
      <c r="AE898" s="405"/>
      <c r="AF898" s="405"/>
      <c r="AG898" s="405"/>
      <c r="AH898" s="405"/>
      <c r="AI898" s="405"/>
      <c r="AJ898" s="405"/>
      <c r="AK898" s="405"/>
      <c r="AL898" s="405"/>
      <c r="AM898" s="406"/>
      <c r="AN898" s="406"/>
      <c r="AO898" s="406"/>
      <c r="AP898" s="406"/>
      <c r="AQ898" s="403"/>
      <c r="AR898" s="403"/>
      <c r="AS898" s="403"/>
      <c r="AT898" s="403"/>
      <c r="AU898" s="403"/>
      <c r="AV898" s="403"/>
      <c r="AW898" s="403"/>
      <c r="AX898" s="403"/>
      <c r="AY898" s="403"/>
    </row>
    <row r="899">
      <c r="A899" s="415"/>
      <c r="B899" s="415"/>
      <c r="C899" s="410"/>
      <c r="D899" s="429"/>
      <c r="E899" s="416"/>
      <c r="F899" s="413"/>
      <c r="G899" s="413"/>
      <c r="H899" s="415"/>
      <c r="I899" s="415"/>
      <c r="J899" s="415"/>
      <c r="K899" s="415"/>
      <c r="L899" s="417"/>
      <c r="M899" s="403"/>
      <c r="N899" s="403"/>
      <c r="O899" s="403"/>
      <c r="P899" s="403"/>
      <c r="Q899" s="403"/>
      <c r="R899" s="403"/>
      <c r="S899" s="403"/>
      <c r="T899" s="403"/>
      <c r="U899" s="403"/>
      <c r="V899" s="403"/>
      <c r="W899" s="404"/>
      <c r="X899" s="405"/>
      <c r="Y899" s="405"/>
      <c r="Z899" s="405"/>
      <c r="AA899" s="405"/>
      <c r="AB899" s="405"/>
      <c r="AC899" s="405"/>
      <c r="AD899" s="405"/>
      <c r="AE899" s="405"/>
      <c r="AF899" s="405"/>
      <c r="AG899" s="405"/>
      <c r="AH899" s="405"/>
      <c r="AI899" s="405"/>
      <c r="AJ899" s="405"/>
      <c r="AK899" s="405"/>
      <c r="AL899" s="405"/>
      <c r="AM899" s="406"/>
      <c r="AN899" s="406"/>
      <c r="AO899" s="406"/>
      <c r="AP899" s="406"/>
      <c r="AQ899" s="403"/>
      <c r="AR899" s="403"/>
      <c r="AS899" s="403"/>
      <c r="AT899" s="403"/>
      <c r="AU899" s="403"/>
      <c r="AV899" s="403"/>
      <c r="AW899" s="403"/>
      <c r="AX899" s="403"/>
      <c r="AY899" s="403"/>
    </row>
    <row r="900">
      <c r="A900" s="415"/>
      <c r="B900" s="415"/>
      <c r="C900" s="410"/>
      <c r="D900" s="429"/>
      <c r="E900" s="416"/>
      <c r="F900" s="413"/>
      <c r="G900" s="413"/>
      <c r="H900" s="415"/>
      <c r="I900" s="415"/>
      <c r="J900" s="415"/>
      <c r="K900" s="415"/>
      <c r="L900" s="417"/>
      <c r="M900" s="403"/>
      <c r="N900" s="403"/>
      <c r="O900" s="403"/>
      <c r="P900" s="403"/>
      <c r="Q900" s="403"/>
      <c r="R900" s="403"/>
      <c r="S900" s="403"/>
      <c r="T900" s="403"/>
      <c r="U900" s="403"/>
      <c r="V900" s="403"/>
      <c r="W900" s="404"/>
      <c r="X900" s="405"/>
      <c r="Y900" s="405"/>
      <c r="Z900" s="405"/>
      <c r="AA900" s="405"/>
      <c r="AB900" s="405"/>
      <c r="AC900" s="405"/>
      <c r="AD900" s="405"/>
      <c r="AE900" s="405"/>
      <c r="AF900" s="405"/>
      <c r="AG900" s="405"/>
      <c r="AH900" s="405"/>
      <c r="AI900" s="405"/>
      <c r="AJ900" s="405"/>
      <c r="AK900" s="405"/>
      <c r="AL900" s="405"/>
      <c r="AM900" s="406"/>
      <c r="AN900" s="406"/>
      <c r="AO900" s="406"/>
      <c r="AP900" s="406"/>
      <c r="AQ900" s="403"/>
      <c r="AR900" s="403"/>
      <c r="AS900" s="403"/>
      <c r="AT900" s="403"/>
      <c r="AU900" s="403"/>
      <c r="AV900" s="403"/>
      <c r="AW900" s="403"/>
      <c r="AX900" s="403"/>
      <c r="AY900" s="403"/>
    </row>
    <row r="901">
      <c r="A901" s="415"/>
      <c r="B901" s="415"/>
      <c r="C901" s="410"/>
      <c r="D901" s="429"/>
      <c r="E901" s="416"/>
      <c r="F901" s="413"/>
      <c r="G901" s="413"/>
      <c r="H901" s="415"/>
      <c r="I901" s="415"/>
      <c r="J901" s="415"/>
      <c r="K901" s="415"/>
      <c r="L901" s="417"/>
      <c r="M901" s="403"/>
      <c r="N901" s="403"/>
      <c r="O901" s="403"/>
      <c r="P901" s="403"/>
      <c r="Q901" s="403"/>
      <c r="R901" s="403"/>
      <c r="S901" s="403"/>
      <c r="T901" s="403"/>
      <c r="U901" s="403"/>
      <c r="V901" s="403"/>
      <c r="W901" s="404"/>
      <c r="X901" s="405"/>
      <c r="Y901" s="405"/>
      <c r="Z901" s="405"/>
      <c r="AA901" s="405"/>
      <c r="AB901" s="405"/>
      <c r="AC901" s="405"/>
      <c r="AD901" s="405"/>
      <c r="AE901" s="405"/>
      <c r="AF901" s="405"/>
      <c r="AG901" s="405"/>
      <c r="AH901" s="405"/>
      <c r="AI901" s="405"/>
      <c r="AJ901" s="405"/>
      <c r="AK901" s="405"/>
      <c r="AL901" s="405"/>
      <c r="AM901" s="406"/>
      <c r="AN901" s="406"/>
      <c r="AO901" s="406"/>
      <c r="AP901" s="406"/>
      <c r="AQ901" s="403"/>
      <c r="AR901" s="403"/>
      <c r="AS901" s="403"/>
      <c r="AT901" s="403"/>
      <c r="AU901" s="403"/>
      <c r="AV901" s="403"/>
      <c r="AW901" s="403"/>
      <c r="AX901" s="403"/>
      <c r="AY901" s="403"/>
    </row>
    <row r="902">
      <c r="A902" s="415"/>
      <c r="B902" s="415"/>
      <c r="C902" s="410"/>
      <c r="D902" s="429"/>
      <c r="E902" s="416"/>
      <c r="F902" s="413"/>
      <c r="G902" s="413"/>
      <c r="H902" s="415"/>
      <c r="I902" s="415"/>
      <c r="J902" s="415"/>
      <c r="K902" s="415"/>
      <c r="L902" s="417"/>
      <c r="M902" s="403"/>
      <c r="N902" s="403"/>
      <c r="O902" s="403"/>
      <c r="P902" s="403"/>
      <c r="Q902" s="403"/>
      <c r="R902" s="403"/>
      <c r="S902" s="403"/>
      <c r="T902" s="403"/>
      <c r="U902" s="403"/>
      <c r="V902" s="403"/>
      <c r="W902" s="404"/>
      <c r="X902" s="405"/>
      <c r="Y902" s="405"/>
      <c r="Z902" s="405"/>
      <c r="AA902" s="405"/>
      <c r="AB902" s="405"/>
      <c r="AC902" s="405"/>
      <c r="AD902" s="405"/>
      <c r="AE902" s="405"/>
      <c r="AF902" s="405"/>
      <c r="AG902" s="405"/>
      <c r="AH902" s="405"/>
      <c r="AI902" s="405"/>
      <c r="AJ902" s="405"/>
      <c r="AK902" s="405"/>
      <c r="AL902" s="405"/>
      <c r="AM902" s="406"/>
      <c r="AN902" s="406"/>
      <c r="AO902" s="406"/>
      <c r="AP902" s="406"/>
      <c r="AQ902" s="403"/>
      <c r="AR902" s="403"/>
      <c r="AS902" s="403"/>
      <c r="AT902" s="403"/>
      <c r="AU902" s="403"/>
      <c r="AV902" s="403"/>
      <c r="AW902" s="403"/>
      <c r="AX902" s="403"/>
      <c r="AY902" s="403"/>
    </row>
    <row r="903">
      <c r="A903" s="415"/>
      <c r="B903" s="415"/>
      <c r="C903" s="410"/>
      <c r="D903" s="429"/>
      <c r="E903" s="416"/>
      <c r="F903" s="413"/>
      <c r="G903" s="413"/>
      <c r="H903" s="415"/>
      <c r="I903" s="415"/>
      <c r="J903" s="415"/>
      <c r="K903" s="415"/>
      <c r="L903" s="417"/>
      <c r="M903" s="403"/>
      <c r="N903" s="403"/>
      <c r="O903" s="403"/>
      <c r="P903" s="403"/>
      <c r="Q903" s="403"/>
      <c r="R903" s="403"/>
      <c r="S903" s="403"/>
      <c r="T903" s="403"/>
      <c r="U903" s="403"/>
      <c r="V903" s="403"/>
      <c r="W903" s="404"/>
      <c r="X903" s="405"/>
      <c r="Y903" s="405"/>
      <c r="Z903" s="405"/>
      <c r="AA903" s="405"/>
      <c r="AB903" s="405"/>
      <c r="AC903" s="405"/>
      <c r="AD903" s="405"/>
      <c r="AE903" s="405"/>
      <c r="AF903" s="405"/>
      <c r="AG903" s="405"/>
      <c r="AH903" s="405"/>
      <c r="AI903" s="405"/>
      <c r="AJ903" s="405"/>
      <c r="AK903" s="405"/>
      <c r="AL903" s="405"/>
      <c r="AM903" s="406"/>
      <c r="AN903" s="406"/>
      <c r="AO903" s="406"/>
      <c r="AP903" s="406"/>
      <c r="AQ903" s="403"/>
      <c r="AR903" s="403"/>
      <c r="AS903" s="403"/>
      <c r="AT903" s="403"/>
      <c r="AU903" s="403"/>
      <c r="AV903" s="403"/>
      <c r="AW903" s="403"/>
      <c r="AX903" s="403"/>
      <c r="AY903" s="403"/>
    </row>
    <row r="904">
      <c r="A904" s="415"/>
      <c r="B904" s="415"/>
      <c r="C904" s="410"/>
      <c r="D904" s="429"/>
      <c r="E904" s="416"/>
      <c r="F904" s="413"/>
      <c r="G904" s="413"/>
      <c r="H904" s="415"/>
      <c r="I904" s="415"/>
      <c r="J904" s="415"/>
      <c r="K904" s="415"/>
      <c r="L904" s="417"/>
      <c r="M904" s="403"/>
      <c r="N904" s="403"/>
      <c r="O904" s="403"/>
      <c r="P904" s="403"/>
      <c r="Q904" s="403"/>
      <c r="R904" s="403"/>
      <c r="S904" s="403"/>
      <c r="T904" s="403"/>
      <c r="U904" s="403"/>
      <c r="V904" s="403"/>
      <c r="W904" s="404"/>
      <c r="X904" s="405"/>
      <c r="Y904" s="405"/>
      <c r="Z904" s="405"/>
      <c r="AA904" s="405"/>
      <c r="AB904" s="405"/>
      <c r="AC904" s="405"/>
      <c r="AD904" s="405"/>
      <c r="AE904" s="405"/>
      <c r="AF904" s="405"/>
      <c r="AG904" s="405"/>
      <c r="AH904" s="405"/>
      <c r="AI904" s="405"/>
      <c r="AJ904" s="405"/>
      <c r="AK904" s="405"/>
      <c r="AL904" s="405"/>
      <c r="AM904" s="406"/>
      <c r="AN904" s="406"/>
      <c r="AO904" s="406"/>
      <c r="AP904" s="406"/>
      <c r="AQ904" s="403"/>
      <c r="AR904" s="403"/>
      <c r="AS904" s="403"/>
      <c r="AT904" s="403"/>
      <c r="AU904" s="403"/>
      <c r="AV904" s="403"/>
      <c r="AW904" s="403"/>
      <c r="AX904" s="403"/>
      <c r="AY904" s="403"/>
    </row>
    <row r="905">
      <c r="A905" s="415"/>
      <c r="B905" s="415"/>
      <c r="C905" s="410"/>
      <c r="D905" s="429"/>
      <c r="E905" s="416"/>
      <c r="F905" s="413"/>
      <c r="G905" s="413"/>
      <c r="H905" s="415"/>
      <c r="I905" s="415"/>
      <c r="J905" s="415"/>
      <c r="K905" s="415"/>
      <c r="L905" s="417"/>
      <c r="M905" s="403"/>
      <c r="N905" s="403"/>
      <c r="O905" s="403"/>
      <c r="P905" s="403"/>
      <c r="Q905" s="403"/>
      <c r="R905" s="403"/>
      <c r="S905" s="403"/>
      <c r="T905" s="403"/>
      <c r="U905" s="403"/>
      <c r="V905" s="403"/>
      <c r="W905" s="404"/>
      <c r="X905" s="405"/>
      <c r="Y905" s="405"/>
      <c r="Z905" s="405"/>
      <c r="AA905" s="405"/>
      <c r="AB905" s="405"/>
      <c r="AC905" s="405"/>
      <c r="AD905" s="405"/>
      <c r="AE905" s="405"/>
      <c r="AF905" s="405"/>
      <c r="AG905" s="405"/>
      <c r="AH905" s="405"/>
      <c r="AI905" s="405"/>
      <c r="AJ905" s="405"/>
      <c r="AK905" s="405"/>
      <c r="AL905" s="405"/>
      <c r="AM905" s="406"/>
      <c r="AN905" s="406"/>
      <c r="AO905" s="406"/>
      <c r="AP905" s="406"/>
      <c r="AQ905" s="403"/>
      <c r="AR905" s="403"/>
      <c r="AS905" s="403"/>
      <c r="AT905" s="403"/>
      <c r="AU905" s="403"/>
      <c r="AV905" s="403"/>
      <c r="AW905" s="403"/>
      <c r="AX905" s="403"/>
      <c r="AY905" s="403"/>
    </row>
    <row r="906">
      <c r="A906" s="415"/>
      <c r="B906" s="415"/>
      <c r="C906" s="410"/>
      <c r="D906" s="429"/>
      <c r="E906" s="416"/>
      <c r="F906" s="413"/>
      <c r="G906" s="413"/>
      <c r="H906" s="415"/>
      <c r="I906" s="415"/>
      <c r="J906" s="415"/>
      <c r="K906" s="415"/>
      <c r="L906" s="417"/>
      <c r="M906" s="403"/>
      <c r="N906" s="403"/>
      <c r="O906" s="403"/>
      <c r="P906" s="403"/>
      <c r="Q906" s="403"/>
      <c r="R906" s="403"/>
      <c r="S906" s="403"/>
      <c r="T906" s="403"/>
      <c r="U906" s="403"/>
      <c r="V906" s="403"/>
      <c r="W906" s="404"/>
      <c r="X906" s="405"/>
      <c r="Y906" s="405"/>
      <c r="Z906" s="405"/>
      <c r="AA906" s="405"/>
      <c r="AB906" s="405"/>
      <c r="AC906" s="405"/>
      <c r="AD906" s="405"/>
      <c r="AE906" s="405"/>
      <c r="AF906" s="405"/>
      <c r="AG906" s="405"/>
      <c r="AH906" s="405"/>
      <c r="AI906" s="405"/>
      <c r="AJ906" s="405"/>
      <c r="AK906" s="405"/>
      <c r="AL906" s="405"/>
      <c r="AM906" s="406"/>
      <c r="AN906" s="406"/>
      <c r="AO906" s="406"/>
      <c r="AP906" s="406"/>
      <c r="AQ906" s="403"/>
      <c r="AR906" s="403"/>
      <c r="AS906" s="403"/>
      <c r="AT906" s="403"/>
      <c r="AU906" s="403"/>
      <c r="AV906" s="403"/>
      <c r="AW906" s="403"/>
      <c r="AX906" s="403"/>
      <c r="AY906" s="403"/>
    </row>
    <row r="907">
      <c r="A907" s="415"/>
      <c r="B907" s="415"/>
      <c r="C907" s="410"/>
      <c r="D907" s="429"/>
      <c r="E907" s="416"/>
      <c r="F907" s="413"/>
      <c r="G907" s="413"/>
      <c r="H907" s="415"/>
      <c r="I907" s="415"/>
      <c r="J907" s="415"/>
      <c r="K907" s="415"/>
      <c r="L907" s="417"/>
      <c r="M907" s="403"/>
      <c r="N907" s="403"/>
      <c r="O907" s="403"/>
      <c r="P907" s="403"/>
      <c r="Q907" s="403"/>
      <c r="R907" s="403"/>
      <c r="S907" s="403"/>
      <c r="T907" s="403"/>
      <c r="U907" s="403"/>
      <c r="V907" s="403"/>
      <c r="W907" s="404"/>
      <c r="X907" s="405"/>
      <c r="Y907" s="405"/>
      <c r="Z907" s="405"/>
      <c r="AA907" s="405"/>
      <c r="AB907" s="405"/>
      <c r="AC907" s="405"/>
      <c r="AD907" s="405"/>
      <c r="AE907" s="405"/>
      <c r="AF907" s="405"/>
      <c r="AG907" s="405"/>
      <c r="AH907" s="405"/>
      <c r="AI907" s="405"/>
      <c r="AJ907" s="405"/>
      <c r="AK907" s="405"/>
      <c r="AL907" s="405"/>
      <c r="AM907" s="406"/>
      <c r="AN907" s="406"/>
      <c r="AO907" s="406"/>
      <c r="AP907" s="406"/>
      <c r="AQ907" s="403"/>
      <c r="AR907" s="403"/>
      <c r="AS907" s="403"/>
      <c r="AT907" s="403"/>
      <c r="AU907" s="403"/>
      <c r="AV907" s="403"/>
      <c r="AW907" s="403"/>
      <c r="AX907" s="403"/>
      <c r="AY907" s="403"/>
    </row>
    <row r="908">
      <c r="A908" s="415"/>
      <c r="B908" s="415"/>
      <c r="C908" s="410"/>
      <c r="D908" s="429"/>
      <c r="E908" s="416"/>
      <c r="F908" s="413"/>
      <c r="G908" s="413"/>
      <c r="H908" s="415"/>
      <c r="I908" s="415"/>
      <c r="J908" s="415"/>
      <c r="K908" s="415"/>
      <c r="L908" s="417"/>
      <c r="M908" s="403"/>
      <c r="N908" s="403"/>
      <c r="O908" s="403"/>
      <c r="P908" s="403"/>
      <c r="Q908" s="403"/>
      <c r="R908" s="403"/>
      <c r="S908" s="403"/>
      <c r="T908" s="403"/>
      <c r="U908" s="403"/>
      <c r="V908" s="403"/>
      <c r="W908" s="404"/>
      <c r="X908" s="405"/>
      <c r="Y908" s="405"/>
      <c r="Z908" s="405"/>
      <c r="AA908" s="405"/>
      <c r="AB908" s="405"/>
      <c r="AC908" s="405"/>
      <c r="AD908" s="405"/>
      <c r="AE908" s="405"/>
      <c r="AF908" s="405"/>
      <c r="AG908" s="405"/>
      <c r="AH908" s="405"/>
      <c r="AI908" s="405"/>
      <c r="AJ908" s="405"/>
      <c r="AK908" s="405"/>
      <c r="AL908" s="405"/>
      <c r="AM908" s="406"/>
      <c r="AN908" s="406"/>
      <c r="AO908" s="406"/>
      <c r="AP908" s="406"/>
      <c r="AQ908" s="403"/>
      <c r="AR908" s="403"/>
      <c r="AS908" s="403"/>
      <c r="AT908" s="403"/>
      <c r="AU908" s="403"/>
      <c r="AV908" s="403"/>
      <c r="AW908" s="403"/>
      <c r="AX908" s="403"/>
      <c r="AY908" s="403"/>
    </row>
    <row r="909">
      <c r="A909" s="415"/>
      <c r="B909" s="415"/>
      <c r="C909" s="410"/>
      <c r="D909" s="429"/>
      <c r="E909" s="416"/>
      <c r="F909" s="413"/>
      <c r="G909" s="413"/>
      <c r="H909" s="415"/>
      <c r="I909" s="415"/>
      <c r="J909" s="415"/>
      <c r="K909" s="415"/>
      <c r="L909" s="417"/>
      <c r="M909" s="403"/>
      <c r="N909" s="403"/>
      <c r="O909" s="403"/>
      <c r="P909" s="403"/>
      <c r="Q909" s="403"/>
      <c r="R909" s="403"/>
      <c r="S909" s="403"/>
      <c r="T909" s="403"/>
      <c r="U909" s="403"/>
      <c r="V909" s="403"/>
      <c r="W909" s="404"/>
      <c r="X909" s="405"/>
      <c r="Y909" s="405"/>
      <c r="Z909" s="405"/>
      <c r="AA909" s="405"/>
      <c r="AB909" s="405"/>
      <c r="AC909" s="405"/>
      <c r="AD909" s="405"/>
      <c r="AE909" s="405"/>
      <c r="AF909" s="405"/>
      <c r="AG909" s="405"/>
      <c r="AH909" s="405"/>
      <c r="AI909" s="405"/>
      <c r="AJ909" s="405"/>
      <c r="AK909" s="405"/>
      <c r="AL909" s="405"/>
      <c r="AM909" s="406"/>
      <c r="AN909" s="406"/>
      <c r="AO909" s="406"/>
      <c r="AP909" s="406"/>
      <c r="AQ909" s="403"/>
      <c r="AR909" s="403"/>
      <c r="AS909" s="403"/>
      <c r="AT909" s="403"/>
      <c r="AU909" s="403"/>
      <c r="AV909" s="403"/>
      <c r="AW909" s="403"/>
      <c r="AX909" s="403"/>
      <c r="AY909" s="403"/>
    </row>
    <row r="910">
      <c r="A910" s="415"/>
      <c r="B910" s="415"/>
      <c r="C910" s="410"/>
      <c r="D910" s="429"/>
      <c r="E910" s="416"/>
      <c r="F910" s="413"/>
      <c r="G910" s="413"/>
      <c r="H910" s="415"/>
      <c r="I910" s="415"/>
      <c r="J910" s="415"/>
      <c r="K910" s="415"/>
      <c r="L910" s="417"/>
      <c r="M910" s="403"/>
      <c r="N910" s="403"/>
      <c r="O910" s="403"/>
      <c r="P910" s="403"/>
      <c r="Q910" s="403"/>
      <c r="R910" s="403"/>
      <c r="S910" s="403"/>
      <c r="T910" s="403"/>
      <c r="U910" s="403"/>
      <c r="V910" s="403"/>
      <c r="W910" s="404"/>
      <c r="X910" s="405"/>
      <c r="Y910" s="405"/>
      <c r="Z910" s="405"/>
      <c r="AA910" s="405"/>
      <c r="AB910" s="405"/>
      <c r="AC910" s="405"/>
      <c r="AD910" s="405"/>
      <c r="AE910" s="405"/>
      <c r="AF910" s="405"/>
      <c r="AG910" s="405"/>
      <c r="AH910" s="405"/>
      <c r="AI910" s="405"/>
      <c r="AJ910" s="405"/>
      <c r="AK910" s="405"/>
      <c r="AL910" s="405"/>
      <c r="AM910" s="406"/>
      <c r="AN910" s="406"/>
      <c r="AO910" s="406"/>
      <c r="AP910" s="406"/>
      <c r="AQ910" s="403"/>
      <c r="AR910" s="403"/>
      <c r="AS910" s="403"/>
      <c r="AT910" s="403"/>
      <c r="AU910" s="403"/>
      <c r="AV910" s="403"/>
      <c r="AW910" s="403"/>
      <c r="AX910" s="403"/>
      <c r="AY910" s="403"/>
    </row>
    <row r="911">
      <c r="A911" s="415"/>
      <c r="B911" s="415"/>
      <c r="C911" s="410"/>
      <c r="D911" s="429"/>
      <c r="E911" s="416"/>
      <c r="F911" s="413"/>
      <c r="G911" s="413"/>
      <c r="H911" s="415"/>
      <c r="I911" s="415"/>
      <c r="J911" s="415"/>
      <c r="K911" s="415"/>
      <c r="L911" s="417"/>
      <c r="M911" s="403"/>
      <c r="N911" s="403"/>
      <c r="O911" s="403"/>
      <c r="P911" s="403"/>
      <c r="Q911" s="403"/>
      <c r="R911" s="403"/>
      <c r="S911" s="403"/>
      <c r="T911" s="403"/>
      <c r="U911" s="403"/>
      <c r="V911" s="403"/>
      <c r="W911" s="404"/>
      <c r="X911" s="405"/>
      <c r="Y911" s="405"/>
      <c r="Z911" s="405"/>
      <c r="AA911" s="405"/>
      <c r="AB911" s="405"/>
      <c r="AC911" s="405"/>
      <c r="AD911" s="405"/>
      <c r="AE911" s="405"/>
      <c r="AF911" s="405"/>
      <c r="AG911" s="405"/>
      <c r="AH911" s="405"/>
      <c r="AI911" s="405"/>
      <c r="AJ911" s="405"/>
      <c r="AK911" s="405"/>
      <c r="AL911" s="405"/>
      <c r="AM911" s="406"/>
      <c r="AN911" s="406"/>
      <c r="AO911" s="406"/>
      <c r="AP911" s="406"/>
      <c r="AQ911" s="403"/>
      <c r="AR911" s="403"/>
      <c r="AS911" s="403"/>
      <c r="AT911" s="403"/>
      <c r="AU911" s="403"/>
      <c r="AV911" s="403"/>
      <c r="AW911" s="403"/>
      <c r="AX911" s="403"/>
      <c r="AY911" s="403"/>
    </row>
    <row r="912">
      <c r="A912" s="415"/>
      <c r="B912" s="415"/>
      <c r="C912" s="410"/>
      <c r="D912" s="429"/>
      <c r="E912" s="416"/>
      <c r="F912" s="413"/>
      <c r="G912" s="413"/>
      <c r="H912" s="415"/>
      <c r="I912" s="415"/>
      <c r="J912" s="415"/>
      <c r="K912" s="415"/>
      <c r="L912" s="417"/>
      <c r="M912" s="403"/>
      <c r="N912" s="403"/>
      <c r="O912" s="403"/>
      <c r="P912" s="403"/>
      <c r="Q912" s="403"/>
      <c r="R912" s="403"/>
      <c r="S912" s="403"/>
      <c r="T912" s="403"/>
      <c r="U912" s="403"/>
      <c r="V912" s="403"/>
      <c r="W912" s="404"/>
      <c r="X912" s="405"/>
      <c r="Y912" s="405"/>
      <c r="Z912" s="405"/>
      <c r="AA912" s="405"/>
      <c r="AB912" s="405"/>
      <c r="AC912" s="405"/>
      <c r="AD912" s="405"/>
      <c r="AE912" s="405"/>
      <c r="AF912" s="405"/>
      <c r="AG912" s="405"/>
      <c r="AH912" s="405"/>
      <c r="AI912" s="405"/>
      <c r="AJ912" s="405"/>
      <c r="AK912" s="405"/>
      <c r="AL912" s="405"/>
      <c r="AM912" s="406"/>
      <c r="AN912" s="406"/>
      <c r="AO912" s="406"/>
      <c r="AP912" s="406"/>
      <c r="AQ912" s="403"/>
      <c r="AR912" s="403"/>
      <c r="AS912" s="403"/>
      <c r="AT912" s="403"/>
      <c r="AU912" s="403"/>
      <c r="AV912" s="403"/>
      <c r="AW912" s="403"/>
      <c r="AX912" s="403"/>
      <c r="AY912" s="403"/>
    </row>
    <row r="913">
      <c r="A913" s="415"/>
      <c r="B913" s="415"/>
      <c r="C913" s="410"/>
      <c r="D913" s="429"/>
      <c r="E913" s="416"/>
      <c r="F913" s="413"/>
      <c r="G913" s="413"/>
      <c r="H913" s="415"/>
      <c r="I913" s="415"/>
      <c r="J913" s="415"/>
      <c r="K913" s="415"/>
      <c r="L913" s="417"/>
      <c r="M913" s="403"/>
      <c r="N913" s="403"/>
      <c r="O913" s="403"/>
      <c r="P913" s="403"/>
      <c r="Q913" s="403"/>
      <c r="R913" s="403"/>
      <c r="S913" s="403"/>
      <c r="T913" s="403"/>
      <c r="U913" s="403"/>
      <c r="V913" s="403"/>
      <c r="W913" s="404"/>
      <c r="X913" s="405"/>
      <c r="Y913" s="405"/>
      <c r="Z913" s="405"/>
      <c r="AA913" s="405"/>
      <c r="AB913" s="405"/>
      <c r="AC913" s="405"/>
      <c r="AD913" s="405"/>
      <c r="AE913" s="405"/>
      <c r="AF913" s="405"/>
      <c r="AG913" s="405"/>
      <c r="AH913" s="405"/>
      <c r="AI913" s="405"/>
      <c r="AJ913" s="405"/>
      <c r="AK913" s="405"/>
      <c r="AL913" s="405"/>
      <c r="AM913" s="406"/>
      <c r="AN913" s="406"/>
      <c r="AO913" s="406"/>
      <c r="AP913" s="406"/>
      <c r="AQ913" s="403"/>
      <c r="AR913" s="403"/>
      <c r="AS913" s="403"/>
      <c r="AT913" s="403"/>
      <c r="AU913" s="403"/>
      <c r="AV913" s="403"/>
      <c r="AW913" s="403"/>
      <c r="AX913" s="403"/>
      <c r="AY913" s="403"/>
    </row>
    <row r="914">
      <c r="A914" s="415"/>
      <c r="B914" s="415"/>
      <c r="C914" s="410"/>
      <c r="D914" s="429"/>
      <c r="E914" s="416"/>
      <c r="F914" s="413"/>
      <c r="G914" s="413"/>
      <c r="H914" s="415"/>
      <c r="I914" s="415"/>
      <c r="J914" s="415"/>
      <c r="K914" s="415"/>
      <c r="L914" s="417"/>
      <c r="M914" s="403"/>
      <c r="N914" s="403"/>
      <c r="O914" s="403"/>
      <c r="P914" s="403"/>
      <c r="Q914" s="403"/>
      <c r="R914" s="403"/>
      <c r="S914" s="403"/>
      <c r="T914" s="403"/>
      <c r="U914" s="403"/>
      <c r="V914" s="403"/>
      <c r="W914" s="404"/>
      <c r="X914" s="405"/>
      <c r="Y914" s="405"/>
      <c r="Z914" s="405"/>
      <c r="AA914" s="405"/>
      <c r="AB914" s="405"/>
      <c r="AC914" s="405"/>
      <c r="AD914" s="405"/>
      <c r="AE914" s="405"/>
      <c r="AF914" s="405"/>
      <c r="AG914" s="405"/>
      <c r="AH914" s="405"/>
      <c r="AI914" s="405"/>
      <c r="AJ914" s="405"/>
      <c r="AK914" s="405"/>
      <c r="AL914" s="405"/>
      <c r="AM914" s="406"/>
      <c r="AN914" s="406"/>
      <c r="AO914" s="406"/>
      <c r="AP914" s="406"/>
      <c r="AQ914" s="403"/>
      <c r="AR914" s="403"/>
      <c r="AS914" s="403"/>
      <c r="AT914" s="403"/>
      <c r="AU914" s="403"/>
      <c r="AV914" s="403"/>
      <c r="AW914" s="403"/>
      <c r="AX914" s="403"/>
      <c r="AY914" s="403"/>
    </row>
    <row r="915">
      <c r="A915" s="415"/>
      <c r="B915" s="415"/>
      <c r="C915" s="410"/>
      <c r="D915" s="429"/>
      <c r="E915" s="416"/>
      <c r="F915" s="413"/>
      <c r="G915" s="413"/>
      <c r="H915" s="415"/>
      <c r="I915" s="415"/>
      <c r="J915" s="415"/>
      <c r="K915" s="415"/>
      <c r="L915" s="417"/>
      <c r="M915" s="403"/>
      <c r="N915" s="403"/>
      <c r="O915" s="403"/>
      <c r="P915" s="403"/>
      <c r="Q915" s="403"/>
      <c r="R915" s="403"/>
      <c r="S915" s="403"/>
      <c r="T915" s="403"/>
      <c r="U915" s="403"/>
      <c r="V915" s="403"/>
      <c r="W915" s="404"/>
      <c r="X915" s="405"/>
      <c r="Y915" s="405"/>
      <c r="Z915" s="405"/>
      <c r="AA915" s="405"/>
      <c r="AB915" s="405"/>
      <c r="AC915" s="405"/>
      <c r="AD915" s="405"/>
      <c r="AE915" s="405"/>
      <c r="AF915" s="405"/>
      <c r="AG915" s="405"/>
      <c r="AH915" s="405"/>
      <c r="AI915" s="405"/>
      <c r="AJ915" s="405"/>
      <c r="AK915" s="405"/>
      <c r="AL915" s="405"/>
      <c r="AM915" s="406"/>
      <c r="AN915" s="406"/>
      <c r="AO915" s="406"/>
      <c r="AP915" s="406"/>
      <c r="AQ915" s="403"/>
      <c r="AR915" s="403"/>
      <c r="AS915" s="403"/>
      <c r="AT915" s="403"/>
      <c r="AU915" s="403"/>
      <c r="AV915" s="403"/>
      <c r="AW915" s="403"/>
      <c r="AX915" s="403"/>
      <c r="AY915" s="403"/>
    </row>
    <row r="916">
      <c r="A916" s="415"/>
      <c r="B916" s="415"/>
      <c r="C916" s="410"/>
      <c r="D916" s="429"/>
      <c r="E916" s="416"/>
      <c r="F916" s="413"/>
      <c r="G916" s="413"/>
      <c r="H916" s="415"/>
      <c r="I916" s="415"/>
      <c r="J916" s="415"/>
      <c r="K916" s="415"/>
      <c r="L916" s="417"/>
      <c r="M916" s="403"/>
      <c r="N916" s="403"/>
      <c r="O916" s="403"/>
      <c r="P916" s="403"/>
      <c r="Q916" s="403"/>
      <c r="R916" s="403"/>
      <c r="S916" s="403"/>
      <c r="T916" s="403"/>
      <c r="U916" s="403"/>
      <c r="V916" s="403"/>
      <c r="W916" s="404"/>
      <c r="X916" s="405"/>
      <c r="Y916" s="405"/>
      <c r="Z916" s="405"/>
      <c r="AA916" s="405"/>
      <c r="AB916" s="405"/>
      <c r="AC916" s="405"/>
      <c r="AD916" s="405"/>
      <c r="AE916" s="405"/>
      <c r="AF916" s="405"/>
      <c r="AG916" s="405"/>
      <c r="AH916" s="405"/>
      <c r="AI916" s="405"/>
      <c r="AJ916" s="405"/>
      <c r="AK916" s="405"/>
      <c r="AL916" s="405"/>
      <c r="AM916" s="406"/>
      <c r="AN916" s="406"/>
      <c r="AO916" s="406"/>
      <c r="AP916" s="406"/>
      <c r="AQ916" s="403"/>
      <c r="AR916" s="403"/>
      <c r="AS916" s="403"/>
      <c r="AT916" s="403"/>
      <c r="AU916" s="403"/>
      <c r="AV916" s="403"/>
      <c r="AW916" s="403"/>
      <c r="AX916" s="403"/>
      <c r="AY916" s="403"/>
    </row>
    <row r="917">
      <c r="A917" s="415"/>
      <c r="B917" s="415"/>
      <c r="C917" s="410"/>
      <c r="D917" s="429"/>
      <c r="E917" s="416"/>
      <c r="F917" s="413"/>
      <c r="G917" s="413"/>
      <c r="H917" s="415"/>
      <c r="I917" s="415"/>
      <c r="J917" s="415"/>
      <c r="K917" s="415"/>
      <c r="L917" s="417"/>
      <c r="M917" s="403"/>
      <c r="N917" s="403"/>
      <c r="O917" s="403"/>
      <c r="P917" s="403"/>
      <c r="Q917" s="403"/>
      <c r="R917" s="403"/>
      <c r="S917" s="403"/>
      <c r="T917" s="403"/>
      <c r="U917" s="403"/>
      <c r="V917" s="403"/>
      <c r="W917" s="404"/>
      <c r="X917" s="405"/>
      <c r="Y917" s="405"/>
      <c r="Z917" s="405"/>
      <c r="AA917" s="405"/>
      <c r="AB917" s="405"/>
      <c r="AC917" s="405"/>
      <c r="AD917" s="405"/>
      <c r="AE917" s="405"/>
      <c r="AF917" s="405"/>
      <c r="AG917" s="405"/>
      <c r="AH917" s="405"/>
      <c r="AI917" s="405"/>
      <c r="AJ917" s="405"/>
      <c r="AK917" s="405"/>
      <c r="AL917" s="405"/>
      <c r="AM917" s="406"/>
      <c r="AN917" s="406"/>
      <c r="AO917" s="406"/>
      <c r="AP917" s="406"/>
      <c r="AQ917" s="403"/>
      <c r="AR917" s="403"/>
      <c r="AS917" s="403"/>
      <c r="AT917" s="403"/>
      <c r="AU917" s="403"/>
      <c r="AV917" s="403"/>
      <c r="AW917" s="403"/>
      <c r="AX917" s="403"/>
      <c r="AY917" s="403"/>
    </row>
    <row r="918">
      <c r="A918" s="415"/>
      <c r="B918" s="415"/>
      <c r="C918" s="410"/>
      <c r="D918" s="429"/>
      <c r="E918" s="416"/>
      <c r="F918" s="413"/>
      <c r="G918" s="413"/>
      <c r="H918" s="415"/>
      <c r="I918" s="415"/>
      <c r="J918" s="415"/>
      <c r="K918" s="415"/>
      <c r="L918" s="417"/>
      <c r="M918" s="403"/>
      <c r="N918" s="403"/>
      <c r="O918" s="403"/>
      <c r="P918" s="403"/>
      <c r="Q918" s="403"/>
      <c r="R918" s="403"/>
      <c r="S918" s="403"/>
      <c r="T918" s="403"/>
      <c r="U918" s="403"/>
      <c r="V918" s="403"/>
      <c r="W918" s="404"/>
      <c r="X918" s="405"/>
      <c r="Y918" s="405"/>
      <c r="Z918" s="405"/>
      <c r="AA918" s="405"/>
      <c r="AB918" s="405"/>
      <c r="AC918" s="405"/>
      <c r="AD918" s="405"/>
      <c r="AE918" s="405"/>
      <c r="AF918" s="405"/>
      <c r="AG918" s="405"/>
      <c r="AH918" s="405"/>
      <c r="AI918" s="405"/>
      <c r="AJ918" s="405"/>
      <c r="AK918" s="405"/>
      <c r="AL918" s="405"/>
      <c r="AM918" s="406"/>
      <c r="AN918" s="406"/>
      <c r="AO918" s="406"/>
      <c r="AP918" s="406"/>
      <c r="AQ918" s="403"/>
      <c r="AR918" s="403"/>
      <c r="AS918" s="403"/>
      <c r="AT918" s="403"/>
      <c r="AU918" s="403"/>
      <c r="AV918" s="403"/>
      <c r="AW918" s="403"/>
      <c r="AX918" s="403"/>
      <c r="AY918" s="403"/>
    </row>
    <row r="919">
      <c r="A919" s="415"/>
      <c r="B919" s="415"/>
      <c r="C919" s="410"/>
      <c r="D919" s="429"/>
      <c r="E919" s="416"/>
      <c r="F919" s="413"/>
      <c r="G919" s="413"/>
      <c r="H919" s="415"/>
      <c r="I919" s="415"/>
      <c r="J919" s="415"/>
      <c r="K919" s="415"/>
      <c r="L919" s="417"/>
      <c r="M919" s="403"/>
      <c r="N919" s="403"/>
      <c r="O919" s="403"/>
      <c r="P919" s="403"/>
      <c r="Q919" s="403"/>
      <c r="R919" s="403"/>
      <c r="S919" s="403"/>
      <c r="T919" s="403"/>
      <c r="U919" s="403"/>
      <c r="V919" s="403"/>
      <c r="W919" s="404"/>
      <c r="X919" s="405"/>
      <c r="Y919" s="405"/>
      <c r="Z919" s="405"/>
      <c r="AA919" s="405"/>
      <c r="AB919" s="405"/>
      <c r="AC919" s="405"/>
      <c r="AD919" s="405"/>
      <c r="AE919" s="405"/>
      <c r="AF919" s="405"/>
      <c r="AG919" s="405"/>
      <c r="AH919" s="405"/>
      <c r="AI919" s="405"/>
      <c r="AJ919" s="405"/>
      <c r="AK919" s="405"/>
      <c r="AL919" s="405"/>
      <c r="AM919" s="406"/>
      <c r="AN919" s="406"/>
      <c r="AO919" s="406"/>
      <c r="AP919" s="406"/>
      <c r="AQ919" s="403"/>
      <c r="AR919" s="403"/>
      <c r="AS919" s="403"/>
      <c r="AT919" s="403"/>
      <c r="AU919" s="403"/>
      <c r="AV919" s="403"/>
      <c r="AW919" s="403"/>
      <c r="AX919" s="403"/>
      <c r="AY919" s="403"/>
    </row>
    <row r="920">
      <c r="A920" s="415"/>
      <c r="B920" s="415"/>
      <c r="C920" s="410"/>
      <c r="D920" s="429"/>
      <c r="E920" s="416"/>
      <c r="F920" s="413"/>
      <c r="G920" s="413"/>
      <c r="H920" s="415"/>
      <c r="I920" s="415"/>
      <c r="J920" s="415"/>
      <c r="K920" s="415"/>
      <c r="L920" s="417"/>
      <c r="M920" s="403"/>
      <c r="N920" s="403"/>
      <c r="O920" s="403"/>
      <c r="P920" s="403"/>
      <c r="Q920" s="403"/>
      <c r="R920" s="403"/>
      <c r="S920" s="403"/>
      <c r="T920" s="403"/>
      <c r="U920" s="403"/>
      <c r="V920" s="403"/>
      <c r="W920" s="404"/>
      <c r="X920" s="405"/>
      <c r="Y920" s="405"/>
      <c r="Z920" s="405"/>
      <c r="AA920" s="405"/>
      <c r="AB920" s="405"/>
      <c r="AC920" s="405"/>
      <c r="AD920" s="405"/>
      <c r="AE920" s="405"/>
      <c r="AF920" s="405"/>
      <c r="AG920" s="405"/>
      <c r="AH920" s="405"/>
      <c r="AI920" s="405"/>
      <c r="AJ920" s="405"/>
      <c r="AK920" s="405"/>
      <c r="AL920" s="405"/>
      <c r="AM920" s="406"/>
      <c r="AN920" s="406"/>
      <c r="AO920" s="406"/>
      <c r="AP920" s="406"/>
      <c r="AQ920" s="403"/>
      <c r="AR920" s="403"/>
      <c r="AS920" s="403"/>
      <c r="AT920" s="403"/>
      <c r="AU920" s="403"/>
      <c r="AV920" s="403"/>
      <c r="AW920" s="403"/>
      <c r="AX920" s="403"/>
      <c r="AY920" s="403"/>
    </row>
    <row r="921">
      <c r="A921" s="415"/>
      <c r="B921" s="415"/>
      <c r="C921" s="410"/>
      <c r="D921" s="429"/>
      <c r="E921" s="416"/>
      <c r="F921" s="413"/>
      <c r="G921" s="413"/>
      <c r="H921" s="415"/>
      <c r="I921" s="415"/>
      <c r="J921" s="415"/>
      <c r="K921" s="415"/>
      <c r="L921" s="417"/>
      <c r="M921" s="403"/>
      <c r="N921" s="403"/>
      <c r="O921" s="403"/>
      <c r="P921" s="403"/>
      <c r="Q921" s="403"/>
      <c r="R921" s="403"/>
      <c r="S921" s="403"/>
      <c r="T921" s="403"/>
      <c r="U921" s="403"/>
      <c r="V921" s="403"/>
      <c r="W921" s="404"/>
      <c r="X921" s="405"/>
      <c r="Y921" s="405"/>
      <c r="Z921" s="405"/>
      <c r="AA921" s="405"/>
      <c r="AB921" s="405"/>
      <c r="AC921" s="405"/>
      <c r="AD921" s="405"/>
      <c r="AE921" s="405"/>
      <c r="AF921" s="405"/>
      <c r="AG921" s="405"/>
      <c r="AH921" s="405"/>
      <c r="AI921" s="405"/>
      <c r="AJ921" s="405"/>
      <c r="AK921" s="405"/>
      <c r="AL921" s="405"/>
      <c r="AM921" s="406"/>
      <c r="AN921" s="406"/>
      <c r="AO921" s="406"/>
      <c r="AP921" s="406"/>
      <c r="AQ921" s="403"/>
      <c r="AR921" s="403"/>
      <c r="AS921" s="403"/>
      <c r="AT921" s="403"/>
      <c r="AU921" s="403"/>
      <c r="AV921" s="403"/>
      <c r="AW921" s="403"/>
      <c r="AX921" s="403"/>
      <c r="AY921" s="403"/>
    </row>
    <row r="922">
      <c r="A922" s="415"/>
      <c r="B922" s="415"/>
      <c r="C922" s="410"/>
      <c r="D922" s="429"/>
      <c r="E922" s="416"/>
      <c r="F922" s="413"/>
      <c r="G922" s="413"/>
      <c r="H922" s="415"/>
      <c r="I922" s="415"/>
      <c r="J922" s="415"/>
      <c r="K922" s="415"/>
      <c r="L922" s="417"/>
      <c r="M922" s="403"/>
      <c r="N922" s="403"/>
      <c r="O922" s="403"/>
      <c r="P922" s="403"/>
      <c r="Q922" s="403"/>
      <c r="R922" s="403"/>
      <c r="S922" s="403"/>
      <c r="T922" s="403"/>
      <c r="U922" s="403"/>
      <c r="V922" s="403"/>
      <c r="W922" s="404"/>
      <c r="X922" s="405"/>
      <c r="Y922" s="405"/>
      <c r="Z922" s="405"/>
      <c r="AA922" s="405"/>
      <c r="AB922" s="405"/>
      <c r="AC922" s="405"/>
      <c r="AD922" s="405"/>
      <c r="AE922" s="405"/>
      <c r="AF922" s="405"/>
      <c r="AG922" s="405"/>
      <c r="AH922" s="405"/>
      <c r="AI922" s="405"/>
      <c r="AJ922" s="405"/>
      <c r="AK922" s="405"/>
      <c r="AL922" s="405"/>
      <c r="AM922" s="406"/>
      <c r="AN922" s="406"/>
      <c r="AO922" s="406"/>
      <c r="AP922" s="406"/>
      <c r="AQ922" s="403"/>
      <c r="AR922" s="403"/>
      <c r="AS922" s="403"/>
      <c r="AT922" s="403"/>
      <c r="AU922" s="403"/>
      <c r="AV922" s="403"/>
      <c r="AW922" s="403"/>
      <c r="AX922" s="403"/>
      <c r="AY922" s="403"/>
    </row>
    <row r="923">
      <c r="A923" s="415"/>
      <c r="B923" s="415"/>
      <c r="C923" s="410"/>
      <c r="D923" s="429"/>
      <c r="E923" s="416"/>
      <c r="F923" s="413"/>
      <c r="G923" s="413"/>
      <c r="H923" s="415"/>
      <c r="I923" s="415"/>
      <c r="J923" s="415"/>
      <c r="K923" s="415"/>
      <c r="L923" s="417"/>
      <c r="M923" s="403"/>
      <c r="N923" s="403"/>
      <c r="O923" s="403"/>
      <c r="P923" s="403"/>
      <c r="Q923" s="403"/>
      <c r="R923" s="403"/>
      <c r="S923" s="403"/>
      <c r="T923" s="403"/>
      <c r="U923" s="403"/>
      <c r="V923" s="403"/>
      <c r="W923" s="404"/>
      <c r="X923" s="405"/>
      <c r="Y923" s="405"/>
      <c r="Z923" s="405"/>
      <c r="AA923" s="405"/>
      <c r="AB923" s="405"/>
      <c r="AC923" s="405"/>
      <c r="AD923" s="405"/>
      <c r="AE923" s="405"/>
      <c r="AF923" s="405"/>
      <c r="AG923" s="405"/>
      <c r="AH923" s="405"/>
      <c r="AI923" s="405"/>
      <c r="AJ923" s="405"/>
      <c r="AK923" s="405"/>
      <c r="AL923" s="405"/>
      <c r="AM923" s="406"/>
      <c r="AN923" s="406"/>
      <c r="AO923" s="406"/>
      <c r="AP923" s="406"/>
      <c r="AQ923" s="403"/>
      <c r="AR923" s="403"/>
      <c r="AS923" s="403"/>
      <c r="AT923" s="403"/>
      <c r="AU923" s="403"/>
      <c r="AV923" s="403"/>
      <c r="AW923" s="403"/>
      <c r="AX923" s="403"/>
      <c r="AY923" s="403"/>
    </row>
    <row r="924">
      <c r="A924" s="415"/>
      <c r="B924" s="415"/>
      <c r="C924" s="410"/>
      <c r="D924" s="429"/>
      <c r="E924" s="416"/>
      <c r="F924" s="413"/>
      <c r="G924" s="413"/>
      <c r="H924" s="415"/>
      <c r="I924" s="415"/>
      <c r="J924" s="415"/>
      <c r="K924" s="415"/>
      <c r="L924" s="417"/>
      <c r="M924" s="403"/>
      <c r="N924" s="403"/>
      <c r="O924" s="403"/>
      <c r="P924" s="403"/>
      <c r="Q924" s="403"/>
      <c r="R924" s="403"/>
      <c r="S924" s="403"/>
      <c r="T924" s="403"/>
      <c r="U924" s="403"/>
      <c r="V924" s="403"/>
      <c r="W924" s="404"/>
      <c r="X924" s="405"/>
      <c r="Y924" s="405"/>
      <c r="Z924" s="405"/>
      <c r="AA924" s="405"/>
      <c r="AB924" s="405"/>
      <c r="AC924" s="405"/>
      <c r="AD924" s="405"/>
      <c r="AE924" s="405"/>
      <c r="AF924" s="405"/>
      <c r="AG924" s="405"/>
      <c r="AH924" s="405"/>
      <c r="AI924" s="405"/>
      <c r="AJ924" s="405"/>
      <c r="AK924" s="405"/>
      <c r="AL924" s="405"/>
      <c r="AM924" s="406"/>
      <c r="AN924" s="406"/>
      <c r="AO924" s="406"/>
      <c r="AP924" s="406"/>
      <c r="AQ924" s="403"/>
      <c r="AR924" s="403"/>
      <c r="AS924" s="403"/>
      <c r="AT924" s="403"/>
      <c r="AU924" s="403"/>
      <c r="AV924" s="403"/>
      <c r="AW924" s="403"/>
      <c r="AX924" s="403"/>
      <c r="AY924" s="403"/>
    </row>
    <row r="925">
      <c r="A925" s="415"/>
      <c r="B925" s="415"/>
      <c r="C925" s="410"/>
      <c r="D925" s="429"/>
      <c r="E925" s="416"/>
      <c r="F925" s="413"/>
      <c r="G925" s="413"/>
      <c r="H925" s="415"/>
      <c r="I925" s="415"/>
      <c r="J925" s="415"/>
      <c r="K925" s="415"/>
      <c r="L925" s="417"/>
      <c r="M925" s="403"/>
      <c r="N925" s="403"/>
      <c r="O925" s="403"/>
      <c r="P925" s="403"/>
      <c r="Q925" s="403"/>
      <c r="R925" s="403"/>
      <c r="S925" s="403"/>
      <c r="T925" s="403"/>
      <c r="U925" s="403"/>
      <c r="V925" s="403"/>
      <c r="W925" s="404"/>
      <c r="X925" s="405"/>
      <c r="Y925" s="405"/>
      <c r="Z925" s="405"/>
      <c r="AA925" s="405"/>
      <c r="AB925" s="405"/>
      <c r="AC925" s="405"/>
      <c r="AD925" s="405"/>
      <c r="AE925" s="405"/>
      <c r="AF925" s="405"/>
      <c r="AG925" s="405"/>
      <c r="AH925" s="405"/>
      <c r="AI925" s="405"/>
      <c r="AJ925" s="405"/>
      <c r="AK925" s="405"/>
      <c r="AL925" s="405"/>
      <c r="AM925" s="406"/>
      <c r="AN925" s="406"/>
      <c r="AO925" s="406"/>
      <c r="AP925" s="406"/>
      <c r="AQ925" s="403"/>
      <c r="AR925" s="403"/>
      <c r="AS925" s="403"/>
      <c r="AT925" s="403"/>
      <c r="AU925" s="403"/>
      <c r="AV925" s="403"/>
      <c r="AW925" s="403"/>
      <c r="AX925" s="403"/>
      <c r="AY925" s="403"/>
    </row>
    <row r="926">
      <c r="A926" s="415"/>
      <c r="B926" s="415"/>
      <c r="C926" s="410"/>
      <c r="D926" s="429"/>
      <c r="E926" s="416"/>
      <c r="F926" s="413"/>
      <c r="G926" s="413"/>
      <c r="H926" s="415"/>
      <c r="I926" s="415"/>
      <c r="J926" s="415"/>
      <c r="K926" s="415"/>
      <c r="L926" s="417"/>
      <c r="M926" s="403"/>
      <c r="N926" s="403"/>
      <c r="O926" s="403"/>
      <c r="P926" s="403"/>
      <c r="Q926" s="403"/>
      <c r="R926" s="403"/>
      <c r="S926" s="403"/>
      <c r="T926" s="403"/>
      <c r="U926" s="403"/>
      <c r="V926" s="403"/>
      <c r="W926" s="404"/>
      <c r="X926" s="405"/>
      <c r="Y926" s="405"/>
      <c r="Z926" s="405"/>
      <c r="AA926" s="405"/>
      <c r="AB926" s="405"/>
      <c r="AC926" s="405"/>
      <c r="AD926" s="405"/>
      <c r="AE926" s="405"/>
      <c r="AF926" s="405"/>
      <c r="AG926" s="405"/>
      <c r="AH926" s="405"/>
      <c r="AI926" s="405"/>
      <c r="AJ926" s="405"/>
      <c r="AK926" s="405"/>
      <c r="AL926" s="405"/>
      <c r="AM926" s="406"/>
      <c r="AN926" s="406"/>
      <c r="AO926" s="406"/>
      <c r="AP926" s="406"/>
      <c r="AQ926" s="403"/>
      <c r="AR926" s="403"/>
      <c r="AS926" s="403"/>
      <c r="AT926" s="403"/>
      <c r="AU926" s="403"/>
      <c r="AV926" s="403"/>
      <c r="AW926" s="403"/>
      <c r="AX926" s="403"/>
      <c r="AY926" s="403"/>
    </row>
    <row r="927">
      <c r="A927" s="415"/>
      <c r="B927" s="415"/>
      <c r="C927" s="410"/>
      <c r="D927" s="429"/>
      <c r="E927" s="416"/>
      <c r="F927" s="413"/>
      <c r="G927" s="413"/>
      <c r="H927" s="415"/>
      <c r="I927" s="415"/>
      <c r="J927" s="415"/>
      <c r="K927" s="415"/>
      <c r="L927" s="417"/>
      <c r="M927" s="403"/>
      <c r="N927" s="403"/>
      <c r="O927" s="403"/>
      <c r="P927" s="403"/>
      <c r="Q927" s="403"/>
      <c r="R927" s="403"/>
      <c r="S927" s="403"/>
      <c r="T927" s="403"/>
      <c r="U927" s="403"/>
      <c r="V927" s="403"/>
      <c r="W927" s="404"/>
      <c r="X927" s="405"/>
      <c r="Y927" s="405"/>
      <c r="Z927" s="405"/>
      <c r="AA927" s="405"/>
      <c r="AB927" s="405"/>
      <c r="AC927" s="405"/>
      <c r="AD927" s="405"/>
      <c r="AE927" s="405"/>
      <c r="AF927" s="405"/>
      <c r="AG927" s="405"/>
      <c r="AH927" s="405"/>
      <c r="AI927" s="405"/>
      <c r="AJ927" s="405"/>
      <c r="AK927" s="405"/>
      <c r="AL927" s="405"/>
      <c r="AM927" s="406"/>
      <c r="AN927" s="406"/>
      <c r="AO927" s="406"/>
      <c r="AP927" s="406"/>
      <c r="AQ927" s="403"/>
      <c r="AR927" s="403"/>
      <c r="AS927" s="403"/>
      <c r="AT927" s="403"/>
      <c r="AU927" s="403"/>
      <c r="AV927" s="403"/>
      <c r="AW927" s="403"/>
      <c r="AX927" s="403"/>
      <c r="AY927" s="403"/>
    </row>
    <row r="928">
      <c r="A928" s="415"/>
      <c r="B928" s="415"/>
      <c r="C928" s="410"/>
      <c r="D928" s="429"/>
      <c r="E928" s="416"/>
      <c r="F928" s="413"/>
      <c r="G928" s="413"/>
      <c r="H928" s="415"/>
      <c r="I928" s="415"/>
      <c r="J928" s="415"/>
      <c r="K928" s="415"/>
      <c r="L928" s="417"/>
      <c r="M928" s="403"/>
      <c r="N928" s="403"/>
      <c r="O928" s="403"/>
      <c r="P928" s="403"/>
      <c r="Q928" s="403"/>
      <c r="R928" s="403"/>
      <c r="S928" s="403"/>
      <c r="T928" s="403"/>
      <c r="U928" s="403"/>
      <c r="V928" s="403"/>
      <c r="W928" s="404"/>
      <c r="X928" s="405"/>
      <c r="Y928" s="405"/>
      <c r="Z928" s="405"/>
      <c r="AA928" s="405"/>
      <c r="AB928" s="405"/>
      <c r="AC928" s="405"/>
      <c r="AD928" s="405"/>
      <c r="AE928" s="405"/>
      <c r="AF928" s="405"/>
      <c r="AG928" s="405"/>
      <c r="AH928" s="405"/>
      <c r="AI928" s="405"/>
      <c r="AJ928" s="405"/>
      <c r="AK928" s="405"/>
      <c r="AL928" s="405"/>
      <c r="AM928" s="406"/>
      <c r="AN928" s="406"/>
      <c r="AO928" s="406"/>
      <c r="AP928" s="406"/>
      <c r="AQ928" s="403"/>
      <c r="AR928" s="403"/>
      <c r="AS928" s="403"/>
      <c r="AT928" s="403"/>
      <c r="AU928" s="403"/>
      <c r="AV928" s="403"/>
      <c r="AW928" s="403"/>
      <c r="AX928" s="403"/>
      <c r="AY928" s="403"/>
    </row>
    <row r="929">
      <c r="A929" s="415"/>
      <c r="B929" s="415"/>
      <c r="C929" s="410"/>
      <c r="D929" s="429"/>
      <c r="E929" s="416"/>
      <c r="F929" s="413"/>
      <c r="G929" s="413"/>
      <c r="H929" s="415"/>
      <c r="I929" s="415"/>
      <c r="J929" s="415"/>
      <c r="K929" s="415"/>
      <c r="L929" s="417"/>
      <c r="M929" s="403"/>
      <c r="N929" s="403"/>
      <c r="O929" s="403"/>
      <c r="P929" s="403"/>
      <c r="Q929" s="403"/>
      <c r="R929" s="403"/>
      <c r="S929" s="403"/>
      <c r="T929" s="403"/>
      <c r="U929" s="403"/>
      <c r="V929" s="403"/>
      <c r="W929" s="404"/>
      <c r="X929" s="405"/>
      <c r="Y929" s="405"/>
      <c r="Z929" s="405"/>
      <c r="AA929" s="405"/>
      <c r="AB929" s="405"/>
      <c r="AC929" s="405"/>
      <c r="AD929" s="405"/>
      <c r="AE929" s="405"/>
      <c r="AF929" s="405"/>
      <c r="AG929" s="405"/>
      <c r="AH929" s="405"/>
      <c r="AI929" s="405"/>
      <c r="AJ929" s="405"/>
      <c r="AK929" s="405"/>
      <c r="AL929" s="405"/>
      <c r="AM929" s="406"/>
      <c r="AN929" s="406"/>
      <c r="AO929" s="406"/>
      <c r="AP929" s="406"/>
      <c r="AQ929" s="403"/>
      <c r="AR929" s="403"/>
      <c r="AS929" s="403"/>
      <c r="AT929" s="403"/>
      <c r="AU929" s="403"/>
      <c r="AV929" s="403"/>
      <c r="AW929" s="403"/>
      <c r="AX929" s="403"/>
      <c r="AY929" s="403"/>
    </row>
    <row r="930">
      <c r="A930" s="415"/>
      <c r="B930" s="415"/>
      <c r="C930" s="410"/>
      <c r="D930" s="429"/>
      <c r="E930" s="416"/>
      <c r="F930" s="413"/>
      <c r="G930" s="413"/>
      <c r="H930" s="415"/>
      <c r="I930" s="415"/>
      <c r="J930" s="415"/>
      <c r="K930" s="415"/>
      <c r="L930" s="417"/>
      <c r="M930" s="403"/>
      <c r="N930" s="403"/>
      <c r="O930" s="403"/>
      <c r="P930" s="403"/>
      <c r="Q930" s="403"/>
      <c r="R930" s="403"/>
      <c r="S930" s="403"/>
      <c r="T930" s="403"/>
      <c r="U930" s="403"/>
      <c r="V930" s="403"/>
      <c r="W930" s="404"/>
      <c r="X930" s="405"/>
      <c r="Y930" s="405"/>
      <c r="Z930" s="405"/>
      <c r="AA930" s="405"/>
      <c r="AB930" s="405"/>
      <c r="AC930" s="405"/>
      <c r="AD930" s="405"/>
      <c r="AE930" s="405"/>
      <c r="AF930" s="405"/>
      <c r="AG930" s="405"/>
      <c r="AH930" s="405"/>
      <c r="AI930" s="405"/>
      <c r="AJ930" s="405"/>
      <c r="AK930" s="405"/>
      <c r="AL930" s="405"/>
      <c r="AM930" s="406"/>
      <c r="AN930" s="406"/>
      <c r="AO930" s="406"/>
      <c r="AP930" s="406"/>
      <c r="AQ930" s="403"/>
      <c r="AR930" s="403"/>
      <c r="AS930" s="403"/>
      <c r="AT930" s="403"/>
      <c r="AU930" s="403"/>
      <c r="AV930" s="403"/>
      <c r="AW930" s="403"/>
      <c r="AX930" s="403"/>
      <c r="AY930" s="403"/>
    </row>
    <row r="931">
      <c r="A931" s="415"/>
      <c r="B931" s="415"/>
      <c r="C931" s="410"/>
      <c r="D931" s="429"/>
      <c r="E931" s="416"/>
      <c r="F931" s="413"/>
      <c r="G931" s="413"/>
      <c r="H931" s="415"/>
      <c r="I931" s="415"/>
      <c r="J931" s="415"/>
      <c r="K931" s="415"/>
      <c r="L931" s="417"/>
      <c r="M931" s="403"/>
      <c r="N931" s="403"/>
      <c r="O931" s="403"/>
      <c r="P931" s="403"/>
      <c r="Q931" s="403"/>
      <c r="R931" s="403"/>
      <c r="S931" s="403"/>
      <c r="T931" s="403"/>
      <c r="U931" s="403"/>
      <c r="V931" s="403"/>
      <c r="W931" s="404"/>
      <c r="X931" s="405"/>
      <c r="Y931" s="405"/>
      <c r="Z931" s="442"/>
      <c r="AA931" s="405"/>
      <c r="AB931" s="405"/>
      <c r="AC931" s="405"/>
      <c r="AD931" s="405"/>
      <c r="AE931" s="442"/>
      <c r="AF931" s="405"/>
      <c r="AG931" s="405"/>
      <c r="AH931" s="405"/>
      <c r="AI931" s="405"/>
      <c r="AJ931" s="405"/>
      <c r="AK931" s="405"/>
      <c r="AL931" s="405"/>
      <c r="AM931" s="406"/>
      <c r="AN931" s="406"/>
      <c r="AO931" s="406"/>
      <c r="AP931" s="406"/>
      <c r="AQ931" s="403"/>
      <c r="AR931" s="403"/>
      <c r="AS931" s="403"/>
      <c r="AT931" s="403"/>
      <c r="AU931" s="403"/>
      <c r="AV931" s="403"/>
      <c r="AW931" s="403"/>
      <c r="AX931" s="403"/>
      <c r="AY931" s="403"/>
    </row>
    <row r="932">
      <c r="A932" s="415"/>
      <c r="B932" s="415"/>
      <c r="C932" s="410"/>
      <c r="D932" s="429"/>
      <c r="E932" s="416"/>
      <c r="F932" s="413"/>
      <c r="G932" s="413"/>
      <c r="H932" s="415"/>
      <c r="I932" s="415"/>
      <c r="J932" s="415"/>
      <c r="K932" s="415"/>
      <c r="L932" s="417"/>
      <c r="M932" s="403"/>
      <c r="N932" s="403"/>
      <c r="O932" s="403"/>
      <c r="P932" s="403"/>
      <c r="Q932" s="403"/>
      <c r="R932" s="403"/>
      <c r="S932" s="403"/>
      <c r="T932" s="403"/>
      <c r="U932" s="403"/>
      <c r="V932" s="403"/>
      <c r="W932" s="404"/>
      <c r="X932" s="405"/>
      <c r="Y932" s="405"/>
      <c r="Z932" s="442"/>
      <c r="AA932" s="405"/>
      <c r="AB932" s="405"/>
      <c r="AC932" s="405"/>
      <c r="AD932" s="405"/>
      <c r="AE932" s="442"/>
      <c r="AF932" s="405"/>
      <c r="AG932" s="405"/>
      <c r="AH932" s="405"/>
      <c r="AI932" s="405"/>
      <c r="AJ932" s="405"/>
      <c r="AK932" s="405"/>
      <c r="AL932" s="405"/>
      <c r="AM932" s="406"/>
      <c r="AN932" s="406"/>
      <c r="AO932" s="406"/>
      <c r="AP932" s="406"/>
      <c r="AQ932" s="403"/>
      <c r="AR932" s="403"/>
      <c r="AS932" s="403"/>
      <c r="AT932" s="403"/>
      <c r="AU932" s="403"/>
      <c r="AV932" s="403"/>
      <c r="AW932" s="403"/>
      <c r="AX932" s="403"/>
      <c r="AY932" s="403"/>
    </row>
    <row r="933">
      <c r="A933" s="415"/>
      <c r="B933" s="415"/>
      <c r="C933" s="410"/>
      <c r="D933" s="429"/>
      <c r="E933" s="416"/>
      <c r="F933" s="413"/>
      <c r="G933" s="413"/>
      <c r="H933" s="415"/>
      <c r="I933" s="415"/>
      <c r="J933" s="415"/>
      <c r="K933" s="415"/>
      <c r="L933" s="417"/>
      <c r="M933" s="403"/>
      <c r="N933" s="403"/>
      <c r="O933" s="403"/>
      <c r="P933" s="403"/>
      <c r="Q933" s="403"/>
      <c r="R933" s="403"/>
      <c r="S933" s="403"/>
      <c r="T933" s="403"/>
      <c r="U933" s="403"/>
      <c r="V933" s="403"/>
      <c r="W933" s="404"/>
      <c r="X933" s="405"/>
      <c r="Y933" s="405"/>
      <c r="Z933" s="442"/>
      <c r="AA933" s="405"/>
      <c r="AB933" s="405"/>
      <c r="AC933" s="405"/>
      <c r="AD933" s="405"/>
      <c r="AE933" s="442"/>
      <c r="AF933" s="405"/>
      <c r="AG933" s="405"/>
      <c r="AH933" s="405"/>
      <c r="AI933" s="405"/>
      <c r="AJ933" s="405"/>
      <c r="AK933" s="405"/>
      <c r="AL933" s="405"/>
      <c r="AM933" s="406"/>
      <c r="AN933" s="406"/>
      <c r="AO933" s="406"/>
      <c r="AP933" s="406"/>
      <c r="AQ933" s="403"/>
      <c r="AR933" s="403"/>
      <c r="AS933" s="403"/>
      <c r="AT933" s="403"/>
      <c r="AU933" s="403"/>
      <c r="AV933" s="403"/>
      <c r="AW933" s="403"/>
      <c r="AX933" s="403"/>
      <c r="AY933" s="403"/>
    </row>
    <row r="934">
      <c r="A934" s="415"/>
      <c r="B934" s="415"/>
      <c r="C934" s="410"/>
      <c r="D934" s="429"/>
      <c r="E934" s="416"/>
      <c r="F934" s="413"/>
      <c r="G934" s="413"/>
      <c r="H934" s="415"/>
      <c r="I934" s="415"/>
      <c r="J934" s="415"/>
      <c r="K934" s="415"/>
      <c r="L934" s="417"/>
      <c r="M934" s="403"/>
      <c r="N934" s="403"/>
      <c r="O934" s="403"/>
      <c r="P934" s="403"/>
      <c r="Q934" s="403"/>
      <c r="R934" s="403"/>
      <c r="S934" s="403"/>
      <c r="T934" s="403"/>
      <c r="U934" s="403"/>
      <c r="V934" s="403"/>
      <c r="W934" s="404"/>
      <c r="X934" s="405"/>
      <c r="Y934" s="405"/>
      <c r="Z934" s="442"/>
      <c r="AA934" s="405"/>
      <c r="AB934" s="405"/>
      <c r="AC934" s="405"/>
      <c r="AD934" s="405"/>
      <c r="AE934" s="442"/>
      <c r="AF934" s="405"/>
      <c r="AG934" s="405"/>
      <c r="AH934" s="405"/>
      <c r="AI934" s="405"/>
      <c r="AJ934" s="405"/>
      <c r="AK934" s="405"/>
      <c r="AL934" s="405"/>
      <c r="AM934" s="406"/>
      <c r="AN934" s="406"/>
      <c r="AO934" s="406"/>
      <c r="AP934" s="406"/>
      <c r="AQ934" s="403"/>
      <c r="AR934" s="403"/>
      <c r="AS934" s="403"/>
      <c r="AT934" s="403"/>
      <c r="AU934" s="403"/>
      <c r="AV934" s="403"/>
      <c r="AW934" s="403"/>
      <c r="AX934" s="403"/>
      <c r="AY934" s="403"/>
    </row>
    <row r="935">
      <c r="A935" s="415"/>
      <c r="B935" s="415"/>
      <c r="C935" s="410"/>
      <c r="D935" s="429"/>
      <c r="E935" s="416"/>
      <c r="F935" s="413"/>
      <c r="G935" s="413"/>
      <c r="H935" s="415"/>
      <c r="I935" s="415"/>
      <c r="J935" s="415"/>
      <c r="K935" s="415"/>
      <c r="L935" s="417"/>
      <c r="M935" s="403"/>
      <c r="N935" s="403"/>
      <c r="O935" s="403"/>
      <c r="P935" s="403"/>
      <c r="Q935" s="403"/>
      <c r="R935" s="403"/>
      <c r="S935" s="403"/>
      <c r="T935" s="403"/>
      <c r="U935" s="403"/>
      <c r="V935" s="403"/>
      <c r="W935" s="404"/>
      <c r="X935" s="405"/>
      <c r="Y935" s="405"/>
      <c r="Z935" s="442"/>
      <c r="AA935" s="405"/>
      <c r="AB935" s="405"/>
      <c r="AC935" s="405"/>
      <c r="AD935" s="405"/>
      <c r="AE935" s="442"/>
      <c r="AF935" s="405"/>
      <c r="AG935" s="405"/>
      <c r="AH935" s="405"/>
      <c r="AI935" s="405"/>
      <c r="AJ935" s="405"/>
      <c r="AK935" s="405"/>
      <c r="AL935" s="405"/>
      <c r="AM935" s="406"/>
      <c r="AN935" s="406"/>
      <c r="AO935" s="406"/>
      <c r="AP935" s="406"/>
      <c r="AQ935" s="403"/>
      <c r="AR935" s="403"/>
      <c r="AS935" s="403"/>
      <c r="AT935" s="403"/>
      <c r="AU935" s="403"/>
      <c r="AV935" s="403"/>
      <c r="AW935" s="403"/>
      <c r="AX935" s="403"/>
      <c r="AY935" s="403"/>
    </row>
    <row r="936">
      <c r="A936" s="415"/>
      <c r="B936" s="415"/>
      <c r="C936" s="410"/>
      <c r="D936" s="429"/>
      <c r="E936" s="416"/>
      <c r="F936" s="413"/>
      <c r="G936" s="413"/>
      <c r="H936" s="415"/>
      <c r="I936" s="415"/>
      <c r="J936" s="415"/>
      <c r="K936" s="415"/>
      <c r="L936" s="417"/>
      <c r="M936" s="403"/>
      <c r="N936" s="403"/>
      <c r="O936" s="403"/>
      <c r="P936" s="403"/>
      <c r="Q936" s="403"/>
      <c r="R936" s="403"/>
      <c r="S936" s="403"/>
      <c r="T936" s="403"/>
      <c r="U936" s="403"/>
      <c r="V936" s="403"/>
      <c r="W936" s="404"/>
      <c r="X936" s="405"/>
      <c r="Y936" s="405"/>
      <c r="Z936" s="442"/>
      <c r="AA936" s="405"/>
      <c r="AB936" s="405"/>
      <c r="AC936" s="405"/>
      <c r="AD936" s="405"/>
      <c r="AE936" s="442"/>
      <c r="AF936" s="405"/>
      <c r="AG936" s="405"/>
      <c r="AH936" s="405"/>
      <c r="AI936" s="405"/>
      <c r="AJ936" s="405"/>
      <c r="AK936" s="405"/>
      <c r="AL936" s="405"/>
      <c r="AM936" s="406"/>
      <c r="AN936" s="406"/>
      <c r="AO936" s="406"/>
      <c r="AP936" s="406"/>
      <c r="AQ936" s="403"/>
      <c r="AR936" s="403"/>
      <c r="AS936" s="403"/>
      <c r="AT936" s="403"/>
      <c r="AU936" s="403"/>
      <c r="AV936" s="403"/>
      <c r="AW936" s="403"/>
      <c r="AX936" s="403"/>
      <c r="AY936" s="403"/>
    </row>
    <row r="937">
      <c r="A937" s="415"/>
      <c r="B937" s="415"/>
      <c r="C937" s="410"/>
      <c r="D937" s="429"/>
      <c r="E937" s="416"/>
      <c r="F937" s="413"/>
      <c r="G937" s="413"/>
      <c r="H937" s="415"/>
      <c r="I937" s="415"/>
      <c r="J937" s="415"/>
      <c r="K937" s="415"/>
      <c r="L937" s="417"/>
      <c r="M937" s="403"/>
      <c r="N937" s="403"/>
      <c r="O937" s="403"/>
      <c r="P937" s="403"/>
      <c r="Q937" s="403"/>
      <c r="R937" s="403"/>
      <c r="S937" s="403"/>
      <c r="T937" s="403"/>
      <c r="U937" s="403"/>
      <c r="V937" s="403"/>
      <c r="W937" s="404"/>
      <c r="X937" s="405"/>
      <c r="Y937" s="405"/>
      <c r="Z937" s="442"/>
      <c r="AA937" s="405"/>
      <c r="AB937" s="405"/>
      <c r="AC937" s="405"/>
      <c r="AD937" s="405"/>
      <c r="AE937" s="442"/>
      <c r="AF937" s="405"/>
      <c r="AG937" s="405"/>
      <c r="AH937" s="405"/>
      <c r="AI937" s="405"/>
      <c r="AJ937" s="405"/>
      <c r="AK937" s="405"/>
      <c r="AL937" s="405"/>
      <c r="AM937" s="406"/>
      <c r="AN937" s="406"/>
      <c r="AO937" s="406"/>
      <c r="AP937" s="406"/>
      <c r="AQ937" s="403"/>
      <c r="AR937" s="403"/>
      <c r="AS937" s="403"/>
      <c r="AT937" s="403"/>
      <c r="AU937" s="403"/>
      <c r="AV937" s="403"/>
      <c r="AW937" s="403"/>
      <c r="AX937" s="403"/>
      <c r="AY937" s="403"/>
    </row>
    <row r="938">
      <c r="A938" s="415"/>
      <c r="B938" s="415"/>
      <c r="C938" s="410"/>
      <c r="D938" s="429"/>
      <c r="E938" s="416"/>
      <c r="F938" s="413"/>
      <c r="G938" s="413"/>
      <c r="H938" s="415"/>
      <c r="I938" s="415"/>
      <c r="J938" s="415"/>
      <c r="K938" s="415"/>
      <c r="L938" s="417"/>
      <c r="M938" s="403"/>
      <c r="N938" s="403"/>
      <c r="O938" s="403"/>
      <c r="P938" s="403"/>
      <c r="Q938" s="403"/>
      <c r="R938" s="403"/>
      <c r="S938" s="403"/>
      <c r="T938" s="403"/>
      <c r="U938" s="403"/>
      <c r="V938" s="403"/>
      <c r="W938" s="404"/>
      <c r="X938" s="405"/>
      <c r="Y938" s="405"/>
      <c r="Z938" s="442"/>
      <c r="AA938" s="405"/>
      <c r="AB938" s="405"/>
      <c r="AC938" s="405"/>
      <c r="AD938" s="405"/>
      <c r="AE938" s="442"/>
      <c r="AF938" s="405"/>
      <c r="AG938" s="405"/>
      <c r="AH938" s="405"/>
      <c r="AI938" s="405"/>
      <c r="AJ938" s="405"/>
      <c r="AK938" s="405"/>
      <c r="AL938" s="405"/>
      <c r="AM938" s="406"/>
      <c r="AN938" s="406"/>
      <c r="AO938" s="406"/>
      <c r="AP938" s="406"/>
      <c r="AQ938" s="403"/>
      <c r="AR938" s="403"/>
      <c r="AS938" s="403"/>
      <c r="AT938" s="403"/>
      <c r="AU938" s="403"/>
      <c r="AV938" s="403"/>
      <c r="AW938" s="403"/>
      <c r="AX938" s="403"/>
      <c r="AY938" s="403"/>
    </row>
    <row r="939">
      <c r="A939" s="415"/>
      <c r="B939" s="415"/>
      <c r="C939" s="410"/>
      <c r="D939" s="429"/>
      <c r="E939" s="416"/>
      <c r="F939" s="413"/>
      <c r="G939" s="413"/>
      <c r="H939" s="415"/>
      <c r="I939" s="415"/>
      <c r="J939" s="415"/>
      <c r="K939" s="415"/>
      <c r="L939" s="417"/>
      <c r="M939" s="403"/>
      <c r="N939" s="403"/>
      <c r="O939" s="403"/>
      <c r="P939" s="403"/>
      <c r="Q939" s="403"/>
      <c r="R939" s="403"/>
      <c r="S939" s="403"/>
      <c r="T939" s="403"/>
      <c r="U939" s="403"/>
      <c r="V939" s="403"/>
      <c r="W939" s="404"/>
      <c r="X939" s="405"/>
      <c r="Y939" s="405"/>
      <c r="Z939" s="442"/>
      <c r="AA939" s="405"/>
      <c r="AB939" s="405"/>
      <c r="AC939" s="405"/>
      <c r="AD939" s="405"/>
      <c r="AE939" s="442"/>
      <c r="AF939" s="405"/>
      <c r="AG939" s="405"/>
      <c r="AH939" s="405"/>
      <c r="AI939" s="405"/>
      <c r="AJ939" s="405"/>
      <c r="AK939" s="405"/>
      <c r="AL939" s="405"/>
      <c r="AM939" s="406"/>
      <c r="AN939" s="406"/>
      <c r="AO939" s="406"/>
      <c r="AP939" s="406"/>
      <c r="AQ939" s="403"/>
      <c r="AR939" s="403"/>
      <c r="AS939" s="403"/>
      <c r="AT939" s="403"/>
      <c r="AU939" s="403"/>
      <c r="AV939" s="403"/>
      <c r="AW939" s="403"/>
      <c r="AX939" s="403"/>
      <c r="AY939" s="403"/>
    </row>
    <row r="940">
      <c r="A940" s="415"/>
      <c r="B940" s="415"/>
      <c r="C940" s="410"/>
      <c r="D940" s="429"/>
      <c r="E940" s="416"/>
      <c r="F940" s="413"/>
      <c r="G940" s="413"/>
      <c r="H940" s="415"/>
      <c r="I940" s="415"/>
      <c r="J940" s="415"/>
      <c r="K940" s="415"/>
      <c r="L940" s="417"/>
      <c r="M940" s="403"/>
      <c r="N940" s="403"/>
      <c r="O940" s="403"/>
      <c r="P940" s="403"/>
      <c r="Q940" s="403"/>
      <c r="R940" s="403"/>
      <c r="S940" s="403"/>
      <c r="T940" s="403"/>
      <c r="U940" s="403"/>
      <c r="V940" s="403"/>
      <c r="W940" s="404"/>
      <c r="X940" s="405"/>
      <c r="Y940" s="405"/>
      <c r="Z940" s="442"/>
      <c r="AA940" s="405"/>
      <c r="AB940" s="405"/>
      <c r="AC940" s="405"/>
      <c r="AD940" s="405"/>
      <c r="AE940" s="442"/>
      <c r="AF940" s="405"/>
      <c r="AG940" s="405"/>
      <c r="AH940" s="405"/>
      <c r="AI940" s="405"/>
      <c r="AJ940" s="405"/>
      <c r="AK940" s="405"/>
      <c r="AL940" s="405"/>
      <c r="AM940" s="406"/>
      <c r="AN940" s="406"/>
      <c r="AO940" s="406"/>
      <c r="AP940" s="406"/>
      <c r="AQ940" s="403"/>
      <c r="AR940" s="403"/>
      <c r="AS940" s="403"/>
      <c r="AT940" s="403"/>
      <c r="AU940" s="403"/>
      <c r="AV940" s="403"/>
      <c r="AW940" s="403"/>
      <c r="AX940" s="403"/>
      <c r="AY940" s="403"/>
    </row>
    <row r="941">
      <c r="A941" s="415"/>
      <c r="B941" s="415"/>
      <c r="C941" s="410"/>
      <c r="D941" s="429"/>
      <c r="E941" s="416"/>
      <c r="F941" s="413"/>
      <c r="G941" s="413"/>
      <c r="H941" s="415"/>
      <c r="I941" s="415"/>
      <c r="J941" s="415"/>
      <c r="K941" s="415"/>
      <c r="L941" s="417"/>
      <c r="M941" s="403"/>
      <c r="N941" s="403"/>
      <c r="O941" s="403"/>
      <c r="P941" s="403"/>
      <c r="Q941" s="403"/>
      <c r="R941" s="403"/>
      <c r="S941" s="403"/>
      <c r="T941" s="403"/>
      <c r="U941" s="403"/>
      <c r="V941" s="403"/>
      <c r="W941" s="404"/>
      <c r="X941" s="405"/>
      <c r="Y941" s="405"/>
      <c r="Z941" s="442"/>
      <c r="AA941" s="405"/>
      <c r="AB941" s="405"/>
      <c r="AC941" s="405"/>
      <c r="AD941" s="405"/>
      <c r="AE941" s="442"/>
      <c r="AF941" s="405"/>
      <c r="AG941" s="405"/>
      <c r="AH941" s="405"/>
      <c r="AI941" s="405"/>
      <c r="AJ941" s="405"/>
      <c r="AK941" s="405"/>
      <c r="AL941" s="405"/>
      <c r="AM941" s="406"/>
      <c r="AN941" s="406"/>
      <c r="AO941" s="406"/>
      <c r="AP941" s="406"/>
      <c r="AQ941" s="403"/>
      <c r="AR941" s="403"/>
      <c r="AS941" s="403"/>
      <c r="AT941" s="403"/>
      <c r="AU941" s="403"/>
      <c r="AV941" s="403"/>
      <c r="AW941" s="403"/>
      <c r="AX941" s="403"/>
      <c r="AY941" s="403"/>
    </row>
    <row r="942">
      <c r="A942" s="415"/>
      <c r="B942" s="415"/>
      <c r="C942" s="410"/>
      <c r="D942" s="429"/>
      <c r="E942" s="416"/>
      <c r="F942" s="413"/>
      <c r="G942" s="413"/>
      <c r="H942" s="415"/>
      <c r="I942" s="415"/>
      <c r="J942" s="415"/>
      <c r="K942" s="415"/>
      <c r="L942" s="417"/>
      <c r="M942" s="403"/>
      <c r="N942" s="403"/>
      <c r="O942" s="403"/>
      <c r="P942" s="403"/>
      <c r="Q942" s="403"/>
      <c r="R942" s="403"/>
      <c r="S942" s="403"/>
      <c r="T942" s="403"/>
      <c r="U942" s="403"/>
      <c r="V942" s="403"/>
      <c r="W942" s="404"/>
      <c r="X942" s="405"/>
      <c r="Y942" s="405"/>
      <c r="Z942" s="442"/>
      <c r="AA942" s="405"/>
      <c r="AB942" s="405"/>
      <c r="AC942" s="405"/>
      <c r="AD942" s="405"/>
      <c r="AE942" s="442"/>
      <c r="AF942" s="405"/>
      <c r="AG942" s="405"/>
      <c r="AH942" s="405"/>
      <c r="AI942" s="405"/>
      <c r="AJ942" s="405"/>
      <c r="AK942" s="405"/>
      <c r="AL942" s="405"/>
      <c r="AM942" s="406"/>
      <c r="AN942" s="406"/>
      <c r="AO942" s="406"/>
      <c r="AP942" s="406"/>
      <c r="AQ942" s="403"/>
      <c r="AR942" s="403"/>
      <c r="AS942" s="403"/>
      <c r="AT942" s="403"/>
      <c r="AU942" s="403"/>
      <c r="AV942" s="403"/>
      <c r="AW942" s="403"/>
      <c r="AX942" s="403"/>
      <c r="AY942" s="403"/>
    </row>
    <row r="943">
      <c r="A943" s="415"/>
      <c r="B943" s="415"/>
      <c r="C943" s="410"/>
      <c r="D943" s="429"/>
      <c r="E943" s="416"/>
      <c r="F943" s="413"/>
      <c r="G943" s="413"/>
      <c r="H943" s="415"/>
      <c r="I943" s="415"/>
      <c r="J943" s="415"/>
      <c r="K943" s="415"/>
      <c r="L943" s="417"/>
      <c r="M943" s="403"/>
      <c r="N943" s="403"/>
      <c r="O943" s="403"/>
      <c r="P943" s="403"/>
      <c r="Q943" s="403"/>
      <c r="R943" s="403"/>
      <c r="S943" s="403"/>
      <c r="T943" s="403"/>
      <c r="U943" s="403"/>
      <c r="V943" s="403"/>
      <c r="W943" s="404"/>
      <c r="X943" s="405"/>
      <c r="Y943" s="405"/>
      <c r="Z943" s="442"/>
      <c r="AA943" s="405"/>
      <c r="AB943" s="405"/>
      <c r="AC943" s="405"/>
      <c r="AD943" s="405"/>
      <c r="AE943" s="442"/>
      <c r="AF943" s="405"/>
      <c r="AG943" s="405"/>
      <c r="AH943" s="405"/>
      <c r="AI943" s="405"/>
      <c r="AJ943" s="405"/>
      <c r="AK943" s="405"/>
      <c r="AL943" s="405"/>
      <c r="AM943" s="406"/>
      <c r="AN943" s="406"/>
      <c r="AO943" s="406"/>
      <c r="AP943" s="406"/>
      <c r="AQ943" s="403"/>
      <c r="AR943" s="403"/>
      <c r="AS943" s="403"/>
      <c r="AT943" s="403"/>
      <c r="AU943" s="403"/>
      <c r="AV943" s="403"/>
      <c r="AW943" s="403"/>
      <c r="AX943" s="403"/>
      <c r="AY943" s="403"/>
    </row>
    <row r="944">
      <c r="A944" s="415"/>
      <c r="B944" s="415"/>
      <c r="C944" s="410"/>
      <c r="D944" s="429"/>
      <c r="E944" s="416"/>
      <c r="F944" s="413"/>
      <c r="G944" s="413"/>
      <c r="H944" s="415"/>
      <c r="I944" s="415"/>
      <c r="J944" s="415"/>
      <c r="K944" s="415"/>
      <c r="L944" s="417"/>
      <c r="M944" s="403"/>
      <c r="N944" s="403"/>
      <c r="O944" s="403"/>
      <c r="P944" s="403"/>
      <c r="Q944" s="403"/>
      <c r="R944" s="403"/>
      <c r="S944" s="403"/>
      <c r="T944" s="403"/>
      <c r="U944" s="403"/>
      <c r="V944" s="403"/>
      <c r="W944" s="404"/>
      <c r="X944" s="405"/>
      <c r="Y944" s="405"/>
      <c r="Z944" s="442"/>
      <c r="AA944" s="405"/>
      <c r="AB944" s="405"/>
      <c r="AC944" s="405"/>
      <c r="AD944" s="405"/>
      <c r="AE944" s="442"/>
      <c r="AF944" s="405"/>
      <c r="AG944" s="405"/>
      <c r="AH944" s="405"/>
      <c r="AI944" s="405"/>
      <c r="AJ944" s="405"/>
      <c r="AK944" s="405"/>
      <c r="AL944" s="405"/>
      <c r="AM944" s="406"/>
      <c r="AN944" s="406"/>
      <c r="AO944" s="406"/>
      <c r="AP944" s="406"/>
      <c r="AQ944" s="403"/>
      <c r="AR944" s="403"/>
      <c r="AS944" s="403"/>
      <c r="AT944" s="403"/>
      <c r="AU944" s="403"/>
      <c r="AV944" s="403"/>
      <c r="AW944" s="403"/>
      <c r="AX944" s="403"/>
      <c r="AY944" s="403"/>
    </row>
    <row r="945">
      <c r="A945" s="415"/>
      <c r="B945" s="415"/>
      <c r="C945" s="410"/>
      <c r="D945" s="429"/>
      <c r="E945" s="416"/>
      <c r="F945" s="413"/>
      <c r="G945" s="413"/>
      <c r="H945" s="415"/>
      <c r="I945" s="415"/>
      <c r="J945" s="415"/>
      <c r="K945" s="415"/>
      <c r="L945" s="417"/>
      <c r="M945" s="403"/>
      <c r="N945" s="403"/>
      <c r="O945" s="403"/>
      <c r="P945" s="403"/>
      <c r="Q945" s="403"/>
      <c r="R945" s="403"/>
      <c r="S945" s="403"/>
      <c r="T945" s="403"/>
      <c r="U945" s="403"/>
      <c r="V945" s="403"/>
      <c r="W945" s="404"/>
      <c r="X945" s="405"/>
      <c r="Y945" s="405"/>
      <c r="Z945" s="442"/>
      <c r="AA945" s="405"/>
      <c r="AB945" s="405"/>
      <c r="AC945" s="405"/>
      <c r="AD945" s="405"/>
      <c r="AE945" s="442"/>
      <c r="AF945" s="405"/>
      <c r="AG945" s="405"/>
      <c r="AH945" s="405"/>
      <c r="AI945" s="405"/>
      <c r="AJ945" s="405"/>
      <c r="AK945" s="405"/>
      <c r="AL945" s="405"/>
      <c r="AM945" s="406"/>
      <c r="AN945" s="406"/>
      <c r="AO945" s="406"/>
      <c r="AP945" s="406"/>
      <c r="AQ945" s="403"/>
      <c r="AR945" s="403"/>
      <c r="AS945" s="403"/>
      <c r="AT945" s="403"/>
      <c r="AU945" s="403"/>
      <c r="AV945" s="403"/>
      <c r="AW945" s="403"/>
      <c r="AX945" s="403"/>
      <c r="AY945" s="403"/>
    </row>
    <row r="946">
      <c r="A946" s="415"/>
      <c r="B946" s="415"/>
      <c r="C946" s="410"/>
      <c r="D946" s="429"/>
      <c r="E946" s="416"/>
      <c r="F946" s="413"/>
      <c r="G946" s="413"/>
      <c r="H946" s="415"/>
      <c r="I946" s="415"/>
      <c r="J946" s="415"/>
      <c r="K946" s="415"/>
      <c r="L946" s="417"/>
      <c r="M946" s="403"/>
      <c r="N946" s="403"/>
      <c r="O946" s="403"/>
      <c r="P946" s="403"/>
      <c r="Q946" s="403"/>
      <c r="R946" s="403"/>
      <c r="S946" s="403"/>
      <c r="T946" s="403"/>
      <c r="U946" s="403"/>
      <c r="V946" s="403"/>
      <c r="W946" s="404"/>
      <c r="X946" s="405"/>
      <c r="Y946" s="405"/>
      <c r="Z946" s="442"/>
      <c r="AA946" s="405"/>
      <c r="AB946" s="405"/>
      <c r="AC946" s="405"/>
      <c r="AD946" s="405"/>
      <c r="AE946" s="442"/>
      <c r="AF946" s="405"/>
      <c r="AG946" s="405"/>
      <c r="AH946" s="405"/>
      <c r="AI946" s="405"/>
      <c r="AJ946" s="405"/>
      <c r="AK946" s="405"/>
      <c r="AL946" s="405"/>
      <c r="AM946" s="406"/>
      <c r="AN946" s="406"/>
      <c r="AO946" s="406"/>
      <c r="AP946" s="406"/>
      <c r="AQ946" s="403"/>
      <c r="AR946" s="403"/>
      <c r="AS946" s="403"/>
      <c r="AT946" s="403"/>
      <c r="AU946" s="403"/>
      <c r="AV946" s="403"/>
      <c r="AW946" s="403"/>
      <c r="AX946" s="403"/>
      <c r="AY946" s="403"/>
    </row>
    <row r="947">
      <c r="A947" s="415"/>
      <c r="B947" s="415"/>
      <c r="C947" s="410"/>
      <c r="D947" s="429"/>
      <c r="E947" s="416"/>
      <c r="F947" s="413"/>
      <c r="G947" s="413"/>
      <c r="H947" s="415"/>
      <c r="I947" s="415"/>
      <c r="J947" s="415"/>
      <c r="K947" s="415"/>
      <c r="L947" s="417"/>
      <c r="M947" s="403"/>
      <c r="N947" s="403"/>
      <c r="O947" s="403"/>
      <c r="P947" s="403"/>
      <c r="Q947" s="403"/>
      <c r="R947" s="403"/>
      <c r="S947" s="403"/>
      <c r="T947" s="403"/>
      <c r="U947" s="403"/>
      <c r="V947" s="403"/>
      <c r="W947" s="404"/>
      <c r="X947" s="405"/>
      <c r="Y947" s="405"/>
      <c r="Z947" s="442"/>
      <c r="AA947" s="405"/>
      <c r="AB947" s="405"/>
      <c r="AC947" s="405"/>
      <c r="AD947" s="405"/>
      <c r="AE947" s="442"/>
      <c r="AF947" s="405"/>
      <c r="AG947" s="405"/>
      <c r="AH947" s="405"/>
      <c r="AI947" s="405"/>
      <c r="AJ947" s="405"/>
      <c r="AK947" s="405"/>
      <c r="AL947" s="405"/>
      <c r="AM947" s="406"/>
      <c r="AN947" s="406"/>
      <c r="AO947" s="406"/>
      <c r="AP947" s="406"/>
      <c r="AQ947" s="403"/>
      <c r="AR947" s="403"/>
      <c r="AS947" s="403"/>
      <c r="AT947" s="403"/>
      <c r="AU947" s="403"/>
      <c r="AV947" s="403"/>
      <c r="AW947" s="403"/>
      <c r="AX947" s="403"/>
      <c r="AY947" s="403"/>
    </row>
    <row r="948">
      <c r="A948" s="415"/>
      <c r="B948" s="415"/>
      <c r="C948" s="410"/>
      <c r="D948" s="429"/>
      <c r="E948" s="416"/>
      <c r="F948" s="413"/>
      <c r="G948" s="413"/>
      <c r="H948" s="415"/>
      <c r="I948" s="415"/>
      <c r="J948" s="415"/>
      <c r="K948" s="415"/>
      <c r="L948" s="417"/>
      <c r="M948" s="403"/>
      <c r="N948" s="403"/>
      <c r="O948" s="403"/>
      <c r="P948" s="403"/>
      <c r="Q948" s="403"/>
      <c r="R948" s="403"/>
      <c r="S948" s="403"/>
      <c r="T948" s="403"/>
      <c r="U948" s="403"/>
      <c r="V948" s="403"/>
      <c r="W948" s="404"/>
      <c r="X948" s="405"/>
      <c r="Y948" s="405"/>
      <c r="Z948" s="442"/>
      <c r="AA948" s="405"/>
      <c r="AB948" s="405"/>
      <c r="AC948" s="405"/>
      <c r="AD948" s="405"/>
      <c r="AE948" s="442"/>
      <c r="AF948" s="405"/>
      <c r="AG948" s="405"/>
      <c r="AH948" s="405"/>
      <c r="AI948" s="405"/>
      <c r="AJ948" s="405"/>
      <c r="AK948" s="405"/>
      <c r="AL948" s="405"/>
      <c r="AM948" s="406"/>
      <c r="AN948" s="406"/>
      <c r="AO948" s="406"/>
      <c r="AP948" s="406"/>
      <c r="AQ948" s="403"/>
      <c r="AR948" s="403"/>
      <c r="AS948" s="403"/>
      <c r="AT948" s="403"/>
      <c r="AU948" s="403"/>
      <c r="AV948" s="403"/>
      <c r="AW948" s="403"/>
      <c r="AX948" s="403"/>
      <c r="AY948" s="403"/>
    </row>
    <row r="949">
      <c r="A949" s="415"/>
      <c r="B949" s="415"/>
      <c r="C949" s="410"/>
      <c r="D949" s="429"/>
      <c r="E949" s="416"/>
      <c r="F949" s="413"/>
      <c r="G949" s="413"/>
      <c r="H949" s="415"/>
      <c r="I949" s="415"/>
      <c r="J949" s="415"/>
      <c r="K949" s="415"/>
      <c r="L949" s="417"/>
      <c r="M949" s="403"/>
      <c r="N949" s="403"/>
      <c r="O949" s="403"/>
      <c r="P949" s="403"/>
      <c r="Q949" s="403"/>
      <c r="R949" s="403"/>
      <c r="S949" s="403"/>
      <c r="T949" s="403"/>
      <c r="U949" s="403"/>
      <c r="V949" s="403"/>
      <c r="W949" s="404"/>
      <c r="X949" s="405"/>
      <c r="Y949" s="405"/>
      <c r="Z949" s="442"/>
      <c r="AA949" s="405"/>
      <c r="AB949" s="405"/>
      <c r="AC949" s="405"/>
      <c r="AD949" s="405"/>
      <c r="AE949" s="442"/>
      <c r="AF949" s="405"/>
      <c r="AG949" s="405"/>
      <c r="AH949" s="405"/>
      <c r="AI949" s="405"/>
      <c r="AJ949" s="405"/>
      <c r="AK949" s="405"/>
      <c r="AL949" s="405"/>
      <c r="AM949" s="406"/>
      <c r="AN949" s="406"/>
      <c r="AO949" s="406"/>
      <c r="AP949" s="406"/>
      <c r="AQ949" s="403"/>
      <c r="AR949" s="403"/>
      <c r="AS949" s="403"/>
      <c r="AT949" s="403"/>
      <c r="AU949" s="403"/>
      <c r="AV949" s="403"/>
      <c r="AW949" s="403"/>
      <c r="AX949" s="403"/>
      <c r="AY949" s="403"/>
    </row>
    <row r="950">
      <c r="A950" s="415"/>
      <c r="B950" s="415"/>
      <c r="C950" s="410"/>
      <c r="D950" s="429"/>
      <c r="E950" s="416"/>
      <c r="F950" s="413"/>
      <c r="G950" s="413"/>
      <c r="H950" s="415"/>
      <c r="I950" s="415"/>
      <c r="J950" s="415"/>
      <c r="K950" s="415"/>
      <c r="L950" s="417"/>
      <c r="M950" s="403"/>
      <c r="N950" s="403"/>
      <c r="O950" s="403"/>
      <c r="P950" s="403"/>
      <c r="Q950" s="403"/>
      <c r="R950" s="403"/>
      <c r="S950" s="403"/>
      <c r="T950" s="403"/>
      <c r="U950" s="403"/>
      <c r="V950" s="403"/>
      <c r="W950" s="404"/>
      <c r="X950" s="405"/>
      <c r="Y950" s="405"/>
      <c r="Z950" s="442"/>
      <c r="AA950" s="405"/>
      <c r="AB950" s="405"/>
      <c r="AC950" s="405"/>
      <c r="AD950" s="405"/>
      <c r="AE950" s="442"/>
      <c r="AF950" s="405"/>
      <c r="AG950" s="405"/>
      <c r="AH950" s="405"/>
      <c r="AI950" s="405"/>
      <c r="AJ950" s="405"/>
      <c r="AK950" s="405"/>
      <c r="AL950" s="405"/>
      <c r="AM950" s="406"/>
      <c r="AN950" s="406"/>
      <c r="AO950" s="406"/>
      <c r="AP950" s="406"/>
      <c r="AQ950" s="403"/>
      <c r="AR950" s="403"/>
      <c r="AS950" s="403"/>
      <c r="AT950" s="403"/>
      <c r="AU950" s="403"/>
      <c r="AV950" s="403"/>
      <c r="AW950" s="403"/>
      <c r="AX950" s="403"/>
      <c r="AY950" s="403"/>
    </row>
    <row r="951">
      <c r="A951" s="415"/>
      <c r="B951" s="415"/>
      <c r="C951" s="410"/>
      <c r="D951" s="429"/>
      <c r="E951" s="416"/>
      <c r="F951" s="413"/>
      <c r="G951" s="413"/>
      <c r="H951" s="415"/>
      <c r="I951" s="415"/>
      <c r="J951" s="415"/>
      <c r="K951" s="415"/>
      <c r="L951" s="417"/>
      <c r="M951" s="403"/>
      <c r="N951" s="403"/>
      <c r="O951" s="403"/>
      <c r="P951" s="403"/>
      <c r="Q951" s="403"/>
      <c r="R951" s="403"/>
      <c r="S951" s="403"/>
      <c r="T951" s="403"/>
      <c r="U951" s="403"/>
      <c r="V951" s="403"/>
      <c r="W951" s="404"/>
      <c r="X951" s="405"/>
      <c r="Y951" s="405"/>
      <c r="Z951" s="442"/>
      <c r="AA951" s="405"/>
      <c r="AB951" s="405"/>
      <c r="AC951" s="405"/>
      <c r="AD951" s="405"/>
      <c r="AE951" s="442"/>
      <c r="AF951" s="405"/>
      <c r="AG951" s="405"/>
      <c r="AH951" s="405"/>
      <c r="AI951" s="405"/>
      <c r="AJ951" s="405"/>
      <c r="AK951" s="405"/>
      <c r="AL951" s="405"/>
      <c r="AM951" s="406"/>
      <c r="AN951" s="406"/>
      <c r="AO951" s="406"/>
      <c r="AP951" s="406"/>
      <c r="AQ951" s="403"/>
      <c r="AR951" s="403"/>
      <c r="AS951" s="403"/>
      <c r="AT951" s="403"/>
      <c r="AU951" s="403"/>
      <c r="AV951" s="403"/>
      <c r="AW951" s="403"/>
      <c r="AX951" s="403"/>
      <c r="AY951" s="403"/>
    </row>
    <row r="952">
      <c r="A952" s="415"/>
      <c r="B952" s="415"/>
      <c r="C952" s="410"/>
      <c r="D952" s="429"/>
      <c r="E952" s="416"/>
      <c r="F952" s="413"/>
      <c r="G952" s="413"/>
      <c r="H952" s="415"/>
      <c r="I952" s="415"/>
      <c r="J952" s="415"/>
      <c r="K952" s="415"/>
      <c r="L952" s="417"/>
      <c r="M952" s="403"/>
      <c r="N952" s="403"/>
      <c r="O952" s="403"/>
      <c r="P952" s="403"/>
      <c r="Q952" s="403"/>
      <c r="R952" s="403"/>
      <c r="S952" s="403"/>
      <c r="T952" s="403"/>
      <c r="U952" s="403"/>
      <c r="V952" s="403"/>
      <c r="W952" s="404"/>
      <c r="X952" s="405"/>
      <c r="Y952" s="405"/>
      <c r="Z952" s="442"/>
      <c r="AA952" s="405"/>
      <c r="AB952" s="405"/>
      <c r="AC952" s="405"/>
      <c r="AD952" s="405"/>
      <c r="AE952" s="442"/>
      <c r="AF952" s="405"/>
      <c r="AG952" s="405"/>
      <c r="AH952" s="405"/>
      <c r="AI952" s="405"/>
      <c r="AJ952" s="405"/>
      <c r="AK952" s="405"/>
      <c r="AL952" s="405"/>
      <c r="AM952" s="406"/>
      <c r="AN952" s="406"/>
      <c r="AO952" s="406"/>
      <c r="AP952" s="406"/>
      <c r="AQ952" s="403"/>
      <c r="AR952" s="403"/>
      <c r="AS952" s="403"/>
      <c r="AT952" s="403"/>
      <c r="AU952" s="403"/>
      <c r="AV952" s="403"/>
      <c r="AW952" s="403"/>
      <c r="AX952" s="403"/>
      <c r="AY952" s="403"/>
    </row>
    <row r="953">
      <c r="A953" s="415"/>
      <c r="B953" s="415"/>
      <c r="C953" s="410"/>
      <c r="D953" s="429"/>
      <c r="E953" s="416"/>
      <c r="F953" s="413"/>
      <c r="G953" s="413"/>
      <c r="H953" s="415"/>
      <c r="I953" s="415"/>
      <c r="J953" s="415"/>
      <c r="K953" s="415"/>
      <c r="L953" s="417"/>
      <c r="M953" s="403"/>
      <c r="N953" s="403"/>
      <c r="O953" s="403"/>
      <c r="P953" s="403"/>
      <c r="Q953" s="403"/>
      <c r="R953" s="403"/>
      <c r="S953" s="403"/>
      <c r="T953" s="403"/>
      <c r="U953" s="403"/>
      <c r="V953" s="403"/>
      <c r="W953" s="404"/>
      <c r="X953" s="405"/>
      <c r="Y953" s="405"/>
      <c r="Z953" s="442"/>
      <c r="AA953" s="405"/>
      <c r="AB953" s="405"/>
      <c r="AC953" s="405"/>
      <c r="AD953" s="405"/>
      <c r="AE953" s="442"/>
      <c r="AF953" s="405"/>
      <c r="AG953" s="405"/>
      <c r="AH953" s="405"/>
      <c r="AI953" s="405"/>
      <c r="AJ953" s="405"/>
      <c r="AK953" s="405"/>
      <c r="AL953" s="405"/>
      <c r="AM953" s="406"/>
      <c r="AN953" s="406"/>
      <c r="AO953" s="406"/>
      <c r="AP953" s="406"/>
      <c r="AQ953" s="403"/>
      <c r="AR953" s="403"/>
      <c r="AS953" s="403"/>
      <c r="AT953" s="403"/>
      <c r="AU953" s="403"/>
      <c r="AV953" s="403"/>
      <c r="AW953" s="403"/>
      <c r="AX953" s="403"/>
      <c r="AY953" s="403"/>
    </row>
    <row r="954">
      <c r="A954" s="415"/>
      <c r="B954" s="415"/>
      <c r="C954" s="410"/>
      <c r="D954" s="429"/>
      <c r="E954" s="416"/>
      <c r="F954" s="413"/>
      <c r="G954" s="413"/>
      <c r="H954" s="415"/>
      <c r="I954" s="415"/>
      <c r="J954" s="415"/>
      <c r="K954" s="415"/>
      <c r="L954" s="417"/>
      <c r="M954" s="403"/>
      <c r="N954" s="403"/>
      <c r="O954" s="403"/>
      <c r="P954" s="403"/>
      <c r="Q954" s="403"/>
      <c r="R954" s="403"/>
      <c r="S954" s="403"/>
      <c r="T954" s="403"/>
      <c r="U954" s="403"/>
      <c r="V954" s="403"/>
      <c r="W954" s="404"/>
      <c r="X954" s="405"/>
      <c r="Y954" s="405"/>
      <c r="Z954" s="442"/>
      <c r="AA954" s="405"/>
      <c r="AB954" s="405"/>
      <c r="AC954" s="405"/>
      <c r="AD954" s="405"/>
      <c r="AE954" s="442"/>
      <c r="AF954" s="405"/>
      <c r="AG954" s="405"/>
      <c r="AH954" s="405"/>
      <c r="AI954" s="405"/>
      <c r="AJ954" s="405"/>
      <c r="AK954" s="405"/>
      <c r="AL954" s="405"/>
      <c r="AM954" s="406"/>
      <c r="AN954" s="406"/>
      <c r="AO954" s="406"/>
      <c r="AP954" s="406"/>
      <c r="AQ954" s="403"/>
      <c r="AR954" s="403"/>
      <c r="AS954" s="403"/>
      <c r="AT954" s="403"/>
      <c r="AU954" s="403"/>
      <c r="AV954" s="403"/>
      <c r="AW954" s="403"/>
      <c r="AX954" s="403"/>
      <c r="AY954" s="403"/>
    </row>
    <row r="955">
      <c r="A955" s="415"/>
      <c r="B955" s="415"/>
      <c r="C955" s="410"/>
      <c r="D955" s="429"/>
      <c r="E955" s="416"/>
      <c r="F955" s="413"/>
      <c r="G955" s="413"/>
      <c r="H955" s="415"/>
      <c r="I955" s="415"/>
      <c r="J955" s="415"/>
      <c r="K955" s="415"/>
      <c r="L955" s="417"/>
      <c r="M955" s="403"/>
      <c r="N955" s="403"/>
      <c r="O955" s="403"/>
      <c r="P955" s="403"/>
      <c r="Q955" s="403"/>
      <c r="R955" s="403"/>
      <c r="S955" s="403"/>
      <c r="T955" s="403"/>
      <c r="U955" s="403"/>
      <c r="V955" s="403"/>
      <c r="W955" s="404"/>
      <c r="X955" s="405"/>
      <c r="Y955" s="405"/>
      <c r="Z955" s="442"/>
      <c r="AA955" s="405"/>
      <c r="AB955" s="405"/>
      <c r="AC955" s="405"/>
      <c r="AD955" s="405"/>
      <c r="AE955" s="442"/>
      <c r="AF955" s="405"/>
      <c r="AG955" s="405"/>
      <c r="AH955" s="405"/>
      <c r="AI955" s="405"/>
      <c r="AJ955" s="405"/>
      <c r="AK955" s="405"/>
      <c r="AL955" s="405"/>
      <c r="AM955" s="406"/>
      <c r="AN955" s="406"/>
      <c r="AO955" s="406"/>
      <c r="AP955" s="406"/>
      <c r="AQ955" s="403"/>
      <c r="AR955" s="403"/>
      <c r="AS955" s="403"/>
      <c r="AT955" s="403"/>
      <c r="AU955" s="403"/>
      <c r="AV955" s="403"/>
      <c r="AW955" s="403"/>
      <c r="AX955" s="403"/>
      <c r="AY955" s="403"/>
    </row>
    <row r="956">
      <c r="A956" s="415"/>
      <c r="B956" s="415"/>
      <c r="C956" s="410"/>
      <c r="D956" s="429"/>
      <c r="E956" s="416"/>
      <c r="F956" s="413"/>
      <c r="G956" s="413"/>
      <c r="H956" s="415"/>
      <c r="I956" s="415"/>
      <c r="J956" s="415"/>
      <c r="K956" s="415"/>
      <c r="L956" s="417"/>
      <c r="M956" s="403"/>
      <c r="N956" s="403"/>
      <c r="O956" s="403"/>
      <c r="P956" s="403"/>
      <c r="Q956" s="403"/>
      <c r="R956" s="403"/>
      <c r="S956" s="403"/>
      <c r="T956" s="403"/>
      <c r="U956" s="403"/>
      <c r="V956" s="403"/>
      <c r="W956" s="404"/>
      <c r="X956" s="405"/>
      <c r="Y956" s="405"/>
      <c r="Z956" s="442"/>
      <c r="AA956" s="405"/>
      <c r="AB956" s="405"/>
      <c r="AC956" s="405"/>
      <c r="AD956" s="405"/>
      <c r="AE956" s="442"/>
      <c r="AF956" s="405"/>
      <c r="AG956" s="405"/>
      <c r="AH956" s="405"/>
      <c r="AI956" s="405"/>
      <c r="AJ956" s="405"/>
      <c r="AK956" s="405"/>
      <c r="AL956" s="405"/>
      <c r="AM956" s="406"/>
      <c r="AN956" s="406"/>
      <c r="AO956" s="406"/>
      <c r="AP956" s="406"/>
      <c r="AQ956" s="403"/>
      <c r="AR956" s="403"/>
      <c r="AS956" s="403"/>
      <c r="AT956" s="403"/>
      <c r="AU956" s="403"/>
      <c r="AV956" s="403"/>
      <c r="AW956" s="403"/>
      <c r="AX956" s="403"/>
      <c r="AY956" s="403"/>
    </row>
    <row r="957">
      <c r="A957" s="415"/>
      <c r="B957" s="415"/>
      <c r="C957" s="410"/>
      <c r="D957" s="429"/>
      <c r="E957" s="416"/>
      <c r="F957" s="413"/>
      <c r="G957" s="413"/>
      <c r="H957" s="415"/>
      <c r="I957" s="415"/>
      <c r="J957" s="415"/>
      <c r="K957" s="415"/>
      <c r="L957" s="417"/>
      <c r="M957" s="403"/>
      <c r="N957" s="403"/>
      <c r="O957" s="403"/>
      <c r="P957" s="403"/>
      <c r="Q957" s="403"/>
      <c r="R957" s="403"/>
      <c r="S957" s="403"/>
      <c r="T957" s="403"/>
      <c r="U957" s="403"/>
      <c r="V957" s="403"/>
      <c r="W957" s="404"/>
      <c r="X957" s="405"/>
      <c r="Y957" s="405"/>
      <c r="Z957" s="442"/>
      <c r="AA957" s="405"/>
      <c r="AB957" s="405"/>
      <c r="AC957" s="405"/>
      <c r="AD957" s="405"/>
      <c r="AE957" s="442"/>
      <c r="AF957" s="405"/>
      <c r="AG957" s="405"/>
      <c r="AH957" s="405"/>
      <c r="AI957" s="405"/>
      <c r="AJ957" s="405"/>
      <c r="AK957" s="405"/>
      <c r="AL957" s="405"/>
      <c r="AM957" s="406"/>
      <c r="AN957" s="406"/>
      <c r="AO957" s="406"/>
      <c r="AP957" s="406"/>
      <c r="AQ957" s="403"/>
      <c r="AR957" s="403"/>
      <c r="AS957" s="403"/>
      <c r="AT957" s="403"/>
      <c r="AU957" s="403"/>
      <c r="AV957" s="403"/>
      <c r="AW957" s="403"/>
      <c r="AX957" s="403"/>
      <c r="AY957" s="403"/>
    </row>
    <row r="958">
      <c r="A958" s="415"/>
      <c r="B958" s="415"/>
      <c r="C958" s="410"/>
      <c r="D958" s="429"/>
      <c r="E958" s="416"/>
      <c r="F958" s="413"/>
      <c r="G958" s="413"/>
      <c r="H958" s="415"/>
      <c r="I958" s="415"/>
      <c r="J958" s="415"/>
      <c r="K958" s="415"/>
      <c r="L958" s="417"/>
      <c r="M958" s="403"/>
      <c r="N958" s="403"/>
      <c r="O958" s="403"/>
      <c r="P958" s="403"/>
      <c r="Q958" s="403"/>
      <c r="R958" s="403"/>
      <c r="S958" s="403"/>
      <c r="T958" s="403"/>
      <c r="U958" s="403"/>
      <c r="V958" s="403"/>
      <c r="W958" s="404"/>
      <c r="X958" s="405"/>
      <c r="Y958" s="405"/>
      <c r="Z958" s="442"/>
      <c r="AA958" s="405"/>
      <c r="AB958" s="405"/>
      <c r="AC958" s="405"/>
      <c r="AD958" s="405"/>
      <c r="AE958" s="442"/>
      <c r="AF958" s="405"/>
      <c r="AG958" s="405"/>
      <c r="AH958" s="405"/>
      <c r="AI958" s="405"/>
      <c r="AJ958" s="405"/>
      <c r="AK958" s="405"/>
      <c r="AL958" s="405"/>
      <c r="AM958" s="406"/>
      <c r="AN958" s="406"/>
      <c r="AO958" s="406"/>
      <c r="AP958" s="406"/>
      <c r="AQ958" s="403"/>
      <c r="AR958" s="403"/>
      <c r="AS958" s="403"/>
      <c r="AT958" s="403"/>
      <c r="AU958" s="403"/>
      <c r="AV958" s="403"/>
      <c r="AW958" s="403"/>
      <c r="AX958" s="403"/>
      <c r="AY958" s="403"/>
    </row>
    <row r="959">
      <c r="A959" s="415"/>
      <c r="B959" s="415"/>
      <c r="C959" s="410"/>
      <c r="D959" s="429"/>
      <c r="E959" s="416"/>
      <c r="F959" s="413"/>
      <c r="G959" s="413"/>
      <c r="H959" s="415"/>
      <c r="I959" s="415"/>
      <c r="J959" s="415"/>
      <c r="K959" s="415"/>
      <c r="L959" s="417"/>
      <c r="M959" s="403"/>
      <c r="N959" s="403"/>
      <c r="O959" s="403"/>
      <c r="P959" s="403"/>
      <c r="Q959" s="403"/>
      <c r="R959" s="403"/>
      <c r="S959" s="403"/>
      <c r="T959" s="403"/>
      <c r="U959" s="403"/>
      <c r="V959" s="403"/>
      <c r="W959" s="404"/>
      <c r="X959" s="405"/>
      <c r="Y959" s="405"/>
      <c r="Z959" s="442"/>
      <c r="AA959" s="405"/>
      <c r="AB959" s="405"/>
      <c r="AC959" s="405"/>
      <c r="AD959" s="405"/>
      <c r="AE959" s="442"/>
      <c r="AF959" s="405"/>
      <c r="AG959" s="405"/>
      <c r="AH959" s="405"/>
      <c r="AI959" s="405"/>
      <c r="AJ959" s="405"/>
      <c r="AK959" s="405"/>
      <c r="AL959" s="405"/>
      <c r="AM959" s="406"/>
      <c r="AN959" s="406"/>
      <c r="AO959" s="406"/>
      <c r="AP959" s="406"/>
      <c r="AQ959" s="403"/>
      <c r="AR959" s="403"/>
      <c r="AS959" s="403"/>
      <c r="AT959" s="403"/>
      <c r="AU959" s="403"/>
      <c r="AV959" s="403"/>
      <c r="AW959" s="403"/>
      <c r="AX959" s="403"/>
      <c r="AY959" s="403"/>
    </row>
    <row r="960">
      <c r="A960" s="415"/>
      <c r="B960" s="415"/>
      <c r="C960" s="410"/>
      <c r="D960" s="429"/>
      <c r="E960" s="416"/>
      <c r="F960" s="413"/>
      <c r="G960" s="413"/>
      <c r="H960" s="415"/>
      <c r="I960" s="415"/>
      <c r="J960" s="415"/>
      <c r="K960" s="415"/>
      <c r="L960" s="417"/>
      <c r="M960" s="403"/>
      <c r="N960" s="403"/>
      <c r="O960" s="403"/>
      <c r="P960" s="403"/>
      <c r="Q960" s="403"/>
      <c r="R960" s="403"/>
      <c r="S960" s="403"/>
      <c r="T960" s="403"/>
      <c r="U960" s="403"/>
      <c r="V960" s="403"/>
      <c r="W960" s="404"/>
      <c r="X960" s="405"/>
      <c r="Y960" s="405"/>
      <c r="Z960" s="442"/>
      <c r="AA960" s="405"/>
      <c r="AB960" s="405"/>
      <c r="AC960" s="405"/>
      <c r="AD960" s="405"/>
      <c r="AE960" s="442"/>
      <c r="AF960" s="405"/>
      <c r="AG960" s="405"/>
      <c r="AH960" s="405"/>
      <c r="AI960" s="405"/>
      <c r="AJ960" s="405"/>
      <c r="AK960" s="405"/>
      <c r="AL960" s="405"/>
      <c r="AM960" s="406"/>
      <c r="AN960" s="406"/>
      <c r="AO960" s="406"/>
      <c r="AP960" s="406"/>
      <c r="AQ960" s="403"/>
      <c r="AR960" s="403"/>
      <c r="AS960" s="403"/>
      <c r="AT960" s="403"/>
      <c r="AU960" s="403"/>
      <c r="AV960" s="403"/>
      <c r="AW960" s="403"/>
      <c r="AX960" s="403"/>
      <c r="AY960" s="403"/>
    </row>
    <row r="961">
      <c r="A961" s="415"/>
      <c r="B961" s="415"/>
      <c r="C961" s="410"/>
      <c r="D961" s="429"/>
      <c r="E961" s="416"/>
      <c r="F961" s="413"/>
      <c r="G961" s="413"/>
      <c r="H961" s="415"/>
      <c r="I961" s="415"/>
      <c r="J961" s="415"/>
      <c r="K961" s="415"/>
      <c r="L961" s="417"/>
      <c r="M961" s="403"/>
      <c r="N961" s="403"/>
      <c r="O961" s="403"/>
      <c r="P961" s="403"/>
      <c r="Q961" s="403"/>
      <c r="R961" s="403"/>
      <c r="S961" s="403"/>
      <c r="T961" s="403"/>
      <c r="U961" s="403"/>
      <c r="V961" s="403"/>
      <c r="W961" s="404"/>
      <c r="X961" s="405"/>
      <c r="Y961" s="405"/>
      <c r="Z961" s="442"/>
      <c r="AA961" s="405"/>
      <c r="AB961" s="405"/>
      <c r="AC961" s="405"/>
      <c r="AD961" s="405"/>
      <c r="AE961" s="442"/>
      <c r="AF961" s="405"/>
      <c r="AG961" s="405"/>
      <c r="AH961" s="405"/>
      <c r="AI961" s="405"/>
      <c r="AJ961" s="405"/>
      <c r="AK961" s="405"/>
      <c r="AL961" s="405"/>
      <c r="AM961" s="406"/>
      <c r="AN961" s="406"/>
      <c r="AO961" s="406"/>
      <c r="AP961" s="406"/>
      <c r="AQ961" s="403"/>
      <c r="AR961" s="403"/>
      <c r="AS961" s="403"/>
      <c r="AT961" s="403"/>
      <c r="AU961" s="403"/>
      <c r="AV961" s="403"/>
      <c r="AW961" s="403"/>
      <c r="AX961" s="403"/>
      <c r="AY961" s="403"/>
    </row>
    <row r="962">
      <c r="A962" s="415"/>
      <c r="B962" s="415"/>
      <c r="C962" s="410"/>
      <c r="D962" s="429"/>
      <c r="E962" s="416"/>
      <c r="F962" s="413"/>
      <c r="G962" s="413"/>
      <c r="H962" s="415"/>
      <c r="I962" s="415"/>
      <c r="J962" s="415"/>
      <c r="K962" s="415"/>
      <c r="L962" s="417"/>
      <c r="M962" s="403"/>
      <c r="N962" s="403"/>
      <c r="O962" s="403"/>
      <c r="P962" s="403"/>
      <c r="Q962" s="403"/>
      <c r="R962" s="403"/>
      <c r="S962" s="403"/>
      <c r="T962" s="403"/>
      <c r="U962" s="403"/>
      <c r="V962" s="403"/>
      <c r="W962" s="404"/>
      <c r="X962" s="405"/>
      <c r="Y962" s="405"/>
      <c r="Z962" s="442"/>
      <c r="AA962" s="405"/>
      <c r="AB962" s="405"/>
      <c r="AC962" s="405"/>
      <c r="AD962" s="405"/>
      <c r="AE962" s="442"/>
      <c r="AF962" s="405"/>
      <c r="AG962" s="405"/>
      <c r="AH962" s="405"/>
      <c r="AI962" s="405"/>
      <c r="AJ962" s="405"/>
      <c r="AK962" s="405"/>
      <c r="AL962" s="405"/>
      <c r="AM962" s="406"/>
      <c r="AN962" s="406"/>
      <c r="AO962" s="406"/>
      <c r="AP962" s="406"/>
      <c r="AQ962" s="403"/>
      <c r="AR962" s="403"/>
      <c r="AS962" s="403"/>
      <c r="AT962" s="403"/>
      <c r="AU962" s="403"/>
      <c r="AV962" s="403"/>
      <c r="AW962" s="403"/>
      <c r="AX962" s="403"/>
      <c r="AY962" s="403"/>
    </row>
    <row r="963">
      <c r="A963" s="415"/>
      <c r="B963" s="415"/>
      <c r="C963" s="410"/>
      <c r="D963" s="429"/>
      <c r="E963" s="416"/>
      <c r="F963" s="413"/>
      <c r="G963" s="413"/>
      <c r="H963" s="415"/>
      <c r="I963" s="415"/>
      <c r="J963" s="415"/>
      <c r="K963" s="415"/>
      <c r="L963" s="417"/>
      <c r="M963" s="403"/>
      <c r="N963" s="403"/>
      <c r="O963" s="403"/>
      <c r="P963" s="403"/>
      <c r="Q963" s="403"/>
      <c r="R963" s="403"/>
      <c r="S963" s="403"/>
      <c r="T963" s="403"/>
      <c r="U963" s="403"/>
      <c r="V963" s="403"/>
      <c r="W963" s="404"/>
      <c r="X963" s="405"/>
      <c r="Y963" s="405"/>
      <c r="Z963" s="442"/>
      <c r="AA963" s="405"/>
      <c r="AB963" s="405"/>
      <c r="AC963" s="405"/>
      <c r="AD963" s="405"/>
      <c r="AE963" s="442"/>
      <c r="AF963" s="405"/>
      <c r="AG963" s="405"/>
      <c r="AH963" s="405"/>
      <c r="AI963" s="405"/>
      <c r="AJ963" s="405"/>
      <c r="AK963" s="405"/>
      <c r="AL963" s="405"/>
      <c r="AM963" s="406"/>
      <c r="AN963" s="406"/>
      <c r="AO963" s="406"/>
      <c r="AP963" s="406"/>
      <c r="AQ963" s="403"/>
      <c r="AR963" s="403"/>
      <c r="AS963" s="403"/>
      <c r="AT963" s="403"/>
      <c r="AU963" s="403"/>
      <c r="AV963" s="403"/>
      <c r="AW963" s="403"/>
      <c r="AX963" s="403"/>
      <c r="AY963" s="403"/>
    </row>
    <row r="964">
      <c r="A964" s="415"/>
      <c r="B964" s="415"/>
      <c r="C964" s="410"/>
      <c r="D964" s="429"/>
      <c r="E964" s="416"/>
      <c r="F964" s="413"/>
      <c r="G964" s="413"/>
      <c r="H964" s="415"/>
      <c r="I964" s="415"/>
      <c r="J964" s="415"/>
      <c r="K964" s="415"/>
      <c r="L964" s="417"/>
      <c r="M964" s="403"/>
      <c r="N964" s="403"/>
      <c r="O964" s="403"/>
      <c r="P964" s="403"/>
      <c r="Q964" s="403"/>
      <c r="R964" s="403"/>
      <c r="S964" s="403"/>
      <c r="T964" s="403"/>
      <c r="U964" s="403"/>
      <c r="V964" s="403"/>
      <c r="W964" s="404"/>
      <c r="X964" s="405"/>
      <c r="Y964" s="405"/>
      <c r="Z964" s="442"/>
      <c r="AA964" s="405"/>
      <c r="AB964" s="405"/>
      <c r="AC964" s="405"/>
      <c r="AD964" s="405"/>
      <c r="AE964" s="442"/>
      <c r="AF964" s="405"/>
      <c r="AG964" s="405"/>
      <c r="AH964" s="405"/>
      <c r="AI964" s="405"/>
      <c r="AJ964" s="405"/>
      <c r="AK964" s="405"/>
      <c r="AL964" s="405"/>
      <c r="AM964" s="406"/>
      <c r="AN964" s="406"/>
      <c r="AO964" s="406"/>
      <c r="AP964" s="406"/>
      <c r="AQ964" s="403"/>
      <c r="AR964" s="403"/>
      <c r="AS964" s="403"/>
      <c r="AT964" s="403"/>
      <c r="AU964" s="403"/>
      <c r="AV964" s="403"/>
      <c r="AW964" s="403"/>
      <c r="AX964" s="403"/>
      <c r="AY964" s="403"/>
    </row>
    <row r="965">
      <c r="A965" s="415"/>
      <c r="B965" s="415"/>
      <c r="C965" s="410"/>
      <c r="D965" s="429"/>
      <c r="E965" s="416"/>
      <c r="F965" s="413"/>
      <c r="G965" s="413"/>
      <c r="H965" s="415"/>
      <c r="I965" s="415"/>
      <c r="J965" s="415"/>
      <c r="K965" s="415"/>
      <c r="L965" s="417"/>
      <c r="M965" s="403"/>
      <c r="N965" s="403"/>
      <c r="O965" s="403"/>
      <c r="P965" s="403"/>
      <c r="Q965" s="403"/>
      <c r="R965" s="403"/>
      <c r="S965" s="403"/>
      <c r="T965" s="403"/>
      <c r="U965" s="403"/>
      <c r="V965" s="403"/>
      <c r="W965" s="404"/>
      <c r="X965" s="405"/>
      <c r="Y965" s="405"/>
      <c r="Z965" s="442"/>
      <c r="AA965" s="405"/>
      <c r="AB965" s="405"/>
      <c r="AC965" s="405"/>
      <c r="AD965" s="405"/>
      <c r="AE965" s="442"/>
      <c r="AF965" s="405"/>
      <c r="AG965" s="405"/>
      <c r="AH965" s="405"/>
      <c r="AI965" s="405"/>
      <c r="AJ965" s="405"/>
      <c r="AK965" s="405"/>
      <c r="AL965" s="405"/>
      <c r="AM965" s="406"/>
      <c r="AN965" s="406"/>
      <c r="AO965" s="406"/>
      <c r="AP965" s="406"/>
      <c r="AQ965" s="403"/>
      <c r="AR965" s="403"/>
      <c r="AS965" s="403"/>
      <c r="AT965" s="403"/>
      <c r="AU965" s="403"/>
      <c r="AV965" s="403"/>
      <c r="AW965" s="403"/>
      <c r="AX965" s="403"/>
      <c r="AY965" s="403"/>
    </row>
    <row r="966">
      <c r="A966" s="415"/>
      <c r="B966" s="415"/>
      <c r="C966" s="410"/>
      <c r="D966" s="429"/>
      <c r="E966" s="416"/>
      <c r="F966" s="413"/>
      <c r="G966" s="413"/>
      <c r="H966" s="415"/>
      <c r="I966" s="415"/>
      <c r="J966" s="415"/>
      <c r="K966" s="415"/>
      <c r="L966" s="417"/>
      <c r="M966" s="403"/>
      <c r="N966" s="403"/>
      <c r="O966" s="403"/>
      <c r="P966" s="403"/>
      <c r="Q966" s="403"/>
      <c r="R966" s="403"/>
      <c r="S966" s="403"/>
      <c r="T966" s="403"/>
      <c r="U966" s="403"/>
      <c r="V966" s="403"/>
      <c r="W966" s="404"/>
      <c r="X966" s="405"/>
      <c r="Y966" s="405"/>
      <c r="Z966" s="442"/>
      <c r="AA966" s="405"/>
      <c r="AB966" s="405"/>
      <c r="AC966" s="405"/>
      <c r="AD966" s="405"/>
      <c r="AE966" s="442"/>
      <c r="AF966" s="405"/>
      <c r="AG966" s="405"/>
      <c r="AH966" s="405"/>
      <c r="AI966" s="405"/>
      <c r="AJ966" s="405"/>
      <c r="AK966" s="405"/>
      <c r="AL966" s="405"/>
      <c r="AM966" s="406"/>
      <c r="AN966" s="406"/>
      <c r="AO966" s="406"/>
      <c r="AP966" s="406"/>
      <c r="AQ966" s="403"/>
      <c r="AR966" s="403"/>
      <c r="AS966" s="403"/>
      <c r="AT966" s="403"/>
      <c r="AU966" s="403"/>
      <c r="AV966" s="403"/>
      <c r="AW966" s="403"/>
      <c r="AX966" s="403"/>
      <c r="AY966" s="403"/>
    </row>
    <row r="967">
      <c r="A967" s="415"/>
      <c r="B967" s="415"/>
      <c r="C967" s="410"/>
      <c r="D967" s="429"/>
      <c r="E967" s="416"/>
      <c r="F967" s="413"/>
      <c r="G967" s="413"/>
      <c r="H967" s="415"/>
      <c r="I967" s="415"/>
      <c r="J967" s="415"/>
      <c r="K967" s="415"/>
      <c r="L967" s="417"/>
      <c r="M967" s="403"/>
      <c r="N967" s="403"/>
      <c r="O967" s="403"/>
      <c r="P967" s="403"/>
      <c r="Q967" s="403"/>
      <c r="R967" s="403"/>
      <c r="S967" s="403"/>
      <c r="T967" s="403"/>
      <c r="U967" s="403"/>
      <c r="V967" s="403"/>
      <c r="W967" s="404"/>
      <c r="X967" s="405"/>
      <c r="Y967" s="405"/>
      <c r="Z967" s="442"/>
      <c r="AA967" s="405"/>
      <c r="AB967" s="405"/>
      <c r="AC967" s="405"/>
      <c r="AD967" s="405"/>
      <c r="AE967" s="442"/>
      <c r="AF967" s="405"/>
      <c r="AG967" s="405"/>
      <c r="AH967" s="405"/>
      <c r="AI967" s="405"/>
      <c r="AJ967" s="405"/>
      <c r="AK967" s="405"/>
      <c r="AL967" s="405"/>
      <c r="AM967" s="406"/>
      <c r="AN967" s="406"/>
      <c r="AO967" s="406"/>
      <c r="AP967" s="406"/>
      <c r="AQ967" s="403"/>
      <c r="AR967" s="403"/>
      <c r="AS967" s="403"/>
      <c r="AT967" s="403"/>
      <c r="AU967" s="403"/>
      <c r="AV967" s="403"/>
      <c r="AW967" s="403"/>
      <c r="AX967" s="403"/>
      <c r="AY967" s="403"/>
    </row>
    <row r="968">
      <c r="A968" s="415"/>
      <c r="B968" s="415"/>
      <c r="C968" s="410"/>
      <c r="D968" s="429"/>
      <c r="E968" s="416"/>
      <c r="F968" s="413"/>
      <c r="G968" s="413"/>
      <c r="H968" s="415"/>
      <c r="I968" s="415"/>
      <c r="J968" s="415"/>
      <c r="K968" s="415"/>
      <c r="L968" s="417"/>
      <c r="M968" s="403"/>
      <c r="N968" s="403"/>
      <c r="O968" s="403"/>
      <c r="P968" s="403"/>
      <c r="Q968" s="403"/>
      <c r="R968" s="403"/>
      <c r="S968" s="403"/>
      <c r="T968" s="403"/>
      <c r="U968" s="403"/>
      <c r="V968" s="403"/>
      <c r="W968" s="404"/>
      <c r="X968" s="405"/>
      <c r="Y968" s="405"/>
      <c r="Z968" s="442"/>
      <c r="AA968" s="405"/>
      <c r="AB968" s="405"/>
      <c r="AC968" s="405"/>
      <c r="AD968" s="405"/>
      <c r="AE968" s="442"/>
      <c r="AF968" s="405"/>
      <c r="AG968" s="405"/>
      <c r="AH968" s="405"/>
      <c r="AI968" s="405"/>
      <c r="AJ968" s="405"/>
      <c r="AK968" s="405"/>
      <c r="AL968" s="405"/>
      <c r="AM968" s="406"/>
      <c r="AN968" s="406"/>
      <c r="AO968" s="406"/>
      <c r="AP968" s="406"/>
      <c r="AQ968" s="403"/>
      <c r="AR968" s="403"/>
      <c r="AS968" s="403"/>
      <c r="AT968" s="403"/>
      <c r="AU968" s="403"/>
      <c r="AV968" s="403"/>
      <c r="AW968" s="403"/>
      <c r="AX968" s="403"/>
      <c r="AY968" s="403"/>
    </row>
    <row r="969">
      <c r="A969" s="415"/>
      <c r="B969" s="415"/>
      <c r="C969" s="410"/>
      <c r="D969" s="429"/>
      <c r="E969" s="416"/>
      <c r="F969" s="413"/>
      <c r="G969" s="413"/>
      <c r="H969" s="415"/>
      <c r="I969" s="415"/>
      <c r="J969" s="415"/>
      <c r="K969" s="415"/>
      <c r="L969" s="417"/>
      <c r="M969" s="403"/>
      <c r="N969" s="403"/>
      <c r="O969" s="403"/>
      <c r="P969" s="403"/>
      <c r="Q969" s="403"/>
      <c r="R969" s="403"/>
      <c r="S969" s="403"/>
      <c r="T969" s="403"/>
      <c r="U969" s="403"/>
      <c r="V969" s="403"/>
      <c r="W969" s="404"/>
      <c r="X969" s="405"/>
      <c r="Y969" s="405"/>
      <c r="Z969" s="442"/>
      <c r="AA969" s="405"/>
      <c r="AB969" s="405"/>
      <c r="AC969" s="405"/>
      <c r="AD969" s="405"/>
      <c r="AE969" s="442"/>
      <c r="AF969" s="405"/>
      <c r="AG969" s="405"/>
      <c r="AH969" s="405"/>
      <c r="AI969" s="405"/>
      <c r="AJ969" s="405"/>
      <c r="AK969" s="405"/>
      <c r="AL969" s="405"/>
      <c r="AM969" s="406"/>
      <c r="AN969" s="406"/>
      <c r="AO969" s="406"/>
      <c r="AP969" s="406"/>
      <c r="AQ969" s="403"/>
      <c r="AR969" s="403"/>
      <c r="AS969" s="403"/>
      <c r="AT969" s="403"/>
      <c r="AU969" s="403"/>
      <c r="AV969" s="403"/>
      <c r="AW969" s="403"/>
      <c r="AX969" s="403"/>
      <c r="AY969" s="403"/>
    </row>
    <row r="970">
      <c r="A970" s="415"/>
      <c r="B970" s="415"/>
      <c r="C970" s="410"/>
      <c r="D970" s="429"/>
      <c r="E970" s="416"/>
      <c r="F970" s="413"/>
      <c r="G970" s="413"/>
      <c r="H970" s="415"/>
      <c r="I970" s="415"/>
      <c r="J970" s="415"/>
      <c r="K970" s="415"/>
      <c r="L970" s="417"/>
      <c r="M970" s="403"/>
      <c r="N970" s="403"/>
      <c r="O970" s="403"/>
      <c r="P970" s="403"/>
      <c r="Q970" s="403"/>
      <c r="R970" s="403"/>
      <c r="S970" s="403"/>
      <c r="T970" s="403"/>
      <c r="U970" s="403"/>
      <c r="V970" s="403"/>
      <c r="W970" s="404"/>
      <c r="X970" s="405"/>
      <c r="Y970" s="405"/>
      <c r="Z970" s="442"/>
      <c r="AA970" s="405"/>
      <c r="AB970" s="405"/>
      <c r="AC970" s="405"/>
      <c r="AD970" s="405"/>
      <c r="AE970" s="442"/>
      <c r="AF970" s="405"/>
      <c r="AG970" s="405"/>
      <c r="AH970" s="405"/>
      <c r="AI970" s="405"/>
      <c r="AJ970" s="405"/>
      <c r="AK970" s="405"/>
      <c r="AL970" s="405"/>
      <c r="AM970" s="406"/>
      <c r="AN970" s="406"/>
      <c r="AO970" s="406"/>
      <c r="AP970" s="406"/>
      <c r="AQ970" s="403"/>
      <c r="AR970" s="403"/>
      <c r="AS970" s="403"/>
      <c r="AT970" s="403"/>
      <c r="AU970" s="403"/>
      <c r="AV970" s="403"/>
      <c r="AW970" s="403"/>
      <c r="AX970" s="403"/>
      <c r="AY970" s="403"/>
    </row>
    <row r="971">
      <c r="A971" s="415"/>
      <c r="B971" s="415"/>
      <c r="C971" s="410"/>
      <c r="D971" s="429"/>
      <c r="E971" s="416"/>
      <c r="F971" s="413"/>
      <c r="G971" s="413"/>
      <c r="H971" s="415"/>
      <c r="I971" s="415"/>
      <c r="J971" s="415"/>
      <c r="K971" s="415"/>
      <c r="L971" s="417"/>
      <c r="M971" s="403"/>
      <c r="N971" s="403"/>
      <c r="O971" s="403"/>
      <c r="P971" s="403"/>
      <c r="Q971" s="403"/>
      <c r="R971" s="403"/>
      <c r="S971" s="403"/>
      <c r="T971" s="403"/>
      <c r="U971" s="403"/>
      <c r="V971" s="403"/>
      <c r="W971" s="404"/>
      <c r="X971" s="405"/>
      <c r="Y971" s="405"/>
      <c r="Z971" s="442"/>
      <c r="AA971" s="405"/>
      <c r="AB971" s="405"/>
      <c r="AC971" s="405"/>
      <c r="AD971" s="405"/>
      <c r="AE971" s="442"/>
      <c r="AF971" s="405"/>
      <c r="AG971" s="405"/>
      <c r="AH971" s="405"/>
      <c r="AI971" s="405"/>
      <c r="AJ971" s="405"/>
      <c r="AK971" s="405"/>
      <c r="AL971" s="405"/>
      <c r="AM971" s="406"/>
      <c r="AN971" s="406"/>
      <c r="AO971" s="406"/>
      <c r="AP971" s="406"/>
      <c r="AQ971" s="403"/>
      <c r="AR971" s="403"/>
      <c r="AS971" s="403"/>
      <c r="AT971" s="403"/>
      <c r="AU971" s="403"/>
      <c r="AV971" s="403"/>
      <c r="AW971" s="403"/>
      <c r="AX971" s="403"/>
      <c r="AY971" s="403"/>
    </row>
    <row r="972">
      <c r="A972" s="415"/>
      <c r="B972" s="415"/>
      <c r="C972" s="410"/>
      <c r="D972" s="429"/>
      <c r="E972" s="416"/>
      <c r="F972" s="413"/>
      <c r="G972" s="413"/>
      <c r="H972" s="415"/>
      <c r="I972" s="415"/>
      <c r="J972" s="415"/>
      <c r="K972" s="415"/>
      <c r="L972" s="417"/>
      <c r="M972" s="403"/>
      <c r="N972" s="403"/>
      <c r="O972" s="403"/>
      <c r="P972" s="403"/>
      <c r="Q972" s="403"/>
      <c r="R972" s="403"/>
      <c r="S972" s="403"/>
      <c r="T972" s="403"/>
      <c r="U972" s="403"/>
      <c r="V972" s="403"/>
      <c r="W972" s="404"/>
      <c r="X972" s="405"/>
      <c r="Y972" s="405"/>
      <c r="Z972" s="442"/>
      <c r="AA972" s="405"/>
      <c r="AB972" s="405"/>
      <c r="AC972" s="405"/>
      <c r="AD972" s="405"/>
      <c r="AE972" s="442"/>
      <c r="AF972" s="405"/>
      <c r="AG972" s="405"/>
      <c r="AH972" s="405"/>
      <c r="AI972" s="405"/>
      <c r="AJ972" s="405"/>
      <c r="AK972" s="405"/>
      <c r="AL972" s="405"/>
      <c r="AM972" s="406"/>
      <c r="AN972" s="406"/>
      <c r="AO972" s="406"/>
      <c r="AP972" s="406"/>
      <c r="AQ972" s="403"/>
      <c r="AR972" s="403"/>
      <c r="AS972" s="403"/>
      <c r="AT972" s="403"/>
      <c r="AU972" s="403"/>
      <c r="AV972" s="403"/>
      <c r="AW972" s="403"/>
      <c r="AX972" s="403"/>
      <c r="AY972" s="403"/>
    </row>
    <row r="973">
      <c r="A973" s="415"/>
      <c r="B973" s="415"/>
      <c r="C973" s="410"/>
      <c r="D973" s="429"/>
      <c r="E973" s="416"/>
      <c r="F973" s="413"/>
      <c r="G973" s="413"/>
      <c r="H973" s="415"/>
      <c r="I973" s="415"/>
      <c r="J973" s="415"/>
      <c r="K973" s="415"/>
      <c r="L973" s="417"/>
      <c r="M973" s="403"/>
      <c r="N973" s="403"/>
      <c r="O973" s="403"/>
      <c r="P973" s="403"/>
      <c r="Q973" s="403"/>
      <c r="R973" s="403"/>
      <c r="S973" s="403"/>
      <c r="T973" s="403"/>
      <c r="U973" s="403"/>
      <c r="V973" s="403"/>
      <c r="W973" s="404"/>
      <c r="X973" s="405"/>
      <c r="Y973" s="405"/>
      <c r="Z973" s="442"/>
      <c r="AA973" s="405"/>
      <c r="AB973" s="405"/>
      <c r="AC973" s="405"/>
      <c r="AD973" s="405"/>
      <c r="AE973" s="442"/>
      <c r="AF973" s="405"/>
      <c r="AG973" s="405"/>
      <c r="AH973" s="405"/>
      <c r="AI973" s="405"/>
      <c r="AJ973" s="405"/>
      <c r="AK973" s="405"/>
      <c r="AL973" s="405"/>
      <c r="AM973" s="406"/>
      <c r="AN973" s="406"/>
      <c r="AO973" s="406"/>
      <c r="AP973" s="406"/>
      <c r="AQ973" s="403"/>
      <c r="AR973" s="403"/>
      <c r="AS973" s="403"/>
      <c r="AT973" s="403"/>
      <c r="AU973" s="403"/>
      <c r="AV973" s="403"/>
      <c r="AW973" s="403"/>
      <c r="AX973" s="403"/>
      <c r="AY973" s="403"/>
    </row>
    <row r="974">
      <c r="A974" s="415"/>
      <c r="B974" s="415"/>
      <c r="C974" s="410"/>
      <c r="D974" s="429"/>
      <c r="E974" s="416"/>
      <c r="F974" s="413"/>
      <c r="G974" s="413"/>
      <c r="H974" s="415"/>
      <c r="I974" s="415"/>
      <c r="J974" s="415"/>
      <c r="K974" s="415"/>
      <c r="L974" s="417"/>
      <c r="M974" s="403"/>
      <c r="N974" s="403"/>
      <c r="O974" s="403"/>
      <c r="P974" s="403"/>
      <c r="Q974" s="403"/>
      <c r="R974" s="403"/>
      <c r="S974" s="403"/>
      <c r="T974" s="403"/>
      <c r="U974" s="403"/>
      <c r="V974" s="403"/>
      <c r="W974" s="404"/>
      <c r="X974" s="405"/>
      <c r="Y974" s="405"/>
      <c r="Z974" s="442"/>
      <c r="AA974" s="405"/>
      <c r="AB974" s="405"/>
      <c r="AC974" s="405"/>
      <c r="AD974" s="405"/>
      <c r="AE974" s="442"/>
      <c r="AF974" s="405"/>
      <c r="AG974" s="405"/>
      <c r="AH974" s="405"/>
      <c r="AI974" s="405"/>
      <c r="AJ974" s="405"/>
      <c r="AK974" s="405"/>
      <c r="AL974" s="405"/>
      <c r="AM974" s="406"/>
      <c r="AN974" s="406"/>
      <c r="AO974" s="406"/>
      <c r="AP974" s="406"/>
      <c r="AQ974" s="403"/>
      <c r="AR974" s="403"/>
      <c r="AS974" s="403"/>
      <c r="AT974" s="403"/>
      <c r="AU974" s="403"/>
      <c r="AV974" s="403"/>
      <c r="AW974" s="403"/>
      <c r="AX974" s="403"/>
      <c r="AY974" s="403"/>
    </row>
    <row r="975">
      <c r="A975" s="415"/>
      <c r="B975" s="415"/>
      <c r="C975" s="410"/>
      <c r="D975" s="429"/>
      <c r="E975" s="416"/>
      <c r="F975" s="413"/>
      <c r="G975" s="413"/>
      <c r="H975" s="415"/>
      <c r="I975" s="415"/>
      <c r="J975" s="415"/>
      <c r="K975" s="415"/>
      <c r="L975" s="417"/>
      <c r="M975" s="403"/>
      <c r="N975" s="403"/>
      <c r="O975" s="403"/>
      <c r="P975" s="403"/>
      <c r="Q975" s="403"/>
      <c r="R975" s="403"/>
      <c r="S975" s="403"/>
      <c r="T975" s="403"/>
      <c r="U975" s="403"/>
      <c r="V975" s="403"/>
      <c r="W975" s="404"/>
      <c r="X975" s="405"/>
      <c r="Y975" s="405"/>
      <c r="Z975" s="442"/>
      <c r="AA975" s="405"/>
      <c r="AB975" s="405"/>
      <c r="AC975" s="405"/>
      <c r="AD975" s="405"/>
      <c r="AE975" s="442"/>
      <c r="AF975" s="405"/>
      <c r="AG975" s="405"/>
      <c r="AH975" s="405"/>
      <c r="AI975" s="405"/>
      <c r="AJ975" s="405"/>
      <c r="AK975" s="405"/>
      <c r="AL975" s="405"/>
      <c r="AM975" s="406"/>
      <c r="AN975" s="406"/>
      <c r="AO975" s="406"/>
      <c r="AP975" s="406"/>
      <c r="AQ975" s="403"/>
      <c r="AR975" s="403"/>
      <c r="AS975" s="403"/>
      <c r="AT975" s="403"/>
      <c r="AU975" s="403"/>
      <c r="AV975" s="403"/>
      <c r="AW975" s="403"/>
      <c r="AX975" s="403"/>
      <c r="AY975" s="403"/>
    </row>
    <row r="976">
      <c r="A976" s="415"/>
      <c r="B976" s="415"/>
      <c r="C976" s="410"/>
      <c r="D976" s="429"/>
      <c r="E976" s="416"/>
      <c r="F976" s="413"/>
      <c r="G976" s="413"/>
      <c r="H976" s="415"/>
      <c r="I976" s="415"/>
      <c r="J976" s="415"/>
      <c r="K976" s="415"/>
      <c r="L976" s="417"/>
      <c r="M976" s="403"/>
      <c r="N976" s="403"/>
      <c r="O976" s="403"/>
      <c r="P976" s="403"/>
      <c r="Q976" s="403"/>
      <c r="R976" s="403"/>
      <c r="S976" s="403"/>
      <c r="T976" s="403"/>
      <c r="U976" s="403"/>
      <c r="V976" s="403"/>
      <c r="W976" s="404"/>
      <c r="X976" s="405"/>
      <c r="Y976" s="405"/>
      <c r="Z976" s="442"/>
      <c r="AA976" s="405"/>
      <c r="AB976" s="405"/>
      <c r="AC976" s="405"/>
      <c r="AD976" s="405"/>
      <c r="AE976" s="442"/>
      <c r="AF976" s="405"/>
      <c r="AG976" s="405"/>
      <c r="AH976" s="405"/>
      <c r="AI976" s="405"/>
      <c r="AJ976" s="405"/>
      <c r="AK976" s="405"/>
      <c r="AL976" s="405"/>
      <c r="AM976" s="406"/>
      <c r="AN976" s="406"/>
      <c r="AO976" s="406"/>
      <c r="AP976" s="406"/>
      <c r="AQ976" s="403"/>
      <c r="AR976" s="403"/>
      <c r="AS976" s="403"/>
      <c r="AT976" s="403"/>
      <c r="AU976" s="403"/>
      <c r="AV976" s="403"/>
      <c r="AW976" s="403"/>
      <c r="AX976" s="403"/>
      <c r="AY976" s="403"/>
    </row>
    <row r="977">
      <c r="A977" s="415"/>
      <c r="B977" s="415"/>
      <c r="C977" s="410"/>
      <c r="D977" s="429"/>
      <c r="E977" s="416"/>
      <c r="F977" s="413"/>
      <c r="G977" s="413"/>
      <c r="H977" s="415"/>
      <c r="I977" s="415"/>
      <c r="J977" s="415"/>
      <c r="K977" s="415"/>
      <c r="L977" s="417"/>
      <c r="M977" s="403"/>
      <c r="N977" s="403"/>
      <c r="O977" s="403"/>
      <c r="P977" s="403"/>
      <c r="Q977" s="403"/>
      <c r="R977" s="403"/>
      <c r="S977" s="403"/>
      <c r="T977" s="403"/>
      <c r="U977" s="403"/>
      <c r="V977" s="403"/>
      <c r="W977" s="404"/>
      <c r="X977" s="405"/>
      <c r="Y977" s="405"/>
      <c r="Z977" s="442"/>
      <c r="AA977" s="405"/>
      <c r="AB977" s="405"/>
      <c r="AC977" s="405"/>
      <c r="AD977" s="405"/>
      <c r="AE977" s="442"/>
      <c r="AF977" s="405"/>
      <c r="AG977" s="405"/>
      <c r="AH977" s="405"/>
      <c r="AI977" s="405"/>
      <c r="AJ977" s="405"/>
      <c r="AK977" s="405"/>
      <c r="AL977" s="405"/>
      <c r="AM977" s="406"/>
      <c r="AN977" s="406"/>
      <c r="AO977" s="406"/>
      <c r="AP977" s="406"/>
      <c r="AQ977" s="403"/>
      <c r="AR977" s="403"/>
      <c r="AS977" s="403"/>
      <c r="AT977" s="403"/>
      <c r="AU977" s="403"/>
      <c r="AV977" s="403"/>
      <c r="AW977" s="403"/>
      <c r="AX977" s="403"/>
      <c r="AY977" s="403"/>
    </row>
    <row r="978">
      <c r="A978" s="415"/>
      <c r="B978" s="415"/>
      <c r="C978" s="410"/>
      <c r="D978" s="429"/>
      <c r="E978" s="416"/>
      <c r="F978" s="413"/>
      <c r="G978" s="413"/>
      <c r="H978" s="415"/>
      <c r="I978" s="415"/>
      <c r="J978" s="415"/>
      <c r="K978" s="415"/>
      <c r="L978" s="417"/>
      <c r="M978" s="403"/>
      <c r="N978" s="403"/>
      <c r="O978" s="403"/>
      <c r="P978" s="403"/>
      <c r="Q978" s="403"/>
      <c r="R978" s="403"/>
      <c r="S978" s="403"/>
      <c r="T978" s="403"/>
      <c r="U978" s="403"/>
      <c r="V978" s="403"/>
      <c r="W978" s="404"/>
      <c r="X978" s="405"/>
      <c r="Y978" s="405"/>
      <c r="Z978" s="442"/>
      <c r="AA978" s="405"/>
      <c r="AB978" s="405"/>
      <c r="AC978" s="405"/>
      <c r="AD978" s="405"/>
      <c r="AE978" s="442"/>
      <c r="AF978" s="405"/>
      <c r="AG978" s="405"/>
      <c r="AH978" s="405"/>
      <c r="AI978" s="405"/>
      <c r="AJ978" s="405"/>
      <c r="AK978" s="405"/>
      <c r="AL978" s="405"/>
      <c r="AM978" s="406"/>
      <c r="AN978" s="406"/>
      <c r="AO978" s="406"/>
      <c r="AP978" s="406"/>
      <c r="AQ978" s="403"/>
      <c r="AR978" s="403"/>
      <c r="AS978" s="403"/>
      <c r="AT978" s="403"/>
      <c r="AU978" s="403"/>
      <c r="AV978" s="403"/>
      <c r="AW978" s="403"/>
      <c r="AX978" s="403"/>
      <c r="AY978" s="403"/>
    </row>
    <row r="979">
      <c r="A979" s="415"/>
      <c r="B979" s="415"/>
      <c r="C979" s="410"/>
      <c r="D979" s="429"/>
      <c r="E979" s="416"/>
      <c r="F979" s="413"/>
      <c r="G979" s="413"/>
      <c r="H979" s="415"/>
      <c r="I979" s="415"/>
      <c r="J979" s="415"/>
      <c r="K979" s="415"/>
      <c r="L979" s="417"/>
      <c r="M979" s="403"/>
      <c r="N979" s="403"/>
      <c r="O979" s="403"/>
      <c r="P979" s="403"/>
      <c r="Q979" s="403"/>
      <c r="R979" s="403"/>
      <c r="S979" s="403"/>
      <c r="T979" s="403"/>
      <c r="U979" s="403"/>
      <c r="V979" s="403"/>
      <c r="W979" s="404"/>
      <c r="X979" s="405"/>
      <c r="Y979" s="405"/>
      <c r="Z979" s="442"/>
      <c r="AA979" s="405"/>
      <c r="AB979" s="405"/>
      <c r="AC979" s="405"/>
      <c r="AD979" s="405"/>
      <c r="AE979" s="442"/>
      <c r="AF979" s="405"/>
      <c r="AG979" s="405"/>
      <c r="AH979" s="405"/>
      <c r="AI979" s="405"/>
      <c r="AJ979" s="405"/>
      <c r="AK979" s="405"/>
      <c r="AL979" s="405"/>
      <c r="AM979" s="406"/>
      <c r="AN979" s="406"/>
      <c r="AO979" s="406"/>
      <c r="AP979" s="406"/>
      <c r="AQ979" s="403"/>
      <c r="AR979" s="403"/>
      <c r="AS979" s="403"/>
      <c r="AT979" s="403"/>
      <c r="AU979" s="403"/>
      <c r="AV979" s="403"/>
      <c r="AW979" s="403"/>
      <c r="AX979" s="403"/>
      <c r="AY979" s="403"/>
    </row>
    <row r="980">
      <c r="A980" s="415"/>
      <c r="B980" s="415"/>
      <c r="C980" s="410"/>
      <c r="D980" s="429"/>
      <c r="E980" s="416"/>
      <c r="F980" s="413"/>
      <c r="G980" s="413"/>
      <c r="H980" s="415"/>
      <c r="I980" s="415"/>
      <c r="J980" s="415"/>
      <c r="K980" s="415"/>
      <c r="L980" s="417"/>
      <c r="M980" s="403"/>
      <c r="N980" s="403"/>
      <c r="O980" s="403"/>
      <c r="P980" s="403"/>
      <c r="Q980" s="403"/>
      <c r="R980" s="403"/>
      <c r="S980" s="403"/>
      <c r="T980" s="403"/>
      <c r="U980" s="403"/>
      <c r="V980" s="403"/>
      <c r="W980" s="404"/>
      <c r="X980" s="405"/>
      <c r="Y980" s="405"/>
      <c r="Z980" s="442"/>
      <c r="AA980" s="405"/>
      <c r="AB980" s="405"/>
      <c r="AC980" s="405"/>
      <c r="AD980" s="405"/>
      <c r="AE980" s="442"/>
      <c r="AF980" s="405"/>
      <c r="AG980" s="405"/>
      <c r="AH980" s="405"/>
      <c r="AI980" s="405"/>
      <c r="AJ980" s="405"/>
      <c r="AK980" s="405"/>
      <c r="AL980" s="405"/>
      <c r="AM980" s="406"/>
      <c r="AN980" s="406"/>
      <c r="AO980" s="406"/>
      <c r="AP980" s="406"/>
      <c r="AQ980" s="403"/>
      <c r="AR980" s="403"/>
      <c r="AS980" s="403"/>
      <c r="AT980" s="403"/>
      <c r="AU980" s="403"/>
      <c r="AV980" s="403"/>
      <c r="AW980" s="403"/>
      <c r="AX980" s="403"/>
      <c r="AY980" s="403"/>
    </row>
    <row r="981">
      <c r="A981" s="415"/>
      <c r="B981" s="415"/>
      <c r="C981" s="410"/>
      <c r="D981" s="429"/>
      <c r="E981" s="416"/>
      <c r="F981" s="413"/>
      <c r="G981" s="413"/>
      <c r="H981" s="415"/>
      <c r="I981" s="415"/>
      <c r="J981" s="415"/>
      <c r="K981" s="415"/>
      <c r="L981" s="417"/>
      <c r="M981" s="403"/>
      <c r="N981" s="403"/>
      <c r="O981" s="403"/>
      <c r="P981" s="403"/>
      <c r="Q981" s="403"/>
      <c r="R981" s="403"/>
      <c r="S981" s="403"/>
      <c r="T981" s="403"/>
      <c r="U981" s="403"/>
      <c r="V981" s="403"/>
      <c r="W981" s="404"/>
      <c r="X981" s="405"/>
      <c r="Y981" s="405"/>
      <c r="Z981" s="442"/>
      <c r="AA981" s="405"/>
      <c r="AB981" s="405"/>
      <c r="AC981" s="405"/>
      <c r="AD981" s="405"/>
      <c r="AE981" s="442"/>
      <c r="AF981" s="405"/>
      <c r="AG981" s="405"/>
      <c r="AH981" s="405"/>
      <c r="AI981" s="405"/>
      <c r="AJ981" s="405"/>
      <c r="AK981" s="405"/>
      <c r="AL981" s="405"/>
      <c r="AM981" s="406"/>
      <c r="AN981" s="406"/>
      <c r="AO981" s="406"/>
      <c r="AP981" s="406"/>
      <c r="AQ981" s="403"/>
      <c r="AR981" s="403"/>
      <c r="AS981" s="403"/>
      <c r="AT981" s="403"/>
      <c r="AU981" s="403"/>
      <c r="AV981" s="403"/>
      <c r="AW981" s="403"/>
      <c r="AX981" s="403"/>
      <c r="AY981" s="403"/>
    </row>
    <row r="982">
      <c r="A982" s="415"/>
      <c r="B982" s="415"/>
      <c r="C982" s="410"/>
      <c r="D982" s="429"/>
      <c r="E982" s="416"/>
      <c r="F982" s="413"/>
      <c r="G982" s="413"/>
      <c r="H982" s="415"/>
      <c r="I982" s="415"/>
      <c r="J982" s="415"/>
      <c r="K982" s="415"/>
      <c r="L982" s="417"/>
      <c r="M982" s="403"/>
      <c r="N982" s="403"/>
      <c r="O982" s="403"/>
      <c r="P982" s="403"/>
      <c r="Q982" s="403"/>
      <c r="R982" s="403"/>
      <c r="S982" s="403"/>
      <c r="T982" s="403"/>
      <c r="U982" s="403"/>
      <c r="V982" s="403"/>
      <c r="W982" s="404"/>
      <c r="X982" s="405"/>
      <c r="Y982" s="405"/>
      <c r="Z982" s="442"/>
      <c r="AA982" s="405"/>
      <c r="AB982" s="405"/>
      <c r="AC982" s="405"/>
      <c r="AD982" s="405"/>
      <c r="AE982" s="442"/>
      <c r="AF982" s="405"/>
      <c r="AG982" s="405"/>
      <c r="AH982" s="405"/>
      <c r="AI982" s="405"/>
      <c r="AJ982" s="405"/>
      <c r="AK982" s="405"/>
      <c r="AL982" s="405"/>
      <c r="AM982" s="406"/>
      <c r="AN982" s="406"/>
      <c r="AO982" s="406"/>
      <c r="AP982" s="406"/>
      <c r="AQ982" s="403"/>
      <c r="AR982" s="403"/>
      <c r="AS982" s="403"/>
      <c r="AT982" s="403"/>
      <c r="AU982" s="403"/>
      <c r="AV982" s="403"/>
      <c r="AW982" s="403"/>
      <c r="AX982" s="403"/>
      <c r="AY982" s="403"/>
    </row>
    <row r="983">
      <c r="A983" s="415"/>
      <c r="B983" s="415"/>
      <c r="C983" s="410"/>
      <c r="D983" s="429"/>
      <c r="E983" s="416"/>
      <c r="F983" s="413"/>
      <c r="G983" s="413"/>
      <c r="H983" s="415"/>
      <c r="I983" s="415"/>
      <c r="J983" s="415"/>
      <c r="K983" s="415"/>
      <c r="L983" s="417"/>
      <c r="M983" s="403"/>
      <c r="N983" s="403"/>
      <c r="O983" s="403"/>
      <c r="P983" s="403"/>
      <c r="Q983" s="403"/>
      <c r="R983" s="403"/>
      <c r="S983" s="403"/>
      <c r="T983" s="403"/>
      <c r="U983" s="403"/>
      <c r="V983" s="403"/>
      <c r="W983" s="404"/>
      <c r="X983" s="405"/>
      <c r="Y983" s="405"/>
      <c r="Z983" s="442"/>
      <c r="AA983" s="405"/>
      <c r="AB983" s="405"/>
      <c r="AC983" s="405"/>
      <c r="AD983" s="405"/>
      <c r="AE983" s="442"/>
      <c r="AF983" s="405"/>
      <c r="AG983" s="405"/>
      <c r="AH983" s="405"/>
      <c r="AI983" s="405"/>
      <c r="AJ983" s="405"/>
      <c r="AK983" s="405"/>
      <c r="AL983" s="405"/>
      <c r="AM983" s="406"/>
      <c r="AN983" s="406"/>
      <c r="AO983" s="406"/>
      <c r="AP983" s="406"/>
      <c r="AQ983" s="403"/>
      <c r="AR983" s="403"/>
      <c r="AS983" s="403"/>
      <c r="AT983" s="403"/>
      <c r="AU983" s="403"/>
      <c r="AV983" s="403"/>
      <c r="AW983" s="403"/>
      <c r="AX983" s="403"/>
      <c r="AY983" s="403"/>
    </row>
    <row r="984">
      <c r="A984" s="415"/>
      <c r="B984" s="415"/>
      <c r="C984" s="410"/>
      <c r="D984" s="429"/>
      <c r="E984" s="416"/>
      <c r="F984" s="413"/>
      <c r="G984" s="413"/>
      <c r="H984" s="415"/>
      <c r="I984" s="415"/>
      <c r="J984" s="415"/>
      <c r="K984" s="415"/>
      <c r="L984" s="417"/>
      <c r="M984" s="403"/>
      <c r="N984" s="403"/>
      <c r="O984" s="403"/>
      <c r="P984" s="403"/>
      <c r="Q984" s="403"/>
      <c r="R984" s="403"/>
      <c r="S984" s="403"/>
      <c r="T984" s="403"/>
      <c r="U984" s="403"/>
      <c r="V984" s="403"/>
      <c r="W984" s="404"/>
      <c r="X984" s="405"/>
      <c r="Y984" s="405"/>
      <c r="Z984" s="442"/>
      <c r="AA984" s="405"/>
      <c r="AB984" s="405"/>
      <c r="AC984" s="405"/>
      <c r="AD984" s="405"/>
      <c r="AE984" s="442"/>
      <c r="AF984" s="405"/>
      <c r="AG984" s="405"/>
      <c r="AH984" s="405"/>
      <c r="AI984" s="405"/>
      <c r="AJ984" s="405"/>
      <c r="AK984" s="405"/>
      <c r="AL984" s="405"/>
      <c r="AM984" s="406"/>
      <c r="AN984" s="406"/>
      <c r="AO984" s="406"/>
      <c r="AP984" s="406"/>
      <c r="AQ984" s="403"/>
      <c r="AR984" s="403"/>
      <c r="AS984" s="403"/>
      <c r="AT984" s="403"/>
      <c r="AU984" s="403"/>
      <c r="AV984" s="403"/>
      <c r="AW984" s="403"/>
      <c r="AX984" s="403"/>
      <c r="AY984" s="403"/>
    </row>
    <row r="985">
      <c r="A985" s="415"/>
      <c r="B985" s="415"/>
      <c r="C985" s="410"/>
      <c r="D985" s="429"/>
      <c r="E985" s="416"/>
      <c r="F985" s="413"/>
      <c r="G985" s="413"/>
      <c r="H985" s="415"/>
      <c r="I985" s="415"/>
      <c r="J985" s="415"/>
      <c r="K985" s="415"/>
      <c r="L985" s="417"/>
      <c r="M985" s="403"/>
      <c r="N985" s="403"/>
      <c r="O985" s="403"/>
      <c r="P985" s="403"/>
      <c r="Q985" s="403"/>
      <c r="R985" s="403"/>
      <c r="S985" s="403"/>
      <c r="T985" s="403"/>
      <c r="U985" s="403"/>
      <c r="V985" s="403"/>
      <c r="W985" s="404"/>
      <c r="X985" s="405"/>
      <c r="Y985" s="405"/>
      <c r="Z985" s="442"/>
      <c r="AA985" s="405"/>
      <c r="AB985" s="405"/>
      <c r="AC985" s="405"/>
      <c r="AD985" s="405"/>
      <c r="AE985" s="442"/>
      <c r="AF985" s="405"/>
      <c r="AG985" s="405"/>
      <c r="AH985" s="405"/>
      <c r="AI985" s="405"/>
      <c r="AJ985" s="405"/>
      <c r="AK985" s="405"/>
      <c r="AL985" s="405"/>
      <c r="AM985" s="406"/>
      <c r="AN985" s="406"/>
      <c r="AO985" s="406"/>
      <c r="AP985" s="406"/>
      <c r="AQ985" s="403"/>
      <c r="AR985" s="403"/>
      <c r="AS985" s="403"/>
      <c r="AT985" s="403"/>
      <c r="AU985" s="403"/>
      <c r="AV985" s="403"/>
      <c r="AW985" s="403"/>
      <c r="AX985" s="403"/>
      <c r="AY985" s="403"/>
    </row>
    <row r="986">
      <c r="A986" s="415"/>
      <c r="B986" s="415"/>
      <c r="C986" s="410"/>
      <c r="D986" s="429"/>
      <c r="E986" s="416"/>
      <c r="F986" s="413"/>
      <c r="G986" s="413"/>
      <c r="H986" s="415"/>
      <c r="I986" s="415"/>
      <c r="J986" s="415"/>
      <c r="K986" s="415"/>
      <c r="L986" s="417"/>
      <c r="M986" s="403"/>
      <c r="N986" s="403"/>
      <c r="O986" s="403"/>
      <c r="P986" s="403"/>
      <c r="Q986" s="403"/>
      <c r="R986" s="403"/>
      <c r="S986" s="403"/>
      <c r="T986" s="403"/>
      <c r="U986" s="403"/>
      <c r="V986" s="403"/>
      <c r="W986" s="404"/>
      <c r="X986" s="405"/>
      <c r="Y986" s="405"/>
      <c r="Z986" s="442"/>
      <c r="AA986" s="405"/>
      <c r="AB986" s="405"/>
      <c r="AC986" s="405"/>
      <c r="AD986" s="405"/>
      <c r="AE986" s="442"/>
      <c r="AF986" s="405"/>
      <c r="AG986" s="405"/>
      <c r="AH986" s="405"/>
      <c r="AI986" s="405"/>
      <c r="AJ986" s="405"/>
      <c r="AK986" s="405"/>
      <c r="AL986" s="405"/>
      <c r="AM986" s="406"/>
      <c r="AN986" s="406"/>
      <c r="AO986" s="406"/>
      <c r="AP986" s="406"/>
      <c r="AQ986" s="403"/>
      <c r="AR986" s="403"/>
      <c r="AS986" s="403"/>
      <c r="AT986" s="403"/>
      <c r="AU986" s="403"/>
      <c r="AV986" s="403"/>
      <c r="AW986" s="403"/>
      <c r="AX986" s="403"/>
      <c r="AY986" s="403"/>
    </row>
    <row r="987">
      <c r="A987" s="415"/>
      <c r="B987" s="415"/>
      <c r="C987" s="410"/>
      <c r="D987" s="429"/>
      <c r="E987" s="416"/>
      <c r="F987" s="413"/>
      <c r="G987" s="413"/>
      <c r="H987" s="415"/>
      <c r="I987" s="415"/>
      <c r="J987" s="415"/>
      <c r="K987" s="415"/>
      <c r="L987" s="417"/>
      <c r="M987" s="403"/>
      <c r="N987" s="403"/>
      <c r="O987" s="403"/>
      <c r="P987" s="403"/>
      <c r="Q987" s="403"/>
      <c r="R987" s="403"/>
      <c r="S987" s="403"/>
      <c r="T987" s="403"/>
      <c r="U987" s="403"/>
      <c r="V987" s="403"/>
      <c r="W987" s="404"/>
      <c r="X987" s="405"/>
      <c r="Y987" s="405"/>
      <c r="Z987" s="442"/>
      <c r="AA987" s="405"/>
      <c r="AB987" s="405"/>
      <c r="AC987" s="405"/>
      <c r="AD987" s="405"/>
      <c r="AE987" s="442"/>
      <c r="AF987" s="405"/>
      <c r="AG987" s="405"/>
      <c r="AH987" s="405"/>
      <c r="AI987" s="405"/>
      <c r="AJ987" s="405"/>
      <c r="AK987" s="405"/>
      <c r="AL987" s="405"/>
      <c r="AM987" s="406"/>
      <c r="AN987" s="406"/>
      <c r="AO987" s="406"/>
      <c r="AP987" s="406"/>
      <c r="AQ987" s="403"/>
      <c r="AR987" s="403"/>
      <c r="AS987" s="403"/>
      <c r="AT987" s="403"/>
      <c r="AU987" s="403"/>
      <c r="AV987" s="403"/>
      <c r="AW987" s="403"/>
      <c r="AX987" s="403"/>
      <c r="AY987" s="403"/>
    </row>
    <row r="988">
      <c r="A988" s="415"/>
      <c r="B988" s="415"/>
      <c r="C988" s="410"/>
      <c r="D988" s="429"/>
      <c r="E988" s="416"/>
      <c r="F988" s="413"/>
      <c r="G988" s="413"/>
      <c r="H988" s="415"/>
      <c r="I988" s="415"/>
      <c r="J988" s="415"/>
      <c r="K988" s="415"/>
      <c r="L988" s="417"/>
      <c r="M988" s="403"/>
      <c r="N988" s="403"/>
      <c r="O988" s="403"/>
      <c r="P988" s="403"/>
      <c r="Q988" s="403"/>
      <c r="R988" s="403"/>
      <c r="S988" s="403"/>
      <c r="T988" s="403"/>
      <c r="U988" s="403"/>
      <c r="V988" s="403"/>
      <c r="W988" s="404"/>
      <c r="X988" s="405"/>
      <c r="Y988" s="405"/>
      <c r="Z988" s="442"/>
      <c r="AA988" s="405"/>
      <c r="AB988" s="405"/>
      <c r="AC988" s="405"/>
      <c r="AD988" s="405"/>
      <c r="AE988" s="442"/>
      <c r="AF988" s="405"/>
      <c r="AG988" s="405"/>
      <c r="AH988" s="405"/>
      <c r="AI988" s="405"/>
      <c r="AJ988" s="405"/>
      <c r="AK988" s="405"/>
      <c r="AL988" s="405"/>
      <c r="AM988" s="406"/>
      <c r="AN988" s="406"/>
      <c r="AO988" s="406"/>
      <c r="AP988" s="406"/>
      <c r="AQ988" s="403"/>
      <c r="AR988" s="403"/>
      <c r="AS988" s="403"/>
      <c r="AT988" s="403"/>
      <c r="AU988" s="403"/>
      <c r="AV988" s="403"/>
      <c r="AW988" s="403"/>
      <c r="AX988" s="403"/>
      <c r="AY988" s="403"/>
    </row>
    <row r="989">
      <c r="A989" s="415"/>
      <c r="B989" s="415"/>
      <c r="C989" s="410"/>
      <c r="D989" s="429"/>
      <c r="E989" s="416"/>
      <c r="F989" s="413"/>
      <c r="G989" s="413"/>
      <c r="H989" s="415"/>
      <c r="I989" s="415"/>
      <c r="J989" s="415"/>
      <c r="K989" s="415"/>
      <c r="L989" s="417"/>
      <c r="M989" s="403"/>
      <c r="N989" s="403"/>
      <c r="O989" s="403"/>
      <c r="P989" s="403"/>
      <c r="Q989" s="403"/>
      <c r="R989" s="403"/>
      <c r="S989" s="403"/>
      <c r="T989" s="403"/>
      <c r="U989" s="403"/>
      <c r="V989" s="403"/>
      <c r="W989" s="404"/>
      <c r="X989" s="405"/>
      <c r="Y989" s="405"/>
      <c r="Z989" s="442"/>
      <c r="AA989" s="405"/>
      <c r="AB989" s="405"/>
      <c r="AC989" s="405"/>
      <c r="AD989" s="405"/>
      <c r="AE989" s="442"/>
      <c r="AF989" s="405"/>
      <c r="AG989" s="405"/>
      <c r="AH989" s="405"/>
      <c r="AI989" s="405"/>
      <c r="AJ989" s="405"/>
      <c r="AK989" s="405"/>
      <c r="AL989" s="405"/>
      <c r="AM989" s="406"/>
      <c r="AN989" s="406"/>
      <c r="AO989" s="406"/>
      <c r="AP989" s="406"/>
      <c r="AQ989" s="403"/>
      <c r="AR989" s="403"/>
      <c r="AS989" s="403"/>
      <c r="AT989" s="403"/>
      <c r="AU989" s="403"/>
      <c r="AV989" s="403"/>
      <c r="AW989" s="403"/>
      <c r="AX989" s="403"/>
      <c r="AY989" s="403"/>
    </row>
    <row r="990">
      <c r="A990" s="415"/>
      <c r="B990" s="415"/>
      <c r="C990" s="410"/>
      <c r="D990" s="429"/>
      <c r="E990" s="416"/>
      <c r="F990" s="413"/>
      <c r="G990" s="413"/>
      <c r="H990" s="415"/>
      <c r="I990" s="415"/>
      <c r="J990" s="415"/>
      <c r="K990" s="415"/>
      <c r="L990" s="417"/>
      <c r="M990" s="403"/>
      <c r="N990" s="403"/>
      <c r="O990" s="403"/>
      <c r="P990" s="403"/>
      <c r="Q990" s="403"/>
      <c r="R990" s="403"/>
      <c r="S990" s="403"/>
      <c r="T990" s="403"/>
      <c r="U990" s="403"/>
      <c r="V990" s="403"/>
      <c r="W990" s="404"/>
      <c r="X990" s="405"/>
      <c r="Y990" s="405"/>
      <c r="Z990" s="442"/>
      <c r="AA990" s="405"/>
      <c r="AB990" s="405"/>
      <c r="AC990" s="405"/>
      <c r="AD990" s="405"/>
      <c r="AE990" s="442"/>
      <c r="AF990" s="405"/>
      <c r="AG990" s="405"/>
      <c r="AH990" s="405"/>
      <c r="AI990" s="405"/>
      <c r="AJ990" s="405"/>
      <c r="AK990" s="405"/>
      <c r="AL990" s="405"/>
      <c r="AM990" s="406"/>
      <c r="AN990" s="406"/>
      <c r="AO990" s="406"/>
      <c r="AP990" s="406"/>
      <c r="AQ990" s="403"/>
      <c r="AR990" s="403"/>
      <c r="AS990" s="403"/>
      <c r="AT990" s="403"/>
      <c r="AU990" s="403"/>
      <c r="AV990" s="403"/>
      <c r="AW990" s="403"/>
      <c r="AX990" s="403"/>
      <c r="AY990" s="403"/>
    </row>
    <row r="991">
      <c r="A991" s="415"/>
      <c r="B991" s="415"/>
      <c r="C991" s="410"/>
      <c r="D991" s="429"/>
      <c r="E991" s="416"/>
      <c r="F991" s="413"/>
      <c r="G991" s="413"/>
      <c r="H991" s="415"/>
      <c r="I991" s="415"/>
      <c r="J991" s="415"/>
      <c r="K991" s="415"/>
      <c r="L991" s="417"/>
      <c r="M991" s="403"/>
      <c r="N991" s="403"/>
      <c r="O991" s="403"/>
      <c r="P991" s="403"/>
      <c r="Q991" s="403"/>
      <c r="R991" s="403"/>
      <c r="S991" s="403"/>
      <c r="T991" s="403"/>
      <c r="U991" s="403"/>
      <c r="V991" s="403"/>
      <c r="W991" s="404"/>
      <c r="X991" s="405"/>
      <c r="Y991" s="405"/>
      <c r="Z991" s="442"/>
      <c r="AA991" s="405"/>
      <c r="AB991" s="405"/>
      <c r="AC991" s="405"/>
      <c r="AD991" s="405"/>
      <c r="AE991" s="442"/>
      <c r="AF991" s="405"/>
      <c r="AG991" s="405"/>
      <c r="AH991" s="405"/>
      <c r="AI991" s="405"/>
      <c r="AJ991" s="405"/>
      <c r="AK991" s="405"/>
      <c r="AL991" s="405"/>
      <c r="AM991" s="406"/>
      <c r="AN991" s="406"/>
      <c r="AO991" s="406"/>
      <c r="AP991" s="406"/>
      <c r="AQ991" s="403"/>
      <c r="AR991" s="403"/>
      <c r="AS991" s="403"/>
      <c r="AT991" s="403"/>
      <c r="AU991" s="403"/>
      <c r="AV991" s="403"/>
      <c r="AW991" s="403"/>
      <c r="AX991" s="403"/>
      <c r="AY991" s="403"/>
    </row>
    <row r="992">
      <c r="A992" s="415"/>
      <c r="B992" s="415"/>
      <c r="C992" s="410"/>
      <c r="D992" s="429"/>
      <c r="E992" s="416"/>
      <c r="F992" s="413"/>
      <c r="G992" s="413"/>
      <c r="H992" s="415"/>
      <c r="I992" s="415"/>
      <c r="J992" s="415"/>
      <c r="K992" s="415"/>
      <c r="L992" s="417"/>
      <c r="M992" s="403"/>
      <c r="N992" s="403"/>
      <c r="O992" s="403"/>
      <c r="P992" s="403"/>
      <c r="Q992" s="403"/>
      <c r="R992" s="403"/>
      <c r="S992" s="403"/>
      <c r="T992" s="403"/>
      <c r="U992" s="403"/>
      <c r="V992" s="403"/>
      <c r="W992" s="404"/>
      <c r="X992" s="405"/>
      <c r="Y992" s="405"/>
      <c r="Z992" s="442"/>
      <c r="AA992" s="405"/>
      <c r="AB992" s="405"/>
      <c r="AC992" s="405"/>
      <c r="AD992" s="405"/>
      <c r="AE992" s="442"/>
      <c r="AF992" s="405"/>
      <c r="AG992" s="405"/>
      <c r="AH992" s="405"/>
      <c r="AI992" s="405"/>
      <c r="AJ992" s="405"/>
      <c r="AK992" s="405"/>
      <c r="AL992" s="405"/>
      <c r="AM992" s="406"/>
      <c r="AN992" s="406"/>
      <c r="AO992" s="406"/>
      <c r="AP992" s="406"/>
      <c r="AQ992" s="403"/>
      <c r="AR992" s="403"/>
      <c r="AS992" s="403"/>
      <c r="AT992" s="403"/>
      <c r="AU992" s="403"/>
      <c r="AV992" s="403"/>
      <c r="AW992" s="403"/>
      <c r="AX992" s="403"/>
      <c r="AY992" s="403"/>
    </row>
    <row r="993">
      <c r="A993" s="415"/>
      <c r="B993" s="415"/>
      <c r="C993" s="410"/>
      <c r="D993" s="429"/>
      <c r="E993" s="416"/>
      <c r="F993" s="413"/>
      <c r="G993" s="413"/>
      <c r="H993" s="415"/>
      <c r="I993" s="415"/>
      <c r="J993" s="415"/>
      <c r="K993" s="415"/>
      <c r="L993" s="417"/>
      <c r="M993" s="403"/>
      <c r="N993" s="403"/>
      <c r="O993" s="403"/>
      <c r="P993" s="403"/>
      <c r="Q993" s="403"/>
      <c r="R993" s="403"/>
      <c r="S993" s="403"/>
      <c r="T993" s="403"/>
      <c r="U993" s="403"/>
      <c r="V993" s="403"/>
      <c r="W993" s="404"/>
      <c r="X993" s="405"/>
      <c r="Y993" s="405"/>
      <c r="Z993" s="442"/>
      <c r="AA993" s="405"/>
      <c r="AB993" s="405"/>
      <c r="AC993" s="405"/>
      <c r="AD993" s="405"/>
      <c r="AE993" s="442"/>
      <c r="AF993" s="405"/>
      <c r="AG993" s="405"/>
      <c r="AH993" s="405"/>
      <c r="AI993" s="405"/>
      <c r="AJ993" s="405"/>
      <c r="AK993" s="405"/>
      <c r="AL993" s="405"/>
      <c r="AM993" s="406"/>
      <c r="AN993" s="406"/>
      <c r="AO993" s="406"/>
      <c r="AP993" s="406"/>
      <c r="AQ993" s="403"/>
      <c r="AR993" s="403"/>
      <c r="AS993" s="403"/>
      <c r="AT993" s="403"/>
      <c r="AU993" s="403"/>
      <c r="AV993" s="403"/>
      <c r="AW993" s="403"/>
      <c r="AX993" s="403"/>
      <c r="AY993" s="403"/>
    </row>
    <row r="994">
      <c r="A994" s="415"/>
      <c r="B994" s="415"/>
      <c r="C994" s="410"/>
      <c r="D994" s="429"/>
      <c r="E994" s="416"/>
      <c r="F994" s="413"/>
      <c r="G994" s="413"/>
      <c r="H994" s="415"/>
      <c r="I994" s="415"/>
      <c r="J994" s="415"/>
      <c r="K994" s="415"/>
      <c r="L994" s="417"/>
      <c r="M994" s="403"/>
      <c r="N994" s="403"/>
      <c r="O994" s="403"/>
      <c r="P994" s="403"/>
      <c r="Q994" s="403"/>
      <c r="R994" s="403"/>
      <c r="S994" s="403"/>
      <c r="T994" s="403"/>
      <c r="U994" s="403"/>
      <c r="V994" s="403"/>
      <c r="W994" s="404"/>
      <c r="X994" s="405"/>
      <c r="Y994" s="405"/>
      <c r="Z994" s="442"/>
      <c r="AA994" s="405"/>
      <c r="AB994" s="405"/>
      <c r="AC994" s="405"/>
      <c r="AD994" s="405"/>
      <c r="AE994" s="442"/>
      <c r="AF994" s="405"/>
      <c r="AG994" s="405"/>
      <c r="AH994" s="405"/>
      <c r="AI994" s="405"/>
      <c r="AJ994" s="405"/>
      <c r="AK994" s="405"/>
      <c r="AL994" s="405"/>
      <c r="AM994" s="406"/>
      <c r="AN994" s="406"/>
      <c r="AO994" s="406"/>
      <c r="AP994" s="406"/>
      <c r="AQ994" s="403"/>
      <c r="AR994" s="403"/>
      <c r="AS994" s="403"/>
      <c r="AT994" s="403"/>
      <c r="AU994" s="403"/>
      <c r="AV994" s="403"/>
      <c r="AW994" s="403"/>
      <c r="AX994" s="403"/>
      <c r="AY994" s="403"/>
    </row>
    <row r="995">
      <c r="A995" s="415"/>
      <c r="B995" s="415"/>
      <c r="C995" s="410"/>
      <c r="D995" s="429"/>
      <c r="E995" s="416"/>
      <c r="F995" s="413"/>
      <c r="G995" s="413"/>
      <c r="H995" s="415"/>
      <c r="I995" s="415"/>
      <c r="J995" s="415"/>
      <c r="K995" s="415"/>
      <c r="L995" s="417"/>
      <c r="M995" s="403"/>
      <c r="N995" s="403"/>
      <c r="O995" s="403"/>
      <c r="P995" s="403"/>
      <c r="Q995" s="403"/>
      <c r="R995" s="403"/>
      <c r="S995" s="403"/>
      <c r="T995" s="403"/>
      <c r="U995" s="403"/>
      <c r="V995" s="403"/>
      <c r="W995" s="404"/>
      <c r="X995" s="405"/>
      <c r="Y995" s="405"/>
      <c r="Z995" s="442"/>
      <c r="AA995" s="405"/>
      <c r="AB995" s="405"/>
      <c r="AC995" s="405"/>
      <c r="AD995" s="405"/>
      <c r="AE995" s="442"/>
      <c r="AF995" s="405"/>
      <c r="AG995" s="405"/>
      <c r="AH995" s="405"/>
      <c r="AI995" s="405"/>
      <c r="AJ995" s="405"/>
      <c r="AK995" s="405"/>
      <c r="AL995" s="405"/>
      <c r="AM995" s="406"/>
      <c r="AN995" s="406"/>
      <c r="AO995" s="406"/>
      <c r="AP995" s="406"/>
      <c r="AQ995" s="403"/>
      <c r="AR995" s="403"/>
      <c r="AS995" s="403"/>
      <c r="AT995" s="403"/>
      <c r="AU995" s="403"/>
      <c r="AV995" s="403"/>
      <c r="AW995" s="403"/>
      <c r="AX995" s="403"/>
      <c r="AY995" s="403"/>
    </row>
    <row r="996">
      <c r="A996" s="415"/>
      <c r="B996" s="415"/>
      <c r="C996" s="410"/>
      <c r="D996" s="429"/>
      <c r="E996" s="416"/>
      <c r="F996" s="413"/>
      <c r="G996" s="413"/>
      <c r="H996" s="415"/>
      <c r="I996" s="415"/>
      <c r="J996" s="415"/>
      <c r="K996" s="415"/>
      <c r="L996" s="417"/>
      <c r="M996" s="403"/>
      <c r="N996" s="403"/>
      <c r="O996" s="403"/>
      <c r="P996" s="403"/>
      <c r="Q996" s="403"/>
      <c r="R996" s="403"/>
      <c r="S996" s="403"/>
      <c r="T996" s="403"/>
      <c r="U996" s="403"/>
      <c r="V996" s="403"/>
      <c r="W996" s="404"/>
      <c r="X996" s="405"/>
      <c r="Y996" s="405"/>
      <c r="Z996" s="442"/>
      <c r="AA996" s="405"/>
      <c r="AB996" s="405"/>
      <c r="AC996" s="405"/>
      <c r="AD996" s="405"/>
      <c r="AE996" s="442"/>
      <c r="AF996" s="405"/>
      <c r="AG996" s="405"/>
      <c r="AH996" s="405"/>
      <c r="AI996" s="405"/>
      <c r="AJ996" s="405"/>
      <c r="AK996" s="405"/>
      <c r="AL996" s="405"/>
      <c r="AM996" s="406"/>
      <c r="AN996" s="406"/>
      <c r="AO996" s="406"/>
      <c r="AP996" s="406"/>
      <c r="AQ996" s="403"/>
      <c r="AR996" s="403"/>
      <c r="AS996" s="403"/>
      <c r="AT996" s="403"/>
      <c r="AU996" s="403"/>
      <c r="AV996" s="403"/>
      <c r="AW996" s="403"/>
      <c r="AX996" s="403"/>
      <c r="AY996" s="403"/>
    </row>
    <row r="997">
      <c r="A997" s="415"/>
      <c r="B997" s="415"/>
      <c r="C997" s="410"/>
      <c r="D997" s="429"/>
      <c r="E997" s="416"/>
      <c r="F997" s="413"/>
      <c r="G997" s="413"/>
      <c r="H997" s="415"/>
      <c r="I997" s="415"/>
      <c r="J997" s="415"/>
      <c r="K997" s="415"/>
      <c r="L997" s="417"/>
      <c r="M997" s="403"/>
      <c r="N997" s="403"/>
      <c r="O997" s="403"/>
      <c r="P997" s="403"/>
      <c r="Q997" s="403"/>
      <c r="R997" s="403"/>
      <c r="S997" s="403"/>
      <c r="T997" s="403"/>
      <c r="U997" s="403"/>
      <c r="V997" s="403"/>
      <c r="W997" s="404"/>
      <c r="X997" s="405"/>
      <c r="Y997" s="405"/>
      <c r="Z997" s="442"/>
      <c r="AA997" s="405"/>
      <c r="AB997" s="405"/>
      <c r="AC997" s="405"/>
      <c r="AD997" s="405"/>
      <c r="AE997" s="442"/>
      <c r="AF997" s="405"/>
      <c r="AG997" s="405"/>
      <c r="AH997" s="405"/>
      <c r="AI997" s="405"/>
      <c r="AJ997" s="405"/>
      <c r="AK997" s="405"/>
      <c r="AL997" s="405"/>
      <c r="AM997" s="406"/>
      <c r="AN997" s="406"/>
      <c r="AO997" s="406"/>
      <c r="AP997" s="406"/>
      <c r="AQ997" s="403"/>
      <c r="AR997" s="403"/>
      <c r="AS997" s="403"/>
      <c r="AT997" s="403"/>
      <c r="AU997" s="403"/>
      <c r="AV997" s="403"/>
      <c r="AW997" s="403"/>
      <c r="AX997" s="403"/>
      <c r="AY997" s="403"/>
    </row>
    <row r="998">
      <c r="A998" s="415"/>
      <c r="B998" s="415"/>
      <c r="C998" s="410"/>
      <c r="D998" s="429"/>
      <c r="E998" s="416"/>
      <c r="F998" s="413"/>
      <c r="G998" s="413"/>
      <c r="H998" s="415"/>
      <c r="I998" s="415"/>
      <c r="J998" s="415"/>
      <c r="K998" s="415"/>
      <c r="L998" s="417"/>
      <c r="M998" s="403"/>
      <c r="N998" s="403"/>
      <c r="O998" s="403"/>
      <c r="P998" s="403"/>
      <c r="Q998" s="403"/>
      <c r="R998" s="403"/>
      <c r="S998" s="403"/>
      <c r="T998" s="403"/>
      <c r="U998" s="403"/>
      <c r="V998" s="403"/>
      <c r="W998" s="404"/>
      <c r="X998" s="405"/>
      <c r="Y998" s="405"/>
      <c r="Z998" s="442"/>
      <c r="AA998" s="405"/>
      <c r="AB998" s="405"/>
      <c r="AC998" s="405"/>
      <c r="AD998" s="405"/>
      <c r="AE998" s="442"/>
      <c r="AF998" s="405"/>
      <c r="AG998" s="405"/>
      <c r="AH998" s="405"/>
      <c r="AI998" s="405"/>
      <c r="AJ998" s="405"/>
      <c r="AK998" s="405"/>
      <c r="AL998" s="405"/>
      <c r="AM998" s="406"/>
      <c r="AN998" s="406"/>
      <c r="AO998" s="406"/>
      <c r="AP998" s="406"/>
      <c r="AQ998" s="403"/>
      <c r="AR998" s="403"/>
      <c r="AS998" s="403"/>
      <c r="AT998" s="403"/>
      <c r="AU998" s="403"/>
      <c r="AV998" s="403"/>
      <c r="AW998" s="403"/>
      <c r="AX998" s="403"/>
      <c r="AY998" s="403"/>
    </row>
    <row r="999">
      <c r="A999" s="415"/>
      <c r="B999" s="415"/>
      <c r="C999" s="410"/>
      <c r="D999" s="429"/>
      <c r="E999" s="416"/>
      <c r="F999" s="413"/>
      <c r="G999" s="413"/>
      <c r="H999" s="415"/>
      <c r="I999" s="415"/>
      <c r="J999" s="415"/>
      <c r="K999" s="415"/>
      <c r="L999" s="417"/>
      <c r="M999" s="403"/>
      <c r="N999" s="403"/>
      <c r="O999" s="403"/>
      <c r="P999" s="403"/>
      <c r="Q999" s="403"/>
      <c r="R999" s="403"/>
      <c r="S999" s="403"/>
      <c r="T999" s="403"/>
      <c r="U999" s="403"/>
      <c r="V999" s="403"/>
      <c r="W999" s="404"/>
      <c r="X999" s="405"/>
      <c r="Y999" s="405"/>
      <c r="Z999" s="442"/>
      <c r="AA999" s="405"/>
      <c r="AB999" s="405"/>
      <c r="AC999" s="405"/>
      <c r="AD999" s="405"/>
      <c r="AE999" s="442"/>
      <c r="AF999" s="405"/>
      <c r="AG999" s="405"/>
      <c r="AH999" s="405"/>
      <c r="AI999" s="405"/>
      <c r="AJ999" s="405"/>
      <c r="AK999" s="405"/>
      <c r="AL999" s="405"/>
      <c r="AM999" s="406"/>
      <c r="AN999" s="406"/>
      <c r="AO999" s="406"/>
      <c r="AP999" s="406"/>
      <c r="AQ999" s="403"/>
      <c r="AR999" s="403"/>
      <c r="AS999" s="403"/>
      <c r="AT999" s="403"/>
      <c r="AU999" s="403"/>
      <c r="AV999" s="403"/>
      <c r="AW999" s="403"/>
      <c r="AX999" s="403"/>
      <c r="AY999" s="403"/>
    </row>
    <row r="1000">
      <c r="A1000" s="415"/>
      <c r="B1000" s="415"/>
      <c r="C1000" s="410"/>
      <c r="D1000" s="429"/>
      <c r="E1000" s="416"/>
      <c r="F1000" s="413"/>
      <c r="G1000" s="413"/>
      <c r="H1000" s="415"/>
      <c r="I1000" s="415"/>
      <c r="J1000" s="415"/>
      <c r="K1000" s="415"/>
      <c r="L1000" s="417"/>
      <c r="M1000" s="403"/>
      <c r="N1000" s="403"/>
      <c r="O1000" s="403"/>
      <c r="P1000" s="403"/>
      <c r="Q1000" s="403"/>
      <c r="R1000" s="403"/>
      <c r="S1000" s="403"/>
      <c r="T1000" s="403"/>
      <c r="U1000" s="403"/>
      <c r="V1000" s="403"/>
      <c r="W1000" s="420"/>
      <c r="X1000" s="442"/>
      <c r="Y1000" s="442"/>
      <c r="Z1000" s="442"/>
      <c r="AA1000" s="442"/>
      <c r="AB1000" s="442"/>
      <c r="AC1000" s="442"/>
      <c r="AD1000" s="442"/>
      <c r="AE1000" s="442"/>
      <c r="AF1000" s="442"/>
      <c r="AG1000" s="442"/>
      <c r="AH1000" s="442"/>
      <c r="AI1000" s="442"/>
      <c r="AJ1000" s="442"/>
      <c r="AK1000" s="442"/>
      <c r="AL1000" s="442"/>
      <c r="AM1000" s="420"/>
      <c r="AN1000" s="420"/>
      <c r="AO1000" s="420"/>
      <c r="AP1000" s="420"/>
      <c r="AQ1000" s="403"/>
      <c r="AR1000" s="403"/>
      <c r="AS1000" s="403"/>
      <c r="AT1000" s="403"/>
      <c r="AU1000" s="403"/>
      <c r="AV1000" s="403"/>
      <c r="AW1000" s="403"/>
      <c r="AX1000" s="403"/>
      <c r="AY1000" s="403"/>
    </row>
    <row r="1001">
      <c r="A1001" s="415"/>
      <c r="B1001" s="415"/>
      <c r="C1001" s="410"/>
      <c r="D1001" s="429"/>
      <c r="E1001" s="416"/>
      <c r="F1001" s="413"/>
      <c r="G1001" s="413"/>
      <c r="H1001" s="415"/>
      <c r="I1001" s="415"/>
      <c r="J1001" s="415"/>
      <c r="K1001" s="415"/>
      <c r="L1001" s="417"/>
      <c r="M1001" s="403"/>
      <c r="N1001" s="403"/>
      <c r="O1001" s="403"/>
      <c r="P1001" s="403"/>
      <c r="Q1001" s="403"/>
      <c r="R1001" s="403"/>
      <c r="S1001" s="403"/>
      <c r="T1001" s="403"/>
      <c r="U1001" s="403"/>
      <c r="V1001" s="403"/>
      <c r="W1001" s="420"/>
      <c r="X1001" s="442"/>
      <c r="Y1001" s="442"/>
      <c r="Z1001" s="442"/>
      <c r="AA1001" s="442"/>
      <c r="AB1001" s="442"/>
      <c r="AC1001" s="442"/>
      <c r="AD1001" s="442"/>
      <c r="AE1001" s="442"/>
      <c r="AF1001" s="442"/>
      <c r="AG1001" s="442"/>
      <c r="AH1001" s="442"/>
      <c r="AI1001" s="442"/>
      <c r="AJ1001" s="442"/>
      <c r="AK1001" s="442"/>
      <c r="AL1001" s="442"/>
      <c r="AM1001" s="420"/>
      <c r="AN1001" s="420"/>
      <c r="AO1001" s="420"/>
      <c r="AP1001" s="420"/>
      <c r="AQ1001" s="403"/>
      <c r="AR1001" s="403"/>
      <c r="AS1001" s="403"/>
      <c r="AT1001" s="403"/>
      <c r="AU1001" s="403"/>
      <c r="AV1001" s="403"/>
      <c r="AW1001" s="403"/>
      <c r="AX1001" s="403"/>
      <c r="AY1001" s="403"/>
    </row>
    <row r="1002">
      <c r="A1002" s="415"/>
      <c r="B1002" s="415"/>
      <c r="C1002" s="410"/>
      <c r="D1002" s="429"/>
      <c r="E1002" s="416"/>
      <c r="F1002" s="413"/>
      <c r="G1002" s="413"/>
      <c r="H1002" s="415"/>
      <c r="I1002" s="415"/>
      <c r="J1002" s="415"/>
      <c r="K1002" s="415"/>
      <c r="L1002" s="417"/>
      <c r="M1002" s="403"/>
      <c r="N1002" s="403"/>
      <c r="O1002" s="403"/>
      <c r="P1002" s="403"/>
      <c r="Q1002" s="403"/>
      <c r="R1002" s="403"/>
      <c r="S1002" s="403"/>
      <c r="T1002" s="403"/>
      <c r="U1002" s="403"/>
      <c r="V1002" s="403"/>
      <c r="W1002" s="420"/>
      <c r="X1002" s="442"/>
      <c r="Y1002" s="442"/>
      <c r="Z1002" s="442"/>
      <c r="AA1002" s="442"/>
      <c r="AB1002" s="442"/>
      <c r="AC1002" s="442"/>
      <c r="AD1002" s="442"/>
      <c r="AE1002" s="442"/>
      <c r="AF1002" s="442"/>
      <c r="AG1002" s="442"/>
      <c r="AH1002" s="442"/>
      <c r="AI1002" s="442"/>
      <c r="AJ1002" s="442"/>
      <c r="AK1002" s="442"/>
      <c r="AL1002" s="442"/>
      <c r="AM1002" s="420"/>
      <c r="AN1002" s="420"/>
      <c r="AO1002" s="420"/>
      <c r="AP1002" s="420"/>
      <c r="AQ1002" s="403"/>
      <c r="AR1002" s="403"/>
      <c r="AS1002" s="403"/>
      <c r="AT1002" s="403"/>
      <c r="AU1002" s="403"/>
      <c r="AV1002" s="403"/>
      <c r="AW1002" s="403"/>
      <c r="AX1002" s="403"/>
      <c r="AY1002" s="403"/>
    </row>
    <row r="1003">
      <c r="A1003" s="415"/>
      <c r="B1003" s="415"/>
      <c r="C1003" s="410"/>
      <c r="D1003" s="429"/>
      <c r="E1003" s="416"/>
      <c r="F1003" s="413"/>
      <c r="G1003" s="413"/>
      <c r="H1003" s="415"/>
      <c r="I1003" s="415"/>
      <c r="J1003" s="415"/>
      <c r="K1003" s="415"/>
      <c r="L1003" s="417"/>
      <c r="M1003" s="403"/>
      <c r="N1003" s="403"/>
      <c r="O1003" s="403"/>
      <c r="P1003" s="403"/>
      <c r="Q1003" s="403"/>
      <c r="R1003" s="403"/>
      <c r="S1003" s="403"/>
      <c r="T1003" s="403"/>
      <c r="U1003" s="403"/>
      <c r="V1003" s="403"/>
      <c r="W1003" s="420"/>
      <c r="X1003" s="420"/>
      <c r="Y1003" s="420"/>
      <c r="Z1003" s="420"/>
      <c r="AA1003" s="420"/>
      <c r="AB1003" s="420"/>
      <c r="AC1003" s="420"/>
      <c r="AD1003" s="420"/>
      <c r="AE1003" s="420"/>
      <c r="AF1003" s="420"/>
      <c r="AG1003" s="420"/>
      <c r="AH1003" s="420"/>
      <c r="AI1003" s="420"/>
      <c r="AJ1003" s="420"/>
      <c r="AK1003" s="420"/>
      <c r="AL1003" s="420"/>
      <c r="AM1003" s="420"/>
      <c r="AN1003" s="420"/>
      <c r="AO1003" s="420"/>
      <c r="AP1003" s="420"/>
      <c r="AQ1003" s="403"/>
      <c r="AR1003" s="403"/>
      <c r="AS1003" s="403"/>
      <c r="AT1003" s="403"/>
      <c r="AU1003" s="403"/>
      <c r="AV1003" s="403"/>
      <c r="AW1003" s="403"/>
      <c r="AX1003" s="403"/>
      <c r="AY1003" s="403"/>
    </row>
    <row r="1004">
      <c r="A1004" s="415"/>
      <c r="B1004" s="415"/>
      <c r="C1004" s="410"/>
      <c r="D1004" s="429"/>
      <c r="E1004" s="416"/>
      <c r="F1004" s="413"/>
      <c r="G1004" s="413"/>
      <c r="H1004" s="415"/>
      <c r="I1004" s="415"/>
      <c r="J1004" s="415"/>
      <c r="K1004" s="415"/>
      <c r="L1004" s="417"/>
      <c r="M1004" s="403"/>
      <c r="N1004" s="403"/>
      <c r="O1004" s="403"/>
      <c r="P1004" s="403"/>
      <c r="Q1004" s="403"/>
      <c r="R1004" s="403"/>
      <c r="S1004" s="403"/>
      <c r="T1004" s="403"/>
      <c r="U1004" s="403"/>
      <c r="V1004" s="403"/>
      <c r="W1004" s="420"/>
      <c r="X1004" s="420"/>
      <c r="Y1004" s="420"/>
      <c r="Z1004" s="420"/>
      <c r="AA1004" s="420"/>
      <c r="AB1004" s="420"/>
      <c r="AC1004" s="420"/>
      <c r="AD1004" s="420"/>
      <c r="AE1004" s="420"/>
      <c r="AF1004" s="420"/>
      <c r="AG1004" s="420"/>
      <c r="AH1004" s="420"/>
      <c r="AI1004" s="420"/>
      <c r="AJ1004" s="420"/>
      <c r="AK1004" s="420"/>
      <c r="AL1004" s="420"/>
      <c r="AM1004" s="420"/>
      <c r="AN1004" s="420"/>
      <c r="AO1004" s="420"/>
      <c r="AP1004" s="420"/>
      <c r="AQ1004" s="403"/>
      <c r="AR1004" s="403"/>
      <c r="AS1004" s="403"/>
      <c r="AT1004" s="403"/>
      <c r="AU1004" s="403"/>
      <c r="AV1004" s="403"/>
      <c r="AW1004" s="403"/>
      <c r="AX1004" s="403"/>
      <c r="AY1004" s="403"/>
    </row>
    <row r="1005">
      <c r="A1005" s="415"/>
      <c r="B1005" s="415"/>
      <c r="C1005" s="410"/>
      <c r="D1005" s="429"/>
      <c r="E1005" s="416"/>
      <c r="F1005" s="413"/>
      <c r="G1005" s="413"/>
      <c r="H1005" s="415"/>
      <c r="I1005" s="415"/>
      <c r="J1005" s="415"/>
      <c r="K1005" s="415"/>
      <c r="L1005" s="417"/>
      <c r="M1005" s="403"/>
      <c r="N1005" s="403"/>
      <c r="O1005" s="403"/>
      <c r="P1005" s="403"/>
      <c r="Q1005" s="403"/>
      <c r="R1005" s="403"/>
      <c r="S1005" s="403"/>
      <c r="T1005" s="403"/>
      <c r="U1005" s="403"/>
      <c r="V1005" s="403"/>
      <c r="W1005" s="420"/>
      <c r="X1005" s="420"/>
      <c r="Y1005" s="420"/>
      <c r="Z1005" s="420"/>
      <c r="AA1005" s="420"/>
      <c r="AB1005" s="420"/>
      <c r="AC1005" s="420"/>
      <c r="AD1005" s="420"/>
      <c r="AE1005" s="420"/>
      <c r="AF1005" s="420"/>
      <c r="AG1005" s="420"/>
      <c r="AH1005" s="420"/>
      <c r="AI1005" s="420"/>
      <c r="AJ1005" s="420"/>
      <c r="AK1005" s="420"/>
      <c r="AL1005" s="420"/>
      <c r="AM1005" s="420"/>
      <c r="AN1005" s="420"/>
      <c r="AO1005" s="420"/>
      <c r="AP1005" s="420"/>
      <c r="AQ1005" s="403"/>
      <c r="AR1005" s="403"/>
      <c r="AS1005" s="403"/>
      <c r="AT1005" s="403"/>
      <c r="AU1005" s="403"/>
      <c r="AV1005" s="403"/>
      <c r="AW1005" s="403"/>
      <c r="AX1005" s="403"/>
      <c r="AY1005" s="403"/>
    </row>
    <row r="1006">
      <c r="A1006" s="415"/>
      <c r="B1006" s="415"/>
      <c r="C1006" s="410"/>
      <c r="D1006" s="429"/>
      <c r="E1006" s="416"/>
      <c r="F1006" s="413"/>
      <c r="G1006" s="413"/>
      <c r="H1006" s="415"/>
      <c r="I1006" s="415"/>
      <c r="J1006" s="415"/>
      <c r="K1006" s="415"/>
      <c r="L1006" s="417"/>
      <c r="M1006" s="403"/>
      <c r="N1006" s="403"/>
      <c r="O1006" s="403"/>
      <c r="P1006" s="403"/>
      <c r="Q1006" s="403"/>
      <c r="R1006" s="403"/>
      <c r="S1006" s="403"/>
      <c r="T1006" s="403"/>
      <c r="U1006" s="403"/>
      <c r="V1006" s="403"/>
      <c r="W1006" s="420"/>
      <c r="X1006" s="420"/>
      <c r="Y1006" s="420"/>
      <c r="Z1006" s="420"/>
      <c r="AA1006" s="420"/>
      <c r="AB1006" s="420"/>
      <c r="AC1006" s="420"/>
      <c r="AD1006" s="420"/>
      <c r="AE1006" s="420"/>
      <c r="AF1006" s="420"/>
      <c r="AG1006" s="420"/>
      <c r="AH1006" s="420"/>
      <c r="AI1006" s="420"/>
      <c r="AJ1006" s="420"/>
      <c r="AK1006" s="420"/>
      <c r="AL1006" s="420"/>
      <c r="AM1006" s="420"/>
      <c r="AN1006" s="420"/>
      <c r="AO1006" s="420"/>
      <c r="AP1006" s="420"/>
      <c r="AQ1006" s="403"/>
      <c r="AR1006" s="403"/>
      <c r="AS1006" s="403"/>
      <c r="AT1006" s="403"/>
      <c r="AU1006" s="403"/>
      <c r="AV1006" s="403"/>
      <c r="AW1006" s="403"/>
      <c r="AX1006" s="403"/>
      <c r="AY1006" s="403"/>
    </row>
    <row r="1007">
      <c r="A1007" s="415"/>
      <c r="B1007" s="415"/>
      <c r="C1007" s="410"/>
      <c r="D1007" s="429"/>
      <c r="E1007" s="416"/>
      <c r="F1007" s="413"/>
      <c r="G1007" s="413"/>
      <c r="H1007" s="415"/>
      <c r="I1007" s="415"/>
      <c r="J1007" s="415"/>
      <c r="K1007" s="415"/>
      <c r="L1007" s="417"/>
      <c r="M1007" s="403"/>
      <c r="N1007" s="403"/>
      <c r="O1007" s="403"/>
      <c r="P1007" s="403"/>
      <c r="Q1007" s="403"/>
      <c r="R1007" s="403"/>
      <c r="S1007" s="403"/>
      <c r="T1007" s="403"/>
      <c r="U1007" s="403"/>
      <c r="V1007" s="403"/>
      <c r="W1007" s="420"/>
      <c r="X1007" s="420"/>
      <c r="Y1007" s="420"/>
      <c r="Z1007" s="420"/>
      <c r="AA1007" s="420"/>
      <c r="AB1007" s="420"/>
      <c r="AC1007" s="420"/>
      <c r="AD1007" s="420"/>
      <c r="AE1007" s="420"/>
      <c r="AF1007" s="420"/>
      <c r="AG1007" s="420"/>
      <c r="AH1007" s="420"/>
      <c r="AI1007" s="420"/>
      <c r="AJ1007" s="420"/>
      <c r="AK1007" s="420"/>
      <c r="AL1007" s="420"/>
      <c r="AM1007" s="420"/>
      <c r="AN1007" s="420"/>
      <c r="AO1007" s="420"/>
      <c r="AP1007" s="420"/>
      <c r="AQ1007" s="403"/>
      <c r="AR1007" s="403"/>
      <c r="AS1007" s="403"/>
      <c r="AT1007" s="403"/>
      <c r="AU1007" s="403"/>
      <c r="AV1007" s="403"/>
      <c r="AW1007" s="403"/>
      <c r="AX1007" s="403"/>
      <c r="AY1007" s="403"/>
    </row>
    <row r="1008">
      <c r="A1008" s="415"/>
      <c r="B1008" s="415"/>
      <c r="C1008" s="410"/>
      <c r="D1008" s="429"/>
      <c r="E1008" s="416"/>
      <c r="F1008" s="413"/>
      <c r="G1008" s="413"/>
      <c r="H1008" s="415"/>
      <c r="I1008" s="415"/>
      <c r="J1008" s="415"/>
      <c r="K1008" s="415"/>
      <c r="L1008" s="417"/>
      <c r="M1008" s="403"/>
      <c r="N1008" s="403"/>
      <c r="O1008" s="403"/>
      <c r="P1008" s="403"/>
      <c r="Q1008" s="403"/>
      <c r="R1008" s="403"/>
      <c r="S1008" s="403"/>
      <c r="T1008" s="403"/>
      <c r="U1008" s="403"/>
      <c r="V1008" s="403"/>
      <c r="W1008" s="420"/>
      <c r="X1008" s="420"/>
      <c r="Y1008" s="420"/>
      <c r="Z1008" s="420"/>
      <c r="AA1008" s="420"/>
      <c r="AB1008" s="420"/>
      <c r="AC1008" s="420"/>
      <c r="AD1008" s="420"/>
      <c r="AE1008" s="420"/>
      <c r="AF1008" s="420"/>
      <c r="AG1008" s="420"/>
      <c r="AH1008" s="420"/>
      <c r="AI1008" s="420"/>
      <c r="AJ1008" s="420"/>
      <c r="AK1008" s="420"/>
      <c r="AL1008" s="420"/>
      <c r="AM1008" s="420"/>
      <c r="AN1008" s="420"/>
      <c r="AO1008" s="420"/>
      <c r="AP1008" s="420"/>
      <c r="AQ1008" s="403"/>
      <c r="AR1008" s="403"/>
      <c r="AS1008" s="403"/>
      <c r="AT1008" s="403"/>
      <c r="AU1008" s="403"/>
      <c r="AV1008" s="403"/>
      <c r="AW1008" s="403"/>
      <c r="AX1008" s="403"/>
      <c r="AY1008" s="403"/>
    </row>
    <row r="1009">
      <c r="A1009" s="415"/>
      <c r="B1009" s="415"/>
      <c r="C1009" s="410"/>
      <c r="D1009" s="429"/>
      <c r="E1009" s="416"/>
      <c r="F1009" s="413"/>
      <c r="G1009" s="413"/>
      <c r="H1009" s="415"/>
      <c r="I1009" s="415"/>
      <c r="J1009" s="415"/>
      <c r="K1009" s="415"/>
      <c r="L1009" s="417"/>
      <c r="M1009" s="403"/>
      <c r="N1009" s="403"/>
      <c r="O1009" s="403"/>
      <c r="P1009" s="403"/>
      <c r="Q1009" s="403"/>
      <c r="R1009" s="403"/>
      <c r="S1009" s="403"/>
      <c r="T1009" s="403"/>
      <c r="U1009" s="403"/>
      <c r="V1009" s="403"/>
      <c r="W1009" s="420"/>
      <c r="X1009" s="420"/>
      <c r="Y1009" s="420"/>
      <c r="Z1009" s="420"/>
      <c r="AA1009" s="420"/>
      <c r="AB1009" s="420"/>
      <c r="AC1009" s="420"/>
      <c r="AD1009" s="420"/>
      <c r="AE1009" s="420"/>
      <c r="AF1009" s="420"/>
      <c r="AG1009" s="420"/>
      <c r="AH1009" s="420"/>
      <c r="AI1009" s="420"/>
      <c r="AJ1009" s="420"/>
      <c r="AK1009" s="420"/>
      <c r="AL1009" s="420"/>
      <c r="AM1009" s="420"/>
      <c r="AN1009" s="420"/>
      <c r="AO1009" s="420"/>
      <c r="AP1009" s="420"/>
      <c r="AQ1009" s="403"/>
      <c r="AR1009" s="403"/>
      <c r="AS1009" s="403"/>
      <c r="AT1009" s="403"/>
      <c r="AU1009" s="403"/>
      <c r="AV1009" s="403"/>
      <c r="AW1009" s="403"/>
      <c r="AX1009" s="403"/>
      <c r="AY1009" s="403"/>
    </row>
    <row r="1010">
      <c r="A1010" s="415"/>
      <c r="B1010" s="415"/>
      <c r="C1010" s="410"/>
      <c r="D1010" s="429"/>
      <c r="E1010" s="416"/>
      <c r="F1010" s="413"/>
      <c r="G1010" s="413"/>
      <c r="H1010" s="415"/>
      <c r="I1010" s="415"/>
      <c r="J1010" s="415"/>
      <c r="K1010" s="415"/>
      <c r="L1010" s="417"/>
      <c r="M1010" s="403"/>
      <c r="N1010" s="403"/>
      <c r="O1010" s="403"/>
      <c r="P1010" s="403"/>
      <c r="Q1010" s="403"/>
      <c r="R1010" s="403"/>
      <c r="S1010" s="403"/>
      <c r="T1010" s="403"/>
      <c r="U1010" s="403"/>
      <c r="V1010" s="403"/>
      <c r="W1010" s="420"/>
      <c r="X1010" s="420"/>
      <c r="Y1010" s="420"/>
      <c r="Z1010" s="420"/>
      <c r="AA1010" s="420"/>
      <c r="AB1010" s="420"/>
      <c r="AC1010" s="420"/>
      <c r="AD1010" s="420"/>
      <c r="AE1010" s="420"/>
      <c r="AF1010" s="420"/>
      <c r="AG1010" s="420"/>
      <c r="AH1010" s="420"/>
      <c r="AI1010" s="420"/>
      <c r="AJ1010" s="420"/>
      <c r="AK1010" s="420"/>
      <c r="AL1010" s="420"/>
      <c r="AM1010" s="420"/>
      <c r="AN1010" s="420"/>
      <c r="AO1010" s="420"/>
      <c r="AP1010" s="420"/>
      <c r="AQ1010" s="403"/>
      <c r="AR1010" s="403"/>
      <c r="AS1010" s="403"/>
      <c r="AT1010" s="403"/>
      <c r="AU1010" s="403"/>
      <c r="AV1010" s="403"/>
      <c r="AW1010" s="403"/>
      <c r="AX1010" s="403"/>
      <c r="AY1010" s="403"/>
    </row>
    <row r="1011">
      <c r="A1011" s="415"/>
      <c r="B1011" s="415"/>
      <c r="C1011" s="410"/>
      <c r="D1011" s="429"/>
      <c r="E1011" s="416"/>
      <c r="F1011" s="413"/>
      <c r="G1011" s="413"/>
      <c r="H1011" s="415"/>
      <c r="I1011" s="415"/>
      <c r="J1011" s="415"/>
      <c r="K1011" s="415"/>
      <c r="L1011" s="417"/>
      <c r="M1011" s="403"/>
      <c r="N1011" s="403"/>
      <c r="O1011" s="403"/>
      <c r="P1011" s="403"/>
      <c r="Q1011" s="403"/>
      <c r="R1011" s="403"/>
      <c r="S1011" s="403"/>
      <c r="T1011" s="403"/>
      <c r="U1011" s="403"/>
      <c r="V1011" s="403"/>
      <c r="W1011" s="420"/>
      <c r="X1011" s="420"/>
      <c r="Y1011" s="420"/>
      <c r="Z1011" s="420"/>
      <c r="AA1011" s="420"/>
      <c r="AB1011" s="420"/>
      <c r="AC1011" s="420"/>
      <c r="AD1011" s="420"/>
      <c r="AE1011" s="420"/>
      <c r="AF1011" s="420"/>
      <c r="AG1011" s="420"/>
      <c r="AH1011" s="420"/>
      <c r="AI1011" s="420"/>
      <c r="AJ1011" s="420"/>
      <c r="AK1011" s="420"/>
      <c r="AL1011" s="420"/>
      <c r="AM1011" s="420"/>
      <c r="AN1011" s="420"/>
      <c r="AO1011" s="420"/>
      <c r="AP1011" s="420"/>
      <c r="AQ1011" s="403"/>
      <c r="AR1011" s="403"/>
      <c r="AS1011" s="403"/>
      <c r="AT1011" s="403"/>
      <c r="AU1011" s="403"/>
      <c r="AV1011" s="403"/>
      <c r="AW1011" s="403"/>
      <c r="AX1011" s="403"/>
      <c r="AY1011" s="403"/>
    </row>
    <row r="1012">
      <c r="A1012" s="415"/>
      <c r="B1012" s="415"/>
      <c r="C1012" s="410"/>
      <c r="D1012" s="429"/>
      <c r="E1012" s="416"/>
      <c r="F1012" s="413"/>
      <c r="G1012" s="413"/>
      <c r="H1012" s="415"/>
      <c r="I1012" s="415"/>
      <c r="J1012" s="415"/>
      <c r="K1012" s="415"/>
      <c r="L1012" s="417"/>
      <c r="M1012" s="403"/>
      <c r="N1012" s="403"/>
      <c r="O1012" s="403"/>
      <c r="P1012" s="403"/>
      <c r="Q1012" s="403"/>
      <c r="R1012" s="403"/>
      <c r="S1012" s="403"/>
      <c r="T1012" s="403"/>
      <c r="U1012" s="403"/>
      <c r="V1012" s="403"/>
      <c r="W1012" s="420"/>
      <c r="X1012" s="420"/>
      <c r="Y1012" s="420"/>
      <c r="Z1012" s="420"/>
      <c r="AA1012" s="420"/>
      <c r="AB1012" s="420"/>
      <c r="AC1012" s="420"/>
      <c r="AD1012" s="420"/>
      <c r="AE1012" s="420"/>
      <c r="AF1012" s="420"/>
      <c r="AG1012" s="420"/>
      <c r="AH1012" s="420"/>
      <c r="AI1012" s="420"/>
      <c r="AJ1012" s="420"/>
      <c r="AK1012" s="420"/>
      <c r="AL1012" s="420"/>
      <c r="AM1012" s="420"/>
      <c r="AN1012" s="420"/>
      <c r="AO1012" s="420"/>
      <c r="AP1012" s="420"/>
      <c r="AQ1012" s="403"/>
      <c r="AR1012" s="403"/>
      <c r="AS1012" s="403"/>
      <c r="AT1012" s="403"/>
      <c r="AU1012" s="403"/>
      <c r="AV1012" s="403"/>
      <c r="AW1012" s="403"/>
      <c r="AX1012" s="403"/>
      <c r="AY1012" s="403"/>
    </row>
    <row r="1013">
      <c r="A1013" s="415"/>
      <c r="B1013" s="415"/>
      <c r="C1013" s="410"/>
      <c r="D1013" s="429"/>
      <c r="E1013" s="416"/>
      <c r="F1013" s="413"/>
      <c r="G1013" s="413"/>
      <c r="H1013" s="415"/>
      <c r="I1013" s="415"/>
      <c r="J1013" s="415"/>
      <c r="K1013" s="415"/>
      <c r="L1013" s="417"/>
      <c r="M1013" s="403"/>
      <c r="N1013" s="403"/>
      <c r="O1013" s="403"/>
      <c r="P1013" s="403"/>
      <c r="Q1013" s="403"/>
      <c r="R1013" s="403"/>
      <c r="S1013" s="403"/>
      <c r="T1013" s="403"/>
      <c r="U1013" s="403"/>
      <c r="V1013" s="403"/>
      <c r="W1013" s="420"/>
      <c r="X1013" s="420"/>
      <c r="Y1013" s="420"/>
      <c r="Z1013" s="420"/>
      <c r="AA1013" s="420"/>
      <c r="AB1013" s="420"/>
      <c r="AC1013" s="420"/>
      <c r="AD1013" s="420"/>
      <c r="AE1013" s="420"/>
      <c r="AF1013" s="420"/>
      <c r="AG1013" s="420"/>
      <c r="AH1013" s="420"/>
      <c r="AI1013" s="420"/>
      <c r="AJ1013" s="420"/>
      <c r="AK1013" s="420"/>
      <c r="AL1013" s="420"/>
      <c r="AM1013" s="420"/>
      <c r="AN1013" s="420"/>
      <c r="AO1013" s="420"/>
      <c r="AP1013" s="420"/>
      <c r="AQ1013" s="403"/>
      <c r="AR1013" s="403"/>
      <c r="AS1013" s="403"/>
      <c r="AT1013" s="403"/>
      <c r="AU1013" s="403"/>
      <c r="AV1013" s="403"/>
      <c r="AW1013" s="403"/>
      <c r="AX1013" s="403"/>
      <c r="AY1013" s="403"/>
    </row>
    <row r="1014">
      <c r="A1014" s="415"/>
      <c r="B1014" s="415"/>
      <c r="C1014" s="410"/>
      <c r="D1014" s="429"/>
      <c r="E1014" s="416"/>
      <c r="F1014" s="413"/>
      <c r="G1014" s="413"/>
      <c r="H1014" s="415"/>
      <c r="I1014" s="415"/>
      <c r="J1014" s="415"/>
      <c r="K1014" s="415"/>
      <c r="L1014" s="417"/>
      <c r="M1014" s="403"/>
      <c r="N1014" s="403"/>
      <c r="O1014" s="403"/>
      <c r="P1014" s="403"/>
      <c r="Q1014" s="403"/>
      <c r="R1014" s="403"/>
      <c r="S1014" s="403"/>
      <c r="T1014" s="403"/>
      <c r="U1014" s="403"/>
      <c r="V1014" s="403"/>
      <c r="W1014" s="420"/>
      <c r="X1014" s="420"/>
      <c r="Y1014" s="420"/>
      <c r="Z1014" s="420"/>
      <c r="AA1014" s="420"/>
      <c r="AB1014" s="420"/>
      <c r="AC1014" s="420"/>
      <c r="AD1014" s="420"/>
      <c r="AE1014" s="420"/>
      <c r="AF1014" s="420"/>
      <c r="AG1014" s="420"/>
      <c r="AH1014" s="420"/>
      <c r="AI1014" s="420"/>
      <c r="AJ1014" s="420"/>
      <c r="AK1014" s="420"/>
      <c r="AL1014" s="420"/>
      <c r="AM1014" s="420"/>
      <c r="AN1014" s="420"/>
      <c r="AO1014" s="420"/>
      <c r="AP1014" s="420"/>
      <c r="AQ1014" s="403"/>
      <c r="AR1014" s="403"/>
      <c r="AS1014" s="403"/>
      <c r="AT1014" s="403"/>
      <c r="AU1014" s="403"/>
      <c r="AV1014" s="403"/>
      <c r="AW1014" s="403"/>
      <c r="AX1014" s="403"/>
      <c r="AY1014" s="403"/>
    </row>
    <row r="1015">
      <c r="A1015" s="415"/>
      <c r="B1015" s="415"/>
      <c r="C1015" s="410"/>
      <c r="D1015" s="429"/>
      <c r="E1015" s="416"/>
      <c r="F1015" s="413"/>
      <c r="G1015" s="413"/>
      <c r="H1015" s="415"/>
      <c r="I1015" s="415"/>
      <c r="J1015" s="415"/>
      <c r="K1015" s="415"/>
      <c r="L1015" s="417"/>
      <c r="M1015" s="403"/>
      <c r="N1015" s="403"/>
      <c r="O1015" s="403"/>
      <c r="P1015" s="403"/>
      <c r="Q1015" s="403"/>
      <c r="R1015" s="403"/>
      <c r="S1015" s="403"/>
      <c r="T1015" s="403"/>
      <c r="U1015" s="403"/>
      <c r="V1015" s="403"/>
      <c r="W1015" s="420"/>
      <c r="X1015" s="420"/>
      <c r="Y1015" s="420"/>
      <c r="Z1015" s="420"/>
      <c r="AA1015" s="420"/>
      <c r="AB1015" s="420"/>
      <c r="AC1015" s="420"/>
      <c r="AD1015" s="420"/>
      <c r="AE1015" s="420"/>
      <c r="AF1015" s="420"/>
      <c r="AG1015" s="420"/>
      <c r="AH1015" s="420"/>
      <c r="AI1015" s="420"/>
      <c r="AJ1015" s="420"/>
      <c r="AK1015" s="420"/>
      <c r="AL1015" s="420"/>
      <c r="AM1015" s="420"/>
      <c r="AN1015" s="420"/>
      <c r="AO1015" s="420"/>
      <c r="AP1015" s="420"/>
      <c r="AQ1015" s="403"/>
      <c r="AR1015" s="403"/>
      <c r="AS1015" s="403"/>
      <c r="AT1015" s="403"/>
      <c r="AU1015" s="403"/>
      <c r="AV1015" s="403"/>
      <c r="AW1015" s="403"/>
      <c r="AX1015" s="403"/>
      <c r="AY1015" s="403"/>
    </row>
    <row r="1016">
      <c r="A1016" s="415"/>
      <c r="B1016" s="415"/>
      <c r="C1016" s="410"/>
      <c r="D1016" s="429"/>
      <c r="E1016" s="416"/>
      <c r="F1016" s="413"/>
      <c r="G1016" s="413"/>
      <c r="H1016" s="415"/>
      <c r="I1016" s="415"/>
      <c r="J1016" s="415"/>
      <c r="K1016" s="415"/>
      <c r="L1016" s="417"/>
      <c r="M1016" s="403"/>
      <c r="N1016" s="403"/>
      <c r="O1016" s="403"/>
      <c r="P1016" s="403"/>
      <c r="Q1016" s="403"/>
      <c r="R1016" s="403"/>
      <c r="S1016" s="403"/>
      <c r="T1016" s="403"/>
      <c r="U1016" s="403"/>
      <c r="V1016" s="403"/>
      <c r="W1016" s="420"/>
      <c r="X1016" s="420"/>
      <c r="Y1016" s="420"/>
      <c r="Z1016" s="420"/>
      <c r="AA1016" s="420"/>
      <c r="AB1016" s="420"/>
      <c r="AC1016" s="420"/>
      <c r="AD1016" s="420"/>
      <c r="AE1016" s="420"/>
      <c r="AF1016" s="420"/>
      <c r="AG1016" s="420"/>
      <c r="AH1016" s="420"/>
      <c r="AI1016" s="420"/>
      <c r="AJ1016" s="420"/>
      <c r="AK1016" s="420"/>
      <c r="AL1016" s="420"/>
      <c r="AM1016" s="420"/>
      <c r="AN1016" s="420"/>
      <c r="AO1016" s="420"/>
      <c r="AP1016" s="420"/>
      <c r="AQ1016" s="403"/>
      <c r="AR1016" s="403"/>
      <c r="AS1016" s="403"/>
      <c r="AT1016" s="403"/>
      <c r="AU1016" s="403"/>
      <c r="AV1016" s="403"/>
      <c r="AW1016" s="403"/>
      <c r="AX1016" s="403"/>
      <c r="AY1016" s="403"/>
    </row>
    <row r="1017">
      <c r="A1017" s="415"/>
      <c r="B1017" s="415"/>
      <c r="C1017" s="410"/>
      <c r="D1017" s="429"/>
      <c r="E1017" s="416"/>
      <c r="F1017" s="413"/>
      <c r="G1017" s="413"/>
      <c r="H1017" s="415"/>
      <c r="I1017" s="415"/>
      <c r="J1017" s="415"/>
      <c r="K1017" s="415"/>
      <c r="L1017" s="417"/>
      <c r="M1017" s="403"/>
      <c r="N1017" s="403"/>
      <c r="O1017" s="403"/>
      <c r="P1017" s="403"/>
      <c r="Q1017" s="403"/>
      <c r="R1017" s="403"/>
      <c r="S1017" s="403"/>
      <c r="T1017" s="403"/>
      <c r="U1017" s="403"/>
      <c r="V1017" s="403"/>
      <c r="W1017" s="420"/>
      <c r="X1017" s="420"/>
      <c r="Y1017" s="420"/>
      <c r="Z1017" s="420"/>
      <c r="AA1017" s="420"/>
      <c r="AB1017" s="420"/>
      <c r="AC1017" s="420"/>
      <c r="AD1017" s="420"/>
      <c r="AE1017" s="420"/>
      <c r="AF1017" s="420"/>
      <c r="AG1017" s="420"/>
      <c r="AH1017" s="420"/>
      <c r="AI1017" s="420"/>
      <c r="AJ1017" s="420"/>
      <c r="AK1017" s="420"/>
      <c r="AL1017" s="420"/>
      <c r="AM1017" s="420"/>
      <c r="AN1017" s="420"/>
      <c r="AO1017" s="420"/>
      <c r="AP1017" s="420"/>
      <c r="AQ1017" s="403"/>
      <c r="AR1017" s="403"/>
      <c r="AS1017" s="403"/>
      <c r="AT1017" s="403"/>
      <c r="AU1017" s="403"/>
      <c r="AV1017" s="403"/>
      <c r="AW1017" s="403"/>
      <c r="AX1017" s="403"/>
      <c r="AY1017" s="403"/>
    </row>
    <row r="1018">
      <c r="A1018" s="415"/>
      <c r="B1018" s="415"/>
      <c r="C1018" s="410"/>
      <c r="D1018" s="429"/>
      <c r="E1018" s="416"/>
      <c r="F1018" s="413"/>
      <c r="G1018" s="413"/>
      <c r="H1018" s="415"/>
      <c r="I1018" s="415"/>
      <c r="J1018" s="415"/>
      <c r="K1018" s="415"/>
      <c r="L1018" s="417"/>
      <c r="M1018" s="403"/>
      <c r="N1018" s="403"/>
      <c r="O1018" s="403"/>
      <c r="P1018" s="403"/>
      <c r="Q1018" s="403"/>
      <c r="R1018" s="403"/>
      <c r="S1018" s="403"/>
      <c r="T1018" s="403"/>
      <c r="U1018" s="403"/>
      <c r="V1018" s="403"/>
      <c r="W1018" s="420"/>
      <c r="X1018" s="420"/>
      <c r="Y1018" s="420"/>
      <c r="Z1018" s="420"/>
      <c r="AA1018" s="420"/>
      <c r="AB1018" s="420"/>
      <c r="AC1018" s="420"/>
      <c r="AD1018" s="420"/>
      <c r="AE1018" s="420"/>
      <c r="AF1018" s="420"/>
      <c r="AG1018" s="420"/>
      <c r="AH1018" s="420"/>
      <c r="AI1018" s="420"/>
      <c r="AJ1018" s="420"/>
      <c r="AK1018" s="420"/>
      <c r="AL1018" s="420"/>
      <c r="AM1018" s="420"/>
      <c r="AN1018" s="420"/>
      <c r="AO1018" s="420"/>
      <c r="AP1018" s="420"/>
      <c r="AQ1018" s="403"/>
      <c r="AR1018" s="403"/>
      <c r="AS1018" s="403"/>
      <c r="AT1018" s="403"/>
      <c r="AU1018" s="403"/>
      <c r="AV1018" s="403"/>
      <c r="AW1018" s="403"/>
      <c r="AX1018" s="403"/>
      <c r="AY1018" s="403"/>
    </row>
    <row r="1019">
      <c r="A1019" s="415"/>
      <c r="B1019" s="415"/>
      <c r="C1019" s="410"/>
      <c r="D1019" s="429"/>
      <c r="E1019" s="416"/>
      <c r="F1019" s="413"/>
      <c r="G1019" s="413"/>
      <c r="H1019" s="415"/>
      <c r="I1019" s="415"/>
      <c r="J1019" s="415"/>
      <c r="K1019" s="415"/>
      <c r="L1019" s="417"/>
      <c r="M1019" s="403"/>
      <c r="N1019" s="403"/>
      <c r="O1019" s="403"/>
      <c r="P1019" s="403"/>
      <c r="Q1019" s="403"/>
      <c r="R1019" s="403"/>
      <c r="S1019" s="403"/>
      <c r="T1019" s="403"/>
      <c r="U1019" s="403"/>
      <c r="V1019" s="403"/>
      <c r="W1019" s="420"/>
      <c r="X1019" s="420"/>
      <c r="Y1019" s="420"/>
      <c r="Z1019" s="420"/>
      <c r="AA1019" s="420"/>
      <c r="AB1019" s="420"/>
      <c r="AC1019" s="420"/>
      <c r="AD1019" s="420"/>
      <c r="AE1019" s="420"/>
      <c r="AF1019" s="420"/>
      <c r="AG1019" s="420"/>
      <c r="AH1019" s="420"/>
      <c r="AI1019" s="420"/>
      <c r="AJ1019" s="420"/>
      <c r="AK1019" s="420"/>
      <c r="AL1019" s="420"/>
      <c r="AM1019" s="420"/>
      <c r="AN1019" s="420"/>
      <c r="AO1019" s="420"/>
      <c r="AP1019" s="420"/>
      <c r="AQ1019" s="403"/>
      <c r="AR1019" s="403"/>
      <c r="AS1019" s="403"/>
      <c r="AT1019" s="403"/>
      <c r="AU1019" s="403"/>
      <c r="AV1019" s="403"/>
      <c r="AW1019" s="403"/>
      <c r="AX1019" s="403"/>
      <c r="AY1019" s="403"/>
    </row>
    <row r="1020">
      <c r="A1020" s="415"/>
      <c r="B1020" s="415"/>
      <c r="C1020" s="410"/>
      <c r="D1020" s="429"/>
      <c r="E1020" s="416"/>
      <c r="F1020" s="413"/>
      <c r="G1020" s="413"/>
      <c r="H1020" s="415"/>
      <c r="I1020" s="415"/>
      <c r="J1020" s="415"/>
      <c r="K1020" s="415"/>
      <c r="L1020" s="417"/>
      <c r="M1020" s="403"/>
      <c r="N1020" s="403"/>
      <c r="O1020" s="403"/>
      <c r="P1020" s="403"/>
      <c r="Q1020" s="403"/>
      <c r="R1020" s="403"/>
      <c r="S1020" s="403"/>
      <c r="T1020" s="403"/>
      <c r="U1020" s="403"/>
      <c r="V1020" s="403"/>
      <c r="W1020" s="420"/>
      <c r="X1020" s="420"/>
      <c r="Y1020" s="420"/>
      <c r="Z1020" s="420"/>
      <c r="AA1020" s="420"/>
      <c r="AB1020" s="420"/>
      <c r="AC1020" s="420"/>
      <c r="AD1020" s="420"/>
      <c r="AE1020" s="420"/>
      <c r="AF1020" s="420"/>
      <c r="AG1020" s="420"/>
      <c r="AH1020" s="420"/>
      <c r="AI1020" s="420"/>
      <c r="AJ1020" s="420"/>
      <c r="AK1020" s="420"/>
      <c r="AL1020" s="420"/>
      <c r="AM1020" s="420"/>
      <c r="AN1020" s="420"/>
      <c r="AO1020" s="420"/>
      <c r="AP1020" s="420"/>
      <c r="AQ1020" s="403"/>
      <c r="AR1020" s="403"/>
      <c r="AS1020" s="403"/>
      <c r="AT1020" s="403"/>
      <c r="AU1020" s="403"/>
      <c r="AV1020" s="403"/>
      <c r="AW1020" s="403"/>
      <c r="AX1020" s="403"/>
      <c r="AY1020" s="403"/>
    </row>
    <row r="1021">
      <c r="A1021" s="415"/>
      <c r="B1021" s="415"/>
      <c r="C1021" s="410"/>
      <c r="D1021" s="429"/>
      <c r="E1021" s="416"/>
      <c r="F1021" s="413"/>
      <c r="G1021" s="413"/>
      <c r="H1021" s="415"/>
      <c r="I1021" s="415"/>
      <c r="J1021" s="415"/>
      <c r="K1021" s="415"/>
      <c r="L1021" s="417"/>
      <c r="M1021" s="403"/>
      <c r="N1021" s="403"/>
      <c r="O1021" s="403"/>
      <c r="P1021" s="403"/>
      <c r="Q1021" s="403"/>
      <c r="R1021" s="403"/>
      <c r="S1021" s="403"/>
      <c r="T1021" s="403"/>
      <c r="U1021" s="403"/>
      <c r="V1021" s="403"/>
      <c r="W1021" s="420"/>
      <c r="X1021" s="420"/>
      <c r="Y1021" s="420"/>
      <c r="Z1021" s="420"/>
      <c r="AA1021" s="420"/>
      <c r="AB1021" s="420"/>
      <c r="AC1021" s="420"/>
      <c r="AD1021" s="420"/>
      <c r="AE1021" s="420"/>
      <c r="AF1021" s="420"/>
      <c r="AG1021" s="420"/>
      <c r="AH1021" s="420"/>
      <c r="AI1021" s="420"/>
      <c r="AJ1021" s="420"/>
      <c r="AK1021" s="420"/>
      <c r="AL1021" s="420"/>
      <c r="AM1021" s="420"/>
      <c r="AN1021" s="420"/>
      <c r="AO1021" s="420"/>
      <c r="AP1021" s="420"/>
      <c r="AQ1021" s="403"/>
      <c r="AR1021" s="403"/>
      <c r="AS1021" s="403"/>
      <c r="AT1021" s="403"/>
      <c r="AU1021" s="403"/>
      <c r="AV1021" s="403"/>
      <c r="AW1021" s="403"/>
      <c r="AX1021" s="403"/>
      <c r="AY1021" s="403"/>
    </row>
    <row r="1022">
      <c r="A1022" s="415"/>
      <c r="B1022" s="415"/>
      <c r="C1022" s="410"/>
      <c r="D1022" s="429"/>
      <c r="E1022" s="416"/>
      <c r="F1022" s="413"/>
      <c r="G1022" s="413"/>
      <c r="H1022" s="415"/>
      <c r="I1022" s="415"/>
      <c r="J1022" s="415"/>
      <c r="K1022" s="415"/>
      <c r="L1022" s="417"/>
      <c r="M1022" s="403"/>
      <c r="N1022" s="403"/>
      <c r="O1022" s="403"/>
      <c r="P1022" s="403"/>
      <c r="Q1022" s="403"/>
      <c r="R1022" s="403"/>
      <c r="S1022" s="403"/>
      <c r="T1022" s="403"/>
      <c r="U1022" s="403"/>
      <c r="V1022" s="403"/>
      <c r="W1022" s="420"/>
      <c r="X1022" s="420"/>
      <c r="Y1022" s="420"/>
      <c r="Z1022" s="420"/>
      <c r="AA1022" s="420"/>
      <c r="AB1022" s="420"/>
      <c r="AC1022" s="420"/>
      <c r="AD1022" s="420"/>
      <c r="AE1022" s="420"/>
      <c r="AF1022" s="420"/>
      <c r="AG1022" s="420"/>
      <c r="AH1022" s="420"/>
      <c r="AI1022" s="420"/>
      <c r="AJ1022" s="420"/>
      <c r="AK1022" s="420"/>
      <c r="AL1022" s="420"/>
      <c r="AM1022" s="420"/>
      <c r="AN1022" s="420"/>
      <c r="AO1022" s="420"/>
      <c r="AP1022" s="420"/>
      <c r="AQ1022" s="403"/>
      <c r="AR1022" s="403"/>
      <c r="AS1022" s="403"/>
      <c r="AT1022" s="403"/>
      <c r="AU1022" s="403"/>
      <c r="AV1022" s="403"/>
      <c r="AW1022" s="403"/>
      <c r="AX1022" s="403"/>
      <c r="AY1022" s="403"/>
    </row>
    <row r="1023">
      <c r="A1023" s="415"/>
      <c r="B1023" s="415"/>
      <c r="C1023" s="410"/>
      <c r="D1023" s="429"/>
      <c r="E1023" s="416"/>
      <c r="F1023" s="413"/>
      <c r="G1023" s="413"/>
      <c r="H1023" s="415"/>
      <c r="I1023" s="415"/>
      <c r="J1023" s="415"/>
      <c r="K1023" s="415"/>
      <c r="L1023" s="417"/>
      <c r="M1023" s="403"/>
      <c r="N1023" s="403"/>
      <c r="O1023" s="403"/>
      <c r="P1023" s="403"/>
      <c r="Q1023" s="403"/>
      <c r="R1023" s="403"/>
      <c r="S1023" s="403"/>
      <c r="T1023" s="403"/>
      <c r="U1023" s="403"/>
      <c r="V1023" s="403"/>
      <c r="W1023" s="420"/>
      <c r="X1023" s="420"/>
      <c r="Y1023" s="420"/>
      <c r="Z1023" s="420"/>
      <c r="AA1023" s="420"/>
      <c r="AB1023" s="420"/>
      <c r="AC1023" s="420"/>
      <c r="AD1023" s="420"/>
      <c r="AE1023" s="420"/>
      <c r="AF1023" s="420"/>
      <c r="AG1023" s="420"/>
      <c r="AH1023" s="420"/>
      <c r="AI1023" s="420"/>
      <c r="AJ1023" s="420"/>
      <c r="AK1023" s="420"/>
      <c r="AL1023" s="420"/>
      <c r="AM1023" s="420"/>
      <c r="AN1023" s="420"/>
      <c r="AO1023" s="420"/>
      <c r="AP1023" s="420"/>
      <c r="AQ1023" s="403"/>
      <c r="AR1023" s="403"/>
      <c r="AS1023" s="403"/>
      <c r="AT1023" s="403"/>
      <c r="AU1023" s="403"/>
      <c r="AV1023" s="403"/>
      <c r="AW1023" s="403"/>
      <c r="AX1023" s="403"/>
      <c r="AY1023" s="403"/>
    </row>
    <row r="1024">
      <c r="A1024" s="415"/>
      <c r="B1024" s="415"/>
      <c r="C1024" s="410"/>
      <c r="D1024" s="429"/>
      <c r="E1024" s="416"/>
      <c r="F1024" s="413"/>
      <c r="G1024" s="413"/>
      <c r="H1024" s="415"/>
      <c r="I1024" s="415"/>
      <c r="J1024" s="415"/>
      <c r="K1024" s="415"/>
      <c r="L1024" s="417"/>
      <c r="M1024" s="403"/>
      <c r="N1024" s="403"/>
      <c r="O1024" s="403"/>
      <c r="P1024" s="403"/>
      <c r="Q1024" s="403"/>
      <c r="R1024" s="403"/>
      <c r="S1024" s="403"/>
      <c r="T1024" s="403"/>
      <c r="U1024" s="403"/>
      <c r="V1024" s="403"/>
      <c r="W1024" s="420"/>
      <c r="X1024" s="420"/>
      <c r="Y1024" s="420"/>
      <c r="Z1024" s="420"/>
      <c r="AA1024" s="420"/>
      <c r="AB1024" s="420"/>
      <c r="AC1024" s="420"/>
      <c r="AD1024" s="420"/>
      <c r="AE1024" s="420"/>
      <c r="AF1024" s="420"/>
      <c r="AG1024" s="420"/>
      <c r="AH1024" s="420"/>
      <c r="AI1024" s="420"/>
      <c r="AJ1024" s="420"/>
      <c r="AK1024" s="420"/>
      <c r="AL1024" s="420"/>
      <c r="AM1024" s="420"/>
      <c r="AN1024" s="420"/>
      <c r="AO1024" s="420"/>
      <c r="AP1024" s="420"/>
      <c r="AQ1024" s="403"/>
      <c r="AR1024" s="403"/>
      <c r="AS1024" s="403"/>
      <c r="AT1024" s="403"/>
      <c r="AU1024" s="403"/>
      <c r="AV1024" s="403"/>
      <c r="AW1024" s="403"/>
      <c r="AX1024" s="403"/>
      <c r="AY1024" s="403"/>
    </row>
    <row r="1025">
      <c r="A1025" s="415"/>
      <c r="B1025" s="415"/>
      <c r="C1025" s="410"/>
      <c r="D1025" s="429"/>
      <c r="E1025" s="416"/>
      <c r="F1025" s="413"/>
      <c r="G1025" s="413"/>
      <c r="H1025" s="415"/>
      <c r="I1025" s="415"/>
      <c r="J1025" s="415"/>
      <c r="K1025" s="415"/>
      <c r="L1025" s="417"/>
      <c r="M1025" s="403"/>
      <c r="N1025" s="403"/>
      <c r="O1025" s="403"/>
      <c r="P1025" s="403"/>
      <c r="Q1025" s="403"/>
      <c r="R1025" s="403"/>
      <c r="S1025" s="403"/>
      <c r="T1025" s="403"/>
      <c r="U1025" s="403"/>
      <c r="V1025" s="403"/>
      <c r="W1025" s="420"/>
      <c r="X1025" s="420"/>
      <c r="Y1025" s="420"/>
      <c r="Z1025" s="420"/>
      <c r="AA1025" s="420"/>
      <c r="AB1025" s="420"/>
      <c r="AC1025" s="420"/>
      <c r="AD1025" s="420"/>
      <c r="AE1025" s="420"/>
      <c r="AF1025" s="420"/>
      <c r="AG1025" s="420"/>
      <c r="AH1025" s="420"/>
      <c r="AI1025" s="420"/>
      <c r="AJ1025" s="420"/>
      <c r="AK1025" s="420"/>
      <c r="AL1025" s="420"/>
      <c r="AM1025" s="420"/>
      <c r="AN1025" s="420"/>
      <c r="AO1025" s="420"/>
      <c r="AP1025" s="420"/>
      <c r="AQ1025" s="403"/>
      <c r="AR1025" s="403"/>
      <c r="AS1025" s="403"/>
      <c r="AT1025" s="403"/>
      <c r="AU1025" s="403"/>
      <c r="AV1025" s="403"/>
      <c r="AW1025" s="403"/>
      <c r="AX1025" s="403"/>
      <c r="AY1025" s="403"/>
    </row>
    <row r="1026">
      <c r="A1026" s="415"/>
      <c r="B1026" s="415"/>
      <c r="C1026" s="410"/>
      <c r="D1026" s="429"/>
      <c r="E1026" s="416"/>
      <c r="F1026" s="413"/>
      <c r="G1026" s="413"/>
      <c r="H1026" s="415"/>
      <c r="I1026" s="415"/>
      <c r="J1026" s="415"/>
      <c r="K1026" s="415"/>
      <c r="L1026" s="417"/>
      <c r="M1026" s="403"/>
      <c r="N1026" s="403"/>
      <c r="O1026" s="403"/>
      <c r="P1026" s="420"/>
      <c r="Q1026" s="420"/>
      <c r="R1026" s="420"/>
      <c r="S1026" s="420"/>
      <c r="T1026" s="420"/>
      <c r="U1026" s="420"/>
      <c r="V1026" s="420"/>
      <c r="W1026" s="420"/>
      <c r="X1026" s="420"/>
      <c r="Y1026" s="420"/>
      <c r="Z1026" s="420"/>
      <c r="AA1026" s="420"/>
      <c r="AB1026" s="420"/>
      <c r="AC1026" s="420"/>
      <c r="AD1026" s="420"/>
      <c r="AE1026" s="420"/>
      <c r="AF1026" s="420"/>
      <c r="AG1026" s="420"/>
      <c r="AH1026" s="420"/>
      <c r="AI1026" s="420"/>
      <c r="AJ1026" s="420"/>
      <c r="AK1026" s="420"/>
      <c r="AL1026" s="420"/>
      <c r="AM1026" s="420"/>
      <c r="AN1026" s="420"/>
      <c r="AO1026" s="420"/>
      <c r="AP1026" s="420"/>
      <c r="AQ1026" s="420"/>
      <c r="AR1026" s="403"/>
      <c r="AS1026" s="403"/>
      <c r="AT1026" s="403"/>
      <c r="AU1026" s="403"/>
      <c r="AV1026" s="403"/>
      <c r="AW1026" s="403"/>
      <c r="AX1026" s="403"/>
      <c r="AY1026" s="403"/>
    </row>
    <row r="1027">
      <c r="A1027" s="415"/>
      <c r="B1027" s="415"/>
      <c r="C1027" s="410"/>
      <c r="D1027" s="429"/>
      <c r="E1027" s="416"/>
      <c r="F1027" s="413"/>
      <c r="G1027" s="413"/>
      <c r="H1027" s="415"/>
      <c r="I1027" s="415"/>
      <c r="J1027" s="415"/>
      <c r="K1027" s="415"/>
      <c r="L1027" s="417"/>
      <c r="M1027" s="403"/>
      <c r="N1027" s="403"/>
      <c r="O1027" s="403"/>
      <c r="P1027" s="420"/>
      <c r="Q1027" s="420"/>
      <c r="R1027" s="420"/>
      <c r="S1027" s="420"/>
      <c r="T1027" s="420"/>
      <c r="U1027" s="420"/>
      <c r="V1027" s="420"/>
      <c r="W1027" s="420"/>
      <c r="X1027" s="420"/>
      <c r="Y1027" s="420"/>
      <c r="Z1027" s="420"/>
      <c r="AA1027" s="420"/>
      <c r="AB1027" s="420"/>
      <c r="AC1027" s="420"/>
      <c r="AD1027" s="420"/>
      <c r="AE1027" s="420"/>
      <c r="AF1027" s="420"/>
      <c r="AG1027" s="420"/>
      <c r="AH1027" s="420"/>
      <c r="AI1027" s="420"/>
      <c r="AJ1027" s="420"/>
      <c r="AK1027" s="420"/>
      <c r="AL1027" s="420"/>
      <c r="AM1027" s="420"/>
      <c r="AN1027" s="420"/>
      <c r="AO1027" s="420"/>
      <c r="AP1027" s="420"/>
      <c r="AQ1027" s="420"/>
      <c r="AR1027" s="403"/>
      <c r="AS1027" s="403"/>
      <c r="AT1027" s="403"/>
      <c r="AU1027" s="403"/>
      <c r="AV1027" s="403"/>
      <c r="AW1027" s="403"/>
      <c r="AX1027" s="403"/>
      <c r="AY1027" s="403"/>
    </row>
    <row r="1028">
      <c r="A1028" s="415"/>
      <c r="B1028" s="415"/>
      <c r="C1028" s="410"/>
      <c r="D1028" s="429"/>
      <c r="E1028" s="416"/>
      <c r="F1028" s="413"/>
      <c r="G1028" s="413"/>
      <c r="H1028" s="415"/>
      <c r="I1028" s="415"/>
      <c r="J1028" s="415"/>
      <c r="K1028" s="415"/>
      <c r="L1028" s="417"/>
      <c r="M1028" s="403"/>
      <c r="N1028" s="403"/>
      <c r="O1028" s="403"/>
      <c r="P1028" s="420"/>
      <c r="Q1028" s="420"/>
      <c r="R1028" s="420"/>
      <c r="S1028" s="420"/>
      <c r="T1028" s="420"/>
      <c r="U1028" s="420"/>
      <c r="V1028" s="420"/>
      <c r="W1028" s="420"/>
      <c r="X1028" s="420"/>
      <c r="Y1028" s="420"/>
      <c r="Z1028" s="420"/>
      <c r="AA1028" s="420"/>
      <c r="AB1028" s="420"/>
      <c r="AC1028" s="420"/>
      <c r="AD1028" s="420"/>
      <c r="AE1028" s="420"/>
      <c r="AF1028" s="420"/>
      <c r="AG1028" s="420"/>
      <c r="AH1028" s="420"/>
      <c r="AI1028" s="420"/>
      <c r="AJ1028" s="420"/>
      <c r="AK1028" s="420"/>
      <c r="AL1028" s="420"/>
      <c r="AM1028" s="420"/>
      <c r="AN1028" s="420"/>
      <c r="AO1028" s="420"/>
      <c r="AP1028" s="420"/>
      <c r="AQ1028" s="420"/>
      <c r="AR1028" s="403"/>
      <c r="AS1028" s="403"/>
      <c r="AT1028" s="403"/>
      <c r="AU1028" s="403"/>
      <c r="AV1028" s="403"/>
      <c r="AW1028" s="403"/>
      <c r="AX1028" s="403"/>
      <c r="AY1028" s="403"/>
    </row>
    <row r="1029">
      <c r="A1029" s="415"/>
      <c r="B1029" s="415"/>
      <c r="C1029" s="410"/>
      <c r="D1029" s="429"/>
      <c r="E1029" s="416"/>
      <c r="F1029" s="413"/>
      <c r="G1029" s="413"/>
      <c r="H1029" s="415"/>
      <c r="I1029" s="415"/>
      <c r="J1029" s="415"/>
      <c r="K1029" s="415"/>
      <c r="L1029" s="417"/>
      <c r="M1029" s="403"/>
      <c r="N1029" s="403"/>
      <c r="O1029" s="403"/>
      <c r="P1029" s="420"/>
      <c r="Q1029" s="420"/>
      <c r="R1029" s="420"/>
      <c r="S1029" s="420"/>
      <c r="T1029" s="420"/>
      <c r="U1029" s="420"/>
      <c r="V1029" s="420"/>
      <c r="W1029" s="420"/>
      <c r="X1029" s="420"/>
      <c r="Y1029" s="420"/>
      <c r="Z1029" s="420"/>
      <c r="AA1029" s="420"/>
      <c r="AB1029" s="420"/>
      <c r="AC1029" s="420"/>
      <c r="AD1029" s="420"/>
      <c r="AE1029" s="420"/>
      <c r="AF1029" s="420"/>
      <c r="AG1029" s="420"/>
      <c r="AH1029" s="420"/>
      <c r="AI1029" s="420"/>
      <c r="AJ1029" s="420"/>
      <c r="AK1029" s="420"/>
      <c r="AL1029" s="420"/>
      <c r="AM1029" s="420"/>
      <c r="AN1029" s="420"/>
      <c r="AO1029" s="420"/>
      <c r="AP1029" s="420"/>
      <c r="AQ1029" s="420"/>
      <c r="AR1029" s="403"/>
      <c r="AS1029" s="403"/>
      <c r="AT1029" s="403"/>
      <c r="AU1029" s="403"/>
      <c r="AV1029" s="403"/>
      <c r="AW1029" s="403"/>
      <c r="AX1029" s="403"/>
      <c r="AY1029" s="403"/>
    </row>
    <row r="1030">
      <c r="A1030" s="415"/>
      <c r="B1030" s="415"/>
      <c r="C1030" s="410"/>
      <c r="D1030" s="429"/>
      <c r="E1030" s="416"/>
      <c r="F1030" s="413"/>
      <c r="G1030" s="413"/>
      <c r="H1030" s="415"/>
      <c r="I1030" s="415"/>
      <c r="J1030" s="415"/>
      <c r="K1030" s="415"/>
      <c r="L1030" s="417"/>
      <c r="M1030" s="403"/>
      <c r="N1030" s="403"/>
      <c r="O1030" s="403"/>
      <c r="P1030" s="420"/>
      <c r="Q1030" s="420"/>
      <c r="R1030" s="420"/>
      <c r="S1030" s="420"/>
      <c r="T1030" s="420"/>
      <c r="U1030" s="420"/>
      <c r="V1030" s="420"/>
      <c r="W1030" s="420"/>
      <c r="X1030" s="420"/>
      <c r="Y1030" s="420"/>
      <c r="Z1030" s="420"/>
      <c r="AA1030" s="420"/>
      <c r="AB1030" s="420"/>
      <c r="AC1030" s="420"/>
      <c r="AD1030" s="420"/>
      <c r="AE1030" s="420"/>
      <c r="AF1030" s="420"/>
      <c r="AG1030" s="420"/>
      <c r="AH1030" s="420"/>
      <c r="AI1030" s="420"/>
      <c r="AJ1030" s="420"/>
      <c r="AK1030" s="420"/>
      <c r="AL1030" s="420"/>
      <c r="AM1030" s="420"/>
      <c r="AN1030" s="420"/>
      <c r="AO1030" s="420"/>
      <c r="AP1030" s="420"/>
      <c r="AQ1030" s="420"/>
      <c r="AR1030" s="403"/>
      <c r="AS1030" s="403"/>
      <c r="AT1030" s="403"/>
      <c r="AU1030" s="403"/>
      <c r="AV1030" s="403"/>
      <c r="AW1030" s="403"/>
      <c r="AX1030" s="403"/>
      <c r="AY1030" s="403"/>
    </row>
    <row r="1031">
      <c r="A1031" s="415"/>
      <c r="B1031" s="415"/>
      <c r="C1031" s="410"/>
      <c r="D1031" s="429"/>
      <c r="E1031" s="416"/>
      <c r="F1031" s="413"/>
      <c r="G1031" s="413"/>
      <c r="H1031" s="415"/>
      <c r="I1031" s="415"/>
      <c r="J1031" s="415"/>
      <c r="K1031" s="415"/>
      <c r="L1031" s="417"/>
      <c r="M1031" s="403"/>
      <c r="N1031" s="403"/>
      <c r="O1031" s="403"/>
      <c r="P1031" s="420"/>
      <c r="Q1031" s="420"/>
      <c r="R1031" s="420"/>
      <c r="S1031" s="420"/>
      <c r="T1031" s="420"/>
      <c r="U1031" s="420"/>
      <c r="V1031" s="420"/>
      <c r="W1031" s="420"/>
      <c r="X1031" s="420"/>
      <c r="Y1031" s="420"/>
      <c r="Z1031" s="420"/>
      <c r="AA1031" s="420"/>
      <c r="AB1031" s="420"/>
      <c r="AC1031" s="420"/>
      <c r="AD1031" s="420"/>
      <c r="AE1031" s="420"/>
      <c r="AF1031" s="420"/>
      <c r="AG1031" s="420"/>
      <c r="AH1031" s="420"/>
      <c r="AI1031" s="420"/>
      <c r="AJ1031" s="420"/>
      <c r="AK1031" s="420"/>
      <c r="AL1031" s="420"/>
      <c r="AM1031" s="420"/>
      <c r="AN1031" s="420"/>
      <c r="AO1031" s="420"/>
      <c r="AP1031" s="420"/>
      <c r="AQ1031" s="420"/>
      <c r="AR1031" s="403"/>
      <c r="AS1031" s="403"/>
      <c r="AT1031" s="403"/>
      <c r="AU1031" s="403"/>
      <c r="AV1031" s="403"/>
      <c r="AW1031" s="403"/>
      <c r="AX1031" s="403"/>
      <c r="AY1031" s="403"/>
    </row>
    <row r="1032">
      <c r="A1032" s="415"/>
      <c r="B1032" s="415"/>
      <c r="C1032" s="410"/>
      <c r="D1032" s="429"/>
      <c r="E1032" s="416"/>
      <c r="F1032" s="413"/>
      <c r="G1032" s="413"/>
      <c r="H1032" s="415"/>
      <c r="I1032" s="415"/>
      <c r="J1032" s="415"/>
      <c r="K1032" s="415"/>
      <c r="L1032" s="417"/>
      <c r="M1032" s="403"/>
      <c r="N1032" s="403"/>
      <c r="O1032" s="403"/>
      <c r="P1032" s="420"/>
      <c r="Q1032" s="420"/>
      <c r="R1032" s="420"/>
      <c r="S1032" s="420"/>
      <c r="T1032" s="420"/>
      <c r="U1032" s="420"/>
      <c r="V1032" s="420"/>
      <c r="W1032" s="420"/>
      <c r="X1032" s="420"/>
      <c r="Y1032" s="420"/>
      <c r="Z1032" s="420"/>
      <c r="AA1032" s="420"/>
      <c r="AB1032" s="420"/>
      <c r="AC1032" s="420"/>
      <c r="AD1032" s="420"/>
      <c r="AE1032" s="420"/>
      <c r="AF1032" s="420"/>
      <c r="AG1032" s="420"/>
      <c r="AH1032" s="420"/>
      <c r="AI1032" s="420"/>
      <c r="AJ1032" s="420"/>
      <c r="AK1032" s="420"/>
      <c r="AL1032" s="420"/>
      <c r="AM1032" s="420"/>
      <c r="AN1032" s="420"/>
      <c r="AO1032" s="420"/>
      <c r="AP1032" s="420"/>
      <c r="AQ1032" s="420"/>
      <c r="AR1032" s="403"/>
      <c r="AS1032" s="403"/>
      <c r="AT1032" s="403"/>
      <c r="AU1032" s="403"/>
      <c r="AV1032" s="403"/>
      <c r="AW1032" s="403"/>
      <c r="AX1032" s="403"/>
      <c r="AY1032" s="403"/>
    </row>
    <row r="1033">
      <c r="A1033" s="415"/>
      <c r="B1033" s="415"/>
      <c r="C1033" s="410"/>
      <c r="D1033" s="429"/>
      <c r="E1033" s="416"/>
      <c r="F1033" s="413"/>
      <c r="G1033" s="413"/>
      <c r="H1033" s="415"/>
      <c r="I1033" s="415"/>
      <c r="J1033" s="415"/>
      <c r="K1033" s="415"/>
      <c r="L1033" s="417"/>
      <c r="M1033" s="403"/>
      <c r="N1033" s="403"/>
      <c r="O1033" s="403"/>
      <c r="P1033" s="420"/>
      <c r="Q1033" s="420"/>
      <c r="R1033" s="420"/>
      <c r="S1033" s="420"/>
      <c r="T1033" s="420"/>
      <c r="U1033" s="420"/>
      <c r="V1033" s="420"/>
      <c r="W1033" s="420"/>
      <c r="X1033" s="420"/>
      <c r="Y1033" s="420"/>
      <c r="Z1033" s="420"/>
      <c r="AA1033" s="420"/>
      <c r="AB1033" s="420"/>
      <c r="AC1033" s="420"/>
      <c r="AD1033" s="420"/>
      <c r="AE1033" s="420"/>
      <c r="AF1033" s="420"/>
      <c r="AG1033" s="420"/>
      <c r="AH1033" s="420"/>
      <c r="AI1033" s="420"/>
      <c r="AJ1033" s="420"/>
      <c r="AK1033" s="420"/>
      <c r="AL1033" s="420"/>
      <c r="AM1033" s="420"/>
      <c r="AN1033" s="420"/>
      <c r="AO1033" s="420"/>
      <c r="AP1033" s="420"/>
      <c r="AQ1033" s="420"/>
      <c r="AR1033" s="403"/>
      <c r="AS1033" s="403"/>
      <c r="AT1033" s="403"/>
      <c r="AU1033" s="403"/>
      <c r="AV1033" s="403"/>
      <c r="AW1033" s="403"/>
      <c r="AX1033" s="403"/>
      <c r="AY1033" s="403"/>
    </row>
    <row r="1034">
      <c r="A1034" s="415"/>
      <c r="B1034" s="415"/>
      <c r="C1034" s="410"/>
      <c r="D1034" s="429"/>
      <c r="E1034" s="416"/>
      <c r="F1034" s="413"/>
      <c r="G1034" s="413"/>
      <c r="H1034" s="415"/>
      <c r="I1034" s="415"/>
      <c r="J1034" s="415"/>
      <c r="K1034" s="415"/>
      <c r="L1034" s="417"/>
      <c r="M1034" s="403"/>
      <c r="N1034" s="403"/>
      <c r="O1034" s="403"/>
      <c r="P1034" s="420"/>
      <c r="Q1034" s="420"/>
      <c r="R1034" s="420"/>
      <c r="S1034" s="420"/>
      <c r="T1034" s="420"/>
      <c r="U1034" s="420"/>
      <c r="V1034" s="420"/>
      <c r="W1034" s="420"/>
      <c r="X1034" s="420"/>
      <c r="Y1034" s="420"/>
      <c r="Z1034" s="420"/>
      <c r="AA1034" s="420"/>
      <c r="AB1034" s="420"/>
      <c r="AC1034" s="420"/>
      <c r="AD1034" s="420"/>
      <c r="AE1034" s="420"/>
      <c r="AF1034" s="420"/>
      <c r="AG1034" s="420"/>
      <c r="AH1034" s="420"/>
      <c r="AI1034" s="420"/>
      <c r="AJ1034" s="420"/>
      <c r="AK1034" s="420"/>
      <c r="AL1034" s="420"/>
      <c r="AM1034" s="420"/>
      <c r="AN1034" s="420"/>
      <c r="AO1034" s="420"/>
      <c r="AP1034" s="420"/>
      <c r="AQ1034" s="420"/>
      <c r="AR1034" s="403"/>
      <c r="AS1034" s="403"/>
      <c r="AT1034" s="403"/>
      <c r="AU1034" s="403"/>
      <c r="AV1034" s="403"/>
      <c r="AW1034" s="403"/>
      <c r="AX1034" s="403"/>
      <c r="AY1034" s="403"/>
    </row>
    <row r="1035">
      <c r="A1035" s="415"/>
      <c r="B1035" s="415"/>
      <c r="C1035" s="410"/>
      <c r="D1035" s="429"/>
      <c r="E1035" s="416"/>
      <c r="F1035" s="413"/>
      <c r="G1035" s="413"/>
      <c r="H1035" s="415"/>
      <c r="I1035" s="415"/>
      <c r="J1035" s="415"/>
      <c r="K1035" s="415"/>
      <c r="L1035" s="417"/>
      <c r="M1035" s="403"/>
      <c r="N1035" s="403"/>
      <c r="O1035" s="403"/>
      <c r="P1035" s="420"/>
      <c r="Q1035" s="420"/>
      <c r="R1035" s="420"/>
      <c r="S1035" s="420"/>
      <c r="T1035" s="420"/>
      <c r="U1035" s="420"/>
      <c r="V1035" s="420"/>
      <c r="W1035" s="420"/>
      <c r="X1035" s="420"/>
      <c r="Y1035" s="420"/>
      <c r="Z1035" s="420"/>
      <c r="AA1035" s="420"/>
      <c r="AB1035" s="420"/>
      <c r="AC1035" s="420"/>
      <c r="AD1035" s="420"/>
      <c r="AE1035" s="420"/>
      <c r="AF1035" s="420"/>
      <c r="AG1035" s="420"/>
      <c r="AH1035" s="420"/>
      <c r="AI1035" s="420"/>
      <c r="AJ1035" s="420"/>
      <c r="AK1035" s="420"/>
      <c r="AL1035" s="420"/>
      <c r="AM1035" s="420"/>
      <c r="AN1035" s="420"/>
      <c r="AO1035" s="420"/>
      <c r="AP1035" s="420"/>
      <c r="AQ1035" s="420"/>
      <c r="AR1035" s="403"/>
      <c r="AS1035" s="403"/>
      <c r="AT1035" s="403"/>
      <c r="AU1035" s="403"/>
      <c r="AV1035" s="403"/>
      <c r="AW1035" s="403"/>
      <c r="AX1035" s="403"/>
      <c r="AY1035" s="403"/>
    </row>
    <row r="1036">
      <c r="A1036" s="415"/>
      <c r="B1036" s="415"/>
      <c r="C1036" s="410"/>
      <c r="D1036" s="429"/>
      <c r="E1036" s="416"/>
      <c r="F1036" s="413"/>
      <c r="G1036" s="413"/>
      <c r="H1036" s="415"/>
      <c r="I1036" s="415"/>
      <c r="J1036" s="415"/>
      <c r="K1036" s="415"/>
      <c r="L1036" s="417"/>
      <c r="M1036" s="403"/>
      <c r="N1036" s="403"/>
      <c r="O1036" s="403"/>
      <c r="P1036" s="420"/>
      <c r="Q1036" s="420"/>
      <c r="R1036" s="420"/>
      <c r="S1036" s="420"/>
      <c r="T1036" s="420"/>
      <c r="U1036" s="420"/>
      <c r="V1036" s="420"/>
      <c r="W1036" s="420"/>
      <c r="X1036" s="420"/>
      <c r="Y1036" s="420"/>
      <c r="Z1036" s="420"/>
      <c r="AA1036" s="420"/>
      <c r="AB1036" s="420"/>
      <c r="AC1036" s="420"/>
      <c r="AD1036" s="420"/>
      <c r="AE1036" s="420"/>
      <c r="AF1036" s="420"/>
      <c r="AG1036" s="420"/>
      <c r="AH1036" s="420"/>
      <c r="AI1036" s="420"/>
      <c r="AJ1036" s="420"/>
      <c r="AK1036" s="420"/>
      <c r="AL1036" s="420"/>
      <c r="AM1036" s="420"/>
      <c r="AN1036" s="420"/>
      <c r="AO1036" s="420"/>
      <c r="AP1036" s="420"/>
      <c r="AQ1036" s="420"/>
      <c r="AR1036" s="403"/>
      <c r="AS1036" s="403"/>
      <c r="AT1036" s="403"/>
      <c r="AU1036" s="403"/>
      <c r="AV1036" s="403"/>
      <c r="AW1036" s="403"/>
      <c r="AX1036" s="403"/>
      <c r="AY1036" s="403"/>
    </row>
    <row r="1037">
      <c r="A1037" s="415"/>
      <c r="B1037" s="415"/>
      <c r="C1037" s="410"/>
      <c r="D1037" s="429"/>
      <c r="E1037" s="416"/>
      <c r="F1037" s="413"/>
      <c r="G1037" s="413"/>
      <c r="H1037" s="415"/>
      <c r="I1037" s="415"/>
      <c r="J1037" s="415"/>
      <c r="K1037" s="415"/>
      <c r="L1037" s="417"/>
      <c r="M1037" s="403"/>
      <c r="N1037" s="403"/>
      <c r="O1037" s="403"/>
      <c r="P1037" s="420"/>
      <c r="Q1037" s="420"/>
      <c r="R1037" s="420"/>
      <c r="S1037" s="420"/>
      <c r="T1037" s="420"/>
      <c r="U1037" s="420"/>
      <c r="V1037" s="420"/>
      <c r="W1037" s="420"/>
      <c r="X1037" s="420"/>
      <c r="Y1037" s="420"/>
      <c r="Z1037" s="420"/>
      <c r="AA1037" s="420"/>
      <c r="AB1037" s="420"/>
      <c r="AC1037" s="420"/>
      <c r="AD1037" s="420"/>
      <c r="AE1037" s="420"/>
      <c r="AF1037" s="420"/>
      <c r="AG1037" s="420"/>
      <c r="AH1037" s="420"/>
      <c r="AI1037" s="420"/>
      <c r="AJ1037" s="420"/>
      <c r="AK1037" s="420"/>
      <c r="AL1037" s="420"/>
      <c r="AM1037" s="420"/>
      <c r="AN1037" s="420"/>
      <c r="AO1037" s="420"/>
      <c r="AP1037" s="420"/>
      <c r="AQ1037" s="420"/>
      <c r="AR1037" s="403"/>
      <c r="AS1037" s="403"/>
      <c r="AT1037" s="403"/>
      <c r="AU1037" s="403"/>
      <c r="AV1037" s="403"/>
      <c r="AW1037" s="403"/>
      <c r="AX1037" s="403"/>
      <c r="AY1037" s="403"/>
    </row>
    <row r="1038">
      <c r="A1038" s="415"/>
      <c r="B1038" s="415"/>
      <c r="C1038" s="410"/>
      <c r="D1038" s="429"/>
      <c r="E1038" s="416"/>
      <c r="F1038" s="413"/>
      <c r="G1038" s="413"/>
      <c r="H1038" s="415"/>
      <c r="I1038" s="415"/>
      <c r="J1038" s="415"/>
      <c r="K1038" s="415"/>
      <c r="L1038" s="417"/>
      <c r="M1038" s="403"/>
      <c r="N1038" s="403"/>
      <c r="O1038" s="403"/>
      <c r="P1038" s="420"/>
      <c r="Q1038" s="420"/>
      <c r="R1038" s="420"/>
      <c r="S1038" s="420"/>
      <c r="T1038" s="420"/>
      <c r="U1038" s="420"/>
      <c r="V1038" s="420"/>
      <c r="W1038" s="420"/>
      <c r="X1038" s="420"/>
      <c r="Y1038" s="420"/>
      <c r="Z1038" s="420"/>
      <c r="AA1038" s="420"/>
      <c r="AB1038" s="420"/>
      <c r="AC1038" s="420"/>
      <c r="AD1038" s="420"/>
      <c r="AE1038" s="420"/>
      <c r="AF1038" s="420"/>
      <c r="AG1038" s="420"/>
      <c r="AH1038" s="420"/>
      <c r="AI1038" s="420"/>
      <c r="AJ1038" s="420"/>
      <c r="AK1038" s="420"/>
      <c r="AL1038" s="420"/>
      <c r="AM1038" s="420"/>
      <c r="AN1038" s="420"/>
      <c r="AO1038" s="420"/>
      <c r="AP1038" s="420"/>
      <c r="AQ1038" s="420"/>
      <c r="AR1038" s="403"/>
      <c r="AS1038" s="403"/>
      <c r="AT1038" s="403"/>
      <c r="AU1038" s="403"/>
      <c r="AV1038" s="403"/>
      <c r="AW1038" s="403"/>
      <c r="AX1038" s="403"/>
      <c r="AY1038" s="403"/>
    </row>
    <row r="1039">
      <c r="A1039" s="415"/>
      <c r="B1039" s="415"/>
      <c r="C1039" s="410"/>
      <c r="D1039" s="429"/>
      <c r="E1039" s="416"/>
      <c r="F1039" s="413"/>
      <c r="G1039" s="413"/>
      <c r="H1039" s="415"/>
      <c r="I1039" s="415"/>
      <c r="J1039" s="415"/>
      <c r="K1039" s="415"/>
      <c r="L1039" s="417"/>
      <c r="M1039" s="403"/>
      <c r="N1039" s="403"/>
      <c r="O1039" s="403"/>
      <c r="P1039" s="420"/>
      <c r="Q1039" s="420"/>
      <c r="R1039" s="420"/>
      <c r="S1039" s="420"/>
      <c r="T1039" s="420"/>
      <c r="U1039" s="420"/>
      <c r="V1039" s="420"/>
      <c r="W1039" s="420"/>
      <c r="X1039" s="420"/>
      <c r="Y1039" s="420"/>
      <c r="Z1039" s="420"/>
      <c r="AA1039" s="420"/>
      <c r="AB1039" s="420"/>
      <c r="AC1039" s="420"/>
      <c r="AD1039" s="420"/>
      <c r="AE1039" s="420"/>
      <c r="AF1039" s="420"/>
      <c r="AG1039" s="420"/>
      <c r="AH1039" s="420"/>
      <c r="AI1039" s="420"/>
      <c r="AJ1039" s="420"/>
      <c r="AK1039" s="420"/>
      <c r="AL1039" s="420"/>
      <c r="AM1039" s="420"/>
      <c r="AN1039" s="420"/>
      <c r="AO1039" s="420"/>
      <c r="AP1039" s="420"/>
      <c r="AQ1039" s="420"/>
      <c r="AR1039" s="403"/>
      <c r="AS1039" s="403"/>
      <c r="AT1039" s="403"/>
      <c r="AU1039" s="403"/>
      <c r="AV1039" s="403"/>
      <c r="AW1039" s="403"/>
      <c r="AX1039" s="403"/>
      <c r="AY1039" s="403"/>
    </row>
    <row r="1040">
      <c r="A1040" s="415"/>
      <c r="B1040" s="415"/>
      <c r="C1040" s="410"/>
      <c r="D1040" s="429"/>
      <c r="E1040" s="416"/>
      <c r="F1040" s="413"/>
      <c r="G1040" s="413"/>
      <c r="H1040" s="415"/>
      <c r="I1040" s="415"/>
      <c r="J1040" s="415"/>
      <c r="K1040" s="415"/>
      <c r="L1040" s="417"/>
      <c r="M1040" s="403"/>
      <c r="N1040" s="403"/>
      <c r="O1040" s="403"/>
      <c r="P1040" s="420"/>
      <c r="Q1040" s="420"/>
      <c r="R1040" s="420"/>
      <c r="S1040" s="420"/>
      <c r="T1040" s="420"/>
      <c r="U1040" s="420"/>
      <c r="V1040" s="420"/>
      <c r="W1040" s="420"/>
      <c r="X1040" s="420"/>
      <c r="Y1040" s="420"/>
      <c r="Z1040" s="420"/>
      <c r="AA1040" s="420"/>
      <c r="AB1040" s="420"/>
      <c r="AC1040" s="420"/>
      <c r="AD1040" s="420"/>
      <c r="AE1040" s="420"/>
      <c r="AF1040" s="420"/>
      <c r="AG1040" s="420"/>
      <c r="AH1040" s="420"/>
      <c r="AI1040" s="420"/>
      <c r="AJ1040" s="420"/>
      <c r="AK1040" s="420"/>
      <c r="AL1040" s="420"/>
      <c r="AM1040" s="420"/>
      <c r="AN1040" s="420"/>
      <c r="AO1040" s="420"/>
      <c r="AP1040" s="420"/>
      <c r="AQ1040" s="420"/>
      <c r="AR1040" s="403"/>
      <c r="AS1040" s="403"/>
      <c r="AT1040" s="403"/>
      <c r="AU1040" s="403"/>
      <c r="AV1040" s="403"/>
      <c r="AW1040" s="403"/>
      <c r="AX1040" s="403"/>
      <c r="AY1040" s="403"/>
    </row>
    <row r="1041">
      <c r="A1041" s="415"/>
      <c r="B1041" s="415"/>
      <c r="C1041" s="410"/>
      <c r="D1041" s="429"/>
      <c r="E1041" s="416"/>
      <c r="F1041" s="413"/>
      <c r="G1041" s="413"/>
      <c r="H1041" s="415"/>
      <c r="I1041" s="415"/>
      <c r="J1041" s="415"/>
      <c r="K1041" s="415"/>
      <c r="L1041" s="417"/>
      <c r="M1041" s="403"/>
      <c r="N1041" s="403"/>
      <c r="O1041" s="403"/>
      <c r="P1041" s="420"/>
      <c r="Q1041" s="420"/>
      <c r="R1041" s="420"/>
      <c r="S1041" s="420"/>
      <c r="T1041" s="420"/>
      <c r="U1041" s="420"/>
      <c r="V1041" s="420"/>
      <c r="W1041" s="420"/>
      <c r="X1041" s="420"/>
      <c r="Y1041" s="420"/>
      <c r="Z1041" s="420"/>
      <c r="AA1041" s="420"/>
      <c r="AB1041" s="420"/>
      <c r="AC1041" s="420"/>
      <c r="AD1041" s="420"/>
      <c r="AE1041" s="420"/>
      <c r="AF1041" s="420"/>
      <c r="AG1041" s="420"/>
      <c r="AH1041" s="420"/>
      <c r="AI1041" s="420"/>
      <c r="AJ1041" s="420"/>
      <c r="AK1041" s="420"/>
      <c r="AL1041" s="420"/>
      <c r="AM1041" s="420"/>
      <c r="AN1041" s="420"/>
      <c r="AO1041" s="420"/>
      <c r="AP1041" s="420"/>
      <c r="AQ1041" s="420"/>
      <c r="AR1041" s="403"/>
      <c r="AS1041" s="403"/>
      <c r="AT1041" s="403"/>
      <c r="AU1041" s="403"/>
      <c r="AV1041" s="403"/>
      <c r="AW1041" s="403"/>
      <c r="AX1041" s="403"/>
      <c r="AY1041" s="403"/>
    </row>
    <row r="1042">
      <c r="A1042" s="415"/>
      <c r="B1042" s="415"/>
      <c r="C1042" s="410"/>
      <c r="D1042" s="429"/>
      <c r="E1042" s="416"/>
      <c r="F1042" s="413"/>
      <c r="G1042" s="413"/>
      <c r="H1042" s="415"/>
      <c r="I1042" s="415"/>
      <c r="J1042" s="415"/>
      <c r="K1042" s="415"/>
      <c r="L1042" s="417"/>
      <c r="M1042" s="403"/>
      <c r="N1042" s="403"/>
      <c r="O1042" s="403"/>
      <c r="P1042" s="420"/>
      <c r="Q1042" s="420"/>
      <c r="R1042" s="420"/>
      <c r="S1042" s="420"/>
      <c r="T1042" s="420"/>
      <c r="U1042" s="420"/>
      <c r="V1042" s="420"/>
      <c r="W1042" s="420"/>
      <c r="X1042" s="420"/>
      <c r="Y1042" s="420"/>
      <c r="Z1042" s="420"/>
      <c r="AA1042" s="420"/>
      <c r="AB1042" s="420"/>
      <c r="AC1042" s="420"/>
      <c r="AD1042" s="420"/>
      <c r="AE1042" s="420"/>
      <c r="AF1042" s="420"/>
      <c r="AG1042" s="420"/>
      <c r="AH1042" s="420"/>
      <c r="AI1042" s="420"/>
      <c r="AJ1042" s="420"/>
      <c r="AK1042" s="420"/>
      <c r="AL1042" s="420"/>
      <c r="AM1042" s="420"/>
      <c r="AN1042" s="420"/>
      <c r="AO1042" s="420"/>
      <c r="AP1042" s="420"/>
      <c r="AQ1042" s="420"/>
      <c r="AR1042" s="403"/>
      <c r="AS1042" s="403"/>
      <c r="AT1042" s="403"/>
      <c r="AU1042" s="403"/>
      <c r="AV1042" s="403"/>
      <c r="AW1042" s="403"/>
      <c r="AX1042" s="403"/>
      <c r="AY1042" s="403"/>
    </row>
    <row r="1043">
      <c r="A1043" s="415"/>
      <c r="B1043" s="415"/>
      <c r="C1043" s="410"/>
      <c r="D1043" s="429"/>
      <c r="E1043" s="416"/>
      <c r="F1043" s="413"/>
      <c r="G1043" s="413"/>
      <c r="H1043" s="415"/>
      <c r="I1043" s="415"/>
      <c r="J1043" s="415"/>
      <c r="K1043" s="415"/>
      <c r="L1043" s="417"/>
      <c r="M1043" s="420"/>
      <c r="N1043" s="403"/>
      <c r="O1043" s="403"/>
      <c r="P1043" s="420"/>
      <c r="Q1043" s="420"/>
      <c r="R1043" s="420"/>
      <c r="S1043" s="420"/>
      <c r="T1043" s="420"/>
      <c r="U1043" s="420"/>
      <c r="V1043" s="420"/>
      <c r="W1043" s="420"/>
      <c r="X1043" s="420"/>
      <c r="Y1043" s="420"/>
      <c r="Z1043" s="420"/>
      <c r="AA1043" s="420"/>
      <c r="AB1043" s="420"/>
      <c r="AC1043" s="420"/>
      <c r="AD1043" s="420"/>
      <c r="AE1043" s="420"/>
      <c r="AF1043" s="420"/>
      <c r="AG1043" s="420"/>
      <c r="AH1043" s="420"/>
      <c r="AI1043" s="420"/>
      <c r="AJ1043" s="420"/>
      <c r="AK1043" s="420"/>
      <c r="AL1043" s="420"/>
      <c r="AM1043" s="420"/>
      <c r="AN1043" s="420"/>
      <c r="AO1043" s="420"/>
      <c r="AP1043" s="420"/>
      <c r="AQ1043" s="420"/>
      <c r="AR1043" s="403"/>
      <c r="AS1043" s="403"/>
      <c r="AT1043" s="403"/>
      <c r="AU1043" s="403"/>
      <c r="AV1043" s="403"/>
      <c r="AW1043" s="403"/>
      <c r="AX1043" s="403"/>
      <c r="AY1043" s="403"/>
    </row>
    <row r="1044">
      <c r="A1044" s="415"/>
      <c r="B1044" s="415"/>
      <c r="C1044" s="410"/>
      <c r="D1044" s="429"/>
      <c r="E1044" s="416"/>
      <c r="F1044" s="413"/>
      <c r="G1044" s="413"/>
      <c r="H1044" s="415"/>
      <c r="I1044" s="415"/>
      <c r="J1044" s="415"/>
      <c r="K1044" s="415"/>
      <c r="L1044" s="417"/>
      <c r="M1044" s="420"/>
      <c r="N1044" s="403"/>
      <c r="O1044" s="403"/>
      <c r="P1044" s="420"/>
      <c r="Q1044" s="420"/>
      <c r="R1044" s="420"/>
      <c r="S1044" s="420"/>
      <c r="T1044" s="420"/>
      <c r="U1044" s="420"/>
      <c r="V1044" s="420"/>
      <c r="W1044" s="420"/>
      <c r="X1044" s="420"/>
      <c r="Y1044" s="420"/>
      <c r="Z1044" s="420"/>
      <c r="AA1044" s="420"/>
      <c r="AB1044" s="420"/>
      <c r="AC1044" s="420"/>
      <c r="AD1044" s="420"/>
      <c r="AE1044" s="420"/>
      <c r="AF1044" s="420"/>
      <c r="AG1044" s="420"/>
      <c r="AH1044" s="420"/>
      <c r="AI1044" s="420"/>
      <c r="AJ1044" s="420"/>
      <c r="AK1044" s="420"/>
      <c r="AL1044" s="420"/>
      <c r="AM1044" s="420"/>
      <c r="AN1044" s="420"/>
      <c r="AO1044" s="420"/>
      <c r="AP1044" s="420"/>
      <c r="AQ1044" s="420"/>
      <c r="AR1044" s="403"/>
      <c r="AS1044" s="403"/>
      <c r="AT1044" s="403"/>
      <c r="AU1044" s="403"/>
      <c r="AV1044" s="403"/>
      <c r="AW1044" s="403"/>
      <c r="AX1044" s="403"/>
      <c r="AY1044" s="403"/>
    </row>
    <row r="1045">
      <c r="A1045" s="415"/>
      <c r="B1045" s="415"/>
      <c r="C1045" s="410"/>
      <c r="D1045" s="429"/>
      <c r="E1045" s="416"/>
      <c r="F1045" s="413"/>
      <c r="G1045" s="413"/>
      <c r="H1045" s="415"/>
      <c r="I1045" s="415"/>
      <c r="J1045" s="415"/>
      <c r="K1045" s="415"/>
      <c r="L1045" s="417"/>
      <c r="M1045" s="420"/>
      <c r="N1045" s="403"/>
      <c r="O1045" s="403"/>
      <c r="P1045" s="420"/>
      <c r="Q1045" s="420"/>
      <c r="R1045" s="420"/>
      <c r="S1045" s="420"/>
      <c r="T1045" s="420"/>
      <c r="U1045" s="420"/>
      <c r="V1045" s="420"/>
      <c r="W1045" s="420"/>
      <c r="X1045" s="420"/>
      <c r="Y1045" s="420"/>
      <c r="Z1045" s="420"/>
      <c r="AA1045" s="420"/>
      <c r="AB1045" s="420"/>
      <c r="AC1045" s="420"/>
      <c r="AD1045" s="420"/>
      <c r="AE1045" s="420"/>
      <c r="AF1045" s="420"/>
      <c r="AG1045" s="420"/>
      <c r="AH1045" s="420"/>
      <c r="AI1045" s="420"/>
      <c r="AJ1045" s="420"/>
      <c r="AK1045" s="420"/>
      <c r="AL1045" s="420"/>
      <c r="AM1045" s="420"/>
      <c r="AN1045" s="420"/>
      <c r="AO1045" s="420"/>
      <c r="AP1045" s="420"/>
      <c r="AQ1045" s="420"/>
      <c r="AR1045" s="403"/>
      <c r="AS1045" s="403"/>
      <c r="AT1045" s="403"/>
      <c r="AU1045" s="403"/>
      <c r="AV1045" s="403"/>
      <c r="AW1045" s="403"/>
      <c r="AX1045" s="403"/>
      <c r="AY1045" s="403"/>
    </row>
    <row r="1046">
      <c r="A1046" s="415"/>
      <c r="B1046" s="415"/>
      <c r="C1046" s="410"/>
      <c r="D1046" s="429"/>
      <c r="E1046" s="416"/>
      <c r="F1046" s="413"/>
      <c r="G1046" s="413"/>
      <c r="H1046" s="415"/>
      <c r="I1046" s="415"/>
      <c r="J1046" s="415"/>
      <c r="K1046" s="415"/>
      <c r="L1046" s="417"/>
      <c r="M1046" s="420"/>
      <c r="N1046" s="403"/>
      <c r="O1046" s="403"/>
      <c r="P1046" s="420"/>
      <c r="Q1046" s="420"/>
      <c r="R1046" s="420"/>
      <c r="S1046" s="420"/>
      <c r="T1046" s="420"/>
      <c r="U1046" s="420"/>
      <c r="V1046" s="420"/>
      <c r="W1046" s="420"/>
      <c r="X1046" s="420"/>
      <c r="Y1046" s="420"/>
      <c r="Z1046" s="420"/>
      <c r="AA1046" s="420"/>
      <c r="AB1046" s="420"/>
      <c r="AC1046" s="420"/>
      <c r="AD1046" s="420"/>
      <c r="AE1046" s="420"/>
      <c r="AF1046" s="420"/>
      <c r="AG1046" s="420"/>
      <c r="AH1046" s="420"/>
      <c r="AI1046" s="420"/>
      <c r="AJ1046" s="420"/>
      <c r="AK1046" s="420"/>
      <c r="AL1046" s="420"/>
      <c r="AM1046" s="420"/>
      <c r="AN1046" s="420"/>
      <c r="AO1046" s="420"/>
      <c r="AP1046" s="420"/>
      <c r="AQ1046" s="420"/>
      <c r="AR1046" s="403"/>
      <c r="AS1046" s="403"/>
      <c r="AT1046" s="403"/>
      <c r="AU1046" s="403"/>
      <c r="AV1046" s="403"/>
      <c r="AW1046" s="403"/>
      <c r="AX1046" s="403"/>
      <c r="AY1046" s="403"/>
    </row>
    <row r="1047">
      <c r="A1047" s="415"/>
      <c r="B1047" s="415"/>
      <c r="C1047" s="410"/>
      <c r="D1047" s="429"/>
      <c r="E1047" s="416"/>
      <c r="F1047" s="413"/>
      <c r="G1047" s="413"/>
      <c r="H1047" s="415"/>
      <c r="I1047" s="415"/>
      <c r="J1047" s="415"/>
      <c r="K1047" s="415"/>
      <c r="L1047" s="417"/>
      <c r="M1047" s="420"/>
      <c r="N1047" s="403"/>
      <c r="O1047" s="403"/>
      <c r="P1047" s="420"/>
      <c r="Q1047" s="420"/>
      <c r="R1047" s="420"/>
      <c r="S1047" s="420"/>
      <c r="T1047" s="420"/>
      <c r="U1047" s="420"/>
      <c r="V1047" s="420"/>
      <c r="W1047" s="420"/>
      <c r="X1047" s="420"/>
      <c r="Y1047" s="420"/>
      <c r="Z1047" s="420"/>
      <c r="AA1047" s="420"/>
      <c r="AB1047" s="420"/>
      <c r="AC1047" s="420"/>
      <c r="AD1047" s="420"/>
      <c r="AE1047" s="420"/>
      <c r="AF1047" s="420"/>
      <c r="AG1047" s="420"/>
      <c r="AH1047" s="420"/>
      <c r="AI1047" s="420"/>
      <c r="AJ1047" s="420"/>
      <c r="AK1047" s="420"/>
      <c r="AL1047" s="420"/>
      <c r="AM1047" s="420"/>
      <c r="AN1047" s="420"/>
      <c r="AO1047" s="420"/>
      <c r="AP1047" s="420"/>
      <c r="AQ1047" s="420"/>
      <c r="AR1047" s="403"/>
      <c r="AS1047" s="403"/>
      <c r="AT1047" s="403"/>
      <c r="AU1047" s="403"/>
      <c r="AV1047" s="403"/>
      <c r="AW1047" s="403"/>
      <c r="AX1047" s="403"/>
      <c r="AY1047" s="403"/>
    </row>
    <row r="1048">
      <c r="A1048" s="415"/>
      <c r="B1048" s="415"/>
      <c r="C1048" s="410"/>
      <c r="D1048" s="429"/>
      <c r="E1048" s="416"/>
      <c r="F1048" s="413"/>
      <c r="G1048" s="413"/>
      <c r="H1048" s="415"/>
      <c r="I1048" s="415"/>
      <c r="J1048" s="415"/>
      <c r="K1048" s="415"/>
      <c r="L1048" s="417"/>
      <c r="M1048" s="420"/>
      <c r="N1048" s="403"/>
      <c r="O1048" s="403"/>
      <c r="P1048" s="420"/>
      <c r="Q1048" s="420"/>
      <c r="R1048" s="420"/>
      <c r="S1048" s="420"/>
      <c r="T1048" s="420"/>
      <c r="U1048" s="420"/>
      <c r="V1048" s="420"/>
      <c r="W1048" s="420"/>
      <c r="X1048" s="420"/>
      <c r="Y1048" s="420"/>
      <c r="Z1048" s="420"/>
      <c r="AA1048" s="420"/>
      <c r="AB1048" s="420"/>
      <c r="AC1048" s="420"/>
      <c r="AD1048" s="420"/>
      <c r="AE1048" s="420"/>
      <c r="AF1048" s="420"/>
      <c r="AG1048" s="420"/>
      <c r="AH1048" s="420"/>
      <c r="AI1048" s="420"/>
      <c r="AJ1048" s="420"/>
      <c r="AK1048" s="420"/>
      <c r="AL1048" s="420"/>
      <c r="AM1048" s="420"/>
      <c r="AN1048" s="420"/>
      <c r="AO1048" s="420"/>
      <c r="AP1048" s="420"/>
      <c r="AQ1048" s="420"/>
      <c r="AR1048" s="403"/>
      <c r="AS1048" s="403"/>
      <c r="AT1048" s="403"/>
      <c r="AU1048" s="403"/>
      <c r="AV1048" s="403"/>
      <c r="AW1048" s="403"/>
      <c r="AX1048" s="403"/>
      <c r="AY1048" s="403"/>
    </row>
    <row r="1049">
      <c r="A1049" s="415"/>
      <c r="B1049" s="415"/>
      <c r="C1049" s="410"/>
      <c r="D1049" s="429"/>
      <c r="E1049" s="416"/>
      <c r="F1049" s="413"/>
      <c r="G1049" s="413"/>
      <c r="H1049" s="415"/>
      <c r="I1049" s="415"/>
      <c r="J1049" s="415"/>
      <c r="K1049" s="415"/>
      <c r="L1049" s="417"/>
      <c r="M1049" s="420"/>
      <c r="N1049" s="403"/>
      <c r="O1049" s="403"/>
      <c r="P1049" s="420"/>
      <c r="Q1049" s="420"/>
      <c r="R1049" s="420"/>
      <c r="S1049" s="420"/>
      <c r="T1049" s="420"/>
      <c r="U1049" s="420"/>
      <c r="V1049" s="420"/>
      <c r="W1049" s="420"/>
      <c r="X1049" s="420"/>
      <c r="Y1049" s="420"/>
      <c r="Z1049" s="420"/>
      <c r="AA1049" s="420"/>
      <c r="AB1049" s="420"/>
      <c r="AC1049" s="420"/>
      <c r="AD1049" s="420"/>
      <c r="AE1049" s="420"/>
      <c r="AF1049" s="420"/>
      <c r="AG1049" s="420"/>
      <c r="AH1049" s="420"/>
      <c r="AI1049" s="420"/>
      <c r="AJ1049" s="420"/>
      <c r="AK1049" s="420"/>
      <c r="AL1049" s="420"/>
      <c r="AM1049" s="420"/>
      <c r="AN1049" s="420"/>
      <c r="AO1049" s="420"/>
      <c r="AP1049" s="420"/>
      <c r="AQ1049" s="420"/>
      <c r="AR1049" s="403"/>
      <c r="AS1049" s="403"/>
      <c r="AT1049" s="403"/>
      <c r="AU1049" s="403"/>
      <c r="AV1049" s="403"/>
      <c r="AW1049" s="403"/>
      <c r="AX1049" s="403"/>
      <c r="AY1049" s="403"/>
    </row>
    <row r="1050">
      <c r="A1050" s="415"/>
      <c r="B1050" s="415"/>
      <c r="C1050" s="410"/>
      <c r="D1050" s="429"/>
      <c r="E1050" s="416"/>
      <c r="F1050" s="413"/>
      <c r="G1050" s="413"/>
      <c r="H1050" s="415"/>
      <c r="I1050" s="415"/>
      <c r="J1050" s="415"/>
      <c r="K1050" s="415"/>
      <c r="L1050" s="417"/>
      <c r="M1050" s="420"/>
      <c r="N1050" s="403"/>
      <c r="O1050" s="403"/>
      <c r="P1050" s="420"/>
      <c r="Q1050" s="420"/>
      <c r="R1050" s="420"/>
      <c r="S1050" s="420"/>
      <c r="T1050" s="420"/>
      <c r="U1050" s="420"/>
      <c r="V1050" s="420"/>
      <c r="W1050" s="420"/>
      <c r="X1050" s="420"/>
      <c r="Y1050" s="420"/>
      <c r="Z1050" s="420"/>
      <c r="AA1050" s="420"/>
      <c r="AB1050" s="420"/>
      <c r="AC1050" s="420"/>
      <c r="AD1050" s="420"/>
      <c r="AE1050" s="420"/>
      <c r="AF1050" s="420"/>
      <c r="AG1050" s="420"/>
      <c r="AH1050" s="420"/>
      <c r="AI1050" s="420"/>
      <c r="AJ1050" s="420"/>
      <c r="AK1050" s="420"/>
      <c r="AL1050" s="420"/>
      <c r="AM1050" s="420"/>
      <c r="AN1050" s="420"/>
      <c r="AO1050" s="420"/>
      <c r="AP1050" s="420"/>
      <c r="AQ1050" s="420"/>
      <c r="AR1050" s="403"/>
      <c r="AS1050" s="403"/>
      <c r="AT1050" s="403"/>
      <c r="AU1050" s="403"/>
      <c r="AV1050" s="403"/>
      <c r="AW1050" s="403"/>
      <c r="AX1050" s="403"/>
      <c r="AY1050" s="403"/>
    </row>
    <row r="1051">
      <c r="A1051" s="415"/>
      <c r="B1051" s="415"/>
      <c r="C1051" s="410"/>
      <c r="D1051" s="429"/>
      <c r="E1051" s="416"/>
      <c r="F1051" s="413"/>
      <c r="G1051" s="413"/>
      <c r="H1051" s="415"/>
      <c r="I1051" s="415"/>
      <c r="J1051" s="415"/>
      <c r="K1051" s="415"/>
      <c r="L1051" s="417"/>
      <c r="M1051" s="420"/>
      <c r="N1051" s="403"/>
      <c r="O1051" s="403"/>
      <c r="P1051" s="420"/>
      <c r="Q1051" s="420"/>
      <c r="R1051" s="420"/>
      <c r="S1051" s="420"/>
      <c r="T1051" s="420"/>
      <c r="U1051" s="420"/>
      <c r="V1051" s="420"/>
      <c r="W1051" s="420"/>
      <c r="X1051" s="420"/>
      <c r="Y1051" s="420"/>
      <c r="Z1051" s="420"/>
      <c r="AA1051" s="420"/>
      <c r="AB1051" s="420"/>
      <c r="AC1051" s="420"/>
      <c r="AD1051" s="420"/>
      <c r="AE1051" s="420"/>
      <c r="AF1051" s="420"/>
      <c r="AG1051" s="420"/>
      <c r="AH1051" s="420"/>
      <c r="AI1051" s="420"/>
      <c r="AJ1051" s="420"/>
      <c r="AK1051" s="420"/>
      <c r="AL1051" s="420"/>
      <c r="AM1051" s="420"/>
      <c r="AN1051" s="420"/>
      <c r="AO1051" s="420"/>
      <c r="AP1051" s="420"/>
      <c r="AQ1051" s="420"/>
      <c r="AR1051" s="403"/>
      <c r="AS1051" s="403"/>
      <c r="AT1051" s="403"/>
      <c r="AU1051" s="403"/>
      <c r="AV1051" s="403"/>
      <c r="AW1051" s="403"/>
      <c r="AX1051" s="403"/>
      <c r="AY1051" s="403"/>
    </row>
    <row r="1052">
      <c r="A1052" s="415"/>
      <c r="B1052" s="415"/>
      <c r="C1052" s="410"/>
      <c r="D1052" s="429"/>
      <c r="E1052" s="416"/>
      <c r="F1052" s="413"/>
      <c r="G1052" s="413"/>
      <c r="H1052" s="415"/>
      <c r="I1052" s="415"/>
      <c r="J1052" s="415"/>
      <c r="K1052" s="415"/>
      <c r="L1052" s="417"/>
      <c r="M1052" s="420"/>
      <c r="N1052" s="403"/>
      <c r="O1052" s="403"/>
      <c r="P1052" s="420"/>
      <c r="Q1052" s="420"/>
      <c r="R1052" s="420"/>
      <c r="S1052" s="420"/>
      <c r="T1052" s="420"/>
      <c r="U1052" s="420"/>
      <c r="V1052" s="420"/>
      <c r="W1052" s="420"/>
      <c r="X1052" s="420"/>
      <c r="Y1052" s="420"/>
      <c r="Z1052" s="420"/>
      <c r="AA1052" s="420"/>
      <c r="AB1052" s="420"/>
      <c r="AC1052" s="420"/>
      <c r="AD1052" s="420"/>
      <c r="AE1052" s="420"/>
      <c r="AF1052" s="420"/>
      <c r="AG1052" s="420"/>
      <c r="AH1052" s="420"/>
      <c r="AI1052" s="420"/>
      <c r="AJ1052" s="420"/>
      <c r="AK1052" s="420"/>
      <c r="AL1052" s="420"/>
      <c r="AM1052" s="420"/>
      <c r="AN1052" s="420"/>
      <c r="AO1052" s="420"/>
      <c r="AP1052" s="420"/>
      <c r="AQ1052" s="420"/>
      <c r="AR1052" s="403"/>
      <c r="AS1052" s="403"/>
      <c r="AT1052" s="403"/>
      <c r="AU1052" s="403"/>
      <c r="AV1052" s="403"/>
      <c r="AW1052" s="403"/>
      <c r="AX1052" s="403"/>
      <c r="AY1052" s="403"/>
    </row>
    <row r="1053">
      <c r="A1053" s="415"/>
      <c r="B1053" s="415"/>
      <c r="C1053" s="410"/>
      <c r="D1053" s="429"/>
      <c r="E1053" s="416"/>
      <c r="F1053" s="413"/>
      <c r="G1053" s="413"/>
      <c r="H1053" s="415"/>
      <c r="I1053" s="415"/>
      <c r="J1053" s="415"/>
      <c r="K1053" s="415"/>
      <c r="L1053" s="417"/>
      <c r="M1053" s="420"/>
      <c r="N1053" s="403"/>
      <c r="O1053" s="403"/>
      <c r="P1053" s="420"/>
      <c r="Q1053" s="420"/>
      <c r="R1053" s="420"/>
      <c r="S1053" s="420"/>
      <c r="T1053" s="420"/>
      <c r="U1053" s="420"/>
      <c r="V1053" s="420"/>
      <c r="W1053" s="420"/>
      <c r="X1053" s="420"/>
      <c r="Y1053" s="420"/>
      <c r="Z1053" s="420"/>
      <c r="AA1053" s="420"/>
      <c r="AB1053" s="420"/>
      <c r="AC1053" s="420"/>
      <c r="AD1053" s="420"/>
      <c r="AE1053" s="420"/>
      <c r="AF1053" s="420"/>
      <c r="AG1053" s="420"/>
      <c r="AH1053" s="420"/>
      <c r="AI1053" s="420"/>
      <c r="AJ1053" s="420"/>
      <c r="AK1053" s="420"/>
      <c r="AL1053" s="420"/>
      <c r="AM1053" s="420"/>
      <c r="AN1053" s="420"/>
      <c r="AO1053" s="420"/>
      <c r="AP1053" s="420"/>
      <c r="AQ1053" s="420"/>
      <c r="AR1053" s="403"/>
      <c r="AS1053" s="403"/>
      <c r="AT1053" s="403"/>
      <c r="AU1053" s="403"/>
      <c r="AV1053" s="403"/>
      <c r="AW1053" s="403"/>
      <c r="AX1053" s="403"/>
      <c r="AY1053" s="403"/>
    </row>
    <row r="1054">
      <c r="A1054" s="415"/>
      <c r="B1054" s="415"/>
      <c r="C1054" s="410"/>
      <c r="D1054" s="429"/>
      <c r="E1054" s="416"/>
      <c r="F1054" s="413"/>
      <c r="G1054" s="413"/>
      <c r="H1054" s="415"/>
      <c r="I1054" s="415"/>
      <c r="J1054" s="415"/>
      <c r="K1054" s="415"/>
      <c r="L1054" s="417"/>
      <c r="M1054" s="420"/>
      <c r="N1054" s="403"/>
      <c r="O1054" s="403"/>
      <c r="P1054" s="420"/>
      <c r="Q1054" s="420"/>
      <c r="R1054" s="420"/>
      <c r="S1054" s="420"/>
      <c r="T1054" s="420"/>
      <c r="U1054" s="420"/>
      <c r="V1054" s="420"/>
      <c r="W1054" s="420"/>
      <c r="X1054" s="420"/>
      <c r="Y1054" s="420"/>
      <c r="Z1054" s="420"/>
      <c r="AA1054" s="420"/>
      <c r="AB1054" s="420"/>
      <c r="AC1054" s="420"/>
      <c r="AD1054" s="420"/>
      <c r="AE1054" s="420"/>
      <c r="AF1054" s="420"/>
      <c r="AG1054" s="420"/>
      <c r="AH1054" s="420"/>
      <c r="AI1054" s="420"/>
      <c r="AJ1054" s="420"/>
      <c r="AK1054" s="420"/>
      <c r="AL1054" s="420"/>
      <c r="AM1054" s="420"/>
      <c r="AN1054" s="420"/>
      <c r="AO1054" s="420"/>
      <c r="AP1054" s="420"/>
      <c r="AQ1054" s="420"/>
      <c r="AR1054" s="403"/>
      <c r="AS1054" s="403"/>
      <c r="AT1054" s="403"/>
      <c r="AU1054" s="403"/>
      <c r="AV1054" s="403"/>
      <c r="AW1054" s="403"/>
      <c r="AX1054" s="403"/>
      <c r="AY1054" s="403"/>
    </row>
    <row r="1055">
      <c r="A1055" s="415"/>
      <c r="B1055" s="415"/>
      <c r="C1055" s="410"/>
      <c r="D1055" s="429"/>
      <c r="E1055" s="416"/>
      <c r="F1055" s="413"/>
      <c r="G1055" s="413"/>
      <c r="H1055" s="415"/>
      <c r="I1055" s="415"/>
      <c r="J1055" s="415"/>
      <c r="K1055" s="415"/>
      <c r="L1055" s="417"/>
      <c r="M1055" s="420"/>
      <c r="N1055" s="403"/>
      <c r="O1055" s="403"/>
      <c r="P1055" s="420"/>
      <c r="Q1055" s="420"/>
      <c r="R1055" s="420"/>
      <c r="S1055" s="420"/>
      <c r="T1055" s="420"/>
      <c r="U1055" s="420"/>
      <c r="V1055" s="420"/>
      <c r="W1055" s="420"/>
      <c r="X1055" s="420"/>
      <c r="Y1055" s="420"/>
      <c r="Z1055" s="420"/>
      <c r="AA1055" s="420"/>
      <c r="AB1055" s="420"/>
      <c r="AC1055" s="420"/>
      <c r="AD1055" s="420"/>
      <c r="AE1055" s="420"/>
      <c r="AF1055" s="420"/>
      <c r="AG1055" s="420"/>
      <c r="AH1055" s="420"/>
      <c r="AI1055" s="420"/>
      <c r="AJ1055" s="420"/>
      <c r="AK1055" s="420"/>
      <c r="AL1055" s="420"/>
      <c r="AM1055" s="420"/>
      <c r="AN1055" s="420"/>
      <c r="AO1055" s="420"/>
      <c r="AP1055" s="420"/>
      <c r="AQ1055" s="420"/>
      <c r="AR1055" s="403"/>
      <c r="AS1055" s="403"/>
      <c r="AT1055" s="403"/>
      <c r="AU1055" s="403"/>
      <c r="AV1055" s="403"/>
      <c r="AW1055" s="403"/>
      <c r="AX1055" s="403"/>
      <c r="AY1055" s="403"/>
    </row>
    <row r="1056">
      <c r="A1056" s="415"/>
      <c r="B1056" s="415"/>
      <c r="C1056" s="410"/>
      <c r="D1056" s="429"/>
      <c r="E1056" s="416"/>
      <c r="F1056" s="413"/>
      <c r="G1056" s="413"/>
      <c r="H1056" s="415"/>
      <c r="I1056" s="415"/>
      <c r="J1056" s="415"/>
      <c r="K1056" s="415"/>
      <c r="L1056" s="417"/>
      <c r="M1056" s="420"/>
      <c r="N1056" s="403"/>
      <c r="O1056" s="403"/>
      <c r="P1056" s="420"/>
      <c r="Q1056" s="420"/>
      <c r="R1056" s="420"/>
      <c r="S1056" s="420"/>
      <c r="T1056" s="420"/>
      <c r="U1056" s="420"/>
      <c r="V1056" s="420"/>
      <c r="W1056" s="420"/>
      <c r="X1056" s="420"/>
      <c r="Y1056" s="420"/>
      <c r="Z1056" s="420"/>
      <c r="AA1056" s="420"/>
      <c r="AB1056" s="420"/>
      <c r="AC1056" s="420"/>
      <c r="AD1056" s="420"/>
      <c r="AE1056" s="420"/>
      <c r="AF1056" s="420"/>
      <c r="AG1056" s="420"/>
      <c r="AH1056" s="420"/>
      <c r="AI1056" s="420"/>
      <c r="AJ1056" s="420"/>
      <c r="AK1056" s="420"/>
      <c r="AL1056" s="420"/>
      <c r="AM1056" s="420"/>
      <c r="AN1056" s="420"/>
      <c r="AO1056" s="420"/>
      <c r="AP1056" s="420"/>
      <c r="AQ1056" s="420"/>
      <c r="AR1056" s="403"/>
      <c r="AS1056" s="403"/>
      <c r="AT1056" s="403"/>
      <c r="AU1056" s="403"/>
      <c r="AV1056" s="403"/>
      <c r="AW1056" s="403"/>
      <c r="AX1056" s="403"/>
      <c r="AY1056" s="403"/>
    </row>
    <row r="1057">
      <c r="A1057" s="415"/>
      <c r="B1057" s="415"/>
      <c r="C1057" s="410"/>
      <c r="D1057" s="429"/>
      <c r="E1057" s="416"/>
      <c r="F1057" s="413"/>
      <c r="G1057" s="413"/>
      <c r="H1057" s="415"/>
      <c r="I1057" s="415"/>
      <c r="J1057" s="415"/>
      <c r="K1057" s="415"/>
      <c r="L1057" s="417"/>
      <c r="M1057" s="420"/>
      <c r="N1057" s="403"/>
      <c r="O1057" s="403"/>
      <c r="P1057" s="420"/>
      <c r="Q1057" s="420"/>
      <c r="R1057" s="420"/>
      <c r="S1057" s="420"/>
      <c r="T1057" s="420"/>
      <c r="U1057" s="420"/>
      <c r="V1057" s="420"/>
      <c r="W1057" s="420"/>
      <c r="X1057" s="420"/>
      <c r="Y1057" s="420"/>
      <c r="Z1057" s="420"/>
      <c r="AA1057" s="420"/>
      <c r="AB1057" s="420"/>
      <c r="AC1057" s="420"/>
      <c r="AD1057" s="420"/>
      <c r="AE1057" s="420"/>
      <c r="AF1057" s="420"/>
      <c r="AG1057" s="420"/>
      <c r="AH1057" s="420"/>
      <c r="AI1057" s="420"/>
      <c r="AJ1057" s="420"/>
      <c r="AK1057" s="420"/>
      <c r="AL1057" s="420"/>
      <c r="AM1057" s="420"/>
      <c r="AN1057" s="420"/>
      <c r="AO1057" s="420"/>
      <c r="AP1057" s="420"/>
      <c r="AQ1057" s="420"/>
      <c r="AR1057" s="403"/>
      <c r="AS1057" s="403"/>
      <c r="AT1057" s="403"/>
      <c r="AU1057" s="403"/>
      <c r="AV1057" s="403"/>
      <c r="AW1057" s="403"/>
      <c r="AX1057" s="403"/>
      <c r="AY1057" s="403"/>
    </row>
    <row r="1058">
      <c r="A1058" s="415"/>
      <c r="B1058" s="415"/>
      <c r="C1058" s="410"/>
      <c r="D1058" s="429"/>
      <c r="E1058" s="416"/>
      <c r="F1058" s="413"/>
      <c r="G1058" s="413"/>
      <c r="H1058" s="415"/>
      <c r="I1058" s="415"/>
      <c r="J1058" s="415"/>
      <c r="K1058" s="415"/>
      <c r="L1058" s="417"/>
      <c r="M1058" s="420"/>
      <c r="N1058" s="403"/>
      <c r="O1058" s="403"/>
      <c r="P1058" s="420"/>
      <c r="Q1058" s="420"/>
      <c r="R1058" s="420"/>
      <c r="S1058" s="420"/>
      <c r="T1058" s="420"/>
      <c r="U1058" s="420"/>
      <c r="V1058" s="420"/>
      <c r="W1058" s="420"/>
      <c r="X1058" s="420"/>
      <c r="Y1058" s="420"/>
      <c r="Z1058" s="420"/>
      <c r="AA1058" s="420"/>
      <c r="AB1058" s="420"/>
      <c r="AC1058" s="420"/>
      <c r="AD1058" s="420"/>
      <c r="AE1058" s="420"/>
      <c r="AF1058" s="420"/>
      <c r="AG1058" s="420"/>
      <c r="AH1058" s="420"/>
      <c r="AI1058" s="420"/>
      <c r="AJ1058" s="420"/>
      <c r="AK1058" s="420"/>
      <c r="AL1058" s="420"/>
      <c r="AM1058" s="420"/>
      <c r="AN1058" s="420"/>
      <c r="AO1058" s="420"/>
      <c r="AP1058" s="420"/>
      <c r="AQ1058" s="420"/>
      <c r="AR1058" s="403"/>
      <c r="AS1058" s="403"/>
      <c r="AT1058" s="403"/>
      <c r="AU1058" s="403"/>
      <c r="AV1058" s="403"/>
      <c r="AW1058" s="403"/>
      <c r="AX1058" s="403"/>
      <c r="AY1058" s="403"/>
    </row>
    <row r="1059">
      <c r="A1059" s="415"/>
      <c r="B1059" s="415"/>
      <c r="C1059" s="410"/>
      <c r="D1059" s="429"/>
      <c r="E1059" s="416"/>
      <c r="F1059" s="413"/>
      <c r="G1059" s="413"/>
      <c r="H1059" s="415"/>
      <c r="I1059" s="415"/>
      <c r="J1059" s="415"/>
      <c r="K1059" s="415"/>
      <c r="L1059" s="417"/>
      <c r="M1059" s="420"/>
      <c r="N1059" s="403"/>
      <c r="O1059" s="403"/>
      <c r="P1059" s="420"/>
      <c r="Q1059" s="420"/>
      <c r="R1059" s="420"/>
      <c r="S1059" s="420"/>
      <c r="T1059" s="420"/>
      <c r="U1059" s="420"/>
      <c r="V1059" s="420"/>
      <c r="W1059" s="420"/>
      <c r="X1059" s="420"/>
      <c r="Y1059" s="420"/>
      <c r="Z1059" s="420"/>
      <c r="AA1059" s="420"/>
      <c r="AB1059" s="420"/>
      <c r="AC1059" s="420"/>
      <c r="AD1059" s="420"/>
      <c r="AE1059" s="420"/>
      <c r="AF1059" s="420"/>
      <c r="AG1059" s="420"/>
      <c r="AH1059" s="420"/>
      <c r="AI1059" s="420"/>
      <c r="AJ1059" s="420"/>
      <c r="AK1059" s="420"/>
      <c r="AL1059" s="420"/>
      <c r="AM1059" s="420"/>
      <c r="AN1059" s="420"/>
      <c r="AO1059" s="420"/>
      <c r="AP1059" s="420"/>
      <c r="AQ1059" s="420"/>
      <c r="AR1059" s="403"/>
      <c r="AS1059" s="403"/>
      <c r="AT1059" s="403"/>
      <c r="AU1059" s="403"/>
      <c r="AV1059" s="403"/>
      <c r="AW1059" s="403"/>
      <c r="AX1059" s="403"/>
      <c r="AY1059" s="403"/>
    </row>
    <row r="1060">
      <c r="A1060" s="415"/>
      <c r="B1060" s="415"/>
      <c r="C1060" s="410"/>
      <c r="D1060" s="429"/>
      <c r="E1060" s="416"/>
      <c r="F1060" s="413"/>
      <c r="G1060" s="413"/>
      <c r="H1060" s="415"/>
      <c r="I1060" s="415"/>
      <c r="J1060" s="415"/>
      <c r="K1060" s="415"/>
      <c r="L1060" s="417"/>
      <c r="M1060" s="420"/>
      <c r="N1060" s="403"/>
      <c r="O1060" s="403"/>
      <c r="P1060" s="420"/>
      <c r="Q1060" s="420"/>
      <c r="R1060" s="420"/>
      <c r="S1060" s="420"/>
      <c r="T1060" s="420"/>
      <c r="U1060" s="420"/>
      <c r="V1060" s="420"/>
      <c r="W1060" s="420"/>
      <c r="X1060" s="420"/>
      <c r="Y1060" s="420"/>
      <c r="Z1060" s="420"/>
      <c r="AA1060" s="420"/>
      <c r="AB1060" s="420"/>
      <c r="AC1060" s="420"/>
      <c r="AD1060" s="420"/>
      <c r="AE1060" s="420"/>
      <c r="AF1060" s="420"/>
      <c r="AG1060" s="420"/>
      <c r="AH1060" s="420"/>
      <c r="AI1060" s="420"/>
      <c r="AJ1060" s="420"/>
      <c r="AK1060" s="420"/>
      <c r="AL1060" s="420"/>
      <c r="AM1060" s="420"/>
      <c r="AN1060" s="420"/>
      <c r="AO1060" s="420"/>
      <c r="AP1060" s="420"/>
      <c r="AQ1060" s="420"/>
      <c r="AR1060" s="403"/>
      <c r="AS1060" s="403"/>
      <c r="AT1060" s="403"/>
      <c r="AU1060" s="403"/>
      <c r="AV1060" s="403"/>
      <c r="AW1060" s="403"/>
      <c r="AX1060" s="403"/>
      <c r="AY1060" s="403"/>
    </row>
    <row r="1061">
      <c r="A1061" s="415"/>
      <c r="B1061" s="415"/>
      <c r="C1061" s="410"/>
      <c r="D1061" s="429"/>
      <c r="E1061" s="416"/>
      <c r="F1061" s="413"/>
      <c r="G1061" s="413"/>
      <c r="H1061" s="415"/>
      <c r="I1061" s="415"/>
      <c r="J1061" s="415"/>
      <c r="K1061" s="415"/>
      <c r="L1061" s="417"/>
      <c r="M1061" s="420"/>
      <c r="N1061" s="403"/>
      <c r="O1061" s="403"/>
      <c r="P1061" s="420"/>
      <c r="Q1061" s="420"/>
      <c r="R1061" s="420"/>
      <c r="S1061" s="420"/>
      <c r="T1061" s="420"/>
      <c r="U1061" s="420"/>
      <c r="V1061" s="420"/>
      <c r="W1061" s="420"/>
      <c r="X1061" s="420"/>
      <c r="Y1061" s="420"/>
      <c r="Z1061" s="420"/>
      <c r="AA1061" s="420"/>
      <c r="AB1061" s="420"/>
      <c r="AC1061" s="420"/>
      <c r="AD1061" s="420"/>
      <c r="AE1061" s="420"/>
      <c r="AF1061" s="420"/>
      <c r="AG1061" s="420"/>
      <c r="AH1061" s="420"/>
      <c r="AI1061" s="420"/>
      <c r="AJ1061" s="420"/>
      <c r="AK1061" s="420"/>
      <c r="AL1061" s="420"/>
      <c r="AM1061" s="420"/>
      <c r="AN1061" s="420"/>
      <c r="AO1061" s="420"/>
      <c r="AP1061" s="420"/>
      <c r="AQ1061" s="420"/>
      <c r="AR1061" s="403"/>
      <c r="AS1061" s="403"/>
      <c r="AT1061" s="403"/>
      <c r="AU1061" s="403"/>
      <c r="AV1061" s="403"/>
      <c r="AW1061" s="403"/>
      <c r="AX1061" s="403"/>
      <c r="AY1061" s="403"/>
    </row>
    <row r="1062">
      <c r="A1062" s="415"/>
      <c r="B1062" s="415"/>
      <c r="C1062" s="410"/>
      <c r="D1062" s="429"/>
      <c r="E1062" s="416"/>
      <c r="F1062" s="413"/>
      <c r="G1062" s="413"/>
      <c r="H1062" s="415"/>
      <c r="I1062" s="415"/>
      <c r="J1062" s="415"/>
      <c r="K1062" s="415"/>
      <c r="L1062" s="417"/>
      <c r="M1062" s="420"/>
      <c r="N1062" s="403"/>
      <c r="O1062" s="403"/>
      <c r="P1062" s="420"/>
      <c r="Q1062" s="420"/>
      <c r="R1062" s="420"/>
      <c r="S1062" s="420"/>
      <c r="T1062" s="420"/>
      <c r="U1062" s="420"/>
      <c r="V1062" s="420"/>
      <c r="W1062" s="420"/>
      <c r="X1062" s="420"/>
      <c r="Y1062" s="420"/>
      <c r="Z1062" s="420"/>
      <c r="AA1062" s="420"/>
      <c r="AB1062" s="420"/>
      <c r="AC1062" s="420"/>
      <c r="AD1062" s="420"/>
      <c r="AE1062" s="420"/>
      <c r="AF1062" s="420"/>
      <c r="AG1062" s="420"/>
      <c r="AH1062" s="420"/>
      <c r="AI1062" s="420"/>
      <c r="AJ1062" s="420"/>
      <c r="AK1062" s="420"/>
      <c r="AL1062" s="420"/>
      <c r="AM1062" s="420"/>
      <c r="AN1062" s="420"/>
      <c r="AO1062" s="420"/>
      <c r="AP1062" s="420"/>
      <c r="AQ1062" s="420"/>
      <c r="AR1062" s="403"/>
      <c r="AS1062" s="403"/>
      <c r="AT1062" s="403"/>
      <c r="AU1062" s="403"/>
      <c r="AV1062" s="403"/>
      <c r="AW1062" s="403"/>
      <c r="AX1062" s="403"/>
      <c r="AY1062" s="403"/>
    </row>
    <row r="1063">
      <c r="A1063" s="415"/>
      <c r="B1063" s="415"/>
      <c r="C1063" s="410"/>
      <c r="D1063" s="429"/>
      <c r="E1063" s="416"/>
      <c r="F1063" s="413"/>
      <c r="G1063" s="413"/>
      <c r="H1063" s="415"/>
      <c r="I1063" s="415"/>
      <c r="J1063" s="415"/>
      <c r="K1063" s="415"/>
      <c r="L1063" s="417"/>
      <c r="M1063" s="420"/>
      <c r="N1063" s="403"/>
      <c r="O1063" s="403"/>
      <c r="P1063" s="420"/>
      <c r="Q1063" s="420"/>
      <c r="R1063" s="420"/>
      <c r="S1063" s="420"/>
      <c r="T1063" s="420"/>
      <c r="U1063" s="420"/>
      <c r="V1063" s="420"/>
      <c r="W1063" s="420"/>
      <c r="X1063" s="420"/>
      <c r="Y1063" s="420"/>
      <c r="Z1063" s="420"/>
      <c r="AA1063" s="420"/>
      <c r="AB1063" s="420"/>
      <c r="AC1063" s="420"/>
      <c r="AD1063" s="420"/>
      <c r="AE1063" s="420"/>
      <c r="AF1063" s="420"/>
      <c r="AG1063" s="420"/>
      <c r="AH1063" s="420"/>
      <c r="AI1063" s="420"/>
      <c r="AJ1063" s="420"/>
      <c r="AK1063" s="420"/>
      <c r="AL1063" s="420"/>
      <c r="AM1063" s="420"/>
      <c r="AN1063" s="420"/>
      <c r="AO1063" s="420"/>
      <c r="AP1063" s="420"/>
      <c r="AQ1063" s="420"/>
      <c r="AR1063" s="403"/>
      <c r="AS1063" s="403"/>
      <c r="AT1063" s="403"/>
      <c r="AU1063" s="403"/>
      <c r="AV1063" s="403"/>
      <c r="AW1063" s="403"/>
      <c r="AX1063" s="403"/>
      <c r="AY1063" s="403"/>
    </row>
    <row r="1064">
      <c r="A1064" s="415"/>
      <c r="B1064" s="415"/>
      <c r="C1064" s="410"/>
      <c r="D1064" s="429"/>
      <c r="E1064" s="416"/>
      <c r="F1064" s="413"/>
      <c r="G1064" s="413"/>
      <c r="H1064" s="415"/>
      <c r="I1064" s="415"/>
      <c r="J1064" s="415"/>
      <c r="K1064" s="415"/>
      <c r="L1064" s="417"/>
      <c r="M1064" s="420"/>
      <c r="N1064" s="403"/>
      <c r="O1064" s="403"/>
      <c r="P1064" s="420"/>
      <c r="Q1064" s="420"/>
      <c r="R1064" s="420"/>
      <c r="S1064" s="420"/>
      <c r="T1064" s="420"/>
      <c r="U1064" s="420"/>
      <c r="V1064" s="420"/>
      <c r="W1064" s="420"/>
      <c r="X1064" s="420"/>
      <c r="Y1064" s="420"/>
      <c r="Z1064" s="420"/>
      <c r="AA1064" s="420"/>
      <c r="AB1064" s="420"/>
      <c r="AC1064" s="420"/>
      <c r="AD1064" s="420"/>
      <c r="AE1064" s="420"/>
      <c r="AF1064" s="420"/>
      <c r="AG1064" s="420"/>
      <c r="AH1064" s="420"/>
      <c r="AI1064" s="420"/>
      <c r="AJ1064" s="420"/>
      <c r="AK1064" s="420"/>
      <c r="AL1064" s="420"/>
      <c r="AM1064" s="420"/>
      <c r="AN1064" s="420"/>
      <c r="AO1064" s="420"/>
      <c r="AP1064" s="420"/>
      <c r="AQ1064" s="420"/>
      <c r="AR1064" s="403"/>
      <c r="AS1064" s="403"/>
      <c r="AT1064" s="403"/>
      <c r="AU1064" s="403"/>
      <c r="AV1064" s="403"/>
      <c r="AW1064" s="403"/>
      <c r="AX1064" s="403"/>
      <c r="AY1064" s="403"/>
    </row>
    <row r="1065">
      <c r="A1065" s="415"/>
      <c r="B1065" s="415"/>
      <c r="C1065" s="410"/>
      <c r="D1065" s="429"/>
      <c r="E1065" s="416"/>
      <c r="F1065" s="413"/>
      <c r="G1065" s="413"/>
      <c r="H1065" s="415"/>
      <c r="I1065" s="415"/>
      <c r="J1065" s="415"/>
      <c r="K1065" s="415"/>
      <c r="L1065" s="417"/>
      <c r="M1065" s="420"/>
      <c r="N1065" s="403"/>
      <c r="O1065" s="403"/>
      <c r="P1065" s="420"/>
      <c r="Q1065" s="420"/>
      <c r="R1065" s="420"/>
      <c r="S1065" s="420"/>
      <c r="T1065" s="420"/>
      <c r="U1065" s="420"/>
      <c r="V1065" s="420"/>
      <c r="W1065" s="420"/>
      <c r="X1065" s="420"/>
      <c r="Y1065" s="420"/>
      <c r="Z1065" s="420"/>
      <c r="AA1065" s="420"/>
      <c r="AB1065" s="420"/>
      <c r="AC1065" s="420"/>
      <c r="AD1065" s="420"/>
      <c r="AE1065" s="420"/>
      <c r="AF1065" s="420"/>
      <c r="AG1065" s="420"/>
      <c r="AH1065" s="420"/>
      <c r="AI1065" s="420"/>
      <c r="AJ1065" s="420"/>
      <c r="AK1065" s="420"/>
      <c r="AL1065" s="420"/>
      <c r="AM1065" s="420"/>
      <c r="AN1065" s="420"/>
      <c r="AO1065" s="420"/>
      <c r="AP1065" s="420"/>
      <c r="AQ1065" s="420"/>
      <c r="AR1065" s="403"/>
      <c r="AS1065" s="403"/>
      <c r="AT1065" s="403"/>
      <c r="AU1065" s="403"/>
      <c r="AV1065" s="403"/>
      <c r="AW1065" s="403"/>
      <c r="AX1065" s="403"/>
      <c r="AY1065" s="403"/>
    </row>
    <row r="1066">
      <c r="A1066" s="415"/>
      <c r="B1066" s="415"/>
      <c r="C1066" s="410"/>
      <c r="D1066" s="429"/>
      <c r="E1066" s="416"/>
      <c r="F1066" s="413"/>
      <c r="G1066" s="413"/>
      <c r="H1066" s="415"/>
      <c r="I1066" s="415"/>
      <c r="J1066" s="415"/>
      <c r="K1066" s="415"/>
      <c r="L1066" s="417"/>
      <c r="M1066" s="420"/>
      <c r="N1066" s="420"/>
      <c r="O1066" s="420"/>
      <c r="P1066" s="420"/>
      <c r="Q1066" s="420"/>
      <c r="R1066" s="420"/>
      <c r="S1066" s="420"/>
      <c r="T1066" s="420"/>
      <c r="U1066" s="420"/>
      <c r="V1066" s="420"/>
      <c r="W1066" s="420"/>
      <c r="X1066" s="420"/>
      <c r="Y1066" s="420"/>
      <c r="Z1066" s="420"/>
      <c r="AA1066" s="420"/>
      <c r="AB1066" s="420"/>
      <c r="AC1066" s="420"/>
      <c r="AD1066" s="420"/>
      <c r="AE1066" s="420"/>
      <c r="AF1066" s="420"/>
      <c r="AG1066" s="420"/>
      <c r="AH1066" s="420"/>
      <c r="AI1066" s="420"/>
      <c r="AJ1066" s="420"/>
      <c r="AK1066" s="420"/>
      <c r="AL1066" s="420"/>
      <c r="AM1066" s="420"/>
      <c r="AN1066" s="420"/>
      <c r="AO1066" s="420"/>
      <c r="AP1066" s="420"/>
      <c r="AQ1066" s="420"/>
      <c r="AR1066" s="403"/>
      <c r="AS1066" s="403"/>
      <c r="AT1066" s="403"/>
      <c r="AU1066" s="403"/>
      <c r="AV1066" s="403"/>
      <c r="AW1066" s="403"/>
      <c r="AX1066" s="403"/>
      <c r="AY1066" s="403"/>
    </row>
    <row r="1067">
      <c r="A1067" s="415"/>
      <c r="B1067" s="415"/>
      <c r="C1067" s="410"/>
      <c r="D1067" s="429"/>
      <c r="E1067" s="416"/>
      <c r="F1067" s="413"/>
      <c r="G1067" s="413"/>
      <c r="H1067" s="415"/>
      <c r="I1067" s="415"/>
      <c r="J1067" s="415"/>
      <c r="K1067" s="415"/>
      <c r="L1067" s="417"/>
      <c r="M1067" s="420"/>
      <c r="N1067" s="420"/>
      <c r="O1067" s="420"/>
      <c r="P1067" s="420"/>
      <c r="Q1067" s="420"/>
      <c r="R1067" s="420"/>
      <c r="S1067" s="420"/>
      <c r="T1067" s="420"/>
      <c r="U1067" s="420"/>
      <c r="V1067" s="420"/>
      <c r="W1067" s="420"/>
      <c r="X1067" s="420"/>
      <c r="Y1067" s="420"/>
      <c r="Z1067" s="420"/>
      <c r="AA1067" s="420"/>
      <c r="AB1067" s="420"/>
      <c r="AC1067" s="420"/>
      <c r="AD1067" s="420"/>
      <c r="AE1067" s="420"/>
      <c r="AF1067" s="420"/>
      <c r="AG1067" s="420"/>
      <c r="AH1067" s="420"/>
      <c r="AI1067" s="420"/>
      <c r="AJ1067" s="420"/>
      <c r="AK1067" s="420"/>
      <c r="AL1067" s="420"/>
      <c r="AM1067" s="420"/>
      <c r="AN1067" s="420"/>
      <c r="AO1067" s="420"/>
      <c r="AP1067" s="420"/>
      <c r="AQ1067" s="420"/>
      <c r="AR1067" s="403"/>
      <c r="AS1067" s="403"/>
      <c r="AT1067" s="403"/>
      <c r="AU1067" s="403"/>
      <c r="AV1067" s="403"/>
      <c r="AW1067" s="403"/>
      <c r="AX1067" s="403"/>
      <c r="AY1067" s="403"/>
    </row>
    <row r="1068">
      <c r="A1068" s="415"/>
      <c r="B1068" s="415"/>
      <c r="C1068" s="410"/>
      <c r="D1068" s="429"/>
      <c r="E1068" s="416"/>
      <c r="F1068" s="413"/>
      <c r="G1068" s="413"/>
      <c r="H1068" s="415"/>
      <c r="I1068" s="415"/>
      <c r="J1068" s="415"/>
      <c r="K1068" s="415"/>
      <c r="L1068" s="417"/>
      <c r="M1068" s="420"/>
      <c r="N1068" s="420"/>
      <c r="O1068" s="420"/>
      <c r="P1068" s="420"/>
      <c r="Q1068" s="420"/>
      <c r="R1068" s="420"/>
      <c r="S1068" s="420"/>
      <c r="T1068" s="420"/>
      <c r="U1068" s="420"/>
      <c r="V1068" s="420"/>
      <c r="W1068" s="420"/>
      <c r="X1068" s="420"/>
      <c r="Y1068" s="420"/>
      <c r="Z1068" s="420"/>
      <c r="AA1068" s="420"/>
      <c r="AB1068" s="420"/>
      <c r="AC1068" s="420"/>
      <c r="AD1068" s="420"/>
      <c r="AE1068" s="420"/>
      <c r="AF1068" s="420"/>
      <c r="AG1068" s="420"/>
      <c r="AH1068" s="420"/>
      <c r="AI1068" s="420"/>
      <c r="AJ1068" s="420"/>
      <c r="AK1068" s="420"/>
      <c r="AL1068" s="420"/>
      <c r="AM1068" s="420"/>
      <c r="AN1068" s="420"/>
      <c r="AO1068" s="420"/>
      <c r="AP1068" s="420"/>
      <c r="AQ1068" s="420"/>
      <c r="AR1068" s="403"/>
      <c r="AS1068" s="403"/>
      <c r="AT1068" s="403"/>
      <c r="AU1068" s="403"/>
      <c r="AV1068" s="403"/>
      <c r="AW1068" s="403"/>
      <c r="AX1068" s="403"/>
      <c r="AY1068" s="403"/>
    </row>
    <row r="1069">
      <c r="A1069" s="415"/>
      <c r="B1069" s="415"/>
      <c r="C1069" s="410"/>
      <c r="D1069" s="429"/>
      <c r="E1069" s="416"/>
      <c r="F1069" s="413"/>
      <c r="G1069" s="413"/>
      <c r="H1069" s="415"/>
      <c r="I1069" s="415"/>
      <c r="J1069" s="415"/>
      <c r="K1069" s="415"/>
      <c r="L1069" s="417"/>
      <c r="M1069" s="420"/>
      <c r="N1069" s="420"/>
      <c r="O1069" s="420"/>
      <c r="P1069" s="420"/>
      <c r="Q1069" s="420"/>
      <c r="R1069" s="420"/>
      <c r="S1069" s="420"/>
      <c r="T1069" s="420"/>
      <c r="U1069" s="420"/>
      <c r="V1069" s="420"/>
      <c r="W1069" s="420"/>
      <c r="X1069" s="420"/>
      <c r="Y1069" s="420"/>
      <c r="Z1069" s="420"/>
      <c r="AA1069" s="420"/>
      <c r="AB1069" s="420"/>
      <c r="AC1069" s="420"/>
      <c r="AD1069" s="420"/>
      <c r="AE1069" s="420"/>
      <c r="AF1069" s="420"/>
      <c r="AG1069" s="420"/>
      <c r="AH1069" s="420"/>
      <c r="AI1069" s="420"/>
      <c r="AJ1069" s="420"/>
      <c r="AK1069" s="420"/>
      <c r="AL1069" s="420"/>
      <c r="AM1069" s="420"/>
      <c r="AN1069" s="420"/>
      <c r="AO1069" s="420"/>
      <c r="AP1069" s="420"/>
      <c r="AQ1069" s="420"/>
      <c r="AR1069" s="403"/>
      <c r="AS1069" s="403"/>
      <c r="AT1069" s="403"/>
      <c r="AU1069" s="403"/>
      <c r="AV1069" s="403"/>
      <c r="AW1069" s="403"/>
      <c r="AX1069" s="403"/>
      <c r="AY1069" s="403"/>
    </row>
    <row r="1070">
      <c r="A1070" s="415"/>
      <c r="B1070" s="415"/>
      <c r="C1070" s="410"/>
      <c r="D1070" s="429"/>
      <c r="E1070" s="416"/>
      <c r="F1070" s="413"/>
      <c r="G1070" s="413"/>
      <c r="H1070" s="415"/>
      <c r="I1070" s="415"/>
      <c r="J1070" s="415"/>
      <c r="K1070" s="415"/>
      <c r="L1070" s="417"/>
      <c r="M1070" s="420"/>
      <c r="N1070" s="420"/>
      <c r="O1070" s="420"/>
      <c r="P1070" s="420"/>
      <c r="Q1070" s="420"/>
      <c r="R1070" s="420"/>
      <c r="S1070" s="420"/>
      <c r="T1070" s="420"/>
      <c r="U1070" s="420"/>
      <c r="V1070" s="420"/>
      <c r="W1070" s="420"/>
      <c r="X1070" s="420"/>
      <c r="Y1070" s="420"/>
      <c r="Z1070" s="420"/>
      <c r="AA1070" s="420"/>
      <c r="AB1070" s="420"/>
      <c r="AC1070" s="420"/>
      <c r="AD1070" s="420"/>
      <c r="AE1070" s="420"/>
      <c r="AF1070" s="420"/>
      <c r="AG1070" s="420"/>
      <c r="AH1070" s="420"/>
      <c r="AI1070" s="420"/>
      <c r="AJ1070" s="420"/>
      <c r="AK1070" s="420"/>
      <c r="AL1070" s="420"/>
      <c r="AM1070" s="420"/>
      <c r="AN1070" s="420"/>
      <c r="AO1070" s="420"/>
      <c r="AP1070" s="420"/>
      <c r="AQ1070" s="420"/>
      <c r="AR1070" s="403"/>
      <c r="AS1070" s="403"/>
      <c r="AT1070" s="403"/>
      <c r="AU1070" s="403"/>
      <c r="AV1070" s="403"/>
      <c r="AW1070" s="403"/>
      <c r="AX1070" s="403"/>
      <c r="AY1070" s="403"/>
    </row>
    <row r="1071">
      <c r="A1071" s="415"/>
      <c r="B1071" s="415"/>
      <c r="C1071" s="410"/>
      <c r="D1071" s="429"/>
      <c r="E1071" s="416"/>
      <c r="F1071" s="413"/>
      <c r="G1071" s="413"/>
      <c r="H1071" s="415"/>
      <c r="I1071" s="415"/>
      <c r="J1071" s="415"/>
      <c r="K1071" s="415"/>
      <c r="L1071" s="417"/>
      <c r="M1071" s="420"/>
      <c r="N1071" s="420"/>
      <c r="O1071" s="420"/>
      <c r="P1071" s="420"/>
      <c r="Q1071" s="420"/>
      <c r="R1071" s="420"/>
      <c r="S1071" s="420"/>
      <c r="T1071" s="420"/>
      <c r="U1071" s="420"/>
      <c r="V1071" s="420"/>
      <c r="W1071" s="420"/>
      <c r="X1071" s="420"/>
      <c r="Y1071" s="420"/>
      <c r="Z1071" s="420"/>
      <c r="AA1071" s="420"/>
      <c r="AB1071" s="420"/>
      <c r="AC1071" s="420"/>
      <c r="AD1071" s="420"/>
      <c r="AE1071" s="420"/>
      <c r="AF1071" s="420"/>
      <c r="AG1071" s="420"/>
      <c r="AH1071" s="420"/>
      <c r="AI1071" s="420"/>
      <c r="AJ1071" s="420"/>
      <c r="AK1071" s="420"/>
      <c r="AL1071" s="420"/>
      <c r="AM1071" s="420"/>
      <c r="AN1071" s="420"/>
      <c r="AO1071" s="420"/>
      <c r="AP1071" s="420"/>
      <c r="AQ1071" s="420"/>
      <c r="AR1071" s="403"/>
      <c r="AS1071" s="403"/>
      <c r="AT1071" s="403"/>
      <c r="AU1071" s="403"/>
      <c r="AV1071" s="403"/>
      <c r="AW1071" s="403"/>
      <c r="AX1071" s="403"/>
      <c r="AY1071" s="403"/>
    </row>
    <row r="1072">
      <c r="A1072" s="415"/>
      <c r="B1072" s="415"/>
      <c r="C1072" s="410"/>
      <c r="D1072" s="429"/>
      <c r="E1072" s="416"/>
      <c r="F1072" s="413"/>
      <c r="G1072" s="413"/>
      <c r="H1072" s="415"/>
      <c r="I1072" s="415"/>
      <c r="J1072" s="415"/>
      <c r="K1072" s="415"/>
      <c r="L1072" s="417"/>
      <c r="M1072" s="420"/>
      <c r="N1072" s="420"/>
      <c r="O1072" s="420"/>
      <c r="P1072" s="420"/>
      <c r="Q1072" s="420"/>
      <c r="R1072" s="420"/>
      <c r="S1072" s="420"/>
      <c r="T1072" s="420"/>
      <c r="U1072" s="420"/>
      <c r="V1072" s="420"/>
      <c r="W1072" s="420"/>
      <c r="X1072" s="420"/>
      <c r="Y1072" s="420"/>
      <c r="Z1072" s="420"/>
      <c r="AA1072" s="420"/>
      <c r="AB1072" s="420"/>
      <c r="AC1072" s="420"/>
      <c r="AD1072" s="420"/>
      <c r="AE1072" s="420"/>
      <c r="AF1072" s="420"/>
      <c r="AG1072" s="420"/>
      <c r="AH1072" s="420"/>
      <c r="AI1072" s="420"/>
      <c r="AJ1072" s="420"/>
      <c r="AK1072" s="420"/>
      <c r="AL1072" s="420"/>
      <c r="AM1072" s="420"/>
      <c r="AN1072" s="420"/>
      <c r="AO1072" s="420"/>
      <c r="AP1072" s="420"/>
      <c r="AQ1072" s="420"/>
      <c r="AR1072" s="403"/>
      <c r="AS1072" s="403"/>
      <c r="AT1072" s="403"/>
      <c r="AU1072" s="403"/>
      <c r="AV1072" s="403"/>
      <c r="AW1072" s="403"/>
      <c r="AX1072" s="403"/>
      <c r="AY1072" s="403"/>
    </row>
    <row r="1073">
      <c r="A1073" s="415"/>
      <c r="B1073" s="415"/>
      <c r="C1073" s="410"/>
      <c r="D1073" s="429"/>
      <c r="E1073" s="416"/>
      <c r="F1073" s="413"/>
      <c r="G1073" s="413"/>
      <c r="H1073" s="415"/>
      <c r="I1073" s="415"/>
      <c r="J1073" s="415"/>
      <c r="K1073" s="415"/>
      <c r="L1073" s="417"/>
      <c r="M1073" s="420"/>
      <c r="N1073" s="420"/>
      <c r="O1073" s="420"/>
      <c r="P1073" s="420"/>
      <c r="Q1073" s="420"/>
      <c r="R1073" s="420"/>
      <c r="S1073" s="420"/>
      <c r="T1073" s="420"/>
      <c r="U1073" s="420"/>
      <c r="V1073" s="420"/>
      <c r="W1073" s="420"/>
      <c r="X1073" s="420"/>
      <c r="Y1073" s="420"/>
      <c r="Z1073" s="420"/>
      <c r="AA1073" s="420"/>
      <c r="AB1073" s="420"/>
      <c r="AC1073" s="420"/>
      <c r="AD1073" s="420"/>
      <c r="AE1073" s="420"/>
      <c r="AF1073" s="420"/>
      <c r="AG1073" s="420"/>
      <c r="AH1073" s="420"/>
      <c r="AI1073" s="420"/>
      <c r="AJ1073" s="420"/>
      <c r="AK1073" s="420"/>
      <c r="AL1073" s="420"/>
      <c r="AM1073" s="420"/>
      <c r="AN1073" s="420"/>
      <c r="AO1073" s="420"/>
      <c r="AP1073" s="420"/>
      <c r="AQ1073" s="420"/>
      <c r="AR1073" s="403"/>
      <c r="AS1073" s="403"/>
      <c r="AT1073" s="403"/>
      <c r="AU1073" s="403"/>
      <c r="AV1073" s="403"/>
      <c r="AW1073" s="403"/>
      <c r="AX1073" s="403"/>
      <c r="AY1073" s="403"/>
    </row>
    <row r="1074">
      <c r="A1074" s="415"/>
      <c r="B1074" s="415"/>
      <c r="C1074" s="410"/>
      <c r="D1074" s="429"/>
      <c r="E1074" s="416"/>
      <c r="F1074" s="413"/>
      <c r="G1074" s="413"/>
      <c r="H1074" s="415"/>
      <c r="I1074" s="415"/>
      <c r="J1074" s="415"/>
      <c r="K1074" s="415"/>
      <c r="L1074" s="417"/>
      <c r="M1074" s="420"/>
      <c r="N1074" s="420"/>
      <c r="O1074" s="420"/>
      <c r="P1074" s="420"/>
      <c r="Q1074" s="420"/>
      <c r="R1074" s="420"/>
      <c r="S1074" s="420"/>
      <c r="T1074" s="420"/>
      <c r="U1074" s="420"/>
      <c r="V1074" s="420"/>
      <c r="W1074" s="420"/>
      <c r="X1074" s="420"/>
      <c r="Y1074" s="420"/>
      <c r="Z1074" s="420"/>
      <c r="AA1074" s="420"/>
      <c r="AB1074" s="420"/>
      <c r="AC1074" s="420"/>
      <c r="AD1074" s="420"/>
      <c r="AE1074" s="420"/>
      <c r="AF1074" s="420"/>
      <c r="AG1074" s="420"/>
      <c r="AH1074" s="420"/>
      <c r="AI1074" s="420"/>
      <c r="AJ1074" s="420"/>
      <c r="AK1074" s="420"/>
      <c r="AL1074" s="420"/>
      <c r="AM1074" s="420"/>
      <c r="AN1074" s="420"/>
      <c r="AO1074" s="420"/>
      <c r="AP1074" s="420"/>
      <c r="AQ1074" s="420"/>
      <c r="AR1074" s="403"/>
      <c r="AS1074" s="403"/>
      <c r="AT1074" s="403"/>
      <c r="AU1074" s="403"/>
      <c r="AV1074" s="403"/>
      <c r="AW1074" s="403"/>
      <c r="AX1074" s="403"/>
      <c r="AY1074" s="403"/>
    </row>
    <row r="1075">
      <c r="A1075" s="415"/>
      <c r="B1075" s="415"/>
      <c r="C1075" s="410"/>
      <c r="D1075" s="429"/>
      <c r="E1075" s="416"/>
      <c r="F1075" s="413"/>
      <c r="G1075" s="413"/>
      <c r="H1075" s="415"/>
      <c r="I1075" s="415"/>
      <c r="J1075" s="415"/>
      <c r="K1075" s="415"/>
      <c r="L1075" s="417"/>
      <c r="M1075" s="420"/>
      <c r="N1075" s="420"/>
      <c r="O1075" s="420"/>
      <c r="P1075" s="420"/>
      <c r="Q1075" s="420"/>
      <c r="R1075" s="420"/>
      <c r="S1075" s="420"/>
      <c r="T1075" s="420"/>
      <c r="U1075" s="420"/>
      <c r="V1075" s="420"/>
      <c r="W1075" s="420"/>
      <c r="X1075" s="420"/>
      <c r="Y1075" s="420"/>
      <c r="Z1075" s="420"/>
      <c r="AA1075" s="420"/>
      <c r="AB1075" s="420"/>
      <c r="AC1075" s="420"/>
      <c r="AD1075" s="420"/>
      <c r="AE1075" s="420"/>
      <c r="AF1075" s="420"/>
      <c r="AG1075" s="420"/>
      <c r="AH1075" s="420"/>
      <c r="AI1075" s="420"/>
      <c r="AJ1075" s="420"/>
      <c r="AK1075" s="420"/>
      <c r="AL1075" s="420"/>
      <c r="AM1075" s="420"/>
      <c r="AN1075" s="420"/>
      <c r="AO1075" s="420"/>
      <c r="AP1075" s="420"/>
      <c r="AQ1075" s="420"/>
      <c r="AR1075" s="403"/>
      <c r="AS1075" s="403"/>
      <c r="AT1075" s="403"/>
      <c r="AU1075" s="403"/>
      <c r="AV1075" s="403"/>
      <c r="AW1075" s="403"/>
      <c r="AX1075" s="403"/>
      <c r="AY1075" s="403"/>
    </row>
    <row r="1076">
      <c r="A1076" s="415"/>
      <c r="B1076" s="415"/>
      <c r="C1076" s="410"/>
      <c r="D1076" s="429"/>
      <c r="E1076" s="416"/>
      <c r="F1076" s="413"/>
      <c r="G1076" s="413"/>
      <c r="H1076" s="415"/>
      <c r="I1076" s="415"/>
      <c r="J1076" s="415"/>
      <c r="K1076" s="415"/>
      <c r="L1076" s="417"/>
      <c r="M1076" s="420"/>
      <c r="N1076" s="420"/>
      <c r="O1076" s="420"/>
      <c r="P1076" s="420"/>
      <c r="Q1076" s="420"/>
      <c r="R1076" s="420"/>
      <c r="S1076" s="420"/>
      <c r="T1076" s="420"/>
      <c r="U1076" s="420"/>
      <c r="V1076" s="420"/>
      <c r="W1076" s="420"/>
      <c r="X1076" s="420"/>
      <c r="Y1076" s="420"/>
      <c r="Z1076" s="420"/>
      <c r="AA1076" s="420"/>
      <c r="AB1076" s="420"/>
      <c r="AC1076" s="420"/>
      <c r="AD1076" s="420"/>
      <c r="AE1076" s="420"/>
      <c r="AF1076" s="420"/>
      <c r="AG1076" s="420"/>
      <c r="AH1076" s="420"/>
      <c r="AI1076" s="420"/>
      <c r="AJ1076" s="420"/>
      <c r="AK1076" s="420"/>
      <c r="AL1076" s="420"/>
      <c r="AM1076" s="420"/>
      <c r="AN1076" s="420"/>
      <c r="AO1076" s="420"/>
      <c r="AP1076" s="420"/>
      <c r="AQ1076" s="420"/>
      <c r="AR1076" s="403"/>
      <c r="AS1076" s="403"/>
      <c r="AT1076" s="403"/>
      <c r="AU1076" s="403"/>
      <c r="AV1076" s="403"/>
      <c r="AW1076" s="403"/>
      <c r="AX1076" s="403"/>
      <c r="AY1076" s="403"/>
    </row>
    <row r="1077">
      <c r="A1077" s="415"/>
      <c r="B1077" s="415"/>
      <c r="C1077" s="410"/>
      <c r="D1077" s="429"/>
      <c r="E1077" s="416"/>
      <c r="F1077" s="413"/>
      <c r="G1077" s="413"/>
      <c r="H1077" s="415"/>
      <c r="I1077" s="415"/>
      <c r="J1077" s="415"/>
      <c r="K1077" s="415"/>
      <c r="L1077" s="417"/>
      <c r="M1077" s="420"/>
      <c r="N1077" s="420"/>
      <c r="O1077" s="420"/>
      <c r="P1077" s="420"/>
      <c r="Q1077" s="420"/>
      <c r="R1077" s="420"/>
      <c r="S1077" s="420"/>
      <c r="T1077" s="420"/>
      <c r="U1077" s="420"/>
      <c r="V1077" s="420"/>
      <c r="W1077" s="420"/>
      <c r="X1077" s="420"/>
      <c r="Y1077" s="420"/>
      <c r="Z1077" s="420"/>
      <c r="AA1077" s="420"/>
      <c r="AB1077" s="420"/>
      <c r="AC1077" s="420"/>
      <c r="AD1077" s="420"/>
      <c r="AE1077" s="420"/>
      <c r="AF1077" s="420"/>
      <c r="AG1077" s="420"/>
      <c r="AH1077" s="420"/>
      <c r="AI1077" s="420"/>
      <c r="AJ1077" s="420"/>
      <c r="AK1077" s="420"/>
      <c r="AL1077" s="420"/>
      <c r="AM1077" s="420"/>
      <c r="AN1077" s="420"/>
      <c r="AO1077" s="420"/>
      <c r="AP1077" s="420"/>
      <c r="AQ1077" s="420"/>
      <c r="AR1077" s="403"/>
      <c r="AS1077" s="403"/>
      <c r="AT1077" s="403"/>
      <c r="AU1077" s="403"/>
      <c r="AV1077" s="403"/>
      <c r="AW1077" s="403"/>
      <c r="AX1077" s="403"/>
      <c r="AY1077" s="403"/>
    </row>
    <row r="1078">
      <c r="A1078" s="415"/>
      <c r="B1078" s="415"/>
      <c r="C1078" s="410"/>
      <c r="D1078" s="429"/>
      <c r="E1078" s="416"/>
      <c r="F1078" s="413"/>
      <c r="G1078" s="413"/>
      <c r="H1078" s="415"/>
      <c r="I1078" s="415"/>
      <c r="J1078" s="415"/>
      <c r="K1078" s="415"/>
      <c r="L1078" s="417"/>
      <c r="M1078" s="420"/>
      <c r="N1078" s="420"/>
      <c r="O1078" s="420"/>
      <c r="P1078" s="420"/>
      <c r="Q1078" s="420"/>
      <c r="R1078" s="420"/>
      <c r="S1078" s="420"/>
      <c r="T1078" s="420"/>
      <c r="U1078" s="420"/>
      <c r="V1078" s="420"/>
      <c r="W1078" s="420"/>
      <c r="X1078" s="420"/>
      <c r="Y1078" s="420"/>
      <c r="Z1078" s="420"/>
      <c r="AA1078" s="420"/>
      <c r="AB1078" s="420"/>
      <c r="AC1078" s="420"/>
      <c r="AD1078" s="420"/>
      <c r="AE1078" s="420"/>
      <c r="AF1078" s="420"/>
      <c r="AG1078" s="420"/>
      <c r="AH1078" s="420"/>
      <c r="AI1078" s="420"/>
      <c r="AJ1078" s="420"/>
      <c r="AK1078" s="420"/>
      <c r="AL1078" s="420"/>
      <c r="AM1078" s="420"/>
      <c r="AN1078" s="420"/>
      <c r="AO1078" s="420"/>
      <c r="AP1078" s="420"/>
      <c r="AQ1078" s="420"/>
      <c r="AR1078" s="403"/>
      <c r="AS1078" s="403"/>
      <c r="AT1078" s="403"/>
      <c r="AU1078" s="403"/>
      <c r="AV1078" s="403"/>
      <c r="AW1078" s="403"/>
      <c r="AX1078" s="403"/>
      <c r="AY1078" s="403"/>
    </row>
    <row r="1079">
      <c r="A1079" s="415"/>
      <c r="B1079" s="415"/>
      <c r="C1079" s="410"/>
      <c r="D1079" s="429"/>
      <c r="E1079" s="416"/>
      <c r="F1079" s="413"/>
      <c r="G1079" s="413"/>
      <c r="H1079" s="415"/>
      <c r="I1079" s="415"/>
      <c r="J1079" s="415"/>
      <c r="K1079" s="415"/>
      <c r="L1079" s="417"/>
      <c r="M1079" s="420"/>
      <c r="N1079" s="420"/>
      <c r="O1079" s="420"/>
      <c r="P1079" s="420"/>
      <c r="Q1079" s="420"/>
      <c r="R1079" s="420"/>
      <c r="S1079" s="420"/>
      <c r="T1079" s="420"/>
      <c r="U1079" s="420"/>
      <c r="V1079" s="420"/>
      <c r="W1079" s="420"/>
      <c r="X1079" s="420"/>
      <c r="Y1079" s="420"/>
      <c r="Z1079" s="420"/>
      <c r="AA1079" s="420"/>
      <c r="AB1079" s="420"/>
      <c r="AC1079" s="420"/>
      <c r="AD1079" s="420"/>
      <c r="AE1079" s="420"/>
      <c r="AF1079" s="420"/>
      <c r="AG1079" s="420"/>
      <c r="AH1079" s="420"/>
      <c r="AI1079" s="420"/>
      <c r="AJ1079" s="420"/>
      <c r="AK1079" s="420"/>
      <c r="AL1079" s="420"/>
      <c r="AM1079" s="420"/>
      <c r="AN1079" s="420"/>
      <c r="AO1079" s="420"/>
      <c r="AP1079" s="420"/>
      <c r="AQ1079" s="420"/>
      <c r="AR1079" s="403"/>
      <c r="AS1079" s="403"/>
      <c r="AT1079" s="403"/>
      <c r="AU1079" s="403"/>
      <c r="AV1079" s="403"/>
      <c r="AW1079" s="403"/>
      <c r="AX1079" s="403"/>
      <c r="AY1079" s="403"/>
    </row>
    <row r="1080">
      <c r="A1080" s="415"/>
      <c r="B1080" s="415"/>
      <c r="C1080" s="410"/>
      <c r="D1080" s="429"/>
      <c r="E1080" s="416"/>
      <c r="F1080" s="413"/>
      <c r="G1080" s="413"/>
      <c r="H1080" s="415"/>
      <c r="I1080" s="415"/>
      <c r="J1080" s="415"/>
      <c r="K1080" s="415"/>
      <c r="L1080" s="417"/>
      <c r="M1080" s="420"/>
      <c r="N1080" s="420"/>
      <c r="O1080" s="420"/>
      <c r="P1080" s="420"/>
      <c r="Q1080" s="420"/>
      <c r="R1080" s="420"/>
      <c r="S1080" s="420"/>
      <c r="T1080" s="420"/>
      <c r="U1080" s="420"/>
      <c r="V1080" s="420"/>
      <c r="W1080" s="420"/>
      <c r="X1080" s="420"/>
      <c r="Y1080" s="420"/>
      <c r="Z1080" s="420"/>
      <c r="AA1080" s="420"/>
      <c r="AB1080" s="420"/>
      <c r="AC1080" s="420"/>
      <c r="AD1080" s="420"/>
      <c r="AE1080" s="420"/>
      <c r="AF1080" s="420"/>
      <c r="AG1080" s="420"/>
      <c r="AH1080" s="420"/>
      <c r="AI1080" s="420"/>
      <c r="AJ1080" s="420"/>
      <c r="AK1080" s="420"/>
      <c r="AL1080" s="420"/>
      <c r="AM1080" s="420"/>
      <c r="AN1080" s="420"/>
      <c r="AO1080" s="420"/>
      <c r="AP1080" s="420"/>
      <c r="AQ1080" s="420"/>
      <c r="AR1080" s="403"/>
      <c r="AS1080" s="403"/>
      <c r="AT1080" s="403"/>
      <c r="AU1080" s="403"/>
      <c r="AV1080" s="403"/>
      <c r="AW1080" s="403"/>
      <c r="AX1080" s="403"/>
      <c r="AY1080" s="403"/>
    </row>
    <row r="1081">
      <c r="A1081" s="415"/>
      <c r="B1081" s="415"/>
      <c r="C1081" s="410"/>
      <c r="D1081" s="429"/>
      <c r="E1081" s="416"/>
      <c r="F1081" s="413"/>
      <c r="G1081" s="413"/>
      <c r="H1081" s="415"/>
      <c r="I1081" s="415"/>
      <c r="J1081" s="415"/>
      <c r="K1081" s="415"/>
      <c r="L1081" s="417"/>
      <c r="M1081" s="420"/>
      <c r="N1081" s="420"/>
      <c r="O1081" s="420"/>
      <c r="P1081" s="420"/>
      <c r="Q1081" s="420"/>
      <c r="R1081" s="420"/>
      <c r="S1081" s="420"/>
      <c r="T1081" s="420"/>
      <c r="U1081" s="420"/>
      <c r="V1081" s="420"/>
      <c r="W1081" s="420"/>
      <c r="X1081" s="420"/>
      <c r="Y1081" s="420"/>
      <c r="Z1081" s="420"/>
      <c r="AA1081" s="420"/>
      <c r="AB1081" s="420"/>
      <c r="AC1081" s="420"/>
      <c r="AD1081" s="420"/>
      <c r="AE1081" s="420"/>
      <c r="AF1081" s="420"/>
      <c r="AG1081" s="420"/>
      <c r="AH1081" s="420"/>
      <c r="AI1081" s="420"/>
      <c r="AJ1081" s="420"/>
      <c r="AK1081" s="420"/>
      <c r="AL1081" s="420"/>
      <c r="AM1081" s="420"/>
      <c r="AN1081" s="420"/>
      <c r="AO1081" s="420"/>
      <c r="AP1081" s="420"/>
      <c r="AQ1081" s="420"/>
      <c r="AR1081" s="403"/>
      <c r="AS1081" s="403"/>
      <c r="AT1081" s="403"/>
      <c r="AU1081" s="403"/>
      <c r="AV1081" s="403"/>
      <c r="AW1081" s="403"/>
      <c r="AX1081" s="403"/>
      <c r="AY1081" s="403"/>
    </row>
    <row r="1082">
      <c r="A1082" s="415"/>
      <c r="B1082" s="415"/>
      <c r="C1082" s="410"/>
      <c r="D1082" s="429"/>
      <c r="E1082" s="416"/>
      <c r="F1082" s="413"/>
      <c r="G1082" s="413"/>
      <c r="H1082" s="415"/>
      <c r="I1082" s="415"/>
      <c r="J1082" s="415"/>
      <c r="K1082" s="415"/>
      <c r="L1082" s="417"/>
      <c r="M1082" s="420"/>
      <c r="N1082" s="420"/>
      <c r="O1082" s="420"/>
      <c r="P1082" s="420"/>
      <c r="Q1082" s="420"/>
      <c r="R1082" s="420"/>
      <c r="S1082" s="420"/>
      <c r="T1082" s="420"/>
      <c r="U1082" s="420"/>
      <c r="V1082" s="420"/>
      <c r="W1082" s="420"/>
      <c r="X1082" s="420"/>
      <c r="Y1082" s="420"/>
      <c r="Z1082" s="420"/>
      <c r="AA1082" s="420"/>
      <c r="AB1082" s="420"/>
      <c r="AC1082" s="420"/>
      <c r="AD1082" s="420"/>
      <c r="AE1082" s="420"/>
      <c r="AF1082" s="420"/>
      <c r="AG1082" s="420"/>
      <c r="AH1082" s="420"/>
      <c r="AI1082" s="420"/>
      <c r="AJ1082" s="420"/>
      <c r="AK1082" s="420"/>
      <c r="AL1082" s="420"/>
      <c r="AM1082" s="420"/>
      <c r="AN1082" s="420"/>
      <c r="AO1082" s="420"/>
      <c r="AP1082" s="420"/>
      <c r="AQ1082" s="420"/>
      <c r="AR1082" s="403"/>
      <c r="AS1082" s="403"/>
      <c r="AT1082" s="403"/>
      <c r="AU1082" s="403"/>
      <c r="AV1082" s="403"/>
      <c r="AW1082" s="403"/>
      <c r="AX1082" s="403"/>
      <c r="AY1082" s="403"/>
    </row>
    <row r="1083">
      <c r="A1083" s="415"/>
      <c r="B1083" s="415"/>
      <c r="C1083" s="410"/>
      <c r="D1083" s="429"/>
      <c r="E1083" s="416"/>
      <c r="F1083" s="413"/>
      <c r="G1083" s="413"/>
      <c r="H1083" s="415"/>
      <c r="I1083" s="415"/>
      <c r="J1083" s="415"/>
      <c r="K1083" s="415"/>
      <c r="L1083" s="417"/>
      <c r="M1083" s="420"/>
      <c r="N1083" s="420"/>
      <c r="O1083" s="420"/>
      <c r="P1083" s="420"/>
      <c r="Q1083" s="420"/>
      <c r="R1083" s="420"/>
      <c r="S1083" s="420"/>
      <c r="T1083" s="420"/>
      <c r="U1083" s="420"/>
      <c r="V1083" s="420"/>
      <c r="W1083" s="420"/>
      <c r="X1083" s="420"/>
      <c r="Y1083" s="420"/>
      <c r="Z1083" s="420"/>
      <c r="AA1083" s="420"/>
      <c r="AB1083" s="420"/>
      <c r="AC1083" s="420"/>
      <c r="AD1083" s="420"/>
      <c r="AE1083" s="420"/>
      <c r="AF1083" s="420"/>
      <c r="AG1083" s="420"/>
      <c r="AH1083" s="420"/>
      <c r="AI1083" s="420"/>
      <c r="AJ1083" s="420"/>
      <c r="AK1083" s="420"/>
      <c r="AL1083" s="420"/>
      <c r="AM1083" s="420"/>
      <c r="AN1083" s="420"/>
      <c r="AO1083" s="420"/>
      <c r="AP1083" s="420"/>
      <c r="AQ1083" s="420"/>
      <c r="AR1083" s="403"/>
      <c r="AS1083" s="403"/>
      <c r="AT1083" s="403"/>
      <c r="AU1083" s="403"/>
      <c r="AV1083" s="403"/>
      <c r="AW1083" s="403"/>
      <c r="AX1083" s="403"/>
      <c r="AY1083" s="403"/>
    </row>
    <row r="1084">
      <c r="A1084" s="415"/>
      <c r="B1084" s="415"/>
      <c r="C1084" s="410"/>
      <c r="D1084" s="429"/>
      <c r="E1084" s="416"/>
      <c r="F1084" s="413"/>
      <c r="G1084" s="413"/>
      <c r="H1084" s="415"/>
      <c r="I1084" s="415"/>
      <c r="J1084" s="415"/>
      <c r="K1084" s="415"/>
      <c r="L1084" s="417"/>
      <c r="M1084" s="420"/>
      <c r="N1084" s="420"/>
      <c r="O1084" s="420"/>
      <c r="P1084" s="420"/>
      <c r="Q1084" s="420"/>
      <c r="R1084" s="420"/>
      <c r="S1084" s="420"/>
      <c r="T1084" s="420"/>
      <c r="U1084" s="420"/>
      <c r="V1084" s="420"/>
      <c r="W1084" s="420"/>
      <c r="X1084" s="420"/>
      <c r="Y1084" s="420"/>
      <c r="Z1084" s="420"/>
      <c r="AA1084" s="420"/>
      <c r="AB1084" s="420"/>
      <c r="AC1084" s="420"/>
      <c r="AD1084" s="420"/>
      <c r="AE1084" s="420"/>
      <c r="AF1084" s="420"/>
      <c r="AG1084" s="420"/>
      <c r="AH1084" s="420"/>
      <c r="AI1084" s="420"/>
      <c r="AJ1084" s="420"/>
      <c r="AK1084" s="420"/>
      <c r="AL1084" s="420"/>
      <c r="AM1084" s="420"/>
      <c r="AN1084" s="420"/>
      <c r="AO1084" s="420"/>
      <c r="AP1084" s="420"/>
      <c r="AQ1084" s="420"/>
      <c r="AR1084" s="403"/>
      <c r="AS1084" s="403"/>
      <c r="AT1084" s="403"/>
      <c r="AU1084" s="403"/>
      <c r="AV1084" s="403"/>
      <c r="AW1084" s="403"/>
      <c r="AX1084" s="403"/>
      <c r="AY1084" s="403"/>
    </row>
    <row r="1085">
      <c r="A1085" s="415"/>
      <c r="B1085" s="415"/>
      <c r="C1085" s="410"/>
      <c r="D1085" s="429"/>
      <c r="E1085" s="416"/>
      <c r="F1085" s="413"/>
      <c r="G1085" s="413"/>
      <c r="H1085" s="415"/>
      <c r="I1085" s="415"/>
      <c r="J1085" s="415"/>
      <c r="K1085" s="415"/>
      <c r="L1085" s="417"/>
      <c r="M1085" s="420"/>
      <c r="N1085" s="420"/>
      <c r="O1085" s="420"/>
      <c r="P1085" s="420"/>
      <c r="Q1085" s="420"/>
      <c r="R1085" s="420"/>
      <c r="S1085" s="420"/>
      <c r="T1085" s="420"/>
      <c r="U1085" s="420"/>
      <c r="V1085" s="420"/>
      <c r="W1085" s="420"/>
      <c r="X1085" s="420"/>
      <c r="Y1085" s="420"/>
      <c r="Z1085" s="420"/>
      <c r="AA1085" s="420"/>
      <c r="AB1085" s="420"/>
      <c r="AC1085" s="420"/>
      <c r="AD1085" s="420"/>
      <c r="AE1085" s="420"/>
      <c r="AF1085" s="420"/>
      <c r="AG1085" s="420"/>
      <c r="AH1085" s="420"/>
      <c r="AI1085" s="420"/>
      <c r="AJ1085" s="420"/>
      <c r="AK1085" s="420"/>
      <c r="AL1085" s="420"/>
      <c r="AM1085" s="420"/>
      <c r="AN1085" s="420"/>
      <c r="AO1085" s="420"/>
      <c r="AP1085" s="420"/>
      <c r="AQ1085" s="420"/>
      <c r="AR1085" s="403"/>
      <c r="AS1085" s="403"/>
      <c r="AT1085" s="403"/>
      <c r="AU1085" s="403"/>
      <c r="AV1085" s="403"/>
      <c r="AW1085" s="403"/>
      <c r="AX1085" s="403"/>
      <c r="AY1085" s="403"/>
    </row>
    <row r="1086">
      <c r="A1086" s="415"/>
      <c r="B1086" s="415"/>
      <c r="C1086" s="410"/>
      <c r="D1086" s="429"/>
      <c r="E1086" s="416"/>
      <c r="F1086" s="413"/>
      <c r="G1086" s="413"/>
      <c r="H1086" s="415"/>
      <c r="I1086" s="415"/>
      <c r="J1086" s="415"/>
      <c r="K1086" s="415"/>
      <c r="L1086" s="417"/>
      <c r="M1086" s="420"/>
      <c r="N1086" s="420"/>
      <c r="O1086" s="420"/>
      <c r="P1086" s="420"/>
      <c r="Q1086" s="420"/>
      <c r="R1086" s="420"/>
      <c r="S1086" s="420"/>
      <c r="T1086" s="420"/>
      <c r="U1086" s="420"/>
      <c r="V1086" s="420"/>
      <c r="W1086" s="420"/>
      <c r="X1086" s="420"/>
      <c r="Y1086" s="420"/>
      <c r="Z1086" s="420"/>
      <c r="AA1086" s="420"/>
      <c r="AB1086" s="420"/>
      <c r="AC1086" s="420"/>
      <c r="AD1086" s="420"/>
      <c r="AE1086" s="420"/>
      <c r="AF1086" s="420"/>
      <c r="AG1086" s="420"/>
      <c r="AH1086" s="420"/>
      <c r="AI1086" s="420"/>
      <c r="AJ1086" s="420"/>
      <c r="AK1086" s="420"/>
      <c r="AL1086" s="420"/>
      <c r="AM1086" s="420"/>
      <c r="AN1086" s="420"/>
      <c r="AO1086" s="420"/>
      <c r="AP1086" s="420"/>
      <c r="AQ1086" s="420"/>
      <c r="AR1086" s="403"/>
      <c r="AS1086" s="403"/>
      <c r="AT1086" s="403"/>
      <c r="AU1086" s="403"/>
      <c r="AV1086" s="403"/>
      <c r="AW1086" s="403"/>
      <c r="AX1086" s="403"/>
      <c r="AY1086" s="403"/>
    </row>
    <row r="1087">
      <c r="A1087" s="415"/>
      <c r="B1087" s="415"/>
      <c r="C1087" s="410"/>
      <c r="D1087" s="429"/>
      <c r="E1087" s="416"/>
      <c r="F1087" s="413"/>
      <c r="G1087" s="413"/>
      <c r="H1087" s="415"/>
      <c r="I1087" s="415"/>
      <c r="J1087" s="415"/>
      <c r="K1087" s="415"/>
      <c r="L1087" s="417"/>
      <c r="M1087" s="420"/>
      <c r="N1087" s="420"/>
      <c r="O1087" s="420"/>
      <c r="P1087" s="420"/>
      <c r="Q1087" s="420"/>
      <c r="R1087" s="420"/>
      <c r="S1087" s="420"/>
      <c r="T1087" s="420"/>
      <c r="U1087" s="420"/>
      <c r="V1087" s="420"/>
      <c r="W1087" s="420"/>
      <c r="X1087" s="420"/>
      <c r="Y1087" s="420"/>
      <c r="Z1087" s="420"/>
      <c r="AA1087" s="420"/>
      <c r="AB1087" s="420"/>
      <c r="AC1087" s="420"/>
      <c r="AD1087" s="420"/>
      <c r="AE1087" s="420"/>
      <c r="AF1087" s="420"/>
      <c r="AG1087" s="420"/>
      <c r="AH1087" s="420"/>
      <c r="AI1087" s="420"/>
      <c r="AJ1087" s="420"/>
      <c r="AK1087" s="420"/>
      <c r="AL1087" s="420"/>
      <c r="AM1087" s="420"/>
      <c r="AN1087" s="420"/>
      <c r="AO1087" s="420"/>
      <c r="AP1087" s="420"/>
      <c r="AQ1087" s="420"/>
      <c r="AR1087" s="403"/>
      <c r="AS1087" s="403"/>
      <c r="AT1087" s="403"/>
      <c r="AU1087" s="403"/>
      <c r="AV1087" s="403"/>
      <c r="AW1087" s="403"/>
      <c r="AX1087" s="403"/>
      <c r="AY1087" s="403"/>
    </row>
    <row r="1088">
      <c r="A1088" s="415"/>
      <c r="B1088" s="415"/>
      <c r="C1088" s="410"/>
      <c r="D1088" s="429"/>
      <c r="E1088" s="416"/>
      <c r="F1088" s="413"/>
      <c r="G1088" s="413"/>
      <c r="H1088" s="415"/>
      <c r="I1088" s="415"/>
      <c r="J1088" s="415"/>
      <c r="K1088" s="415"/>
      <c r="L1088" s="417"/>
      <c r="M1088" s="420"/>
      <c r="N1088" s="420"/>
      <c r="O1088" s="420"/>
      <c r="P1088" s="420"/>
      <c r="Q1088" s="420"/>
      <c r="R1088" s="420"/>
      <c r="S1088" s="420"/>
      <c r="T1088" s="420"/>
      <c r="U1088" s="420"/>
      <c r="V1088" s="420"/>
      <c r="W1088" s="420"/>
      <c r="X1088" s="420"/>
      <c r="Y1088" s="420"/>
      <c r="Z1088" s="420"/>
      <c r="AA1088" s="420"/>
      <c r="AB1088" s="420"/>
      <c r="AC1088" s="420"/>
      <c r="AD1088" s="420"/>
      <c r="AE1088" s="420"/>
      <c r="AF1088" s="420"/>
      <c r="AG1088" s="420"/>
      <c r="AH1088" s="420"/>
      <c r="AI1088" s="420"/>
      <c r="AJ1088" s="420"/>
      <c r="AK1088" s="420"/>
      <c r="AL1088" s="420"/>
      <c r="AM1088" s="420"/>
      <c r="AN1088" s="420"/>
      <c r="AO1088" s="420"/>
      <c r="AP1088" s="420"/>
      <c r="AQ1088" s="420"/>
      <c r="AR1088" s="403"/>
      <c r="AS1088" s="403"/>
      <c r="AT1088" s="403"/>
      <c r="AU1088" s="403"/>
      <c r="AV1088" s="403"/>
      <c r="AW1088" s="403"/>
      <c r="AX1088" s="403"/>
      <c r="AY1088" s="403"/>
    </row>
    <row r="1089">
      <c r="A1089" s="415"/>
      <c r="B1089" s="415"/>
      <c r="C1089" s="410"/>
      <c r="D1089" s="429"/>
      <c r="E1089" s="416"/>
      <c r="F1089" s="413"/>
      <c r="G1089" s="413"/>
      <c r="H1089" s="415"/>
      <c r="I1089" s="415"/>
      <c r="J1089" s="415"/>
      <c r="K1089" s="415"/>
      <c r="L1089" s="417"/>
      <c r="M1089" s="420"/>
      <c r="N1089" s="420"/>
      <c r="O1089" s="420"/>
      <c r="P1089" s="420"/>
      <c r="Q1089" s="420"/>
      <c r="R1089" s="420"/>
      <c r="S1089" s="420"/>
      <c r="T1089" s="420"/>
      <c r="U1089" s="420"/>
      <c r="V1089" s="420"/>
      <c r="W1089" s="420"/>
      <c r="X1089" s="420"/>
      <c r="Y1089" s="420"/>
      <c r="Z1089" s="420"/>
      <c r="AA1089" s="420"/>
      <c r="AB1089" s="420"/>
      <c r="AC1089" s="420"/>
      <c r="AD1089" s="420"/>
      <c r="AE1089" s="420"/>
      <c r="AF1089" s="420"/>
      <c r="AG1089" s="420"/>
      <c r="AH1089" s="420"/>
      <c r="AI1089" s="420"/>
      <c r="AJ1089" s="420"/>
      <c r="AK1089" s="420"/>
      <c r="AL1089" s="420"/>
      <c r="AM1089" s="420"/>
      <c r="AN1089" s="420"/>
      <c r="AO1089" s="420"/>
      <c r="AP1089" s="420"/>
      <c r="AQ1089" s="420"/>
      <c r="AR1089" s="403"/>
      <c r="AS1089" s="403"/>
      <c r="AT1089" s="403"/>
      <c r="AU1089" s="403"/>
      <c r="AV1089" s="403"/>
      <c r="AW1089" s="403"/>
      <c r="AX1089" s="403"/>
      <c r="AY1089" s="403"/>
    </row>
    <row r="1090">
      <c r="A1090" s="415"/>
      <c r="B1090" s="415"/>
      <c r="C1090" s="410"/>
      <c r="D1090" s="429"/>
      <c r="E1090" s="416"/>
      <c r="F1090" s="413"/>
      <c r="G1090" s="413"/>
      <c r="H1090" s="415"/>
      <c r="I1090" s="415"/>
      <c r="J1090" s="415"/>
      <c r="K1090" s="415"/>
      <c r="L1090" s="417"/>
      <c r="M1090" s="420"/>
      <c r="N1090" s="420"/>
      <c r="O1090" s="420"/>
      <c r="P1090" s="420"/>
      <c r="Q1090" s="420"/>
      <c r="R1090" s="420"/>
      <c r="S1090" s="420"/>
      <c r="T1090" s="420"/>
      <c r="U1090" s="420"/>
      <c r="V1090" s="420"/>
      <c r="W1090" s="420"/>
      <c r="X1090" s="420"/>
      <c r="Y1090" s="420"/>
      <c r="Z1090" s="420"/>
      <c r="AA1090" s="420"/>
      <c r="AB1090" s="420"/>
      <c r="AC1090" s="420"/>
      <c r="AD1090" s="420"/>
      <c r="AE1090" s="420"/>
      <c r="AF1090" s="420"/>
      <c r="AG1090" s="420"/>
      <c r="AH1090" s="420"/>
      <c r="AI1090" s="420"/>
      <c r="AJ1090" s="420"/>
      <c r="AK1090" s="420"/>
      <c r="AL1090" s="420"/>
      <c r="AM1090" s="420"/>
      <c r="AN1090" s="420"/>
      <c r="AO1090" s="420"/>
      <c r="AP1090" s="420"/>
      <c r="AQ1090" s="420"/>
      <c r="AR1090" s="403"/>
      <c r="AS1090" s="403"/>
      <c r="AT1090" s="403"/>
      <c r="AU1090" s="403"/>
      <c r="AV1090" s="403"/>
      <c r="AW1090" s="403"/>
      <c r="AX1090" s="403"/>
      <c r="AY1090" s="403"/>
    </row>
    <row r="1091">
      <c r="A1091" s="415"/>
      <c r="B1091" s="415"/>
      <c r="C1091" s="410"/>
      <c r="D1091" s="429"/>
      <c r="E1091" s="416"/>
      <c r="F1091" s="413"/>
      <c r="G1091" s="413"/>
      <c r="H1091" s="415"/>
      <c r="I1091" s="415"/>
      <c r="J1091" s="415"/>
      <c r="K1091" s="415"/>
      <c r="L1091" s="417"/>
      <c r="M1091" s="420"/>
      <c r="N1091" s="420"/>
      <c r="O1091" s="420"/>
      <c r="P1091" s="420"/>
      <c r="Q1091" s="420"/>
      <c r="R1091" s="420"/>
      <c r="S1091" s="420"/>
      <c r="T1091" s="420"/>
      <c r="U1091" s="420"/>
      <c r="V1091" s="420"/>
      <c r="W1091" s="420"/>
      <c r="X1091" s="420"/>
      <c r="Y1091" s="420"/>
      <c r="Z1091" s="420"/>
      <c r="AA1091" s="420"/>
      <c r="AB1091" s="420"/>
      <c r="AC1091" s="420"/>
      <c r="AD1091" s="420"/>
      <c r="AE1091" s="420"/>
      <c r="AF1091" s="420"/>
      <c r="AG1091" s="420"/>
      <c r="AH1091" s="420"/>
      <c r="AI1091" s="420"/>
      <c r="AJ1091" s="420"/>
      <c r="AK1091" s="420"/>
      <c r="AL1091" s="420"/>
      <c r="AM1091" s="420"/>
      <c r="AN1091" s="420"/>
      <c r="AO1091" s="420"/>
      <c r="AP1091" s="420"/>
      <c r="AQ1091" s="420"/>
      <c r="AR1091" s="403"/>
      <c r="AS1091" s="403"/>
      <c r="AT1091" s="403"/>
      <c r="AU1091" s="403"/>
      <c r="AV1091" s="403"/>
      <c r="AW1091" s="403"/>
      <c r="AX1091" s="403"/>
      <c r="AY1091" s="403"/>
    </row>
    <row r="1092">
      <c r="A1092" s="415"/>
      <c r="B1092" s="415"/>
      <c r="C1092" s="410"/>
      <c r="D1092" s="429"/>
      <c r="E1092" s="416"/>
      <c r="F1092" s="413"/>
      <c r="G1092" s="413"/>
      <c r="H1092" s="415"/>
      <c r="I1092" s="415"/>
      <c r="J1092" s="415"/>
      <c r="K1092" s="415"/>
      <c r="L1092" s="417"/>
      <c r="M1092" s="420"/>
      <c r="N1092" s="420"/>
      <c r="O1092" s="420"/>
      <c r="P1092" s="420"/>
      <c r="Q1092" s="420"/>
      <c r="R1092" s="420"/>
      <c r="S1092" s="420"/>
      <c r="T1092" s="420"/>
      <c r="U1092" s="420"/>
      <c r="V1092" s="420"/>
      <c r="W1092" s="420"/>
      <c r="X1092" s="420"/>
      <c r="Y1092" s="420"/>
      <c r="Z1092" s="420"/>
      <c r="AA1092" s="420"/>
      <c r="AB1092" s="420"/>
      <c r="AC1092" s="420"/>
      <c r="AD1092" s="420"/>
      <c r="AE1092" s="420"/>
      <c r="AF1092" s="420"/>
      <c r="AG1092" s="420"/>
      <c r="AH1092" s="420"/>
      <c r="AI1092" s="420"/>
      <c r="AJ1092" s="420"/>
      <c r="AK1092" s="420"/>
      <c r="AL1092" s="420"/>
      <c r="AM1092" s="420"/>
      <c r="AN1092" s="420"/>
      <c r="AO1092" s="420"/>
      <c r="AP1092" s="420"/>
      <c r="AQ1092" s="420"/>
      <c r="AR1092" s="403"/>
      <c r="AS1092" s="403"/>
      <c r="AT1092" s="403"/>
      <c r="AU1092" s="403"/>
      <c r="AV1092" s="403"/>
      <c r="AW1092" s="403"/>
      <c r="AX1092" s="403"/>
      <c r="AY1092" s="403"/>
    </row>
    <row r="1093">
      <c r="A1093" s="415"/>
      <c r="B1093" s="415"/>
      <c r="C1093" s="410"/>
      <c r="D1093" s="429"/>
      <c r="E1093" s="416"/>
      <c r="F1093" s="413"/>
      <c r="G1093" s="413"/>
      <c r="H1093" s="415"/>
      <c r="I1093" s="415"/>
      <c r="J1093" s="415"/>
      <c r="K1093" s="415"/>
      <c r="L1093" s="417"/>
      <c r="M1093" s="420"/>
      <c r="N1093" s="420"/>
      <c r="O1093" s="420"/>
      <c r="P1093" s="420"/>
      <c r="Q1093" s="420"/>
      <c r="R1093" s="420"/>
      <c r="S1093" s="420"/>
      <c r="T1093" s="420"/>
      <c r="U1093" s="420"/>
      <c r="V1093" s="420"/>
      <c r="W1093" s="420"/>
      <c r="X1093" s="420"/>
      <c r="Y1093" s="420"/>
      <c r="Z1093" s="420"/>
      <c r="AA1093" s="420"/>
      <c r="AB1093" s="420"/>
      <c r="AC1093" s="420"/>
      <c r="AD1093" s="420"/>
      <c r="AE1093" s="420"/>
      <c r="AF1093" s="420"/>
      <c r="AG1093" s="420"/>
      <c r="AH1093" s="420"/>
      <c r="AI1093" s="420"/>
      <c r="AJ1093" s="420"/>
      <c r="AK1093" s="420"/>
      <c r="AL1093" s="420"/>
      <c r="AM1093" s="420"/>
      <c r="AN1093" s="420"/>
      <c r="AO1093" s="420"/>
      <c r="AP1093" s="420"/>
      <c r="AQ1093" s="420"/>
      <c r="AR1093" s="403"/>
      <c r="AS1093" s="403"/>
      <c r="AT1093" s="403"/>
      <c r="AU1093" s="403"/>
      <c r="AV1093" s="403"/>
      <c r="AW1093" s="403"/>
      <c r="AX1093" s="403"/>
      <c r="AY1093" s="403"/>
    </row>
    <row r="1094">
      <c r="A1094" s="415"/>
      <c r="B1094" s="415"/>
      <c r="C1094" s="410"/>
      <c r="D1094" s="429"/>
      <c r="E1094" s="416"/>
      <c r="F1094" s="413"/>
      <c r="G1094" s="413"/>
      <c r="H1094" s="415"/>
      <c r="I1094" s="415"/>
      <c r="J1094" s="415"/>
      <c r="K1094" s="415"/>
      <c r="L1094" s="417"/>
      <c r="M1094" s="420"/>
      <c r="N1094" s="420"/>
      <c r="O1094" s="420"/>
      <c r="P1094" s="420"/>
      <c r="Q1094" s="420"/>
      <c r="R1094" s="420"/>
      <c r="S1094" s="420"/>
      <c r="T1094" s="420"/>
      <c r="U1094" s="420"/>
      <c r="V1094" s="420"/>
      <c r="W1094" s="420"/>
      <c r="X1094" s="420"/>
      <c r="Y1094" s="420"/>
      <c r="Z1094" s="420"/>
      <c r="AA1094" s="420"/>
      <c r="AB1094" s="420"/>
      <c r="AC1094" s="420"/>
      <c r="AD1094" s="420"/>
      <c r="AE1094" s="420"/>
      <c r="AF1094" s="420"/>
      <c r="AG1094" s="420"/>
      <c r="AH1094" s="420"/>
      <c r="AI1094" s="420"/>
      <c r="AJ1094" s="420"/>
      <c r="AK1094" s="420"/>
      <c r="AL1094" s="420"/>
      <c r="AM1094" s="420"/>
      <c r="AN1094" s="420"/>
      <c r="AO1094" s="420"/>
      <c r="AP1094" s="420"/>
      <c r="AQ1094" s="420"/>
      <c r="AR1094" s="403"/>
      <c r="AS1094" s="403"/>
      <c r="AT1094" s="403"/>
      <c r="AU1094" s="403"/>
      <c r="AV1094" s="403"/>
      <c r="AW1094" s="403"/>
      <c r="AX1094" s="403"/>
      <c r="AY1094" s="403"/>
    </row>
    <row r="1095">
      <c r="A1095" s="415"/>
      <c r="B1095" s="415"/>
      <c r="C1095" s="410"/>
      <c r="D1095" s="429"/>
      <c r="E1095" s="416"/>
      <c r="F1095" s="413"/>
      <c r="G1095" s="413"/>
      <c r="H1095" s="415"/>
      <c r="I1095" s="415"/>
      <c r="J1095" s="415"/>
      <c r="K1095" s="415"/>
      <c r="L1095" s="417"/>
      <c r="M1095" s="420"/>
      <c r="N1095" s="420"/>
      <c r="O1095" s="420"/>
      <c r="P1095" s="420"/>
      <c r="Q1095" s="420"/>
      <c r="R1095" s="420"/>
      <c r="S1095" s="420"/>
      <c r="T1095" s="420"/>
      <c r="U1095" s="420"/>
      <c r="V1095" s="420"/>
      <c r="W1095" s="420"/>
      <c r="X1095" s="420"/>
      <c r="Y1095" s="420"/>
      <c r="Z1095" s="420"/>
      <c r="AA1095" s="420"/>
      <c r="AB1095" s="420"/>
      <c r="AC1095" s="420"/>
      <c r="AD1095" s="420"/>
      <c r="AE1095" s="420"/>
      <c r="AF1095" s="420"/>
      <c r="AG1095" s="420"/>
      <c r="AH1095" s="420"/>
      <c r="AI1095" s="420"/>
      <c r="AJ1095" s="420"/>
      <c r="AK1095" s="420"/>
      <c r="AL1095" s="420"/>
      <c r="AM1095" s="420"/>
      <c r="AN1095" s="420"/>
      <c r="AO1095" s="420"/>
      <c r="AP1095" s="420"/>
      <c r="AQ1095" s="420"/>
      <c r="AR1095" s="403"/>
      <c r="AS1095" s="403"/>
      <c r="AT1095" s="403"/>
      <c r="AU1095" s="403"/>
      <c r="AV1095" s="403"/>
      <c r="AW1095" s="403"/>
      <c r="AX1095" s="403"/>
      <c r="AY1095" s="403"/>
    </row>
    <row r="1096">
      <c r="A1096" s="415"/>
      <c r="B1096" s="415"/>
      <c r="C1096" s="410"/>
      <c r="D1096" s="429"/>
      <c r="E1096" s="416"/>
      <c r="F1096" s="413"/>
      <c r="G1096" s="413"/>
      <c r="H1096" s="415"/>
      <c r="I1096" s="415"/>
      <c r="J1096" s="415"/>
      <c r="K1096" s="415"/>
      <c r="L1096" s="417"/>
      <c r="M1096" s="420"/>
      <c r="N1096" s="420"/>
      <c r="O1096" s="420"/>
      <c r="P1096" s="420"/>
      <c r="Q1096" s="420"/>
      <c r="R1096" s="420"/>
      <c r="S1096" s="420"/>
      <c r="T1096" s="420"/>
      <c r="U1096" s="420"/>
      <c r="V1096" s="420"/>
      <c r="W1096" s="420"/>
      <c r="X1096" s="420"/>
      <c r="Y1096" s="420"/>
      <c r="Z1096" s="420"/>
      <c r="AA1096" s="420"/>
      <c r="AB1096" s="420"/>
      <c r="AC1096" s="420"/>
      <c r="AD1096" s="420"/>
      <c r="AE1096" s="420"/>
      <c r="AF1096" s="420"/>
      <c r="AG1096" s="420"/>
      <c r="AH1096" s="420"/>
      <c r="AI1096" s="420"/>
      <c r="AJ1096" s="420"/>
      <c r="AK1096" s="420"/>
      <c r="AL1096" s="420"/>
      <c r="AM1096" s="420"/>
      <c r="AN1096" s="420"/>
      <c r="AO1096" s="420"/>
      <c r="AP1096" s="420"/>
      <c r="AQ1096" s="420"/>
      <c r="AR1096" s="403"/>
      <c r="AS1096" s="403"/>
      <c r="AT1096" s="403"/>
      <c r="AU1096" s="403"/>
      <c r="AV1096" s="403"/>
      <c r="AW1096" s="403"/>
      <c r="AX1096" s="403"/>
      <c r="AY1096" s="403"/>
    </row>
    <row r="1097">
      <c r="A1097" s="415"/>
      <c r="B1097" s="415"/>
      <c r="C1097" s="410"/>
      <c r="D1097" s="429"/>
      <c r="E1097" s="416"/>
      <c r="F1097" s="413"/>
      <c r="G1097" s="413"/>
      <c r="H1097" s="415"/>
      <c r="I1097" s="415"/>
      <c r="J1097" s="415"/>
      <c r="K1097" s="415"/>
      <c r="L1097" s="417"/>
      <c r="M1097" s="420"/>
      <c r="N1097" s="420"/>
      <c r="O1097" s="420"/>
      <c r="P1097" s="420"/>
      <c r="Q1097" s="420"/>
      <c r="R1097" s="420"/>
      <c r="S1097" s="420"/>
      <c r="T1097" s="420"/>
      <c r="U1097" s="420"/>
      <c r="V1097" s="420"/>
      <c r="W1097" s="420"/>
      <c r="X1097" s="420"/>
      <c r="Y1097" s="420"/>
      <c r="Z1097" s="420"/>
      <c r="AA1097" s="420"/>
      <c r="AB1097" s="420"/>
      <c r="AC1097" s="420"/>
      <c r="AD1097" s="420"/>
      <c r="AE1097" s="420"/>
      <c r="AF1097" s="420"/>
      <c r="AG1097" s="420"/>
      <c r="AH1097" s="420"/>
      <c r="AI1097" s="420"/>
      <c r="AJ1097" s="420"/>
      <c r="AK1097" s="420"/>
      <c r="AL1097" s="420"/>
      <c r="AM1097" s="420"/>
      <c r="AN1097" s="420"/>
      <c r="AO1097" s="420"/>
      <c r="AP1097" s="420"/>
      <c r="AQ1097" s="420"/>
      <c r="AR1097" s="403"/>
      <c r="AS1097" s="403"/>
      <c r="AT1097" s="403"/>
      <c r="AU1097" s="403"/>
      <c r="AV1097" s="403"/>
      <c r="AW1097" s="403"/>
      <c r="AX1097" s="403"/>
      <c r="AY1097" s="403"/>
    </row>
    <row r="1098">
      <c r="A1098" s="415"/>
      <c r="B1098" s="415"/>
      <c r="C1098" s="410"/>
      <c r="D1098" s="429"/>
      <c r="E1098" s="416"/>
      <c r="F1098" s="413"/>
      <c r="G1098" s="413"/>
      <c r="H1098" s="415"/>
      <c r="I1098" s="415"/>
      <c r="J1098" s="415"/>
      <c r="K1098" s="415"/>
      <c r="L1098" s="417"/>
      <c r="M1098" s="420"/>
      <c r="N1098" s="420"/>
      <c r="O1098" s="420"/>
      <c r="P1098" s="420"/>
      <c r="Q1098" s="420"/>
      <c r="R1098" s="420"/>
      <c r="S1098" s="420"/>
      <c r="T1098" s="420"/>
      <c r="U1098" s="420"/>
      <c r="V1098" s="420"/>
      <c r="W1098" s="420"/>
      <c r="X1098" s="420"/>
      <c r="Y1098" s="420"/>
      <c r="Z1098" s="420"/>
      <c r="AA1098" s="420"/>
      <c r="AB1098" s="420"/>
      <c r="AC1098" s="420"/>
      <c r="AD1098" s="420"/>
      <c r="AE1098" s="420"/>
      <c r="AF1098" s="420"/>
      <c r="AG1098" s="420"/>
      <c r="AH1098" s="420"/>
      <c r="AI1098" s="420"/>
      <c r="AJ1098" s="420"/>
      <c r="AK1098" s="420"/>
      <c r="AL1098" s="420"/>
      <c r="AM1098" s="420"/>
      <c r="AN1098" s="420"/>
      <c r="AO1098" s="420"/>
      <c r="AP1098" s="420"/>
      <c r="AQ1098" s="420"/>
      <c r="AR1098" s="403"/>
      <c r="AS1098" s="403"/>
      <c r="AT1098" s="403"/>
      <c r="AU1098" s="403"/>
      <c r="AV1098" s="403"/>
      <c r="AW1098" s="403"/>
      <c r="AX1098" s="403"/>
      <c r="AY1098" s="403"/>
    </row>
    <row r="1099">
      <c r="A1099" s="415"/>
      <c r="B1099" s="415"/>
      <c r="C1099" s="410"/>
      <c r="D1099" s="429"/>
      <c r="E1099" s="416"/>
      <c r="F1099" s="413"/>
      <c r="G1099" s="413"/>
      <c r="H1099" s="415"/>
      <c r="I1099" s="415"/>
      <c r="J1099" s="415"/>
      <c r="K1099" s="415"/>
      <c r="L1099" s="417"/>
      <c r="M1099" s="420"/>
      <c r="N1099" s="420"/>
      <c r="O1099" s="420"/>
      <c r="P1099" s="420"/>
      <c r="Q1099" s="420"/>
      <c r="R1099" s="420"/>
      <c r="S1099" s="420"/>
      <c r="T1099" s="420"/>
      <c r="U1099" s="420"/>
      <c r="V1099" s="420"/>
      <c r="W1099" s="420"/>
      <c r="X1099" s="420"/>
      <c r="Y1099" s="420"/>
      <c r="Z1099" s="420"/>
      <c r="AA1099" s="420"/>
      <c r="AB1099" s="420"/>
      <c r="AC1099" s="420"/>
      <c r="AD1099" s="420"/>
      <c r="AE1099" s="420"/>
      <c r="AF1099" s="420"/>
      <c r="AG1099" s="420"/>
      <c r="AH1099" s="420"/>
      <c r="AI1099" s="420"/>
      <c r="AJ1099" s="420"/>
      <c r="AK1099" s="420"/>
      <c r="AL1099" s="420"/>
      <c r="AM1099" s="420"/>
      <c r="AN1099" s="420"/>
      <c r="AO1099" s="420"/>
      <c r="AP1099" s="420"/>
      <c r="AQ1099" s="420"/>
      <c r="AR1099" s="403"/>
      <c r="AS1099" s="403"/>
      <c r="AT1099" s="403"/>
      <c r="AU1099" s="403"/>
      <c r="AV1099" s="403"/>
      <c r="AW1099" s="403"/>
      <c r="AX1099" s="403"/>
      <c r="AY1099" s="403"/>
    </row>
    <row r="1100">
      <c r="A1100" s="415"/>
      <c r="B1100" s="415"/>
      <c r="C1100" s="410"/>
      <c r="D1100" s="429"/>
      <c r="E1100" s="416"/>
      <c r="F1100" s="413"/>
      <c r="G1100" s="413"/>
      <c r="H1100" s="415"/>
      <c r="I1100" s="415"/>
      <c r="J1100" s="415"/>
      <c r="K1100" s="415"/>
      <c r="L1100" s="417"/>
      <c r="M1100" s="420"/>
      <c r="N1100" s="420"/>
      <c r="O1100" s="420"/>
      <c r="P1100" s="420"/>
      <c r="Q1100" s="420"/>
      <c r="R1100" s="420"/>
      <c r="S1100" s="420"/>
      <c r="T1100" s="420"/>
      <c r="U1100" s="420"/>
      <c r="V1100" s="420"/>
      <c r="W1100" s="420"/>
      <c r="X1100" s="420"/>
      <c r="Y1100" s="420"/>
      <c r="Z1100" s="420"/>
      <c r="AA1100" s="420"/>
      <c r="AB1100" s="420"/>
      <c r="AC1100" s="420"/>
      <c r="AD1100" s="420"/>
      <c r="AE1100" s="420"/>
      <c r="AF1100" s="420"/>
      <c r="AG1100" s="420"/>
      <c r="AH1100" s="420"/>
      <c r="AI1100" s="420"/>
      <c r="AJ1100" s="420"/>
      <c r="AK1100" s="420"/>
      <c r="AL1100" s="420"/>
      <c r="AM1100" s="420"/>
      <c r="AN1100" s="420"/>
      <c r="AO1100" s="420"/>
      <c r="AP1100" s="420"/>
      <c r="AQ1100" s="420"/>
      <c r="AR1100" s="403"/>
      <c r="AS1100" s="403"/>
      <c r="AT1100" s="403"/>
      <c r="AU1100" s="403"/>
      <c r="AV1100" s="403"/>
      <c r="AW1100" s="403"/>
      <c r="AX1100" s="403"/>
      <c r="AY1100" s="403"/>
    </row>
    <row r="1101">
      <c r="A1101" s="415"/>
      <c r="B1101" s="415"/>
      <c r="C1101" s="410"/>
      <c r="D1101" s="429"/>
      <c r="E1101" s="416"/>
      <c r="F1101" s="413"/>
      <c r="G1101" s="413"/>
      <c r="H1101" s="415"/>
      <c r="I1101" s="415"/>
      <c r="J1101" s="415"/>
      <c r="K1101" s="415"/>
      <c r="L1101" s="417"/>
      <c r="M1101" s="420"/>
      <c r="N1101" s="420"/>
      <c r="O1101" s="420"/>
      <c r="P1101" s="420"/>
      <c r="Q1101" s="420"/>
      <c r="R1101" s="420"/>
      <c r="S1101" s="420"/>
      <c r="T1101" s="420"/>
      <c r="U1101" s="420"/>
      <c r="V1101" s="420"/>
      <c r="W1101" s="420"/>
      <c r="X1101" s="420"/>
      <c r="Y1101" s="420"/>
      <c r="Z1101" s="420"/>
      <c r="AA1101" s="420"/>
      <c r="AB1101" s="420"/>
      <c r="AC1101" s="420"/>
      <c r="AD1101" s="420"/>
      <c r="AE1101" s="420"/>
      <c r="AF1101" s="420"/>
      <c r="AG1101" s="420"/>
      <c r="AH1101" s="420"/>
      <c r="AI1101" s="420"/>
      <c r="AJ1101" s="420"/>
      <c r="AK1101" s="420"/>
      <c r="AL1101" s="420"/>
      <c r="AM1101" s="420"/>
      <c r="AN1101" s="420"/>
      <c r="AO1101" s="420"/>
      <c r="AP1101" s="420"/>
      <c r="AQ1101" s="420"/>
      <c r="AR1101" s="403"/>
      <c r="AS1101" s="403"/>
      <c r="AT1101" s="403"/>
      <c r="AU1101" s="403"/>
      <c r="AV1101" s="403"/>
      <c r="AW1101" s="403"/>
      <c r="AX1101" s="403"/>
      <c r="AY1101" s="403"/>
    </row>
    <row r="1102">
      <c r="A1102" s="415"/>
      <c r="B1102" s="415"/>
      <c r="C1102" s="410"/>
      <c r="D1102" s="429"/>
      <c r="E1102" s="416"/>
      <c r="F1102" s="413"/>
      <c r="G1102" s="413"/>
      <c r="H1102" s="415"/>
      <c r="I1102" s="415"/>
      <c r="J1102" s="415"/>
      <c r="K1102" s="415"/>
      <c r="L1102" s="417"/>
      <c r="M1102" s="420"/>
      <c r="N1102" s="420"/>
      <c r="O1102" s="420"/>
      <c r="P1102" s="420"/>
      <c r="Q1102" s="420"/>
      <c r="R1102" s="420"/>
      <c r="S1102" s="420"/>
      <c r="T1102" s="420"/>
      <c r="U1102" s="420"/>
      <c r="V1102" s="420"/>
      <c r="W1102" s="420"/>
      <c r="X1102" s="420"/>
      <c r="Y1102" s="420"/>
      <c r="Z1102" s="420"/>
      <c r="AA1102" s="420"/>
      <c r="AB1102" s="420"/>
      <c r="AC1102" s="420"/>
      <c r="AD1102" s="420"/>
      <c r="AE1102" s="420"/>
      <c r="AF1102" s="420"/>
      <c r="AG1102" s="420"/>
      <c r="AH1102" s="420"/>
      <c r="AI1102" s="420"/>
      <c r="AJ1102" s="420"/>
      <c r="AK1102" s="420"/>
      <c r="AL1102" s="420"/>
      <c r="AM1102" s="420"/>
      <c r="AN1102" s="420"/>
      <c r="AO1102" s="420"/>
      <c r="AP1102" s="420"/>
      <c r="AQ1102" s="420"/>
      <c r="AR1102" s="403"/>
      <c r="AS1102" s="403"/>
      <c r="AT1102" s="403"/>
      <c r="AU1102" s="403"/>
      <c r="AV1102" s="403"/>
      <c r="AW1102" s="403"/>
      <c r="AX1102" s="403"/>
      <c r="AY1102" s="403"/>
    </row>
    <row r="1103">
      <c r="A1103" s="415"/>
      <c r="B1103" s="415"/>
      <c r="C1103" s="410"/>
      <c r="D1103" s="429"/>
      <c r="E1103" s="416"/>
      <c r="F1103" s="413"/>
      <c r="G1103" s="413"/>
      <c r="H1103" s="415"/>
      <c r="I1103" s="415"/>
      <c r="J1103" s="415"/>
      <c r="K1103" s="415"/>
      <c r="L1103" s="417"/>
      <c r="M1103" s="420"/>
      <c r="N1103" s="420"/>
      <c r="O1103" s="420"/>
      <c r="P1103" s="420"/>
      <c r="Q1103" s="420"/>
      <c r="R1103" s="420"/>
      <c r="S1103" s="420"/>
      <c r="T1103" s="420"/>
      <c r="U1103" s="420"/>
      <c r="V1103" s="420"/>
      <c r="W1103" s="420"/>
      <c r="X1103" s="420"/>
      <c r="Y1103" s="420"/>
      <c r="Z1103" s="420"/>
      <c r="AA1103" s="420"/>
      <c r="AB1103" s="420"/>
      <c r="AC1103" s="420"/>
      <c r="AD1103" s="420"/>
      <c r="AE1103" s="420"/>
      <c r="AF1103" s="420"/>
      <c r="AG1103" s="420"/>
      <c r="AH1103" s="420"/>
      <c r="AI1103" s="420"/>
      <c r="AJ1103" s="420"/>
      <c r="AK1103" s="420"/>
      <c r="AL1103" s="420"/>
      <c r="AM1103" s="420"/>
      <c r="AN1103" s="420"/>
      <c r="AO1103" s="420"/>
      <c r="AP1103" s="420"/>
      <c r="AQ1103" s="420"/>
      <c r="AR1103" s="403"/>
      <c r="AS1103" s="403"/>
      <c r="AT1103" s="403"/>
      <c r="AU1103" s="403"/>
      <c r="AV1103" s="403"/>
      <c r="AW1103" s="403"/>
      <c r="AX1103" s="403"/>
      <c r="AY1103" s="403"/>
    </row>
    <row r="1104">
      <c r="A1104" s="415"/>
      <c r="B1104" s="415"/>
      <c r="C1104" s="410"/>
      <c r="D1104" s="429"/>
      <c r="E1104" s="416"/>
      <c r="F1104" s="413"/>
      <c r="G1104" s="413"/>
      <c r="H1104" s="415"/>
      <c r="I1104" s="415"/>
      <c r="J1104" s="415"/>
      <c r="K1104" s="415"/>
      <c r="L1104" s="417"/>
      <c r="M1104" s="420"/>
      <c r="N1104" s="420"/>
      <c r="O1104" s="420"/>
      <c r="P1104" s="420"/>
      <c r="Q1104" s="420"/>
      <c r="R1104" s="420"/>
      <c r="S1104" s="420"/>
      <c r="T1104" s="420"/>
      <c r="U1104" s="420"/>
      <c r="V1104" s="420"/>
      <c r="W1104" s="420"/>
      <c r="X1104" s="420"/>
      <c r="Y1104" s="420"/>
      <c r="Z1104" s="420"/>
      <c r="AA1104" s="420"/>
      <c r="AB1104" s="420"/>
      <c r="AC1104" s="420"/>
      <c r="AD1104" s="420"/>
      <c r="AE1104" s="420"/>
      <c r="AF1104" s="420"/>
      <c r="AG1104" s="420"/>
      <c r="AH1104" s="420"/>
      <c r="AI1104" s="420"/>
      <c r="AJ1104" s="420"/>
      <c r="AK1104" s="420"/>
      <c r="AL1104" s="420"/>
      <c r="AM1104" s="420"/>
      <c r="AN1104" s="420"/>
      <c r="AO1104" s="420"/>
      <c r="AP1104" s="420"/>
      <c r="AQ1104" s="420"/>
      <c r="AR1104" s="403"/>
      <c r="AS1104" s="403"/>
      <c r="AT1104" s="403"/>
      <c r="AU1104" s="403"/>
      <c r="AV1104" s="403"/>
      <c r="AW1104" s="403"/>
      <c r="AX1104" s="403"/>
      <c r="AY1104" s="403"/>
    </row>
    <row r="1105">
      <c r="A1105" s="415"/>
      <c r="B1105" s="415"/>
      <c r="C1105" s="410"/>
      <c r="D1105" s="429"/>
      <c r="E1105" s="416"/>
      <c r="F1105" s="413"/>
      <c r="G1105" s="413"/>
      <c r="H1105" s="415"/>
      <c r="I1105" s="415"/>
      <c r="J1105" s="415"/>
      <c r="K1105" s="415"/>
      <c r="L1105" s="417"/>
      <c r="M1105" s="420"/>
      <c r="N1105" s="420"/>
      <c r="O1105" s="420"/>
      <c r="P1105" s="420"/>
      <c r="Q1105" s="420"/>
      <c r="R1105" s="420"/>
      <c r="S1105" s="420"/>
      <c r="T1105" s="420"/>
      <c r="U1105" s="420"/>
      <c r="V1105" s="420"/>
      <c r="W1105" s="420"/>
      <c r="X1105" s="420"/>
      <c r="Y1105" s="420"/>
      <c r="Z1105" s="420"/>
      <c r="AA1105" s="420"/>
      <c r="AB1105" s="420"/>
      <c r="AC1105" s="420"/>
      <c r="AD1105" s="420"/>
      <c r="AE1105" s="420"/>
      <c r="AF1105" s="420"/>
      <c r="AG1105" s="420"/>
      <c r="AH1105" s="420"/>
      <c r="AI1105" s="420"/>
      <c r="AJ1105" s="420"/>
      <c r="AK1105" s="420"/>
      <c r="AL1105" s="420"/>
      <c r="AM1105" s="420"/>
      <c r="AN1105" s="420"/>
      <c r="AO1105" s="420"/>
      <c r="AP1105" s="420"/>
      <c r="AQ1105" s="420"/>
      <c r="AR1105" s="403"/>
      <c r="AS1105" s="403"/>
      <c r="AT1105" s="403"/>
      <c r="AU1105" s="403"/>
      <c r="AV1105" s="403"/>
      <c r="AW1105" s="403"/>
      <c r="AX1105" s="403"/>
      <c r="AY1105" s="403"/>
    </row>
    <row r="1106">
      <c r="A1106" s="415"/>
      <c r="B1106" s="415"/>
      <c r="C1106" s="410"/>
      <c r="D1106" s="429"/>
      <c r="E1106" s="416"/>
      <c r="F1106" s="413"/>
      <c r="G1106" s="413"/>
      <c r="H1106" s="415"/>
      <c r="I1106" s="415"/>
      <c r="J1106" s="415"/>
      <c r="K1106" s="415"/>
      <c r="L1106" s="417"/>
      <c r="M1106" s="420"/>
      <c r="N1106" s="420"/>
      <c r="O1106" s="420"/>
      <c r="P1106" s="420"/>
      <c r="Q1106" s="420"/>
      <c r="R1106" s="420"/>
      <c r="S1106" s="420"/>
      <c r="T1106" s="420"/>
      <c r="U1106" s="420"/>
      <c r="V1106" s="420"/>
      <c r="W1106" s="420"/>
      <c r="X1106" s="420"/>
      <c r="Y1106" s="420"/>
      <c r="Z1106" s="420"/>
      <c r="AA1106" s="420"/>
      <c r="AB1106" s="420"/>
      <c r="AC1106" s="420"/>
      <c r="AD1106" s="420"/>
      <c r="AE1106" s="420"/>
      <c r="AF1106" s="420"/>
      <c r="AG1106" s="420"/>
      <c r="AH1106" s="420"/>
      <c r="AI1106" s="420"/>
      <c r="AJ1106" s="420"/>
      <c r="AK1106" s="420"/>
      <c r="AL1106" s="420"/>
      <c r="AM1106" s="420"/>
      <c r="AN1106" s="420"/>
      <c r="AO1106" s="420"/>
      <c r="AP1106" s="420"/>
      <c r="AQ1106" s="420"/>
      <c r="AR1106" s="403"/>
      <c r="AS1106" s="403"/>
      <c r="AT1106" s="403"/>
      <c r="AU1106" s="403"/>
      <c r="AV1106" s="403"/>
      <c r="AW1106" s="403"/>
      <c r="AX1106" s="403"/>
      <c r="AY1106" s="403"/>
    </row>
    <row r="1107">
      <c r="A1107" s="415"/>
      <c r="B1107" s="415"/>
      <c r="C1107" s="410"/>
      <c r="D1107" s="429"/>
      <c r="E1107" s="416"/>
      <c r="F1107" s="413"/>
      <c r="G1107" s="413"/>
      <c r="H1107" s="415"/>
      <c r="I1107" s="415"/>
      <c r="J1107" s="415"/>
      <c r="K1107" s="415"/>
      <c r="L1107" s="417"/>
      <c r="M1107" s="420"/>
      <c r="N1107" s="420"/>
      <c r="O1107" s="420"/>
      <c r="P1107" s="420"/>
      <c r="Q1107" s="420"/>
      <c r="R1107" s="420"/>
      <c r="S1107" s="420"/>
      <c r="T1107" s="420"/>
      <c r="U1107" s="420"/>
      <c r="V1107" s="420"/>
      <c r="W1107" s="420"/>
      <c r="X1107" s="420"/>
      <c r="Y1107" s="420"/>
      <c r="Z1107" s="420"/>
      <c r="AA1107" s="420"/>
      <c r="AB1107" s="420"/>
      <c r="AC1107" s="420"/>
      <c r="AD1107" s="420"/>
      <c r="AE1107" s="420"/>
      <c r="AF1107" s="420"/>
      <c r="AG1107" s="420"/>
      <c r="AH1107" s="420"/>
      <c r="AI1107" s="420"/>
      <c r="AJ1107" s="420"/>
      <c r="AK1107" s="420"/>
      <c r="AL1107" s="420"/>
      <c r="AM1107" s="420"/>
      <c r="AN1107" s="420"/>
      <c r="AO1107" s="420"/>
      <c r="AP1107" s="420"/>
      <c r="AQ1107" s="420"/>
      <c r="AR1107" s="403"/>
      <c r="AS1107" s="403"/>
      <c r="AT1107" s="403"/>
      <c r="AU1107" s="403"/>
      <c r="AV1107" s="403"/>
      <c r="AW1107" s="403"/>
      <c r="AX1107" s="403"/>
      <c r="AY1107" s="403"/>
    </row>
    <row r="1108">
      <c r="A1108" s="415"/>
      <c r="B1108" s="415"/>
      <c r="C1108" s="410"/>
      <c r="D1108" s="429"/>
      <c r="E1108" s="416"/>
      <c r="F1108" s="413"/>
      <c r="G1108" s="413"/>
      <c r="H1108" s="415"/>
      <c r="I1108" s="415"/>
      <c r="J1108" s="415"/>
      <c r="K1108" s="415"/>
      <c r="L1108" s="417"/>
      <c r="M1108" s="420"/>
      <c r="N1108" s="420"/>
      <c r="O1108" s="420"/>
      <c r="P1108" s="420"/>
      <c r="Q1108" s="420"/>
      <c r="R1108" s="420"/>
      <c r="S1108" s="420"/>
      <c r="T1108" s="420"/>
      <c r="U1108" s="420"/>
      <c r="V1108" s="420"/>
      <c r="W1108" s="420"/>
      <c r="X1108" s="420"/>
      <c r="Y1108" s="420"/>
      <c r="Z1108" s="420"/>
      <c r="AA1108" s="420"/>
      <c r="AB1108" s="420"/>
      <c r="AC1108" s="420"/>
      <c r="AD1108" s="420"/>
      <c r="AE1108" s="420"/>
      <c r="AF1108" s="420"/>
      <c r="AG1108" s="420"/>
      <c r="AH1108" s="420"/>
      <c r="AI1108" s="420"/>
      <c r="AJ1108" s="420"/>
      <c r="AK1108" s="420"/>
      <c r="AL1108" s="420"/>
      <c r="AM1108" s="420"/>
      <c r="AN1108" s="420"/>
      <c r="AO1108" s="420"/>
      <c r="AP1108" s="420"/>
      <c r="AQ1108" s="420"/>
      <c r="AR1108" s="403"/>
      <c r="AS1108" s="403"/>
      <c r="AT1108" s="403"/>
      <c r="AU1108" s="403"/>
      <c r="AV1108" s="403"/>
      <c r="AW1108" s="403"/>
      <c r="AX1108" s="403"/>
      <c r="AY1108" s="403"/>
    </row>
    <row r="1109">
      <c r="A1109" s="415"/>
      <c r="B1109" s="415"/>
      <c r="C1109" s="410"/>
      <c r="D1109" s="429"/>
      <c r="E1109" s="416"/>
      <c r="F1109" s="413"/>
      <c r="G1109" s="413"/>
      <c r="H1109" s="415"/>
      <c r="I1109" s="415"/>
      <c r="J1109" s="415"/>
      <c r="K1109" s="415"/>
      <c r="L1109" s="417"/>
      <c r="M1109" s="420"/>
      <c r="N1109" s="420"/>
      <c r="O1109" s="420"/>
      <c r="P1109" s="420"/>
      <c r="Q1109" s="420"/>
      <c r="R1109" s="420"/>
      <c r="S1109" s="420"/>
      <c r="T1109" s="420"/>
      <c r="U1109" s="420"/>
      <c r="V1109" s="420"/>
      <c r="W1109" s="420"/>
      <c r="X1109" s="420"/>
      <c r="Y1109" s="420"/>
      <c r="Z1109" s="420"/>
      <c r="AA1109" s="420"/>
      <c r="AB1109" s="420"/>
      <c r="AC1109" s="420"/>
      <c r="AD1109" s="420"/>
      <c r="AE1109" s="420"/>
      <c r="AF1109" s="420"/>
      <c r="AG1109" s="420"/>
      <c r="AH1109" s="420"/>
      <c r="AI1109" s="420"/>
      <c r="AJ1109" s="420"/>
      <c r="AK1109" s="420"/>
      <c r="AL1109" s="420"/>
      <c r="AM1109" s="420"/>
      <c r="AN1109" s="420"/>
      <c r="AO1109" s="420"/>
      <c r="AP1109" s="420"/>
      <c r="AQ1109" s="420"/>
      <c r="AR1109" s="403"/>
      <c r="AS1109" s="403"/>
      <c r="AT1109" s="403"/>
      <c r="AU1109" s="403"/>
      <c r="AV1109" s="403"/>
      <c r="AW1109" s="403"/>
      <c r="AX1109" s="403"/>
      <c r="AY1109" s="403"/>
    </row>
    <row r="1110">
      <c r="A1110" s="415"/>
      <c r="B1110" s="415"/>
      <c r="C1110" s="410"/>
      <c r="D1110" s="429"/>
      <c r="E1110" s="416"/>
      <c r="F1110" s="413"/>
      <c r="G1110" s="413"/>
      <c r="H1110" s="415"/>
      <c r="I1110" s="415"/>
      <c r="J1110" s="415"/>
      <c r="K1110" s="415"/>
      <c r="L1110" s="417"/>
      <c r="M1110" s="420"/>
      <c r="N1110" s="420"/>
      <c r="O1110" s="420"/>
      <c r="P1110" s="420"/>
      <c r="Q1110" s="420"/>
      <c r="R1110" s="420"/>
      <c r="S1110" s="420"/>
      <c r="T1110" s="420"/>
      <c r="U1110" s="420"/>
      <c r="V1110" s="420"/>
      <c r="W1110" s="420"/>
      <c r="X1110" s="420"/>
      <c r="Y1110" s="420"/>
      <c r="Z1110" s="420"/>
      <c r="AA1110" s="420"/>
      <c r="AB1110" s="420"/>
      <c r="AC1110" s="420"/>
      <c r="AD1110" s="420"/>
      <c r="AE1110" s="420"/>
      <c r="AF1110" s="420"/>
      <c r="AG1110" s="420"/>
      <c r="AH1110" s="420"/>
      <c r="AI1110" s="420"/>
      <c r="AJ1110" s="420"/>
      <c r="AK1110" s="420"/>
      <c r="AL1110" s="420"/>
      <c r="AM1110" s="420"/>
      <c r="AN1110" s="420"/>
      <c r="AO1110" s="420"/>
      <c r="AP1110" s="420"/>
      <c r="AQ1110" s="420"/>
      <c r="AR1110" s="403"/>
      <c r="AS1110" s="403"/>
      <c r="AT1110" s="403"/>
      <c r="AU1110" s="403"/>
      <c r="AV1110" s="403"/>
      <c r="AW1110" s="403"/>
      <c r="AX1110" s="403"/>
      <c r="AY1110" s="403"/>
    </row>
    <row r="1111">
      <c r="A1111" s="415"/>
      <c r="B1111" s="415"/>
      <c r="C1111" s="410"/>
      <c r="D1111" s="429"/>
      <c r="E1111" s="416"/>
      <c r="F1111" s="413"/>
      <c r="G1111" s="413"/>
      <c r="H1111" s="415"/>
      <c r="I1111" s="415"/>
      <c r="J1111" s="415"/>
      <c r="K1111" s="415"/>
      <c r="L1111" s="417"/>
      <c r="M1111" s="420"/>
      <c r="N1111" s="420"/>
      <c r="O1111" s="420"/>
      <c r="P1111" s="420"/>
      <c r="Q1111" s="420"/>
      <c r="R1111" s="420"/>
      <c r="S1111" s="420"/>
      <c r="T1111" s="420"/>
      <c r="U1111" s="420"/>
      <c r="V1111" s="420"/>
      <c r="W1111" s="420"/>
      <c r="X1111" s="420"/>
      <c r="Y1111" s="420"/>
      <c r="Z1111" s="420"/>
      <c r="AA1111" s="420"/>
      <c r="AB1111" s="420"/>
      <c r="AC1111" s="420"/>
      <c r="AD1111" s="420"/>
      <c r="AE1111" s="420"/>
      <c r="AF1111" s="420"/>
      <c r="AG1111" s="420"/>
      <c r="AH1111" s="420"/>
      <c r="AI1111" s="420"/>
      <c r="AJ1111" s="420"/>
      <c r="AK1111" s="420"/>
      <c r="AL1111" s="420"/>
      <c r="AM1111" s="420"/>
      <c r="AN1111" s="420"/>
      <c r="AO1111" s="420"/>
      <c r="AP1111" s="420"/>
      <c r="AQ1111" s="420"/>
      <c r="AR1111" s="403"/>
      <c r="AS1111" s="403"/>
      <c r="AT1111" s="403"/>
      <c r="AU1111" s="403"/>
      <c r="AV1111" s="403"/>
      <c r="AW1111" s="403"/>
      <c r="AX1111" s="403"/>
      <c r="AY1111" s="403"/>
    </row>
    <row r="1112">
      <c r="A1112" s="415"/>
      <c r="B1112" s="415"/>
      <c r="C1112" s="410"/>
      <c r="D1112" s="429"/>
      <c r="E1112" s="416"/>
      <c r="F1112" s="413"/>
      <c r="G1112" s="413"/>
      <c r="H1112" s="415"/>
      <c r="I1112" s="415"/>
      <c r="J1112" s="415"/>
      <c r="K1112" s="415"/>
      <c r="L1112" s="417"/>
      <c r="M1112" s="420"/>
      <c r="N1112" s="420"/>
      <c r="O1112" s="420"/>
      <c r="P1112" s="420"/>
      <c r="Q1112" s="420"/>
      <c r="R1112" s="420"/>
      <c r="S1112" s="420"/>
      <c r="T1112" s="420"/>
      <c r="U1112" s="420"/>
      <c r="V1112" s="420"/>
      <c r="W1112" s="420"/>
      <c r="X1112" s="420"/>
      <c r="Y1112" s="420"/>
      <c r="Z1112" s="420"/>
      <c r="AA1112" s="420"/>
      <c r="AB1112" s="420"/>
      <c r="AC1112" s="420"/>
      <c r="AD1112" s="420"/>
      <c r="AE1112" s="420"/>
      <c r="AF1112" s="420"/>
      <c r="AG1112" s="420"/>
      <c r="AH1112" s="420"/>
      <c r="AI1112" s="420"/>
      <c r="AJ1112" s="420"/>
      <c r="AK1112" s="420"/>
      <c r="AL1112" s="420"/>
      <c r="AM1112" s="420"/>
      <c r="AN1112" s="420"/>
      <c r="AO1112" s="420"/>
      <c r="AP1112" s="420"/>
      <c r="AQ1112" s="420"/>
      <c r="AR1112" s="403"/>
      <c r="AS1112" s="403"/>
      <c r="AT1112" s="403"/>
      <c r="AU1112" s="403"/>
      <c r="AV1112" s="403"/>
      <c r="AW1112" s="403"/>
      <c r="AX1112" s="403"/>
      <c r="AY1112" s="403"/>
    </row>
    <row r="1113">
      <c r="A1113" s="415"/>
      <c r="B1113" s="415"/>
      <c r="C1113" s="410"/>
      <c r="D1113" s="429"/>
      <c r="E1113" s="416"/>
      <c r="F1113" s="413"/>
      <c r="G1113" s="413"/>
      <c r="H1113" s="415"/>
      <c r="I1113" s="415"/>
      <c r="J1113" s="415"/>
      <c r="K1113" s="415"/>
      <c r="L1113" s="417"/>
      <c r="M1113" s="420"/>
      <c r="N1113" s="420"/>
      <c r="O1113" s="420"/>
      <c r="P1113" s="420"/>
      <c r="Q1113" s="420"/>
      <c r="R1113" s="420"/>
      <c r="S1113" s="420"/>
      <c r="T1113" s="420"/>
      <c r="U1113" s="420"/>
      <c r="V1113" s="420"/>
      <c r="W1113" s="420"/>
      <c r="X1113" s="420"/>
      <c r="Y1113" s="420"/>
      <c r="Z1113" s="420"/>
      <c r="AA1113" s="420"/>
      <c r="AB1113" s="420"/>
      <c r="AC1113" s="420"/>
      <c r="AD1113" s="420"/>
      <c r="AE1113" s="420"/>
      <c r="AF1113" s="420"/>
      <c r="AG1113" s="420"/>
      <c r="AH1113" s="420"/>
      <c r="AI1113" s="420"/>
      <c r="AJ1113" s="420"/>
      <c r="AK1113" s="420"/>
      <c r="AL1113" s="420"/>
      <c r="AM1113" s="420"/>
      <c r="AN1113" s="420"/>
      <c r="AO1113" s="420"/>
      <c r="AP1113" s="420"/>
      <c r="AQ1113" s="420"/>
      <c r="AR1113" s="403"/>
      <c r="AS1113" s="403"/>
      <c r="AT1113" s="403"/>
      <c r="AU1113" s="403"/>
      <c r="AV1113" s="403"/>
      <c r="AW1113" s="403"/>
      <c r="AX1113" s="403"/>
      <c r="AY1113" s="403"/>
    </row>
    <row r="1114">
      <c r="A1114" s="415"/>
      <c r="B1114" s="415"/>
      <c r="C1114" s="410"/>
      <c r="D1114" s="429"/>
      <c r="E1114" s="416"/>
      <c r="F1114" s="413"/>
      <c r="G1114" s="413"/>
      <c r="H1114" s="415"/>
      <c r="I1114" s="415"/>
      <c r="J1114" s="415"/>
      <c r="K1114" s="415"/>
      <c r="L1114" s="417"/>
      <c r="M1114" s="420"/>
      <c r="N1114" s="420"/>
      <c r="O1114" s="420"/>
      <c r="P1114" s="420"/>
      <c r="Q1114" s="420"/>
      <c r="R1114" s="420"/>
      <c r="S1114" s="420"/>
      <c r="T1114" s="420"/>
      <c r="U1114" s="420"/>
      <c r="V1114" s="420"/>
      <c r="W1114" s="420"/>
      <c r="X1114" s="420"/>
      <c r="Y1114" s="420"/>
      <c r="Z1114" s="420"/>
      <c r="AA1114" s="420"/>
      <c r="AB1114" s="420"/>
      <c r="AC1114" s="420"/>
      <c r="AD1114" s="420"/>
      <c r="AE1114" s="420"/>
      <c r="AF1114" s="420"/>
      <c r="AG1114" s="420"/>
      <c r="AH1114" s="420"/>
      <c r="AI1114" s="420"/>
      <c r="AJ1114" s="420"/>
      <c r="AK1114" s="420"/>
      <c r="AL1114" s="420"/>
      <c r="AM1114" s="420"/>
      <c r="AN1114" s="420"/>
      <c r="AO1114" s="420"/>
      <c r="AP1114" s="420"/>
      <c r="AQ1114" s="420"/>
      <c r="AR1114" s="403"/>
      <c r="AS1114" s="403"/>
      <c r="AT1114" s="403"/>
      <c r="AU1114" s="403"/>
      <c r="AV1114" s="403"/>
      <c r="AW1114" s="403"/>
      <c r="AX1114" s="403"/>
      <c r="AY1114" s="403"/>
    </row>
    <row r="1115">
      <c r="A1115" s="415"/>
      <c r="B1115" s="415"/>
      <c r="C1115" s="410"/>
      <c r="D1115" s="429"/>
      <c r="E1115" s="416"/>
      <c r="F1115" s="413"/>
      <c r="G1115" s="413"/>
      <c r="H1115" s="415"/>
      <c r="I1115" s="415"/>
      <c r="J1115" s="415"/>
      <c r="K1115" s="415"/>
      <c r="L1115" s="417"/>
      <c r="M1115" s="420"/>
      <c r="N1115" s="420"/>
      <c r="O1115" s="420"/>
      <c r="P1115" s="420"/>
      <c r="Q1115" s="420"/>
      <c r="R1115" s="420"/>
      <c r="S1115" s="420"/>
      <c r="T1115" s="420"/>
      <c r="U1115" s="420"/>
      <c r="V1115" s="420"/>
      <c r="W1115" s="420"/>
      <c r="X1115" s="420"/>
      <c r="Y1115" s="420"/>
      <c r="Z1115" s="420"/>
      <c r="AA1115" s="420"/>
      <c r="AB1115" s="420"/>
      <c r="AC1115" s="420"/>
      <c r="AD1115" s="420"/>
      <c r="AE1115" s="420"/>
      <c r="AF1115" s="420"/>
      <c r="AG1115" s="420"/>
      <c r="AH1115" s="420"/>
      <c r="AI1115" s="420"/>
      <c r="AJ1115" s="420"/>
      <c r="AK1115" s="420"/>
      <c r="AL1115" s="420"/>
      <c r="AM1115" s="420"/>
      <c r="AN1115" s="420"/>
      <c r="AO1115" s="420"/>
      <c r="AP1115" s="420"/>
      <c r="AQ1115" s="420"/>
      <c r="AR1115" s="403"/>
      <c r="AS1115" s="403"/>
      <c r="AT1115" s="403"/>
      <c r="AU1115" s="403"/>
      <c r="AV1115" s="403"/>
      <c r="AW1115" s="403"/>
      <c r="AX1115" s="403"/>
      <c r="AY1115" s="403"/>
    </row>
    <row r="1116">
      <c r="A1116" s="415"/>
      <c r="B1116" s="415"/>
      <c r="C1116" s="410"/>
      <c r="D1116" s="429"/>
      <c r="E1116" s="416"/>
      <c r="F1116" s="413"/>
      <c r="G1116" s="413"/>
      <c r="H1116" s="415"/>
      <c r="I1116" s="415"/>
      <c r="J1116" s="415"/>
      <c r="K1116" s="415"/>
      <c r="L1116" s="417"/>
      <c r="M1116" s="420"/>
      <c r="N1116" s="420"/>
      <c r="O1116" s="420"/>
      <c r="P1116" s="420"/>
      <c r="Q1116" s="420"/>
      <c r="R1116" s="420"/>
      <c r="S1116" s="420"/>
      <c r="T1116" s="420"/>
      <c r="U1116" s="420"/>
      <c r="V1116" s="420"/>
      <c r="W1116" s="420"/>
      <c r="X1116" s="420"/>
      <c r="Y1116" s="420"/>
      <c r="Z1116" s="420"/>
      <c r="AA1116" s="420"/>
      <c r="AB1116" s="420"/>
      <c r="AC1116" s="420"/>
      <c r="AD1116" s="420"/>
      <c r="AE1116" s="420"/>
      <c r="AF1116" s="420"/>
      <c r="AG1116" s="420"/>
      <c r="AH1116" s="420"/>
      <c r="AI1116" s="420"/>
      <c r="AJ1116" s="420"/>
      <c r="AK1116" s="420"/>
      <c r="AL1116" s="420"/>
      <c r="AM1116" s="420"/>
      <c r="AN1116" s="420"/>
      <c r="AO1116" s="420"/>
      <c r="AP1116" s="420"/>
      <c r="AQ1116" s="420"/>
      <c r="AR1116" s="403"/>
      <c r="AS1116" s="403"/>
      <c r="AT1116" s="403"/>
      <c r="AU1116" s="403"/>
      <c r="AV1116" s="403"/>
      <c r="AW1116" s="403"/>
      <c r="AX1116" s="403"/>
      <c r="AY1116" s="403"/>
    </row>
    <row r="1117">
      <c r="A1117" s="415"/>
      <c r="B1117" s="415"/>
      <c r="C1117" s="410"/>
      <c r="D1117" s="429"/>
      <c r="E1117" s="416"/>
      <c r="F1117" s="413"/>
      <c r="G1117" s="413"/>
      <c r="H1117" s="415"/>
      <c r="I1117" s="415"/>
      <c r="J1117" s="415"/>
      <c r="K1117" s="415"/>
      <c r="L1117" s="417"/>
      <c r="M1117" s="420"/>
      <c r="N1117" s="420"/>
      <c r="O1117" s="420"/>
      <c r="P1117" s="420"/>
      <c r="Q1117" s="420"/>
      <c r="R1117" s="420"/>
      <c r="S1117" s="420"/>
      <c r="T1117" s="420"/>
      <c r="U1117" s="420"/>
      <c r="V1117" s="420"/>
      <c r="W1117" s="420"/>
      <c r="X1117" s="420"/>
      <c r="Y1117" s="420"/>
      <c r="Z1117" s="420"/>
      <c r="AA1117" s="420"/>
      <c r="AB1117" s="420"/>
      <c r="AC1117" s="420"/>
      <c r="AD1117" s="420"/>
      <c r="AE1117" s="420"/>
      <c r="AF1117" s="420"/>
      <c r="AG1117" s="420"/>
      <c r="AH1117" s="420"/>
      <c r="AI1117" s="420"/>
      <c r="AJ1117" s="420"/>
      <c r="AK1117" s="420"/>
      <c r="AL1117" s="420"/>
      <c r="AM1117" s="420"/>
      <c r="AN1117" s="420"/>
      <c r="AO1117" s="420"/>
      <c r="AP1117" s="420"/>
      <c r="AQ1117" s="420"/>
      <c r="AR1117" s="403"/>
      <c r="AS1117" s="403"/>
      <c r="AT1117" s="403"/>
      <c r="AU1117" s="403"/>
      <c r="AV1117" s="403"/>
      <c r="AW1117" s="403"/>
      <c r="AX1117" s="403"/>
      <c r="AY1117" s="403"/>
    </row>
    <row r="1118">
      <c r="A1118" s="415"/>
      <c r="B1118" s="415"/>
      <c r="C1118" s="410"/>
      <c r="D1118" s="429"/>
      <c r="E1118" s="416"/>
      <c r="F1118" s="413"/>
      <c r="G1118" s="413"/>
      <c r="H1118" s="415"/>
      <c r="I1118" s="415"/>
      <c r="J1118" s="415"/>
      <c r="K1118" s="415"/>
      <c r="L1118" s="417"/>
      <c r="M1118" s="420"/>
      <c r="N1118" s="420"/>
      <c r="O1118" s="420"/>
      <c r="P1118" s="420"/>
      <c r="Q1118" s="420"/>
      <c r="R1118" s="420"/>
      <c r="S1118" s="420"/>
      <c r="T1118" s="420"/>
      <c r="U1118" s="420"/>
      <c r="V1118" s="420"/>
      <c r="W1118" s="420"/>
      <c r="X1118" s="420"/>
      <c r="Y1118" s="420"/>
      <c r="Z1118" s="420"/>
      <c r="AA1118" s="420"/>
      <c r="AB1118" s="420"/>
      <c r="AC1118" s="420"/>
      <c r="AD1118" s="420"/>
      <c r="AE1118" s="420"/>
      <c r="AF1118" s="420"/>
      <c r="AG1118" s="420"/>
      <c r="AH1118" s="420"/>
      <c r="AI1118" s="420"/>
      <c r="AJ1118" s="420"/>
      <c r="AK1118" s="420"/>
      <c r="AL1118" s="420"/>
      <c r="AM1118" s="420"/>
      <c r="AN1118" s="420"/>
      <c r="AO1118" s="420"/>
      <c r="AP1118" s="420"/>
      <c r="AQ1118" s="420"/>
      <c r="AR1118" s="403"/>
      <c r="AS1118" s="403"/>
      <c r="AT1118" s="403"/>
      <c r="AU1118" s="403"/>
      <c r="AV1118" s="403"/>
      <c r="AW1118" s="403"/>
      <c r="AX1118" s="403"/>
      <c r="AY1118" s="403"/>
    </row>
    <row r="1119">
      <c r="A1119" s="415"/>
      <c r="B1119" s="415"/>
      <c r="C1119" s="410"/>
      <c r="D1119" s="429"/>
      <c r="E1119" s="416"/>
      <c r="F1119" s="413"/>
      <c r="G1119" s="413"/>
      <c r="H1119" s="415"/>
      <c r="I1119" s="415"/>
      <c r="J1119" s="415"/>
      <c r="K1119" s="415"/>
      <c r="L1119" s="417"/>
      <c r="M1119" s="420"/>
      <c r="N1119" s="420"/>
      <c r="O1119" s="420"/>
      <c r="P1119" s="420"/>
      <c r="Q1119" s="420"/>
      <c r="R1119" s="420"/>
      <c r="S1119" s="420"/>
      <c r="T1119" s="420"/>
      <c r="U1119" s="420"/>
      <c r="V1119" s="420"/>
      <c r="W1119" s="420"/>
      <c r="X1119" s="420"/>
      <c r="Y1119" s="420"/>
      <c r="Z1119" s="420"/>
      <c r="AA1119" s="420"/>
      <c r="AB1119" s="420"/>
      <c r="AC1119" s="420"/>
      <c r="AD1119" s="420"/>
      <c r="AE1119" s="420"/>
      <c r="AF1119" s="420"/>
      <c r="AG1119" s="420"/>
      <c r="AH1119" s="420"/>
      <c r="AI1119" s="420"/>
      <c r="AJ1119" s="420"/>
      <c r="AK1119" s="420"/>
      <c r="AL1119" s="420"/>
      <c r="AM1119" s="420"/>
      <c r="AN1119" s="420"/>
      <c r="AO1119" s="420"/>
      <c r="AP1119" s="420"/>
      <c r="AQ1119" s="420"/>
      <c r="AR1119" s="403"/>
      <c r="AS1119" s="403"/>
      <c r="AT1119" s="403"/>
      <c r="AU1119" s="403"/>
      <c r="AV1119" s="403"/>
      <c r="AW1119" s="403"/>
      <c r="AX1119" s="403"/>
      <c r="AY1119" s="403"/>
    </row>
    <row r="1120">
      <c r="A1120" s="415"/>
      <c r="B1120" s="415"/>
      <c r="C1120" s="410"/>
      <c r="D1120" s="429"/>
      <c r="E1120" s="416"/>
      <c r="F1120" s="413"/>
      <c r="G1120" s="413"/>
      <c r="H1120" s="415"/>
      <c r="I1120" s="415"/>
      <c r="J1120" s="415"/>
      <c r="K1120" s="415"/>
      <c r="L1120" s="417"/>
      <c r="M1120" s="420"/>
      <c r="N1120" s="420"/>
      <c r="O1120" s="420"/>
      <c r="P1120" s="420"/>
      <c r="Q1120" s="420"/>
      <c r="R1120" s="420"/>
      <c r="S1120" s="420"/>
      <c r="T1120" s="420"/>
      <c r="U1120" s="420"/>
      <c r="V1120" s="420"/>
      <c r="W1120" s="420"/>
      <c r="X1120" s="420"/>
      <c r="Y1120" s="420"/>
      <c r="Z1120" s="420"/>
      <c r="AA1120" s="420"/>
      <c r="AB1120" s="420"/>
      <c r="AC1120" s="420"/>
      <c r="AD1120" s="420"/>
      <c r="AE1120" s="420"/>
      <c r="AF1120" s="420"/>
      <c r="AG1120" s="420"/>
      <c r="AH1120" s="420"/>
      <c r="AI1120" s="420"/>
      <c r="AJ1120" s="420"/>
      <c r="AK1120" s="420"/>
      <c r="AL1120" s="420"/>
      <c r="AM1120" s="420"/>
      <c r="AN1120" s="420"/>
      <c r="AO1120" s="420"/>
      <c r="AP1120" s="420"/>
      <c r="AQ1120" s="420"/>
      <c r="AR1120" s="403"/>
      <c r="AS1120" s="403"/>
      <c r="AT1120" s="403"/>
      <c r="AU1120" s="403"/>
      <c r="AV1120" s="403"/>
      <c r="AW1120" s="403"/>
      <c r="AX1120" s="403"/>
      <c r="AY1120" s="403"/>
    </row>
    <row r="1121">
      <c r="A1121" s="415"/>
      <c r="B1121" s="415"/>
      <c r="C1121" s="410"/>
      <c r="D1121" s="429"/>
      <c r="E1121" s="416"/>
      <c r="F1121" s="413"/>
      <c r="G1121" s="413"/>
      <c r="H1121" s="415"/>
      <c r="I1121" s="415"/>
      <c r="J1121" s="415"/>
      <c r="K1121" s="415"/>
      <c r="L1121" s="417"/>
      <c r="M1121" s="420"/>
      <c r="N1121" s="420"/>
      <c r="O1121" s="420"/>
      <c r="P1121" s="420"/>
      <c r="Q1121" s="420"/>
      <c r="R1121" s="420"/>
      <c r="S1121" s="420"/>
      <c r="T1121" s="420"/>
      <c r="U1121" s="420"/>
      <c r="V1121" s="420"/>
      <c r="W1121" s="420"/>
      <c r="X1121" s="420"/>
      <c r="Y1121" s="420"/>
      <c r="Z1121" s="420"/>
      <c r="AA1121" s="420"/>
      <c r="AB1121" s="420"/>
      <c r="AC1121" s="420"/>
      <c r="AD1121" s="420"/>
      <c r="AE1121" s="420"/>
      <c r="AF1121" s="420"/>
      <c r="AG1121" s="420"/>
      <c r="AH1121" s="420"/>
      <c r="AI1121" s="420"/>
      <c r="AJ1121" s="420"/>
      <c r="AK1121" s="420"/>
      <c r="AL1121" s="420"/>
      <c r="AM1121" s="420"/>
      <c r="AN1121" s="420"/>
      <c r="AO1121" s="420"/>
      <c r="AP1121" s="420"/>
      <c r="AQ1121" s="420"/>
      <c r="AR1121" s="403"/>
      <c r="AS1121" s="403"/>
      <c r="AT1121" s="403"/>
      <c r="AU1121" s="403"/>
      <c r="AV1121" s="403"/>
      <c r="AW1121" s="403"/>
      <c r="AX1121" s="403"/>
      <c r="AY1121" s="403"/>
    </row>
    <row r="1122">
      <c r="A1122" s="415"/>
      <c r="B1122" s="415"/>
      <c r="C1122" s="410"/>
      <c r="D1122" s="429"/>
      <c r="E1122" s="416"/>
      <c r="F1122" s="413"/>
      <c r="G1122" s="413"/>
      <c r="H1122" s="415"/>
      <c r="I1122" s="415"/>
      <c r="J1122" s="415"/>
      <c r="K1122" s="415"/>
      <c r="L1122" s="417"/>
      <c r="M1122" s="420"/>
      <c r="N1122" s="420"/>
      <c r="O1122" s="420"/>
      <c r="P1122" s="420"/>
      <c r="Q1122" s="420"/>
      <c r="R1122" s="420"/>
      <c r="S1122" s="420"/>
      <c r="T1122" s="420"/>
      <c r="U1122" s="420"/>
      <c r="V1122" s="420"/>
      <c r="W1122" s="420"/>
      <c r="X1122" s="420"/>
      <c r="Y1122" s="420"/>
      <c r="Z1122" s="420"/>
      <c r="AA1122" s="420"/>
      <c r="AB1122" s="420"/>
      <c r="AC1122" s="420"/>
      <c r="AD1122" s="420"/>
      <c r="AE1122" s="420"/>
      <c r="AF1122" s="420"/>
      <c r="AG1122" s="420"/>
      <c r="AH1122" s="420"/>
      <c r="AI1122" s="420"/>
      <c r="AJ1122" s="420"/>
      <c r="AK1122" s="420"/>
      <c r="AL1122" s="420"/>
      <c r="AM1122" s="420"/>
      <c r="AN1122" s="420"/>
      <c r="AO1122" s="420"/>
      <c r="AP1122" s="420"/>
      <c r="AQ1122" s="420"/>
      <c r="AR1122" s="403"/>
      <c r="AS1122" s="403"/>
      <c r="AT1122" s="403"/>
      <c r="AU1122" s="403"/>
      <c r="AV1122" s="403"/>
      <c r="AW1122" s="403"/>
      <c r="AX1122" s="403"/>
      <c r="AY1122" s="403"/>
    </row>
    <row r="1123">
      <c r="A1123" s="415"/>
      <c r="B1123" s="415"/>
      <c r="C1123" s="410"/>
      <c r="D1123" s="429"/>
      <c r="E1123" s="416"/>
      <c r="F1123" s="413"/>
      <c r="G1123" s="413"/>
      <c r="H1123" s="415"/>
      <c r="I1123" s="415"/>
      <c r="J1123" s="415"/>
      <c r="K1123" s="415"/>
      <c r="L1123" s="417"/>
      <c r="M1123" s="420"/>
      <c r="N1123" s="420"/>
      <c r="O1123" s="420"/>
      <c r="P1123" s="420"/>
      <c r="Q1123" s="420"/>
      <c r="R1123" s="420"/>
      <c r="S1123" s="420"/>
      <c r="T1123" s="420"/>
      <c r="U1123" s="420"/>
      <c r="V1123" s="420"/>
      <c r="W1123" s="420"/>
      <c r="X1123" s="420"/>
      <c r="Y1123" s="420"/>
      <c r="Z1123" s="420"/>
      <c r="AA1123" s="420"/>
      <c r="AB1123" s="420"/>
      <c r="AC1123" s="420"/>
      <c r="AD1123" s="420"/>
      <c r="AE1123" s="420"/>
      <c r="AF1123" s="420"/>
      <c r="AG1123" s="420"/>
      <c r="AH1123" s="420"/>
      <c r="AI1123" s="420"/>
      <c r="AJ1123" s="420"/>
      <c r="AK1123" s="420"/>
      <c r="AL1123" s="420"/>
      <c r="AM1123" s="420"/>
      <c r="AN1123" s="420"/>
      <c r="AO1123" s="420"/>
      <c r="AP1123" s="420"/>
      <c r="AQ1123" s="420"/>
      <c r="AR1123" s="403"/>
      <c r="AS1123" s="403"/>
      <c r="AT1123" s="403"/>
      <c r="AU1123" s="403"/>
      <c r="AV1123" s="403"/>
      <c r="AW1123" s="403"/>
      <c r="AX1123" s="403"/>
      <c r="AY1123" s="403"/>
    </row>
    <row r="1124">
      <c r="A1124" s="415"/>
      <c r="B1124" s="415"/>
      <c r="C1124" s="410"/>
      <c r="D1124" s="429"/>
      <c r="E1124" s="416"/>
      <c r="F1124" s="413"/>
      <c r="G1124" s="413"/>
      <c r="H1124" s="415"/>
      <c r="I1124" s="415"/>
      <c r="J1124" s="415"/>
      <c r="K1124" s="415"/>
      <c r="L1124" s="417"/>
      <c r="M1124" s="420"/>
      <c r="N1124" s="420"/>
      <c r="O1124" s="420"/>
      <c r="P1124" s="420"/>
      <c r="Q1124" s="420"/>
      <c r="R1124" s="420"/>
      <c r="S1124" s="420"/>
      <c r="T1124" s="420"/>
      <c r="U1124" s="420"/>
      <c r="V1124" s="420"/>
      <c r="W1124" s="420"/>
      <c r="X1124" s="420"/>
      <c r="Y1124" s="420"/>
      <c r="Z1124" s="420"/>
      <c r="AA1124" s="420"/>
      <c r="AB1124" s="420"/>
      <c r="AC1124" s="420"/>
      <c r="AD1124" s="420"/>
      <c r="AE1124" s="420"/>
      <c r="AF1124" s="420"/>
      <c r="AG1124" s="420"/>
      <c r="AH1124" s="420"/>
      <c r="AI1124" s="420"/>
      <c r="AJ1124" s="420"/>
      <c r="AK1124" s="420"/>
      <c r="AL1124" s="420"/>
      <c r="AM1124" s="420"/>
      <c r="AN1124" s="420"/>
      <c r="AO1124" s="420"/>
      <c r="AP1124" s="420"/>
      <c r="AQ1124" s="420"/>
      <c r="AR1124" s="403"/>
      <c r="AS1124" s="403"/>
      <c r="AT1124" s="403"/>
      <c r="AU1124" s="403"/>
      <c r="AV1124" s="403"/>
      <c r="AW1124" s="403"/>
      <c r="AX1124" s="403"/>
      <c r="AY1124" s="403"/>
    </row>
    <row r="1125">
      <c r="A1125" s="415"/>
      <c r="B1125" s="415"/>
      <c r="C1125" s="410"/>
      <c r="D1125" s="429"/>
      <c r="E1125" s="416"/>
      <c r="F1125" s="413"/>
      <c r="G1125" s="413"/>
      <c r="H1125" s="415"/>
      <c r="I1125" s="415"/>
      <c r="J1125" s="415"/>
      <c r="K1125" s="415"/>
      <c r="L1125" s="417"/>
      <c r="M1125" s="420"/>
      <c r="N1125" s="420"/>
      <c r="O1125" s="420"/>
      <c r="P1125" s="420"/>
      <c r="Q1125" s="420"/>
      <c r="R1125" s="420"/>
      <c r="S1125" s="420"/>
      <c r="T1125" s="420"/>
      <c r="U1125" s="420"/>
      <c r="V1125" s="420"/>
      <c r="W1125" s="420"/>
      <c r="X1125" s="420"/>
      <c r="Y1125" s="420"/>
      <c r="Z1125" s="420"/>
      <c r="AA1125" s="420"/>
      <c r="AB1125" s="420"/>
      <c r="AC1125" s="420"/>
      <c r="AD1125" s="420"/>
      <c r="AE1125" s="420"/>
      <c r="AF1125" s="420"/>
      <c r="AG1125" s="420"/>
      <c r="AH1125" s="420"/>
      <c r="AI1125" s="420"/>
      <c r="AJ1125" s="420"/>
      <c r="AK1125" s="420"/>
      <c r="AL1125" s="420"/>
      <c r="AM1125" s="420"/>
      <c r="AN1125" s="420"/>
      <c r="AO1125" s="420"/>
      <c r="AP1125" s="420"/>
      <c r="AQ1125" s="420"/>
      <c r="AR1125" s="403"/>
      <c r="AS1125" s="403"/>
      <c r="AT1125" s="403"/>
      <c r="AU1125" s="403"/>
      <c r="AV1125" s="403"/>
      <c r="AW1125" s="403"/>
      <c r="AX1125" s="403"/>
      <c r="AY1125" s="403"/>
    </row>
    <row r="1126">
      <c r="A1126" s="415"/>
      <c r="B1126" s="415"/>
      <c r="C1126" s="410"/>
      <c r="D1126" s="429"/>
      <c r="E1126" s="416"/>
      <c r="F1126" s="413"/>
      <c r="G1126" s="413"/>
      <c r="H1126" s="415"/>
      <c r="I1126" s="415"/>
      <c r="J1126" s="415"/>
      <c r="K1126" s="415"/>
      <c r="L1126" s="417"/>
      <c r="M1126" s="420"/>
      <c r="N1126" s="420"/>
      <c r="O1126" s="420"/>
      <c r="P1126" s="420"/>
      <c r="Q1126" s="420"/>
      <c r="R1126" s="420"/>
      <c r="S1126" s="420"/>
      <c r="T1126" s="420"/>
      <c r="U1126" s="420"/>
      <c r="V1126" s="420"/>
      <c r="W1126" s="420"/>
      <c r="X1126" s="420"/>
      <c r="Y1126" s="420"/>
      <c r="Z1126" s="420"/>
      <c r="AA1126" s="420"/>
      <c r="AB1126" s="420"/>
      <c r="AC1126" s="420"/>
      <c r="AD1126" s="420"/>
      <c r="AE1126" s="420"/>
      <c r="AF1126" s="420"/>
      <c r="AG1126" s="420"/>
      <c r="AH1126" s="420"/>
      <c r="AI1126" s="420"/>
      <c r="AJ1126" s="420"/>
      <c r="AK1126" s="420"/>
      <c r="AL1126" s="420"/>
      <c r="AM1126" s="420"/>
      <c r="AN1126" s="420"/>
      <c r="AO1126" s="420"/>
      <c r="AP1126" s="420"/>
      <c r="AQ1126" s="420"/>
      <c r="AR1126" s="403"/>
      <c r="AS1126" s="403"/>
      <c r="AT1126" s="403"/>
      <c r="AU1126" s="403"/>
      <c r="AV1126" s="403"/>
      <c r="AW1126" s="403"/>
      <c r="AX1126" s="403"/>
      <c r="AY1126" s="403"/>
    </row>
    <row r="1127">
      <c r="A1127" s="415"/>
      <c r="B1127" s="415"/>
      <c r="C1127" s="410"/>
      <c r="D1127" s="429"/>
      <c r="E1127" s="416"/>
      <c r="F1127" s="413"/>
      <c r="G1127" s="413"/>
      <c r="H1127" s="415"/>
      <c r="I1127" s="415"/>
      <c r="J1127" s="415"/>
      <c r="K1127" s="415"/>
      <c r="L1127" s="417"/>
      <c r="M1127" s="420"/>
      <c r="N1127" s="420"/>
      <c r="O1127" s="420"/>
      <c r="P1127" s="420"/>
      <c r="Q1127" s="420"/>
      <c r="R1127" s="420"/>
      <c r="S1127" s="420"/>
      <c r="T1127" s="420"/>
      <c r="U1127" s="420"/>
      <c r="V1127" s="420"/>
      <c r="W1127" s="420"/>
      <c r="X1127" s="420"/>
      <c r="Y1127" s="420"/>
      <c r="Z1127" s="420"/>
      <c r="AA1127" s="420"/>
      <c r="AB1127" s="420"/>
      <c r="AC1127" s="420"/>
      <c r="AD1127" s="420"/>
      <c r="AE1127" s="420"/>
      <c r="AF1127" s="420"/>
      <c r="AG1127" s="420"/>
      <c r="AH1127" s="420"/>
      <c r="AI1127" s="420"/>
      <c r="AJ1127" s="420"/>
      <c r="AK1127" s="420"/>
      <c r="AL1127" s="420"/>
      <c r="AM1127" s="420"/>
      <c r="AN1127" s="420"/>
      <c r="AO1127" s="420"/>
      <c r="AP1127" s="420"/>
      <c r="AQ1127" s="420"/>
      <c r="AR1127" s="403"/>
      <c r="AS1127" s="403"/>
      <c r="AT1127" s="403"/>
      <c r="AU1127" s="403"/>
      <c r="AV1127" s="403"/>
      <c r="AW1127" s="403"/>
      <c r="AX1127" s="403"/>
      <c r="AY1127" s="403"/>
    </row>
    <row r="1128">
      <c r="A1128" s="415"/>
      <c r="B1128" s="415"/>
      <c r="C1128" s="410"/>
      <c r="D1128" s="429"/>
      <c r="E1128" s="416"/>
      <c r="F1128" s="413"/>
      <c r="G1128" s="413"/>
      <c r="H1128" s="415"/>
      <c r="I1128" s="415"/>
      <c r="J1128" s="415"/>
      <c r="K1128" s="415"/>
      <c r="L1128" s="417"/>
      <c r="M1128" s="420"/>
      <c r="N1128" s="420"/>
      <c r="O1128" s="420"/>
      <c r="P1128" s="420"/>
      <c r="Q1128" s="420"/>
      <c r="R1128" s="420"/>
      <c r="S1128" s="420"/>
      <c r="T1128" s="420"/>
      <c r="U1128" s="420"/>
      <c r="V1128" s="420"/>
      <c r="W1128" s="420"/>
      <c r="X1128" s="420"/>
      <c r="Y1128" s="420"/>
      <c r="Z1128" s="420"/>
      <c r="AA1128" s="420"/>
      <c r="AB1128" s="420"/>
      <c r="AC1128" s="420"/>
      <c r="AD1128" s="420"/>
      <c r="AE1128" s="420"/>
      <c r="AF1128" s="420"/>
      <c r="AG1128" s="420"/>
      <c r="AH1128" s="420"/>
      <c r="AI1128" s="420"/>
      <c r="AJ1128" s="420"/>
      <c r="AK1128" s="420"/>
      <c r="AL1128" s="420"/>
      <c r="AM1128" s="420"/>
      <c r="AN1128" s="420"/>
      <c r="AO1128" s="420"/>
      <c r="AP1128" s="420"/>
      <c r="AQ1128" s="420"/>
      <c r="AR1128" s="403"/>
      <c r="AS1128" s="403"/>
      <c r="AT1128" s="403"/>
      <c r="AU1128" s="403"/>
      <c r="AV1128" s="403"/>
      <c r="AW1128" s="403"/>
      <c r="AX1128" s="403"/>
      <c r="AY1128" s="403"/>
    </row>
    <row r="1129">
      <c r="A1129" s="415"/>
      <c r="B1129" s="415"/>
      <c r="C1129" s="410"/>
      <c r="D1129" s="429"/>
      <c r="E1129" s="416"/>
      <c r="F1129" s="413"/>
      <c r="G1129" s="413"/>
      <c r="H1129" s="415"/>
      <c r="I1129" s="415"/>
      <c r="J1129" s="415"/>
      <c r="K1129" s="415"/>
      <c r="L1129" s="417"/>
      <c r="M1129" s="420"/>
      <c r="N1129" s="420"/>
      <c r="O1129" s="420"/>
      <c r="P1129" s="420"/>
      <c r="Q1129" s="420"/>
      <c r="R1129" s="420"/>
      <c r="S1129" s="420"/>
      <c r="T1129" s="420"/>
      <c r="U1129" s="420"/>
      <c r="V1129" s="420"/>
      <c r="W1129" s="420"/>
      <c r="X1129" s="420"/>
      <c r="Y1129" s="420"/>
      <c r="Z1129" s="420"/>
      <c r="AA1129" s="420"/>
      <c r="AB1129" s="420"/>
      <c r="AC1129" s="420"/>
      <c r="AD1129" s="420"/>
      <c r="AE1129" s="420"/>
      <c r="AF1129" s="420"/>
      <c r="AG1129" s="420"/>
      <c r="AH1129" s="420"/>
      <c r="AI1129" s="420"/>
      <c r="AJ1129" s="420"/>
      <c r="AK1129" s="420"/>
      <c r="AL1129" s="420"/>
      <c r="AM1129" s="420"/>
      <c r="AN1129" s="420"/>
      <c r="AO1129" s="420"/>
      <c r="AP1129" s="420"/>
      <c r="AQ1129" s="420"/>
      <c r="AR1129" s="403"/>
      <c r="AS1129" s="403"/>
      <c r="AT1129" s="403"/>
      <c r="AU1129" s="403"/>
      <c r="AV1129" s="403"/>
      <c r="AW1129" s="403"/>
      <c r="AX1129" s="403"/>
      <c r="AY1129" s="403"/>
    </row>
    <row r="1130">
      <c r="A1130" s="415"/>
      <c r="B1130" s="415"/>
      <c r="C1130" s="410"/>
      <c r="D1130" s="429"/>
      <c r="E1130" s="416"/>
      <c r="F1130" s="413"/>
      <c r="G1130" s="413"/>
      <c r="H1130" s="415"/>
      <c r="I1130" s="415"/>
      <c r="J1130" s="415"/>
      <c r="K1130" s="415"/>
      <c r="L1130" s="417"/>
      <c r="M1130" s="420"/>
      <c r="N1130" s="420"/>
      <c r="O1130" s="420"/>
      <c r="P1130" s="420"/>
      <c r="Q1130" s="420"/>
      <c r="R1130" s="420"/>
      <c r="S1130" s="420"/>
      <c r="T1130" s="420"/>
      <c r="U1130" s="420"/>
      <c r="V1130" s="420"/>
      <c r="W1130" s="420"/>
      <c r="X1130" s="420"/>
      <c r="Y1130" s="420"/>
      <c r="Z1130" s="420"/>
      <c r="AA1130" s="420"/>
      <c r="AB1130" s="420"/>
      <c r="AC1130" s="420"/>
      <c r="AD1130" s="420"/>
      <c r="AE1130" s="420"/>
      <c r="AF1130" s="420"/>
      <c r="AG1130" s="420"/>
      <c r="AH1130" s="420"/>
      <c r="AI1130" s="420"/>
      <c r="AJ1130" s="420"/>
      <c r="AK1130" s="420"/>
      <c r="AL1130" s="420"/>
      <c r="AM1130" s="420"/>
      <c r="AN1130" s="420"/>
      <c r="AO1130" s="420"/>
      <c r="AP1130" s="420"/>
      <c r="AQ1130" s="420"/>
      <c r="AR1130" s="403"/>
      <c r="AS1130" s="403"/>
      <c r="AT1130" s="403"/>
      <c r="AU1130" s="403"/>
      <c r="AV1130" s="403"/>
      <c r="AW1130" s="403"/>
      <c r="AX1130" s="403"/>
      <c r="AY1130" s="403"/>
    </row>
    <row r="1131">
      <c r="A1131" s="415"/>
      <c r="B1131" s="415"/>
      <c r="C1131" s="410"/>
      <c r="D1131" s="429"/>
      <c r="E1131" s="416"/>
      <c r="F1131" s="413"/>
      <c r="G1131" s="413"/>
      <c r="H1131" s="415"/>
      <c r="I1131" s="415"/>
      <c r="J1131" s="415"/>
      <c r="K1131" s="415"/>
      <c r="L1131" s="417"/>
      <c r="M1131" s="420"/>
      <c r="N1131" s="420"/>
      <c r="O1131" s="420"/>
      <c r="P1131" s="420"/>
      <c r="Q1131" s="420"/>
      <c r="R1131" s="420"/>
      <c r="S1131" s="420"/>
      <c r="T1131" s="420"/>
      <c r="U1131" s="420"/>
      <c r="V1131" s="420"/>
      <c r="W1131" s="420"/>
      <c r="X1131" s="420"/>
      <c r="Y1131" s="420"/>
      <c r="Z1131" s="420"/>
      <c r="AA1131" s="420"/>
      <c r="AB1131" s="420"/>
      <c r="AC1131" s="420"/>
      <c r="AD1131" s="420"/>
      <c r="AE1131" s="420"/>
      <c r="AF1131" s="420"/>
      <c r="AG1131" s="420"/>
      <c r="AH1131" s="420"/>
      <c r="AI1131" s="420"/>
      <c r="AJ1131" s="420"/>
      <c r="AK1131" s="420"/>
      <c r="AL1131" s="420"/>
      <c r="AM1131" s="420"/>
      <c r="AN1131" s="420"/>
      <c r="AO1131" s="420"/>
      <c r="AP1131" s="420"/>
      <c r="AQ1131" s="420"/>
      <c r="AR1131" s="403"/>
      <c r="AS1131" s="403"/>
      <c r="AT1131" s="403"/>
      <c r="AU1131" s="403"/>
      <c r="AV1131" s="403"/>
      <c r="AW1131" s="403"/>
      <c r="AX1131" s="403"/>
      <c r="AY1131" s="403"/>
    </row>
    <row r="1132">
      <c r="A1132" s="415"/>
      <c r="B1132" s="415"/>
      <c r="C1132" s="410"/>
      <c r="D1132" s="429"/>
      <c r="E1132" s="416"/>
      <c r="F1132" s="413"/>
      <c r="G1132" s="413"/>
      <c r="H1132" s="415"/>
      <c r="I1132" s="415"/>
      <c r="J1132" s="415"/>
      <c r="K1132" s="415"/>
      <c r="L1132" s="417"/>
      <c r="M1132" s="420"/>
      <c r="N1132" s="420"/>
      <c r="O1132" s="420"/>
      <c r="P1132" s="420"/>
      <c r="Q1132" s="420"/>
      <c r="R1132" s="420"/>
      <c r="S1132" s="420"/>
      <c r="T1132" s="420"/>
      <c r="U1132" s="420"/>
      <c r="V1132" s="420"/>
      <c r="W1132" s="420"/>
      <c r="X1132" s="420"/>
      <c r="Y1132" s="420"/>
      <c r="Z1132" s="420"/>
      <c r="AA1132" s="420"/>
      <c r="AB1132" s="420"/>
      <c r="AC1132" s="420"/>
      <c r="AD1132" s="420"/>
      <c r="AE1132" s="420"/>
      <c r="AF1132" s="420"/>
      <c r="AG1132" s="420"/>
      <c r="AH1132" s="420"/>
      <c r="AI1132" s="420"/>
      <c r="AJ1132" s="420"/>
      <c r="AK1132" s="420"/>
      <c r="AL1132" s="420"/>
      <c r="AM1132" s="420"/>
      <c r="AN1132" s="420"/>
      <c r="AO1132" s="420"/>
      <c r="AP1132" s="420"/>
      <c r="AQ1132" s="420"/>
      <c r="AR1132" s="403"/>
      <c r="AS1132" s="403"/>
      <c r="AT1132" s="403"/>
      <c r="AU1132" s="403"/>
      <c r="AV1132" s="403"/>
      <c r="AW1132" s="403"/>
      <c r="AX1132" s="403"/>
      <c r="AY1132" s="403"/>
    </row>
    <row r="1133">
      <c r="A1133" s="415"/>
      <c r="B1133" s="415"/>
      <c r="C1133" s="410"/>
      <c r="D1133" s="429"/>
      <c r="E1133" s="416"/>
      <c r="F1133" s="413"/>
      <c r="G1133" s="413"/>
      <c r="H1133" s="415"/>
      <c r="I1133" s="415"/>
      <c r="J1133" s="415"/>
      <c r="K1133" s="415"/>
      <c r="L1133" s="417"/>
      <c r="M1133" s="420"/>
      <c r="N1133" s="420"/>
      <c r="O1133" s="420"/>
      <c r="P1133" s="420"/>
      <c r="Q1133" s="420"/>
      <c r="R1133" s="420"/>
      <c r="S1133" s="420"/>
      <c r="T1133" s="420"/>
      <c r="U1133" s="420"/>
      <c r="V1133" s="420"/>
      <c r="W1133" s="420"/>
      <c r="X1133" s="420"/>
      <c r="Y1133" s="420"/>
      <c r="Z1133" s="420"/>
      <c r="AA1133" s="420"/>
      <c r="AB1133" s="420"/>
      <c r="AC1133" s="420"/>
      <c r="AD1133" s="420"/>
      <c r="AE1133" s="420"/>
      <c r="AF1133" s="420"/>
      <c r="AG1133" s="420"/>
      <c r="AH1133" s="420"/>
      <c r="AI1133" s="420"/>
      <c r="AJ1133" s="420"/>
      <c r="AK1133" s="420"/>
      <c r="AL1133" s="420"/>
      <c r="AM1133" s="420"/>
      <c r="AN1133" s="420"/>
      <c r="AO1133" s="420"/>
      <c r="AP1133" s="420"/>
      <c r="AQ1133" s="420"/>
      <c r="AR1133" s="403"/>
      <c r="AS1133" s="403"/>
      <c r="AT1133" s="403"/>
      <c r="AU1133" s="403"/>
      <c r="AV1133" s="403"/>
      <c r="AW1133" s="403"/>
      <c r="AX1133" s="403"/>
      <c r="AY1133" s="403"/>
    </row>
    <row r="1134">
      <c r="A1134" s="415"/>
      <c r="B1134" s="415"/>
      <c r="C1134" s="410"/>
      <c r="D1134" s="429"/>
      <c r="E1134" s="416"/>
      <c r="F1134" s="413"/>
      <c r="G1134" s="413"/>
      <c r="H1134" s="415"/>
      <c r="I1134" s="415"/>
      <c r="J1134" s="415"/>
      <c r="K1134" s="415"/>
      <c r="L1134" s="417"/>
      <c r="M1134" s="420"/>
      <c r="N1134" s="420"/>
      <c r="O1134" s="420"/>
      <c r="P1134" s="420"/>
      <c r="Q1134" s="420"/>
      <c r="R1134" s="420"/>
      <c r="S1134" s="420"/>
      <c r="T1134" s="420"/>
      <c r="U1134" s="420"/>
      <c r="V1134" s="420"/>
      <c r="W1134" s="420"/>
      <c r="X1134" s="420"/>
      <c r="Y1134" s="420"/>
      <c r="Z1134" s="420"/>
      <c r="AA1134" s="420"/>
      <c r="AB1134" s="420"/>
      <c r="AC1134" s="420"/>
      <c r="AD1134" s="420"/>
      <c r="AE1134" s="420"/>
      <c r="AF1134" s="420"/>
      <c r="AG1134" s="420"/>
      <c r="AH1134" s="420"/>
      <c r="AI1134" s="420"/>
      <c r="AJ1134" s="420"/>
      <c r="AK1134" s="420"/>
      <c r="AL1134" s="420"/>
      <c r="AM1134" s="420"/>
      <c r="AN1134" s="420"/>
      <c r="AO1134" s="420"/>
      <c r="AP1134" s="420"/>
      <c r="AQ1134" s="420"/>
      <c r="AR1134" s="403"/>
      <c r="AS1134" s="403"/>
      <c r="AT1134" s="403"/>
      <c r="AU1134" s="403"/>
      <c r="AV1134" s="403"/>
      <c r="AW1134" s="403"/>
      <c r="AX1134" s="403"/>
      <c r="AY1134" s="403"/>
    </row>
    <row r="1135">
      <c r="A1135" s="415"/>
      <c r="B1135" s="415"/>
      <c r="C1135" s="410"/>
      <c r="D1135" s="429"/>
      <c r="E1135" s="416"/>
      <c r="F1135" s="413"/>
      <c r="G1135" s="413"/>
      <c r="H1135" s="415"/>
      <c r="I1135" s="415"/>
      <c r="J1135" s="415"/>
      <c r="K1135" s="415"/>
      <c r="L1135" s="417"/>
      <c r="M1135" s="420"/>
      <c r="N1135" s="420"/>
      <c r="O1135" s="420"/>
      <c r="P1135" s="420"/>
      <c r="Q1135" s="420"/>
      <c r="R1135" s="420"/>
      <c r="S1135" s="420"/>
      <c r="T1135" s="420"/>
      <c r="U1135" s="420"/>
      <c r="V1135" s="420"/>
      <c r="W1135" s="420"/>
      <c r="X1135" s="420"/>
      <c r="Y1135" s="420"/>
      <c r="Z1135" s="420"/>
      <c r="AA1135" s="420"/>
      <c r="AB1135" s="420"/>
      <c r="AC1135" s="420"/>
      <c r="AD1135" s="420"/>
      <c r="AE1135" s="420"/>
      <c r="AF1135" s="420"/>
      <c r="AG1135" s="420"/>
      <c r="AH1135" s="420"/>
      <c r="AI1135" s="420"/>
      <c r="AJ1135" s="420"/>
      <c r="AK1135" s="420"/>
      <c r="AL1135" s="420"/>
      <c r="AM1135" s="420"/>
      <c r="AN1135" s="420"/>
      <c r="AO1135" s="420"/>
      <c r="AP1135" s="420"/>
      <c r="AQ1135" s="420"/>
      <c r="AR1135" s="403"/>
      <c r="AS1135" s="403"/>
      <c r="AT1135" s="403"/>
      <c r="AU1135" s="403"/>
      <c r="AV1135" s="403"/>
      <c r="AW1135" s="403"/>
      <c r="AX1135" s="403"/>
      <c r="AY1135" s="403"/>
    </row>
    <row r="1136">
      <c r="A1136" s="415"/>
      <c r="B1136" s="415"/>
      <c r="C1136" s="410"/>
      <c r="D1136" s="429"/>
      <c r="E1136" s="416"/>
      <c r="F1136" s="413"/>
      <c r="G1136" s="413"/>
      <c r="H1136" s="415"/>
      <c r="I1136" s="415"/>
      <c r="J1136" s="415"/>
      <c r="K1136" s="415"/>
      <c r="L1136" s="417"/>
      <c r="M1136" s="420"/>
      <c r="N1136" s="420"/>
      <c r="O1136" s="420"/>
      <c r="P1136" s="420"/>
      <c r="Q1136" s="420"/>
      <c r="R1136" s="420"/>
      <c r="S1136" s="420"/>
      <c r="T1136" s="420"/>
      <c r="U1136" s="420"/>
      <c r="V1136" s="420"/>
      <c r="W1136" s="420"/>
      <c r="X1136" s="420"/>
      <c r="Y1136" s="420"/>
      <c r="Z1136" s="420"/>
      <c r="AA1136" s="420"/>
      <c r="AB1136" s="420"/>
      <c r="AC1136" s="420"/>
      <c r="AD1136" s="420"/>
      <c r="AE1136" s="420"/>
      <c r="AF1136" s="420"/>
      <c r="AG1136" s="420"/>
      <c r="AH1136" s="420"/>
      <c r="AI1136" s="420"/>
      <c r="AJ1136" s="420"/>
      <c r="AK1136" s="420"/>
      <c r="AL1136" s="420"/>
      <c r="AM1136" s="420"/>
      <c r="AN1136" s="420"/>
      <c r="AO1136" s="420"/>
      <c r="AP1136" s="420"/>
      <c r="AQ1136" s="420"/>
      <c r="AR1136" s="403"/>
      <c r="AS1136" s="403"/>
      <c r="AT1136" s="403"/>
      <c r="AU1136" s="403"/>
      <c r="AV1136" s="403"/>
      <c r="AW1136" s="403"/>
      <c r="AX1136" s="403"/>
      <c r="AY1136" s="403"/>
    </row>
    <row r="1137">
      <c r="A1137" s="415"/>
      <c r="B1137" s="415"/>
      <c r="C1137" s="410"/>
      <c r="D1137" s="429"/>
      <c r="E1137" s="416"/>
      <c r="F1137" s="413"/>
      <c r="G1137" s="413"/>
      <c r="H1137" s="415"/>
      <c r="I1137" s="415"/>
      <c r="J1137" s="415"/>
      <c r="K1137" s="415"/>
      <c r="L1137" s="417"/>
      <c r="M1137" s="420"/>
      <c r="N1137" s="420"/>
      <c r="O1137" s="420"/>
      <c r="P1137" s="420"/>
      <c r="Q1137" s="420"/>
      <c r="R1137" s="420"/>
      <c r="S1137" s="420"/>
      <c r="T1137" s="420"/>
      <c r="U1137" s="420"/>
      <c r="V1137" s="420"/>
      <c r="W1137" s="420"/>
      <c r="X1137" s="420"/>
      <c r="Y1137" s="420"/>
      <c r="Z1137" s="420"/>
      <c r="AA1137" s="420"/>
      <c r="AB1137" s="420"/>
      <c r="AC1137" s="420"/>
      <c r="AD1137" s="420"/>
      <c r="AE1137" s="420"/>
      <c r="AF1137" s="420"/>
      <c r="AG1137" s="420"/>
      <c r="AH1137" s="420"/>
      <c r="AI1137" s="420"/>
      <c r="AJ1137" s="420"/>
      <c r="AK1137" s="420"/>
      <c r="AL1137" s="420"/>
      <c r="AM1137" s="420"/>
      <c r="AN1137" s="420"/>
      <c r="AO1137" s="420"/>
      <c r="AP1137" s="420"/>
      <c r="AQ1137" s="420"/>
      <c r="AR1137" s="403"/>
      <c r="AS1137" s="403"/>
      <c r="AT1137" s="403"/>
      <c r="AU1137" s="403"/>
      <c r="AV1137" s="403"/>
      <c r="AW1137" s="403"/>
      <c r="AX1137" s="403"/>
      <c r="AY1137" s="403"/>
    </row>
    <row r="1138">
      <c r="A1138" s="415"/>
      <c r="B1138" s="415"/>
      <c r="C1138" s="410"/>
      <c r="D1138" s="429"/>
      <c r="E1138" s="416"/>
      <c r="F1138" s="413"/>
      <c r="G1138" s="413"/>
      <c r="H1138" s="415"/>
      <c r="I1138" s="415"/>
      <c r="J1138" s="415"/>
      <c r="K1138" s="415"/>
      <c r="L1138" s="417"/>
      <c r="M1138" s="420"/>
      <c r="N1138" s="420"/>
      <c r="O1138" s="420"/>
      <c r="P1138" s="420"/>
      <c r="Q1138" s="420"/>
      <c r="R1138" s="420"/>
      <c r="S1138" s="420"/>
      <c r="T1138" s="420"/>
      <c r="U1138" s="420"/>
      <c r="V1138" s="420"/>
      <c r="W1138" s="420"/>
      <c r="X1138" s="420"/>
      <c r="Y1138" s="420"/>
      <c r="Z1138" s="420"/>
      <c r="AA1138" s="420"/>
      <c r="AB1138" s="420"/>
      <c r="AC1138" s="420"/>
      <c r="AD1138" s="420"/>
      <c r="AE1138" s="420"/>
      <c r="AF1138" s="420"/>
      <c r="AG1138" s="420"/>
      <c r="AH1138" s="420"/>
      <c r="AI1138" s="420"/>
      <c r="AJ1138" s="420"/>
      <c r="AK1138" s="420"/>
      <c r="AL1138" s="420"/>
      <c r="AM1138" s="420"/>
      <c r="AN1138" s="420"/>
      <c r="AO1138" s="420"/>
      <c r="AP1138" s="420"/>
      <c r="AQ1138" s="420"/>
      <c r="AR1138" s="403"/>
      <c r="AS1138" s="403"/>
      <c r="AT1138" s="403"/>
      <c r="AU1138" s="403"/>
      <c r="AV1138" s="403"/>
      <c r="AW1138" s="403"/>
      <c r="AX1138" s="403"/>
      <c r="AY1138" s="403"/>
    </row>
    <row r="1139">
      <c r="A1139" s="415"/>
      <c r="B1139" s="415"/>
      <c r="C1139" s="410"/>
      <c r="D1139" s="429"/>
      <c r="E1139" s="416"/>
      <c r="F1139" s="413"/>
      <c r="G1139" s="413"/>
      <c r="H1139" s="415"/>
      <c r="I1139" s="415"/>
      <c r="J1139" s="415"/>
      <c r="K1139" s="415"/>
      <c r="L1139" s="417"/>
      <c r="M1139" s="420"/>
      <c r="N1139" s="420"/>
      <c r="O1139" s="420"/>
      <c r="P1139" s="420"/>
      <c r="Q1139" s="420"/>
      <c r="R1139" s="420"/>
      <c r="S1139" s="420"/>
      <c r="T1139" s="420"/>
      <c r="U1139" s="420"/>
      <c r="V1139" s="420"/>
      <c r="W1139" s="420"/>
      <c r="X1139" s="420"/>
      <c r="Y1139" s="420"/>
      <c r="Z1139" s="420"/>
      <c r="AA1139" s="420"/>
      <c r="AB1139" s="420"/>
      <c r="AC1139" s="420"/>
      <c r="AD1139" s="420"/>
      <c r="AE1139" s="420"/>
      <c r="AF1139" s="420"/>
      <c r="AG1139" s="420"/>
      <c r="AH1139" s="420"/>
      <c r="AI1139" s="420"/>
      <c r="AJ1139" s="420"/>
      <c r="AK1139" s="420"/>
      <c r="AL1139" s="420"/>
      <c r="AM1139" s="420"/>
      <c r="AN1139" s="420"/>
      <c r="AO1139" s="420"/>
      <c r="AP1139" s="420"/>
      <c r="AQ1139" s="420"/>
      <c r="AR1139" s="403"/>
      <c r="AS1139" s="403"/>
      <c r="AT1139" s="403"/>
      <c r="AU1139" s="403"/>
      <c r="AV1139" s="403"/>
      <c r="AW1139" s="403"/>
      <c r="AX1139" s="403"/>
      <c r="AY1139" s="403"/>
    </row>
    <row r="1140">
      <c r="A1140" s="415"/>
      <c r="B1140" s="415"/>
      <c r="C1140" s="410"/>
      <c r="D1140" s="429"/>
      <c r="E1140" s="416"/>
      <c r="F1140" s="413"/>
      <c r="G1140" s="413"/>
      <c r="H1140" s="415"/>
      <c r="I1140" s="415"/>
      <c r="J1140" s="415"/>
      <c r="K1140" s="415"/>
      <c r="L1140" s="417"/>
      <c r="M1140" s="420"/>
      <c r="N1140" s="420"/>
      <c r="O1140" s="420"/>
      <c r="P1140" s="420"/>
      <c r="Q1140" s="420"/>
      <c r="R1140" s="420"/>
      <c r="S1140" s="420"/>
      <c r="T1140" s="420"/>
      <c r="U1140" s="420"/>
      <c r="V1140" s="420"/>
      <c r="W1140" s="420"/>
      <c r="X1140" s="420"/>
      <c r="Y1140" s="420"/>
      <c r="Z1140" s="420"/>
      <c r="AA1140" s="420"/>
      <c r="AB1140" s="420"/>
      <c r="AC1140" s="420"/>
      <c r="AD1140" s="420"/>
      <c r="AE1140" s="420"/>
      <c r="AF1140" s="420"/>
      <c r="AG1140" s="420"/>
      <c r="AH1140" s="420"/>
      <c r="AI1140" s="420"/>
      <c r="AJ1140" s="420"/>
      <c r="AK1140" s="420"/>
      <c r="AL1140" s="420"/>
      <c r="AM1140" s="420"/>
      <c r="AN1140" s="420"/>
      <c r="AO1140" s="420"/>
      <c r="AP1140" s="420"/>
      <c r="AQ1140" s="420"/>
      <c r="AR1140" s="403"/>
      <c r="AS1140" s="403"/>
      <c r="AT1140" s="403"/>
      <c r="AU1140" s="403"/>
      <c r="AV1140" s="403"/>
      <c r="AW1140" s="403"/>
      <c r="AX1140" s="403"/>
      <c r="AY1140" s="403"/>
    </row>
    <row r="1141">
      <c r="A1141" s="415"/>
      <c r="B1141" s="415"/>
      <c r="C1141" s="410"/>
      <c r="D1141" s="429"/>
      <c r="E1141" s="416"/>
      <c r="F1141" s="413"/>
      <c r="G1141" s="413"/>
      <c r="H1141" s="415"/>
      <c r="I1141" s="415"/>
      <c r="J1141" s="415"/>
      <c r="K1141" s="415"/>
      <c r="L1141" s="417"/>
      <c r="M1141" s="420"/>
      <c r="N1141" s="420"/>
      <c r="O1141" s="420"/>
      <c r="P1141" s="420"/>
      <c r="Q1141" s="420"/>
      <c r="R1141" s="420"/>
      <c r="S1141" s="420"/>
      <c r="T1141" s="420"/>
      <c r="U1141" s="420"/>
      <c r="V1141" s="420"/>
      <c r="W1141" s="420"/>
      <c r="X1141" s="420"/>
      <c r="Y1141" s="420"/>
      <c r="Z1141" s="420"/>
      <c r="AA1141" s="420"/>
      <c r="AB1141" s="420"/>
      <c r="AC1141" s="420"/>
      <c r="AD1141" s="420"/>
      <c r="AE1141" s="420"/>
      <c r="AF1141" s="420"/>
      <c r="AG1141" s="420"/>
      <c r="AH1141" s="420"/>
      <c r="AI1141" s="420"/>
      <c r="AJ1141" s="420"/>
      <c r="AK1141" s="420"/>
      <c r="AL1141" s="420"/>
      <c r="AM1141" s="420"/>
      <c r="AN1141" s="420"/>
      <c r="AO1141" s="420"/>
      <c r="AP1141" s="420"/>
      <c r="AQ1141" s="420"/>
      <c r="AR1141" s="403"/>
      <c r="AS1141" s="403"/>
      <c r="AT1141" s="403"/>
      <c r="AU1141" s="403"/>
      <c r="AV1141" s="403"/>
      <c r="AW1141" s="403"/>
      <c r="AX1141" s="403"/>
      <c r="AY1141" s="403"/>
    </row>
    <row r="1142">
      <c r="A1142" s="415"/>
      <c r="B1142" s="415"/>
      <c r="C1142" s="410"/>
      <c r="D1142" s="429"/>
      <c r="E1142" s="416"/>
      <c r="F1142" s="413"/>
      <c r="G1142" s="413"/>
      <c r="H1142" s="415"/>
      <c r="I1142" s="415"/>
      <c r="J1142" s="415"/>
      <c r="K1142" s="415"/>
      <c r="L1142" s="417"/>
      <c r="M1142" s="420"/>
      <c r="N1142" s="420"/>
      <c r="O1142" s="420"/>
      <c r="P1142" s="420"/>
      <c r="Q1142" s="420"/>
      <c r="R1142" s="420"/>
      <c r="S1142" s="420"/>
      <c r="T1142" s="420"/>
      <c r="U1142" s="420"/>
      <c r="V1142" s="420"/>
      <c r="W1142" s="420"/>
      <c r="X1142" s="420"/>
      <c r="Y1142" s="420"/>
      <c r="Z1142" s="420"/>
      <c r="AA1142" s="420"/>
      <c r="AB1142" s="420"/>
      <c r="AC1142" s="420"/>
      <c r="AD1142" s="420"/>
      <c r="AE1142" s="420"/>
      <c r="AF1142" s="420"/>
      <c r="AG1142" s="420"/>
      <c r="AH1142" s="420"/>
      <c r="AI1142" s="420"/>
      <c r="AJ1142" s="420"/>
      <c r="AK1142" s="420"/>
      <c r="AL1142" s="420"/>
      <c r="AM1142" s="420"/>
      <c r="AN1142" s="420"/>
      <c r="AO1142" s="420"/>
      <c r="AP1142" s="420"/>
      <c r="AQ1142" s="420"/>
      <c r="AR1142" s="403"/>
      <c r="AS1142" s="403"/>
      <c r="AT1142" s="403"/>
      <c r="AU1142" s="403"/>
      <c r="AV1142" s="403"/>
      <c r="AW1142" s="403"/>
      <c r="AX1142" s="403"/>
      <c r="AY1142" s="403"/>
    </row>
    <row r="1143">
      <c r="A1143" s="415"/>
      <c r="B1143" s="415"/>
      <c r="C1143" s="410"/>
      <c r="D1143" s="429"/>
      <c r="E1143" s="416"/>
      <c r="F1143" s="413"/>
      <c r="G1143" s="413"/>
      <c r="H1143" s="415"/>
      <c r="I1143" s="415"/>
      <c r="J1143" s="415"/>
      <c r="K1143" s="415"/>
      <c r="L1143" s="417"/>
      <c r="M1143" s="420"/>
      <c r="N1143" s="420"/>
      <c r="O1143" s="420"/>
      <c r="P1143" s="420"/>
      <c r="Q1143" s="420"/>
      <c r="R1143" s="420"/>
      <c r="S1143" s="420"/>
      <c r="T1143" s="420"/>
      <c r="U1143" s="420"/>
      <c r="V1143" s="420"/>
      <c r="W1143" s="420"/>
      <c r="X1143" s="420"/>
      <c r="Y1143" s="420"/>
      <c r="Z1143" s="420"/>
      <c r="AA1143" s="420"/>
      <c r="AB1143" s="420"/>
      <c r="AC1143" s="420"/>
      <c r="AD1143" s="420"/>
      <c r="AE1143" s="420"/>
      <c r="AF1143" s="420"/>
      <c r="AG1143" s="420"/>
      <c r="AH1143" s="420"/>
      <c r="AI1143" s="420"/>
      <c r="AJ1143" s="420"/>
      <c r="AK1143" s="420"/>
      <c r="AL1143" s="420"/>
      <c r="AM1143" s="420"/>
      <c r="AN1143" s="420"/>
      <c r="AO1143" s="420"/>
      <c r="AP1143" s="420"/>
      <c r="AQ1143" s="420"/>
      <c r="AR1143" s="403"/>
      <c r="AS1143" s="403"/>
      <c r="AT1143" s="403"/>
      <c r="AU1143" s="403"/>
      <c r="AV1143" s="403"/>
      <c r="AW1143" s="403"/>
      <c r="AX1143" s="403"/>
      <c r="AY1143" s="403"/>
    </row>
    <row r="1144">
      <c r="A1144" s="415"/>
      <c r="B1144" s="415"/>
      <c r="C1144" s="410"/>
      <c r="D1144" s="429"/>
      <c r="E1144" s="416"/>
      <c r="F1144" s="413"/>
      <c r="G1144" s="413"/>
      <c r="H1144" s="415"/>
      <c r="I1144" s="415"/>
      <c r="J1144" s="415"/>
      <c r="K1144" s="415"/>
      <c r="L1144" s="417"/>
      <c r="M1144" s="420"/>
      <c r="N1144" s="420"/>
      <c r="O1144" s="420"/>
      <c r="P1144" s="420"/>
      <c r="Q1144" s="420"/>
      <c r="R1144" s="420"/>
      <c r="S1144" s="420"/>
      <c r="T1144" s="420"/>
      <c r="U1144" s="420"/>
      <c r="V1144" s="420"/>
      <c r="W1144" s="420"/>
      <c r="X1144" s="420"/>
      <c r="Y1144" s="420"/>
      <c r="Z1144" s="420"/>
      <c r="AA1144" s="420"/>
      <c r="AB1144" s="420"/>
      <c r="AC1144" s="420"/>
      <c r="AD1144" s="420"/>
      <c r="AE1144" s="420"/>
      <c r="AF1144" s="420"/>
      <c r="AG1144" s="420"/>
      <c r="AH1144" s="420"/>
      <c r="AI1144" s="420"/>
      <c r="AJ1144" s="420"/>
      <c r="AK1144" s="420"/>
      <c r="AL1144" s="420"/>
      <c r="AM1144" s="420"/>
      <c r="AN1144" s="420"/>
      <c r="AO1144" s="420"/>
      <c r="AP1144" s="420"/>
      <c r="AQ1144" s="420"/>
      <c r="AR1144" s="403"/>
      <c r="AS1144" s="403"/>
      <c r="AT1144" s="403"/>
      <c r="AU1144" s="403"/>
      <c r="AV1144" s="403"/>
      <c r="AW1144" s="403"/>
      <c r="AX1144" s="403"/>
      <c r="AY1144" s="403"/>
    </row>
    <row r="1145">
      <c r="A1145" s="415"/>
      <c r="B1145" s="415"/>
      <c r="C1145" s="410"/>
      <c r="D1145" s="429"/>
      <c r="E1145" s="416"/>
      <c r="F1145" s="413"/>
      <c r="G1145" s="413"/>
      <c r="H1145" s="415"/>
      <c r="I1145" s="415"/>
      <c r="J1145" s="415"/>
      <c r="K1145" s="415"/>
      <c r="L1145" s="417"/>
      <c r="M1145" s="420"/>
      <c r="N1145" s="420"/>
      <c r="O1145" s="420"/>
      <c r="P1145" s="420"/>
      <c r="Q1145" s="420"/>
      <c r="R1145" s="420"/>
      <c r="S1145" s="420"/>
      <c r="T1145" s="420"/>
      <c r="U1145" s="420"/>
      <c r="V1145" s="420"/>
      <c r="W1145" s="420"/>
      <c r="X1145" s="420"/>
      <c r="Y1145" s="420"/>
      <c r="Z1145" s="420"/>
      <c r="AA1145" s="420"/>
      <c r="AB1145" s="420"/>
      <c r="AC1145" s="420"/>
      <c r="AD1145" s="420"/>
      <c r="AE1145" s="420"/>
      <c r="AF1145" s="420"/>
      <c r="AG1145" s="420"/>
      <c r="AH1145" s="420"/>
      <c r="AI1145" s="420"/>
      <c r="AJ1145" s="420"/>
      <c r="AK1145" s="420"/>
      <c r="AL1145" s="420"/>
      <c r="AM1145" s="420"/>
      <c r="AN1145" s="420"/>
      <c r="AO1145" s="420"/>
      <c r="AP1145" s="420"/>
      <c r="AQ1145" s="420"/>
      <c r="AR1145" s="403"/>
      <c r="AS1145" s="403"/>
      <c r="AT1145" s="403"/>
      <c r="AU1145" s="403"/>
      <c r="AV1145" s="403"/>
      <c r="AW1145" s="403"/>
      <c r="AX1145" s="403"/>
      <c r="AY1145" s="403"/>
    </row>
    <row r="1146">
      <c r="A1146" s="415"/>
      <c r="B1146" s="415"/>
      <c r="C1146" s="410"/>
      <c r="D1146" s="429"/>
      <c r="E1146" s="416"/>
      <c r="F1146" s="413"/>
      <c r="G1146" s="413"/>
      <c r="H1146" s="415"/>
      <c r="I1146" s="415"/>
      <c r="J1146" s="415"/>
      <c r="K1146" s="415"/>
      <c r="L1146" s="417"/>
      <c r="M1146" s="420"/>
      <c r="N1146" s="420"/>
      <c r="O1146" s="420"/>
      <c r="P1146" s="420"/>
      <c r="Q1146" s="420"/>
      <c r="R1146" s="420"/>
      <c r="S1146" s="420"/>
      <c r="T1146" s="420"/>
      <c r="U1146" s="420"/>
      <c r="V1146" s="420"/>
      <c r="W1146" s="420"/>
      <c r="X1146" s="420"/>
      <c r="Y1146" s="420"/>
      <c r="Z1146" s="420"/>
      <c r="AA1146" s="420"/>
      <c r="AB1146" s="420"/>
      <c r="AC1146" s="420"/>
      <c r="AD1146" s="420"/>
      <c r="AE1146" s="420"/>
      <c r="AF1146" s="420"/>
      <c r="AG1146" s="420"/>
      <c r="AH1146" s="420"/>
      <c r="AI1146" s="420"/>
      <c r="AJ1146" s="420"/>
      <c r="AK1146" s="420"/>
      <c r="AL1146" s="420"/>
      <c r="AM1146" s="420"/>
      <c r="AN1146" s="420"/>
      <c r="AO1146" s="420"/>
      <c r="AP1146" s="420"/>
      <c r="AQ1146" s="420"/>
      <c r="AR1146" s="403"/>
      <c r="AS1146" s="403"/>
      <c r="AT1146" s="403"/>
      <c r="AU1146" s="403"/>
      <c r="AV1146" s="403"/>
      <c r="AW1146" s="403"/>
      <c r="AX1146" s="403"/>
      <c r="AY1146" s="403"/>
    </row>
    <row r="1147">
      <c r="A1147" s="415"/>
      <c r="B1147" s="415"/>
      <c r="C1147" s="410"/>
      <c r="D1147" s="429"/>
      <c r="E1147" s="416"/>
      <c r="F1147" s="413"/>
      <c r="G1147" s="413"/>
      <c r="H1147" s="415"/>
      <c r="I1147" s="415"/>
      <c r="J1147" s="415"/>
      <c r="K1147" s="415"/>
      <c r="L1147" s="417"/>
      <c r="M1147" s="420"/>
      <c r="N1147" s="420"/>
      <c r="O1147" s="420"/>
      <c r="P1147" s="420"/>
      <c r="Q1147" s="420"/>
      <c r="R1147" s="420"/>
      <c r="S1147" s="420"/>
      <c r="T1147" s="420"/>
      <c r="U1147" s="420"/>
      <c r="V1147" s="420"/>
      <c r="W1147" s="420"/>
      <c r="X1147" s="420"/>
      <c r="Y1147" s="420"/>
      <c r="Z1147" s="420"/>
      <c r="AA1147" s="420"/>
      <c r="AB1147" s="420"/>
      <c r="AC1147" s="420"/>
      <c r="AD1147" s="420"/>
      <c r="AE1147" s="420"/>
      <c r="AF1147" s="420"/>
      <c r="AG1147" s="420"/>
      <c r="AH1147" s="420"/>
      <c r="AI1147" s="420"/>
      <c r="AJ1147" s="420"/>
      <c r="AK1147" s="420"/>
      <c r="AL1147" s="420"/>
      <c r="AM1147" s="420"/>
      <c r="AN1147" s="420"/>
      <c r="AO1147" s="420"/>
      <c r="AP1147" s="420"/>
      <c r="AQ1147" s="420"/>
      <c r="AR1147" s="403"/>
      <c r="AS1147" s="403"/>
      <c r="AT1147" s="403"/>
      <c r="AU1147" s="403"/>
      <c r="AV1147" s="403"/>
      <c r="AW1147" s="403"/>
      <c r="AX1147" s="403"/>
      <c r="AY1147" s="403"/>
    </row>
    <row r="1148">
      <c r="A1148" s="415"/>
      <c r="B1148" s="415"/>
      <c r="C1148" s="410"/>
      <c r="D1148" s="429"/>
      <c r="E1148" s="416"/>
      <c r="F1148" s="413"/>
      <c r="G1148" s="413"/>
      <c r="H1148" s="415"/>
      <c r="I1148" s="415"/>
      <c r="J1148" s="415"/>
      <c r="K1148" s="415"/>
      <c r="L1148" s="417"/>
      <c r="M1148" s="420"/>
      <c r="N1148" s="420"/>
      <c r="O1148" s="420"/>
      <c r="P1148" s="420"/>
      <c r="Q1148" s="420"/>
      <c r="R1148" s="420"/>
      <c r="S1148" s="420"/>
      <c r="T1148" s="420"/>
      <c r="U1148" s="420"/>
      <c r="V1148" s="420"/>
      <c r="W1148" s="420"/>
      <c r="X1148" s="420"/>
      <c r="Y1148" s="420"/>
      <c r="Z1148" s="420"/>
      <c r="AA1148" s="420"/>
      <c r="AB1148" s="420"/>
      <c r="AC1148" s="420"/>
      <c r="AD1148" s="420"/>
      <c r="AE1148" s="420"/>
      <c r="AF1148" s="420"/>
      <c r="AG1148" s="420"/>
      <c r="AH1148" s="420"/>
      <c r="AI1148" s="420"/>
      <c r="AJ1148" s="420"/>
      <c r="AK1148" s="420"/>
      <c r="AL1148" s="420"/>
      <c r="AM1148" s="420"/>
      <c r="AN1148" s="420"/>
      <c r="AO1148" s="420"/>
      <c r="AP1148" s="420"/>
      <c r="AQ1148" s="420"/>
      <c r="AR1148" s="403"/>
      <c r="AS1148" s="403"/>
      <c r="AT1148" s="403"/>
      <c r="AU1148" s="403"/>
      <c r="AV1148" s="403"/>
      <c r="AW1148" s="403"/>
      <c r="AX1148" s="403"/>
      <c r="AY1148" s="403"/>
    </row>
    <row r="1149">
      <c r="A1149" s="415"/>
      <c r="B1149" s="415"/>
      <c r="C1149" s="410"/>
      <c r="D1149" s="429"/>
      <c r="E1149" s="416"/>
      <c r="F1149" s="413"/>
      <c r="G1149" s="413"/>
      <c r="H1149" s="415"/>
      <c r="I1149" s="415"/>
      <c r="J1149" s="415"/>
      <c r="K1149" s="415"/>
      <c r="L1149" s="417"/>
      <c r="M1149" s="420"/>
      <c r="N1149" s="420"/>
      <c r="O1149" s="420"/>
      <c r="P1149" s="420"/>
      <c r="Q1149" s="420"/>
      <c r="R1149" s="420"/>
      <c r="S1149" s="420"/>
      <c r="T1149" s="420"/>
      <c r="U1149" s="420"/>
      <c r="V1149" s="420"/>
      <c r="W1149" s="420"/>
      <c r="X1149" s="420"/>
      <c r="Y1149" s="420"/>
      <c r="Z1149" s="420"/>
      <c r="AA1149" s="420"/>
      <c r="AB1149" s="420"/>
      <c r="AC1149" s="420"/>
      <c r="AD1149" s="420"/>
      <c r="AE1149" s="420"/>
      <c r="AF1149" s="420"/>
      <c r="AG1149" s="420"/>
      <c r="AH1149" s="420"/>
      <c r="AI1149" s="420"/>
      <c r="AJ1149" s="420"/>
      <c r="AK1149" s="420"/>
      <c r="AL1149" s="420"/>
      <c r="AM1149" s="420"/>
      <c r="AN1149" s="420"/>
      <c r="AO1149" s="420"/>
      <c r="AP1149" s="420"/>
      <c r="AQ1149" s="420"/>
      <c r="AR1149" s="403"/>
      <c r="AS1149" s="403"/>
      <c r="AT1149" s="403"/>
      <c r="AU1149" s="403"/>
      <c r="AV1149" s="403"/>
      <c r="AW1149" s="403"/>
      <c r="AX1149" s="403"/>
      <c r="AY1149" s="403"/>
    </row>
    <row r="1150">
      <c r="A1150" s="415"/>
      <c r="B1150" s="415"/>
      <c r="C1150" s="410"/>
      <c r="D1150" s="429"/>
      <c r="E1150" s="416"/>
      <c r="F1150" s="413"/>
      <c r="G1150" s="413"/>
      <c r="H1150" s="415"/>
      <c r="I1150" s="415"/>
      <c r="J1150" s="415"/>
      <c r="K1150" s="415"/>
      <c r="L1150" s="417"/>
      <c r="M1150" s="420"/>
      <c r="N1150" s="420"/>
      <c r="O1150" s="420"/>
      <c r="P1150" s="420"/>
      <c r="Q1150" s="420"/>
      <c r="R1150" s="420"/>
      <c r="S1150" s="420"/>
      <c r="T1150" s="420"/>
      <c r="U1150" s="420"/>
      <c r="V1150" s="420"/>
      <c r="W1150" s="420"/>
      <c r="X1150" s="420"/>
      <c r="Y1150" s="420"/>
      <c r="Z1150" s="420"/>
      <c r="AA1150" s="420"/>
      <c r="AB1150" s="420"/>
      <c r="AC1150" s="420"/>
      <c r="AD1150" s="420"/>
      <c r="AE1150" s="420"/>
      <c r="AF1150" s="420"/>
      <c r="AG1150" s="420"/>
      <c r="AH1150" s="420"/>
      <c r="AI1150" s="420"/>
      <c r="AJ1150" s="420"/>
      <c r="AK1150" s="420"/>
      <c r="AL1150" s="420"/>
      <c r="AM1150" s="420"/>
      <c r="AN1150" s="420"/>
      <c r="AO1150" s="420"/>
      <c r="AP1150" s="420"/>
      <c r="AQ1150" s="420"/>
      <c r="AR1150" s="403"/>
      <c r="AS1150" s="403"/>
      <c r="AT1150" s="403"/>
      <c r="AU1150" s="403"/>
      <c r="AV1150" s="403"/>
      <c r="AW1150" s="403"/>
      <c r="AX1150" s="403"/>
      <c r="AY1150" s="403"/>
    </row>
    <row r="1151">
      <c r="A1151" s="415"/>
      <c r="B1151" s="415"/>
      <c r="C1151" s="410"/>
      <c r="D1151" s="429"/>
      <c r="E1151" s="416"/>
      <c r="F1151" s="413"/>
      <c r="G1151" s="413"/>
      <c r="H1151" s="415"/>
      <c r="I1151" s="415"/>
      <c r="J1151" s="415"/>
      <c r="K1151" s="415"/>
      <c r="L1151" s="417"/>
      <c r="M1151" s="420"/>
      <c r="N1151" s="420"/>
      <c r="O1151" s="420"/>
      <c r="P1151" s="420"/>
      <c r="Q1151" s="420"/>
      <c r="R1151" s="420"/>
      <c r="S1151" s="420"/>
      <c r="T1151" s="420"/>
      <c r="U1151" s="420"/>
      <c r="V1151" s="420"/>
      <c r="W1151" s="420"/>
      <c r="X1151" s="420"/>
      <c r="Y1151" s="420"/>
      <c r="Z1151" s="420"/>
      <c r="AA1151" s="420"/>
      <c r="AB1151" s="420"/>
      <c r="AC1151" s="420"/>
      <c r="AD1151" s="420"/>
      <c r="AE1151" s="420"/>
      <c r="AF1151" s="420"/>
      <c r="AG1151" s="420"/>
      <c r="AH1151" s="420"/>
      <c r="AI1151" s="420"/>
      <c r="AJ1151" s="420"/>
      <c r="AK1151" s="420"/>
      <c r="AL1151" s="420"/>
      <c r="AM1151" s="420"/>
      <c r="AN1151" s="420"/>
      <c r="AO1151" s="420"/>
      <c r="AP1151" s="420"/>
      <c r="AQ1151" s="420"/>
      <c r="AR1151" s="403"/>
      <c r="AS1151" s="403"/>
      <c r="AT1151" s="403"/>
      <c r="AU1151" s="403"/>
      <c r="AV1151" s="403"/>
      <c r="AW1151" s="403"/>
      <c r="AX1151" s="403"/>
      <c r="AY1151" s="403"/>
    </row>
    <row r="1152">
      <c r="A1152" s="415"/>
      <c r="B1152" s="415"/>
      <c r="C1152" s="410"/>
      <c r="D1152" s="429"/>
      <c r="E1152" s="416"/>
      <c r="F1152" s="413"/>
      <c r="G1152" s="413"/>
      <c r="H1152" s="415"/>
      <c r="I1152" s="415"/>
      <c r="J1152" s="415"/>
      <c r="K1152" s="415"/>
      <c r="L1152" s="417"/>
      <c r="M1152" s="420"/>
      <c r="N1152" s="420"/>
      <c r="O1152" s="420"/>
      <c r="P1152" s="420"/>
      <c r="Q1152" s="420"/>
      <c r="R1152" s="420"/>
      <c r="S1152" s="420"/>
      <c r="T1152" s="420"/>
      <c r="U1152" s="420"/>
      <c r="V1152" s="420"/>
      <c r="W1152" s="420"/>
      <c r="X1152" s="420"/>
      <c r="Y1152" s="420"/>
      <c r="Z1152" s="420"/>
      <c r="AA1152" s="420"/>
      <c r="AB1152" s="420"/>
      <c r="AC1152" s="420"/>
      <c r="AD1152" s="420"/>
      <c r="AE1152" s="420"/>
      <c r="AF1152" s="420"/>
      <c r="AG1152" s="420"/>
      <c r="AH1152" s="420"/>
      <c r="AI1152" s="420"/>
      <c r="AJ1152" s="420"/>
      <c r="AK1152" s="420"/>
      <c r="AL1152" s="420"/>
      <c r="AM1152" s="420"/>
      <c r="AN1152" s="420"/>
      <c r="AO1152" s="420"/>
      <c r="AP1152" s="420"/>
      <c r="AQ1152" s="420"/>
      <c r="AR1152" s="403"/>
      <c r="AS1152" s="403"/>
      <c r="AT1152" s="403"/>
      <c r="AU1152" s="403"/>
      <c r="AV1152" s="403"/>
      <c r="AW1152" s="403"/>
      <c r="AX1152" s="403"/>
      <c r="AY1152" s="403"/>
    </row>
    <row r="1153">
      <c r="A1153" s="415"/>
      <c r="B1153" s="415"/>
      <c r="C1153" s="410"/>
      <c r="D1153" s="429"/>
      <c r="E1153" s="416"/>
      <c r="F1153" s="413"/>
      <c r="G1153" s="413"/>
      <c r="H1153" s="415"/>
      <c r="I1153" s="415"/>
      <c r="J1153" s="415"/>
      <c r="K1153" s="415"/>
      <c r="L1153" s="417"/>
      <c r="M1153" s="420"/>
      <c r="N1153" s="420"/>
      <c r="O1153" s="420"/>
      <c r="P1153" s="420"/>
      <c r="Q1153" s="420"/>
      <c r="R1153" s="420"/>
      <c r="S1153" s="420"/>
      <c r="T1153" s="420"/>
      <c r="U1153" s="420"/>
      <c r="V1153" s="420"/>
      <c r="W1153" s="420"/>
      <c r="X1153" s="420"/>
      <c r="Y1153" s="420"/>
      <c r="Z1153" s="420"/>
      <c r="AA1153" s="420"/>
      <c r="AB1153" s="420"/>
      <c r="AC1153" s="420"/>
      <c r="AD1153" s="420"/>
      <c r="AE1153" s="420"/>
      <c r="AF1153" s="420"/>
      <c r="AG1153" s="420"/>
      <c r="AH1153" s="420"/>
      <c r="AI1153" s="420"/>
      <c r="AJ1153" s="420"/>
      <c r="AK1153" s="420"/>
      <c r="AL1153" s="420"/>
      <c r="AM1153" s="420"/>
      <c r="AN1153" s="420"/>
      <c r="AO1153" s="420"/>
      <c r="AP1153" s="420"/>
      <c r="AQ1153" s="420"/>
      <c r="AR1153" s="403"/>
      <c r="AS1153" s="403"/>
      <c r="AT1153" s="403"/>
      <c r="AU1153" s="403"/>
      <c r="AV1153" s="403"/>
      <c r="AW1153" s="403"/>
      <c r="AX1153" s="403"/>
      <c r="AY1153" s="403"/>
    </row>
    <row r="1154">
      <c r="A1154" s="415"/>
      <c r="B1154" s="415"/>
      <c r="C1154" s="410"/>
      <c r="D1154" s="429"/>
      <c r="E1154" s="416"/>
      <c r="F1154" s="413"/>
      <c r="G1154" s="413"/>
      <c r="H1154" s="415"/>
      <c r="I1154" s="415"/>
      <c r="J1154" s="415"/>
      <c r="K1154" s="415"/>
      <c r="L1154" s="417"/>
      <c r="M1154" s="420"/>
      <c r="N1154" s="420"/>
      <c r="O1154" s="420"/>
      <c r="P1154" s="420"/>
      <c r="Q1154" s="420"/>
      <c r="R1154" s="420"/>
      <c r="S1154" s="420"/>
      <c r="T1154" s="420"/>
      <c r="U1154" s="420"/>
      <c r="V1154" s="420"/>
      <c r="W1154" s="420"/>
      <c r="X1154" s="420"/>
      <c r="Y1154" s="420"/>
      <c r="Z1154" s="420"/>
      <c r="AA1154" s="420"/>
      <c r="AB1154" s="420"/>
      <c r="AC1154" s="420"/>
      <c r="AD1154" s="420"/>
      <c r="AE1154" s="420"/>
      <c r="AF1154" s="420"/>
      <c r="AG1154" s="420"/>
      <c r="AH1154" s="420"/>
      <c r="AI1154" s="420"/>
      <c r="AJ1154" s="420"/>
      <c r="AK1154" s="420"/>
      <c r="AL1154" s="420"/>
      <c r="AM1154" s="420"/>
      <c r="AN1154" s="420"/>
      <c r="AO1154" s="420"/>
      <c r="AP1154" s="420"/>
      <c r="AQ1154" s="420"/>
      <c r="AR1154" s="403"/>
      <c r="AS1154" s="403"/>
      <c r="AT1154" s="403"/>
      <c r="AU1154" s="403"/>
      <c r="AV1154" s="403"/>
      <c r="AW1154" s="403"/>
      <c r="AX1154" s="403"/>
      <c r="AY1154" s="403"/>
    </row>
    <row r="1155">
      <c r="A1155" s="415"/>
      <c r="B1155" s="415"/>
      <c r="C1155" s="410"/>
      <c r="D1155" s="429"/>
      <c r="E1155" s="416"/>
      <c r="F1155" s="413"/>
      <c r="G1155" s="413"/>
      <c r="H1155" s="415"/>
      <c r="I1155" s="415"/>
      <c r="J1155" s="415"/>
      <c r="K1155" s="415"/>
      <c r="L1155" s="417"/>
      <c r="M1155" s="420"/>
      <c r="N1155" s="420"/>
      <c r="O1155" s="420"/>
      <c r="P1155" s="420"/>
      <c r="Q1155" s="420"/>
      <c r="R1155" s="420"/>
      <c r="S1155" s="420"/>
      <c r="T1155" s="420"/>
      <c r="U1155" s="420"/>
      <c r="V1155" s="420"/>
      <c r="W1155" s="420"/>
      <c r="X1155" s="420"/>
      <c r="Y1155" s="420"/>
      <c r="Z1155" s="420"/>
      <c r="AA1155" s="420"/>
      <c r="AB1155" s="420"/>
      <c r="AC1155" s="420"/>
      <c r="AD1155" s="420"/>
      <c r="AE1155" s="420"/>
      <c r="AF1155" s="420"/>
      <c r="AG1155" s="420"/>
      <c r="AH1155" s="420"/>
      <c r="AI1155" s="420"/>
      <c r="AJ1155" s="420"/>
      <c r="AK1155" s="420"/>
      <c r="AL1155" s="420"/>
      <c r="AM1155" s="420"/>
      <c r="AN1155" s="420"/>
      <c r="AO1155" s="420"/>
      <c r="AP1155" s="420"/>
      <c r="AQ1155" s="420"/>
      <c r="AR1155" s="403"/>
      <c r="AS1155" s="403"/>
      <c r="AT1155" s="403"/>
      <c r="AU1155" s="403"/>
      <c r="AV1155" s="403"/>
      <c r="AW1155" s="403"/>
      <c r="AX1155" s="403"/>
      <c r="AY1155" s="403"/>
    </row>
    <row r="1156">
      <c r="A1156" s="415"/>
      <c r="B1156" s="415"/>
      <c r="C1156" s="410"/>
      <c r="D1156" s="429"/>
      <c r="E1156" s="416"/>
      <c r="F1156" s="413"/>
      <c r="G1156" s="413"/>
      <c r="H1156" s="415"/>
      <c r="I1156" s="415"/>
      <c r="J1156" s="415"/>
      <c r="K1156" s="415"/>
      <c r="L1156" s="417"/>
      <c r="M1156" s="420"/>
      <c r="N1156" s="420"/>
      <c r="O1156" s="420"/>
      <c r="P1156" s="420"/>
      <c r="Q1156" s="420"/>
      <c r="R1156" s="420"/>
      <c r="S1156" s="420"/>
      <c r="T1156" s="420"/>
      <c r="U1156" s="420"/>
      <c r="V1156" s="420"/>
      <c r="W1156" s="420"/>
      <c r="X1156" s="420"/>
      <c r="Y1156" s="420"/>
      <c r="Z1156" s="420"/>
      <c r="AA1156" s="420"/>
      <c r="AB1156" s="420"/>
      <c r="AC1156" s="420"/>
      <c r="AD1156" s="420"/>
      <c r="AE1156" s="420"/>
      <c r="AF1156" s="420"/>
      <c r="AG1156" s="420"/>
      <c r="AH1156" s="420"/>
      <c r="AI1156" s="420"/>
      <c r="AJ1156" s="420"/>
      <c r="AK1156" s="420"/>
      <c r="AL1156" s="420"/>
      <c r="AM1156" s="420"/>
      <c r="AN1156" s="420"/>
      <c r="AO1156" s="420"/>
      <c r="AP1156" s="420"/>
      <c r="AQ1156" s="420"/>
      <c r="AR1156" s="403"/>
      <c r="AS1156" s="403"/>
      <c r="AT1156" s="403"/>
      <c r="AU1156" s="403"/>
      <c r="AV1156" s="403"/>
      <c r="AW1156" s="403"/>
      <c r="AX1156" s="403"/>
      <c r="AY1156" s="403"/>
    </row>
    <row r="1157">
      <c r="A1157" s="415"/>
      <c r="B1157" s="415"/>
      <c r="C1157" s="410"/>
      <c r="D1157" s="429"/>
      <c r="E1157" s="416"/>
      <c r="F1157" s="413"/>
      <c r="G1157" s="413"/>
      <c r="H1157" s="415"/>
      <c r="I1157" s="415"/>
      <c r="J1157" s="415"/>
      <c r="K1157" s="415"/>
      <c r="L1157" s="417"/>
      <c r="M1157" s="420"/>
      <c r="N1157" s="420"/>
      <c r="O1157" s="420"/>
      <c r="P1157" s="420"/>
      <c r="Q1157" s="420"/>
      <c r="R1157" s="420"/>
      <c r="S1157" s="420"/>
      <c r="T1157" s="420"/>
      <c r="U1157" s="420"/>
      <c r="V1157" s="420"/>
      <c r="W1157" s="420"/>
      <c r="X1157" s="420"/>
      <c r="Y1157" s="420"/>
      <c r="Z1157" s="420"/>
      <c r="AA1157" s="420"/>
      <c r="AB1157" s="420"/>
      <c r="AC1157" s="420"/>
      <c r="AD1157" s="420"/>
      <c r="AE1157" s="420"/>
      <c r="AF1157" s="420"/>
      <c r="AG1157" s="420"/>
      <c r="AH1157" s="420"/>
      <c r="AI1157" s="420"/>
      <c r="AJ1157" s="420"/>
      <c r="AK1157" s="420"/>
      <c r="AL1157" s="420"/>
      <c r="AM1157" s="420"/>
      <c r="AN1157" s="420"/>
      <c r="AO1157" s="420"/>
      <c r="AP1157" s="420"/>
      <c r="AQ1157" s="420"/>
      <c r="AR1157" s="403"/>
      <c r="AS1157" s="403"/>
      <c r="AT1157" s="403"/>
      <c r="AU1157" s="403"/>
      <c r="AV1157" s="403"/>
      <c r="AW1157" s="403"/>
      <c r="AX1157" s="403"/>
      <c r="AY1157" s="403"/>
    </row>
    <row r="1158">
      <c r="A1158" s="415"/>
      <c r="B1158" s="415"/>
      <c r="C1158" s="410"/>
      <c r="D1158" s="429"/>
      <c r="E1158" s="416"/>
      <c r="F1158" s="413"/>
      <c r="G1158" s="413"/>
      <c r="H1158" s="415"/>
      <c r="I1158" s="415"/>
      <c r="J1158" s="415"/>
      <c r="K1158" s="415"/>
      <c r="L1158" s="417"/>
      <c r="M1158" s="420"/>
      <c r="N1158" s="420"/>
      <c r="O1158" s="420"/>
      <c r="P1158" s="420"/>
      <c r="Q1158" s="420"/>
      <c r="R1158" s="420"/>
      <c r="S1158" s="420"/>
      <c r="T1158" s="420"/>
      <c r="U1158" s="420"/>
      <c r="V1158" s="420"/>
      <c r="W1158" s="420"/>
      <c r="X1158" s="420"/>
      <c r="Y1158" s="420"/>
      <c r="Z1158" s="420"/>
      <c r="AA1158" s="420"/>
      <c r="AB1158" s="420"/>
      <c r="AC1158" s="420"/>
      <c r="AD1158" s="420"/>
      <c r="AE1158" s="420"/>
      <c r="AF1158" s="420"/>
      <c r="AG1158" s="420"/>
      <c r="AH1158" s="420"/>
      <c r="AI1158" s="420"/>
      <c r="AJ1158" s="420"/>
      <c r="AK1158" s="420"/>
      <c r="AL1158" s="420"/>
      <c r="AM1158" s="420"/>
      <c r="AN1158" s="420"/>
      <c r="AO1158" s="420"/>
      <c r="AP1158" s="420"/>
      <c r="AQ1158" s="420"/>
      <c r="AR1158" s="403"/>
      <c r="AS1158" s="403"/>
      <c r="AT1158" s="403"/>
      <c r="AU1158" s="403"/>
      <c r="AV1158" s="403"/>
      <c r="AW1158" s="403"/>
      <c r="AX1158" s="403"/>
      <c r="AY1158" s="403"/>
    </row>
    <row r="1159">
      <c r="A1159" s="415"/>
      <c r="B1159" s="415"/>
      <c r="C1159" s="410"/>
      <c r="D1159" s="429"/>
      <c r="E1159" s="416"/>
      <c r="F1159" s="413"/>
      <c r="G1159" s="413"/>
      <c r="H1159" s="415"/>
      <c r="I1159" s="415"/>
      <c r="J1159" s="415"/>
      <c r="K1159" s="415"/>
      <c r="L1159" s="417"/>
      <c r="M1159" s="420"/>
      <c r="N1159" s="420"/>
      <c r="O1159" s="420"/>
      <c r="P1159" s="420"/>
      <c r="Q1159" s="420"/>
      <c r="R1159" s="420"/>
      <c r="S1159" s="420"/>
      <c r="T1159" s="420"/>
      <c r="U1159" s="420"/>
      <c r="V1159" s="420"/>
      <c r="W1159" s="420"/>
      <c r="X1159" s="420"/>
      <c r="Y1159" s="420"/>
      <c r="Z1159" s="420"/>
      <c r="AA1159" s="420"/>
      <c r="AB1159" s="420"/>
      <c r="AC1159" s="420"/>
      <c r="AD1159" s="420"/>
      <c r="AE1159" s="420"/>
      <c r="AF1159" s="420"/>
      <c r="AG1159" s="420"/>
      <c r="AH1159" s="420"/>
      <c r="AI1159" s="420"/>
      <c r="AJ1159" s="420"/>
      <c r="AK1159" s="420"/>
      <c r="AL1159" s="420"/>
      <c r="AM1159" s="420"/>
      <c r="AN1159" s="420"/>
      <c r="AO1159" s="420"/>
      <c r="AP1159" s="420"/>
      <c r="AQ1159" s="420"/>
      <c r="AR1159" s="403"/>
      <c r="AS1159" s="403"/>
      <c r="AT1159" s="403"/>
      <c r="AU1159" s="403"/>
      <c r="AV1159" s="403"/>
      <c r="AW1159" s="403"/>
      <c r="AX1159" s="403"/>
      <c r="AY1159" s="403"/>
    </row>
    <row r="1160">
      <c r="A1160" s="415"/>
      <c r="B1160" s="415"/>
      <c r="C1160" s="410"/>
      <c r="D1160" s="429"/>
      <c r="E1160" s="416"/>
      <c r="F1160" s="413"/>
      <c r="G1160" s="413"/>
      <c r="H1160" s="415"/>
      <c r="I1160" s="415"/>
      <c r="J1160" s="415"/>
      <c r="K1160" s="415"/>
      <c r="L1160" s="417"/>
      <c r="M1160" s="420"/>
      <c r="N1160" s="420"/>
      <c r="O1160" s="420"/>
      <c r="P1160" s="420"/>
      <c r="Q1160" s="420"/>
      <c r="R1160" s="420"/>
      <c r="S1160" s="420"/>
      <c r="T1160" s="420"/>
      <c r="U1160" s="420"/>
      <c r="V1160" s="420"/>
      <c r="W1160" s="420"/>
      <c r="X1160" s="420"/>
      <c r="Y1160" s="420"/>
      <c r="Z1160" s="420"/>
      <c r="AA1160" s="420"/>
      <c r="AB1160" s="420"/>
      <c r="AC1160" s="420"/>
      <c r="AD1160" s="420"/>
      <c r="AE1160" s="420"/>
      <c r="AF1160" s="420"/>
      <c r="AG1160" s="420"/>
      <c r="AH1160" s="420"/>
      <c r="AI1160" s="420"/>
      <c r="AJ1160" s="420"/>
      <c r="AK1160" s="420"/>
      <c r="AL1160" s="420"/>
      <c r="AM1160" s="420"/>
      <c r="AN1160" s="420"/>
      <c r="AO1160" s="420"/>
      <c r="AP1160" s="420"/>
      <c r="AQ1160" s="420"/>
      <c r="AR1160" s="403"/>
      <c r="AS1160" s="403"/>
      <c r="AT1160" s="403"/>
      <c r="AU1160" s="403"/>
      <c r="AV1160" s="403"/>
      <c r="AW1160" s="403"/>
      <c r="AX1160" s="403"/>
      <c r="AY1160" s="403"/>
    </row>
    <row r="1161">
      <c r="A1161" s="415"/>
      <c r="B1161" s="415"/>
      <c r="C1161" s="410"/>
      <c r="D1161" s="429"/>
      <c r="E1161" s="416"/>
      <c r="F1161" s="413"/>
      <c r="G1161" s="413"/>
      <c r="H1161" s="415"/>
      <c r="I1161" s="415"/>
      <c r="J1161" s="415"/>
      <c r="K1161" s="415"/>
      <c r="L1161" s="417"/>
      <c r="M1161" s="420"/>
      <c r="N1161" s="420"/>
      <c r="O1161" s="420"/>
      <c r="P1161" s="420"/>
      <c r="Q1161" s="420"/>
      <c r="R1161" s="420"/>
      <c r="S1161" s="420"/>
      <c r="T1161" s="420"/>
      <c r="U1161" s="420"/>
      <c r="V1161" s="420"/>
      <c r="W1161" s="420"/>
      <c r="X1161" s="420"/>
      <c r="Y1161" s="420"/>
      <c r="Z1161" s="420"/>
      <c r="AA1161" s="420"/>
      <c r="AB1161" s="420"/>
      <c r="AC1161" s="420"/>
      <c r="AD1161" s="420"/>
      <c r="AE1161" s="420"/>
      <c r="AF1161" s="420"/>
      <c r="AG1161" s="420"/>
      <c r="AH1161" s="420"/>
      <c r="AI1161" s="420"/>
      <c r="AJ1161" s="420"/>
      <c r="AK1161" s="420"/>
      <c r="AL1161" s="420"/>
      <c r="AM1161" s="420"/>
      <c r="AN1161" s="420"/>
      <c r="AO1161" s="420"/>
      <c r="AP1161" s="420"/>
      <c r="AQ1161" s="420"/>
      <c r="AR1161" s="403"/>
      <c r="AS1161" s="403"/>
      <c r="AT1161" s="403"/>
      <c r="AU1161" s="403"/>
      <c r="AV1161" s="403"/>
      <c r="AW1161" s="403"/>
      <c r="AX1161" s="403"/>
      <c r="AY1161" s="403"/>
    </row>
    <row r="1162">
      <c r="A1162" s="415"/>
      <c r="B1162" s="415"/>
      <c r="C1162" s="410"/>
      <c r="D1162" s="429"/>
      <c r="E1162" s="416"/>
      <c r="F1162" s="413"/>
      <c r="G1162" s="413"/>
      <c r="H1162" s="415"/>
      <c r="I1162" s="415"/>
      <c r="J1162" s="415"/>
      <c r="K1162" s="415"/>
      <c r="L1162" s="417"/>
      <c r="M1162" s="420"/>
      <c r="N1162" s="420"/>
      <c r="O1162" s="420"/>
      <c r="P1162" s="420"/>
      <c r="Q1162" s="420"/>
      <c r="R1162" s="420"/>
      <c r="S1162" s="420"/>
      <c r="T1162" s="420"/>
      <c r="U1162" s="420"/>
      <c r="V1162" s="420"/>
      <c r="W1162" s="420"/>
      <c r="X1162" s="420"/>
      <c r="Y1162" s="420"/>
      <c r="Z1162" s="420"/>
      <c r="AA1162" s="420"/>
      <c r="AB1162" s="420"/>
      <c r="AC1162" s="420"/>
      <c r="AD1162" s="420"/>
      <c r="AE1162" s="420"/>
      <c r="AF1162" s="420"/>
      <c r="AG1162" s="420"/>
      <c r="AH1162" s="420"/>
      <c r="AI1162" s="420"/>
      <c r="AJ1162" s="420"/>
      <c r="AK1162" s="420"/>
      <c r="AL1162" s="420"/>
      <c r="AM1162" s="420"/>
      <c r="AN1162" s="420"/>
      <c r="AO1162" s="420"/>
      <c r="AP1162" s="420"/>
      <c r="AQ1162" s="420"/>
      <c r="AR1162" s="403"/>
      <c r="AS1162" s="403"/>
      <c r="AT1162" s="403"/>
      <c r="AU1162" s="403"/>
      <c r="AV1162" s="403"/>
      <c r="AW1162" s="403"/>
      <c r="AX1162" s="403"/>
      <c r="AY1162" s="403"/>
    </row>
    <row r="1163">
      <c r="A1163" s="415"/>
      <c r="B1163" s="415"/>
      <c r="C1163" s="410"/>
      <c r="D1163" s="429"/>
      <c r="E1163" s="416"/>
      <c r="F1163" s="413"/>
      <c r="G1163" s="413"/>
      <c r="H1163" s="415"/>
      <c r="I1163" s="415"/>
      <c r="J1163" s="415"/>
      <c r="K1163" s="415"/>
      <c r="L1163" s="417"/>
      <c r="M1163" s="420"/>
      <c r="N1163" s="420"/>
      <c r="O1163" s="420"/>
      <c r="P1163" s="420"/>
      <c r="Q1163" s="420"/>
      <c r="R1163" s="420"/>
      <c r="S1163" s="420"/>
      <c r="T1163" s="420"/>
      <c r="U1163" s="420"/>
      <c r="V1163" s="420"/>
      <c r="W1163" s="420"/>
      <c r="X1163" s="420"/>
      <c r="Y1163" s="420"/>
      <c r="Z1163" s="420"/>
      <c r="AA1163" s="420"/>
      <c r="AB1163" s="420"/>
      <c r="AC1163" s="420"/>
      <c r="AD1163" s="420"/>
      <c r="AE1163" s="420"/>
      <c r="AF1163" s="420"/>
      <c r="AG1163" s="420"/>
      <c r="AH1163" s="420"/>
      <c r="AI1163" s="420"/>
      <c r="AJ1163" s="420"/>
      <c r="AK1163" s="420"/>
      <c r="AL1163" s="420"/>
      <c r="AM1163" s="420"/>
      <c r="AN1163" s="420"/>
      <c r="AO1163" s="420"/>
      <c r="AP1163" s="420"/>
      <c r="AQ1163" s="420"/>
      <c r="AR1163" s="403"/>
      <c r="AS1163" s="403"/>
      <c r="AT1163" s="403"/>
      <c r="AU1163" s="403"/>
      <c r="AV1163" s="403"/>
      <c r="AW1163" s="403"/>
      <c r="AX1163" s="403"/>
      <c r="AY1163" s="403"/>
    </row>
    <row r="1164">
      <c r="A1164" s="415"/>
      <c r="B1164" s="415"/>
      <c r="C1164" s="410"/>
      <c r="D1164" s="429"/>
      <c r="E1164" s="416"/>
      <c r="F1164" s="413"/>
      <c r="G1164" s="413"/>
      <c r="H1164" s="415"/>
      <c r="I1164" s="415"/>
      <c r="J1164" s="415"/>
      <c r="K1164" s="415"/>
      <c r="L1164" s="417"/>
      <c r="M1164" s="420"/>
      <c r="N1164" s="420"/>
      <c r="O1164" s="420"/>
      <c r="P1164" s="420"/>
      <c r="Q1164" s="420"/>
      <c r="R1164" s="420"/>
      <c r="S1164" s="420"/>
      <c r="T1164" s="420"/>
      <c r="U1164" s="420"/>
      <c r="V1164" s="420"/>
      <c r="W1164" s="420"/>
      <c r="X1164" s="420"/>
      <c r="Y1164" s="420"/>
      <c r="Z1164" s="420"/>
      <c r="AA1164" s="420"/>
      <c r="AB1164" s="420"/>
      <c r="AC1164" s="420"/>
      <c r="AD1164" s="420"/>
      <c r="AE1164" s="420"/>
      <c r="AF1164" s="420"/>
      <c r="AG1164" s="420"/>
      <c r="AH1164" s="420"/>
      <c r="AI1164" s="420"/>
      <c r="AJ1164" s="420"/>
      <c r="AK1164" s="420"/>
      <c r="AL1164" s="420"/>
      <c r="AM1164" s="420"/>
      <c r="AN1164" s="420"/>
      <c r="AO1164" s="420"/>
      <c r="AP1164" s="420"/>
      <c r="AQ1164" s="420"/>
      <c r="AR1164" s="403"/>
      <c r="AS1164" s="403"/>
      <c r="AT1164" s="403"/>
      <c r="AU1164" s="403"/>
      <c r="AV1164" s="403"/>
      <c r="AW1164" s="403"/>
      <c r="AX1164" s="403"/>
      <c r="AY1164" s="403"/>
    </row>
    <row r="1165">
      <c r="A1165" s="415"/>
      <c r="B1165" s="415"/>
      <c r="C1165" s="410"/>
      <c r="D1165" s="429"/>
      <c r="E1165" s="416"/>
      <c r="F1165" s="413"/>
      <c r="G1165" s="413"/>
      <c r="H1165" s="415"/>
      <c r="I1165" s="415"/>
      <c r="J1165" s="415"/>
      <c r="K1165" s="415"/>
      <c r="L1165" s="417"/>
      <c r="M1165" s="420"/>
      <c r="N1165" s="420"/>
      <c r="O1165" s="420"/>
      <c r="P1165" s="420"/>
      <c r="Q1165" s="420"/>
      <c r="R1165" s="420"/>
      <c r="S1165" s="420"/>
      <c r="T1165" s="420"/>
      <c r="U1165" s="420"/>
      <c r="V1165" s="420"/>
      <c r="W1165" s="420"/>
      <c r="X1165" s="420"/>
      <c r="Y1165" s="420"/>
      <c r="Z1165" s="420"/>
      <c r="AA1165" s="420"/>
      <c r="AB1165" s="420"/>
      <c r="AC1165" s="420"/>
      <c r="AD1165" s="420"/>
      <c r="AE1165" s="420"/>
      <c r="AF1165" s="420"/>
      <c r="AG1165" s="420"/>
      <c r="AH1165" s="420"/>
      <c r="AI1165" s="420"/>
      <c r="AJ1165" s="420"/>
      <c r="AK1165" s="420"/>
      <c r="AL1165" s="420"/>
      <c r="AM1165" s="420"/>
      <c r="AN1165" s="420"/>
      <c r="AO1165" s="420"/>
      <c r="AP1165" s="420"/>
      <c r="AQ1165" s="420"/>
      <c r="AR1165" s="403"/>
      <c r="AS1165" s="403"/>
      <c r="AT1165" s="403"/>
      <c r="AU1165" s="403"/>
      <c r="AV1165" s="403"/>
      <c r="AW1165" s="403"/>
      <c r="AX1165" s="403"/>
      <c r="AY1165" s="403"/>
    </row>
    <row r="1166">
      <c r="A1166" s="415"/>
      <c r="B1166" s="415"/>
      <c r="C1166" s="410"/>
      <c r="D1166" s="429"/>
      <c r="E1166" s="416"/>
      <c r="F1166" s="413"/>
      <c r="G1166" s="413"/>
      <c r="H1166" s="415"/>
      <c r="I1166" s="415"/>
      <c r="J1166" s="415"/>
      <c r="K1166" s="415"/>
      <c r="L1166" s="417"/>
      <c r="M1166" s="420"/>
      <c r="N1166" s="420"/>
      <c r="O1166" s="420"/>
      <c r="P1166" s="420"/>
      <c r="Q1166" s="420"/>
      <c r="R1166" s="420"/>
      <c r="S1166" s="420"/>
      <c r="T1166" s="420"/>
      <c r="U1166" s="420"/>
      <c r="V1166" s="420"/>
      <c r="W1166" s="420"/>
      <c r="X1166" s="420"/>
      <c r="Y1166" s="420"/>
      <c r="Z1166" s="420"/>
      <c r="AA1166" s="420"/>
      <c r="AB1166" s="420"/>
      <c r="AC1166" s="420"/>
      <c r="AD1166" s="420"/>
      <c r="AE1166" s="420"/>
      <c r="AF1166" s="420"/>
      <c r="AG1166" s="420"/>
      <c r="AH1166" s="420"/>
      <c r="AI1166" s="420"/>
      <c r="AJ1166" s="420"/>
      <c r="AK1166" s="420"/>
      <c r="AL1166" s="420"/>
      <c r="AM1166" s="420"/>
      <c r="AN1166" s="420"/>
      <c r="AO1166" s="420"/>
      <c r="AP1166" s="420"/>
      <c r="AQ1166" s="420"/>
      <c r="AR1166" s="403"/>
      <c r="AS1166" s="403"/>
      <c r="AT1166" s="403"/>
      <c r="AU1166" s="403"/>
      <c r="AV1166" s="403"/>
      <c r="AW1166" s="403"/>
      <c r="AX1166" s="403"/>
      <c r="AY1166" s="403"/>
    </row>
    <row r="1167">
      <c r="A1167" s="415"/>
      <c r="B1167" s="415"/>
      <c r="C1167" s="410"/>
      <c r="D1167" s="429"/>
      <c r="E1167" s="416"/>
      <c r="F1167" s="413"/>
      <c r="G1167" s="413"/>
      <c r="H1167" s="415"/>
      <c r="I1167" s="415"/>
      <c r="J1167" s="415"/>
      <c r="K1167" s="415"/>
      <c r="L1167" s="417"/>
      <c r="M1167" s="420"/>
      <c r="N1167" s="420"/>
      <c r="O1167" s="420"/>
      <c r="P1167" s="420"/>
      <c r="Q1167" s="420"/>
      <c r="R1167" s="420"/>
      <c r="S1167" s="420"/>
      <c r="T1167" s="420"/>
      <c r="U1167" s="420"/>
      <c r="V1167" s="420"/>
      <c r="W1167" s="420"/>
      <c r="X1167" s="420"/>
      <c r="Y1167" s="420"/>
      <c r="Z1167" s="420"/>
      <c r="AA1167" s="420"/>
      <c r="AB1167" s="420"/>
      <c r="AC1167" s="420"/>
      <c r="AD1167" s="420"/>
      <c r="AE1167" s="420"/>
      <c r="AF1167" s="420"/>
      <c r="AG1167" s="420"/>
      <c r="AH1167" s="420"/>
      <c r="AI1167" s="420"/>
      <c r="AJ1167" s="420"/>
      <c r="AK1167" s="420"/>
      <c r="AL1167" s="420"/>
      <c r="AM1167" s="420"/>
      <c r="AN1167" s="420"/>
      <c r="AO1167" s="420"/>
      <c r="AP1167" s="420"/>
      <c r="AQ1167" s="420"/>
      <c r="AR1167" s="403"/>
      <c r="AS1167" s="403"/>
      <c r="AT1167" s="403"/>
      <c r="AU1167" s="403"/>
      <c r="AV1167" s="403"/>
      <c r="AW1167" s="403"/>
      <c r="AX1167" s="403"/>
      <c r="AY1167" s="403"/>
    </row>
    <row r="1168">
      <c r="A1168" s="415"/>
      <c r="B1168" s="415"/>
      <c r="C1168" s="410"/>
      <c r="D1168" s="429"/>
      <c r="E1168" s="416"/>
      <c r="F1168" s="413"/>
      <c r="G1168" s="413"/>
      <c r="H1168" s="415"/>
      <c r="I1168" s="415"/>
      <c r="J1168" s="415"/>
      <c r="K1168" s="415"/>
      <c r="L1168" s="417"/>
      <c r="M1168" s="420"/>
      <c r="N1168" s="420"/>
      <c r="O1168" s="420"/>
      <c r="P1168" s="420"/>
      <c r="Q1168" s="420"/>
      <c r="R1168" s="420"/>
      <c r="S1168" s="420"/>
      <c r="T1168" s="420"/>
      <c r="U1168" s="420"/>
      <c r="V1168" s="420"/>
      <c r="W1168" s="420"/>
      <c r="X1168" s="420"/>
      <c r="Y1168" s="420"/>
      <c r="Z1168" s="420"/>
      <c r="AA1168" s="420"/>
      <c r="AB1168" s="420"/>
      <c r="AC1168" s="420"/>
      <c r="AD1168" s="420"/>
      <c r="AE1168" s="420"/>
      <c r="AF1168" s="420"/>
      <c r="AG1168" s="420"/>
      <c r="AH1168" s="420"/>
      <c r="AI1168" s="420"/>
      <c r="AJ1168" s="420"/>
      <c r="AK1168" s="420"/>
      <c r="AL1168" s="420"/>
      <c r="AM1168" s="420"/>
      <c r="AN1168" s="420"/>
      <c r="AO1168" s="420"/>
      <c r="AP1168" s="420"/>
      <c r="AQ1168" s="420"/>
      <c r="AR1168" s="403"/>
      <c r="AS1168" s="403"/>
      <c r="AT1168" s="403"/>
      <c r="AU1168" s="403"/>
      <c r="AV1168" s="403"/>
      <c r="AW1168" s="403"/>
      <c r="AX1168" s="403"/>
      <c r="AY1168" s="403"/>
    </row>
    <row r="1169">
      <c r="A1169" s="415"/>
      <c r="B1169" s="415"/>
      <c r="C1169" s="410"/>
      <c r="D1169" s="429"/>
      <c r="E1169" s="416"/>
      <c r="F1169" s="413"/>
      <c r="G1169" s="413"/>
      <c r="H1169" s="415"/>
      <c r="I1169" s="415"/>
      <c r="J1169" s="415"/>
      <c r="K1169" s="415"/>
      <c r="L1169" s="417"/>
      <c r="M1169" s="420"/>
      <c r="N1169" s="420"/>
      <c r="O1169" s="420"/>
      <c r="P1169" s="420"/>
      <c r="Q1169" s="420"/>
      <c r="R1169" s="420"/>
      <c r="S1169" s="420"/>
      <c r="T1169" s="420"/>
      <c r="U1169" s="420"/>
      <c r="V1169" s="420"/>
      <c r="W1169" s="420"/>
      <c r="X1169" s="420"/>
      <c r="Y1169" s="420"/>
      <c r="Z1169" s="420"/>
      <c r="AA1169" s="420"/>
      <c r="AB1169" s="420"/>
      <c r="AC1169" s="420"/>
      <c r="AD1169" s="420"/>
      <c r="AE1169" s="420"/>
      <c r="AF1169" s="420"/>
      <c r="AG1169" s="420"/>
      <c r="AH1169" s="420"/>
      <c r="AI1169" s="420"/>
      <c r="AJ1169" s="420"/>
      <c r="AK1169" s="420"/>
      <c r="AL1169" s="420"/>
      <c r="AM1169" s="420"/>
      <c r="AN1169" s="420"/>
      <c r="AO1169" s="420"/>
      <c r="AP1169" s="420"/>
      <c r="AQ1169" s="420"/>
      <c r="AR1169" s="403"/>
      <c r="AS1169" s="403"/>
      <c r="AT1169" s="403"/>
      <c r="AU1169" s="403"/>
      <c r="AV1169" s="403"/>
      <c r="AW1169" s="403"/>
      <c r="AX1169" s="403"/>
      <c r="AY1169" s="403"/>
    </row>
    <row r="1170">
      <c r="A1170" s="415"/>
      <c r="B1170" s="415"/>
      <c r="C1170" s="410"/>
      <c r="D1170" s="429"/>
      <c r="E1170" s="416"/>
      <c r="F1170" s="413"/>
      <c r="G1170" s="413"/>
      <c r="H1170" s="415"/>
      <c r="I1170" s="415"/>
      <c r="J1170" s="415"/>
      <c r="K1170" s="415"/>
      <c r="L1170" s="417"/>
      <c r="M1170" s="420"/>
      <c r="N1170" s="420"/>
      <c r="O1170" s="420"/>
      <c r="P1170" s="420"/>
      <c r="Q1170" s="420"/>
      <c r="R1170" s="420"/>
      <c r="S1170" s="420"/>
      <c r="T1170" s="420"/>
      <c r="U1170" s="420"/>
      <c r="V1170" s="420"/>
      <c r="W1170" s="420"/>
      <c r="X1170" s="420"/>
      <c r="Y1170" s="420"/>
      <c r="Z1170" s="420"/>
      <c r="AA1170" s="420"/>
      <c r="AB1170" s="420"/>
      <c r="AC1170" s="420"/>
      <c r="AD1170" s="420"/>
      <c r="AE1170" s="420"/>
      <c r="AF1170" s="420"/>
      <c r="AG1170" s="420"/>
      <c r="AH1170" s="420"/>
      <c r="AI1170" s="420"/>
      <c r="AJ1170" s="420"/>
      <c r="AK1170" s="420"/>
      <c r="AL1170" s="420"/>
      <c r="AM1170" s="420"/>
      <c r="AN1170" s="420"/>
      <c r="AO1170" s="420"/>
      <c r="AP1170" s="420"/>
      <c r="AQ1170" s="420"/>
      <c r="AR1170" s="403"/>
      <c r="AS1170" s="403"/>
      <c r="AT1170" s="403"/>
      <c r="AU1170" s="403"/>
      <c r="AV1170" s="403"/>
      <c r="AW1170" s="403"/>
      <c r="AX1170" s="403"/>
      <c r="AY1170" s="403"/>
    </row>
    <row r="1171">
      <c r="A1171" s="415"/>
      <c r="B1171" s="415"/>
      <c r="C1171" s="410"/>
      <c r="D1171" s="429"/>
      <c r="E1171" s="416"/>
      <c r="F1171" s="413"/>
      <c r="G1171" s="413"/>
      <c r="H1171" s="415"/>
      <c r="I1171" s="415"/>
      <c r="J1171" s="415"/>
      <c r="K1171" s="415"/>
      <c r="L1171" s="417"/>
      <c r="M1171" s="420"/>
      <c r="N1171" s="420"/>
      <c r="O1171" s="420"/>
      <c r="P1171" s="420"/>
      <c r="Q1171" s="420"/>
      <c r="R1171" s="420"/>
      <c r="S1171" s="420"/>
      <c r="T1171" s="420"/>
      <c r="U1171" s="420"/>
      <c r="V1171" s="420"/>
      <c r="W1171" s="420"/>
      <c r="X1171" s="420"/>
      <c r="Y1171" s="420"/>
      <c r="Z1171" s="420"/>
      <c r="AA1171" s="420"/>
      <c r="AB1171" s="420"/>
      <c r="AC1171" s="420"/>
      <c r="AD1171" s="420"/>
      <c r="AE1171" s="420"/>
      <c r="AF1171" s="420"/>
      <c r="AG1171" s="420"/>
      <c r="AH1171" s="420"/>
      <c r="AI1171" s="420"/>
      <c r="AJ1171" s="420"/>
      <c r="AK1171" s="420"/>
      <c r="AL1171" s="420"/>
      <c r="AM1171" s="420"/>
      <c r="AN1171" s="420"/>
      <c r="AO1171" s="420"/>
      <c r="AP1171" s="420"/>
      <c r="AQ1171" s="420"/>
      <c r="AR1171" s="403"/>
      <c r="AS1171" s="403"/>
      <c r="AT1171" s="403"/>
      <c r="AU1171" s="403"/>
      <c r="AV1171" s="403"/>
      <c r="AW1171" s="403"/>
      <c r="AX1171" s="403"/>
      <c r="AY1171" s="403"/>
    </row>
    <row r="1172">
      <c r="A1172" s="415"/>
      <c r="B1172" s="415"/>
      <c r="C1172" s="410"/>
      <c r="D1172" s="429"/>
      <c r="E1172" s="416"/>
      <c r="F1172" s="413"/>
      <c r="G1172" s="413"/>
      <c r="H1172" s="415"/>
      <c r="I1172" s="415"/>
      <c r="J1172" s="415"/>
      <c r="K1172" s="415"/>
      <c r="L1172" s="417"/>
      <c r="M1172" s="420"/>
      <c r="N1172" s="420"/>
      <c r="O1172" s="420"/>
      <c r="P1172" s="420"/>
      <c r="Q1172" s="420"/>
      <c r="R1172" s="420"/>
      <c r="S1172" s="420"/>
      <c r="T1172" s="420"/>
      <c r="U1172" s="420"/>
      <c r="V1172" s="420"/>
      <c r="W1172" s="420"/>
      <c r="X1172" s="420"/>
      <c r="Y1172" s="420"/>
      <c r="Z1172" s="420"/>
      <c r="AA1172" s="420"/>
      <c r="AB1172" s="420"/>
      <c r="AC1172" s="420"/>
      <c r="AD1172" s="420"/>
      <c r="AE1172" s="420"/>
      <c r="AF1172" s="420"/>
      <c r="AG1172" s="420"/>
      <c r="AH1172" s="420"/>
      <c r="AI1172" s="420"/>
      <c r="AJ1172" s="420"/>
      <c r="AK1172" s="420"/>
      <c r="AL1172" s="420"/>
      <c r="AM1172" s="420"/>
      <c r="AN1172" s="420"/>
      <c r="AO1172" s="420"/>
      <c r="AP1172" s="420"/>
      <c r="AQ1172" s="420"/>
      <c r="AR1172" s="403"/>
      <c r="AS1172" s="403"/>
      <c r="AT1172" s="403"/>
      <c r="AU1172" s="403"/>
      <c r="AV1172" s="403"/>
      <c r="AW1172" s="403"/>
      <c r="AX1172" s="403"/>
      <c r="AY1172" s="403"/>
    </row>
    <row r="1173">
      <c r="A1173" s="415"/>
      <c r="B1173" s="415"/>
      <c r="C1173" s="410"/>
      <c r="D1173" s="429"/>
      <c r="E1173" s="416"/>
      <c r="F1173" s="413"/>
      <c r="G1173" s="413"/>
      <c r="H1173" s="415"/>
      <c r="I1173" s="415"/>
      <c r="J1173" s="415"/>
      <c r="K1173" s="415"/>
      <c r="L1173" s="417"/>
      <c r="M1173" s="420"/>
      <c r="N1173" s="420"/>
      <c r="O1173" s="420"/>
      <c r="P1173" s="420"/>
      <c r="Q1173" s="420"/>
      <c r="R1173" s="420"/>
      <c r="S1173" s="420"/>
      <c r="T1173" s="420"/>
      <c r="U1173" s="420"/>
      <c r="V1173" s="420"/>
      <c r="W1173" s="420"/>
      <c r="X1173" s="420"/>
      <c r="Y1173" s="420"/>
      <c r="Z1173" s="420"/>
      <c r="AA1173" s="420"/>
      <c r="AB1173" s="420"/>
      <c r="AC1173" s="420"/>
      <c r="AD1173" s="420"/>
      <c r="AE1173" s="420"/>
      <c r="AF1173" s="420"/>
      <c r="AG1173" s="420"/>
      <c r="AH1173" s="420"/>
      <c r="AI1173" s="420"/>
      <c r="AJ1173" s="420"/>
      <c r="AK1173" s="420"/>
      <c r="AL1173" s="420"/>
      <c r="AM1173" s="420"/>
      <c r="AN1173" s="420"/>
      <c r="AO1173" s="420"/>
      <c r="AP1173" s="420"/>
      <c r="AQ1173" s="420"/>
      <c r="AR1173" s="403"/>
      <c r="AS1173" s="403"/>
      <c r="AT1173" s="403"/>
      <c r="AU1173" s="403"/>
      <c r="AV1173" s="403"/>
      <c r="AW1173" s="403"/>
      <c r="AX1173" s="403"/>
      <c r="AY1173" s="403"/>
    </row>
    <row r="1174">
      <c r="A1174" s="415"/>
      <c r="B1174" s="415"/>
      <c r="C1174" s="410"/>
      <c r="D1174" s="429"/>
      <c r="E1174" s="416"/>
      <c r="F1174" s="413"/>
      <c r="G1174" s="413"/>
      <c r="H1174" s="415"/>
      <c r="I1174" s="415"/>
      <c r="J1174" s="415"/>
      <c r="K1174" s="415"/>
      <c r="L1174" s="417"/>
      <c r="M1174" s="420"/>
      <c r="N1174" s="420"/>
      <c r="O1174" s="420"/>
      <c r="P1174" s="420"/>
      <c r="Q1174" s="420"/>
      <c r="R1174" s="420"/>
      <c r="S1174" s="420"/>
      <c r="T1174" s="420"/>
      <c r="U1174" s="420"/>
      <c r="V1174" s="420"/>
      <c r="W1174" s="420"/>
      <c r="X1174" s="420"/>
      <c r="Y1174" s="420"/>
      <c r="Z1174" s="420"/>
      <c r="AA1174" s="420"/>
      <c r="AB1174" s="420"/>
      <c r="AC1174" s="420"/>
      <c r="AD1174" s="420"/>
      <c r="AE1174" s="420"/>
      <c r="AF1174" s="420"/>
      <c r="AG1174" s="420"/>
      <c r="AH1174" s="420"/>
      <c r="AI1174" s="420"/>
      <c r="AJ1174" s="420"/>
      <c r="AK1174" s="420"/>
      <c r="AL1174" s="420"/>
      <c r="AM1174" s="420"/>
      <c r="AN1174" s="420"/>
      <c r="AO1174" s="420"/>
      <c r="AP1174" s="420"/>
      <c r="AQ1174" s="420"/>
      <c r="AR1174" s="403"/>
      <c r="AS1174" s="403"/>
      <c r="AT1174" s="403"/>
      <c r="AU1174" s="403"/>
      <c r="AV1174" s="403"/>
      <c r="AW1174" s="403"/>
      <c r="AX1174" s="403"/>
      <c r="AY1174" s="403"/>
    </row>
    <row r="1175">
      <c r="A1175" s="415"/>
      <c r="B1175" s="415"/>
      <c r="C1175" s="410"/>
      <c r="D1175" s="429"/>
      <c r="E1175" s="416"/>
      <c r="F1175" s="413"/>
      <c r="G1175" s="413"/>
      <c r="H1175" s="415"/>
      <c r="I1175" s="415"/>
      <c r="J1175" s="415"/>
      <c r="K1175" s="415"/>
      <c r="L1175" s="417"/>
      <c r="M1175" s="420"/>
      <c r="N1175" s="420"/>
      <c r="O1175" s="420"/>
      <c r="P1175" s="420"/>
      <c r="Q1175" s="420"/>
      <c r="R1175" s="420"/>
      <c r="S1175" s="420"/>
      <c r="T1175" s="420"/>
      <c r="U1175" s="420"/>
      <c r="V1175" s="420"/>
      <c r="W1175" s="420"/>
      <c r="X1175" s="420"/>
      <c r="Y1175" s="420"/>
      <c r="Z1175" s="420"/>
      <c r="AA1175" s="420"/>
      <c r="AB1175" s="420"/>
      <c r="AC1175" s="420"/>
      <c r="AD1175" s="420"/>
      <c r="AE1175" s="420"/>
      <c r="AF1175" s="420"/>
      <c r="AG1175" s="420"/>
      <c r="AH1175" s="420"/>
      <c r="AI1175" s="420"/>
      <c r="AJ1175" s="420"/>
      <c r="AK1175" s="420"/>
      <c r="AL1175" s="420"/>
      <c r="AM1175" s="420"/>
      <c r="AN1175" s="420"/>
      <c r="AO1175" s="420"/>
      <c r="AP1175" s="420"/>
      <c r="AQ1175" s="420"/>
      <c r="AR1175" s="403"/>
      <c r="AS1175" s="403"/>
      <c r="AT1175" s="403"/>
      <c r="AU1175" s="403"/>
      <c r="AV1175" s="403"/>
      <c r="AW1175" s="403"/>
      <c r="AX1175" s="403"/>
      <c r="AY1175" s="403"/>
    </row>
    <row r="1176">
      <c r="A1176" s="415"/>
      <c r="B1176" s="415"/>
      <c r="C1176" s="410"/>
      <c r="D1176" s="429"/>
      <c r="E1176" s="416"/>
      <c r="F1176" s="413"/>
      <c r="G1176" s="413"/>
      <c r="H1176" s="415"/>
      <c r="I1176" s="415"/>
      <c r="J1176" s="415"/>
      <c r="K1176" s="415"/>
      <c r="L1176" s="417"/>
      <c r="M1176" s="420"/>
      <c r="N1176" s="420"/>
      <c r="O1176" s="420"/>
      <c r="P1176" s="420"/>
      <c r="Q1176" s="420"/>
      <c r="R1176" s="420"/>
      <c r="S1176" s="420"/>
      <c r="T1176" s="420"/>
      <c r="U1176" s="420"/>
      <c r="V1176" s="420"/>
      <c r="W1176" s="420"/>
      <c r="X1176" s="420"/>
      <c r="Y1176" s="420"/>
      <c r="Z1176" s="420"/>
      <c r="AA1176" s="420"/>
      <c r="AB1176" s="420"/>
      <c r="AC1176" s="420"/>
      <c r="AD1176" s="420"/>
      <c r="AE1176" s="420"/>
      <c r="AF1176" s="420"/>
      <c r="AG1176" s="420"/>
      <c r="AH1176" s="420"/>
      <c r="AI1176" s="420"/>
      <c r="AJ1176" s="420"/>
      <c r="AK1176" s="420"/>
      <c r="AL1176" s="420"/>
      <c r="AM1176" s="420"/>
      <c r="AN1176" s="420"/>
      <c r="AO1176" s="420"/>
      <c r="AP1176" s="420"/>
      <c r="AQ1176" s="420"/>
      <c r="AR1176" s="403"/>
      <c r="AS1176" s="403"/>
      <c r="AT1176" s="403"/>
      <c r="AU1176" s="403"/>
      <c r="AV1176" s="403"/>
      <c r="AW1176" s="403"/>
      <c r="AX1176" s="403"/>
      <c r="AY1176" s="403"/>
    </row>
    <row r="1177">
      <c r="A1177" s="415"/>
      <c r="B1177" s="415"/>
      <c r="C1177" s="410"/>
      <c r="D1177" s="429"/>
      <c r="E1177" s="416"/>
      <c r="F1177" s="413"/>
      <c r="G1177" s="413"/>
      <c r="H1177" s="415"/>
      <c r="I1177" s="415"/>
      <c r="J1177" s="415"/>
      <c r="K1177" s="415"/>
      <c r="L1177" s="417"/>
      <c r="M1177" s="420"/>
      <c r="N1177" s="420"/>
      <c r="O1177" s="420"/>
      <c r="P1177" s="420"/>
      <c r="Q1177" s="420"/>
      <c r="R1177" s="420"/>
      <c r="S1177" s="420"/>
      <c r="T1177" s="420"/>
      <c r="U1177" s="420"/>
      <c r="V1177" s="420"/>
      <c r="W1177" s="420"/>
      <c r="X1177" s="420"/>
      <c r="Y1177" s="420"/>
      <c r="Z1177" s="420"/>
      <c r="AA1177" s="420"/>
      <c r="AB1177" s="420"/>
      <c r="AC1177" s="420"/>
      <c r="AD1177" s="420"/>
      <c r="AE1177" s="420"/>
      <c r="AF1177" s="420"/>
      <c r="AG1177" s="420"/>
      <c r="AH1177" s="420"/>
      <c r="AI1177" s="420"/>
      <c r="AJ1177" s="420"/>
      <c r="AK1177" s="420"/>
      <c r="AL1177" s="420"/>
      <c r="AM1177" s="420"/>
      <c r="AN1177" s="420"/>
      <c r="AO1177" s="420"/>
      <c r="AP1177" s="420"/>
      <c r="AQ1177" s="420"/>
      <c r="AR1177" s="403"/>
      <c r="AS1177" s="403"/>
      <c r="AT1177" s="403"/>
      <c r="AU1177" s="403"/>
      <c r="AV1177" s="403"/>
      <c r="AW1177" s="403"/>
      <c r="AX1177" s="403"/>
      <c r="AY1177" s="403"/>
    </row>
    <row r="1178">
      <c r="A1178" s="415"/>
      <c r="B1178" s="415"/>
      <c r="C1178" s="410"/>
      <c r="D1178" s="429"/>
      <c r="E1178" s="416"/>
      <c r="F1178" s="413"/>
      <c r="G1178" s="413"/>
      <c r="H1178" s="415"/>
      <c r="I1178" s="415"/>
      <c r="J1178" s="415"/>
      <c r="K1178" s="415"/>
      <c r="L1178" s="417"/>
      <c r="M1178" s="420"/>
      <c r="N1178" s="420"/>
      <c r="O1178" s="420"/>
      <c r="P1178" s="420"/>
      <c r="Q1178" s="420"/>
      <c r="R1178" s="420"/>
      <c r="S1178" s="420"/>
      <c r="T1178" s="420"/>
      <c r="U1178" s="420"/>
      <c r="V1178" s="420"/>
      <c r="W1178" s="420"/>
      <c r="X1178" s="420"/>
      <c r="Y1178" s="420"/>
      <c r="Z1178" s="420"/>
      <c r="AA1178" s="420"/>
      <c r="AB1178" s="420"/>
      <c r="AC1178" s="420"/>
      <c r="AD1178" s="420"/>
      <c r="AE1178" s="420"/>
      <c r="AF1178" s="420"/>
      <c r="AG1178" s="420"/>
      <c r="AH1178" s="420"/>
      <c r="AI1178" s="420"/>
      <c r="AJ1178" s="420"/>
      <c r="AK1178" s="420"/>
      <c r="AL1178" s="420"/>
      <c r="AM1178" s="420"/>
      <c r="AN1178" s="420"/>
      <c r="AO1178" s="420"/>
      <c r="AP1178" s="420"/>
      <c r="AQ1178" s="420"/>
      <c r="AR1178" s="403"/>
      <c r="AS1178" s="403"/>
      <c r="AT1178" s="403"/>
      <c r="AU1178" s="403"/>
      <c r="AV1178" s="403"/>
      <c r="AW1178" s="403"/>
      <c r="AX1178" s="403"/>
      <c r="AY1178" s="403"/>
    </row>
    <row r="1179">
      <c r="A1179" s="415"/>
      <c r="B1179" s="415"/>
      <c r="C1179" s="410"/>
      <c r="D1179" s="429"/>
      <c r="E1179" s="416"/>
      <c r="F1179" s="413"/>
      <c r="G1179" s="413"/>
      <c r="H1179" s="415"/>
      <c r="I1179" s="415"/>
      <c r="J1179" s="415"/>
      <c r="K1179" s="415"/>
      <c r="L1179" s="417"/>
      <c r="M1179" s="420"/>
      <c r="N1179" s="420"/>
      <c r="O1179" s="420"/>
      <c r="P1179" s="420"/>
      <c r="Q1179" s="420"/>
      <c r="R1179" s="420"/>
      <c r="S1179" s="420"/>
      <c r="T1179" s="420"/>
      <c r="U1179" s="420"/>
      <c r="V1179" s="420"/>
      <c r="W1179" s="420"/>
      <c r="X1179" s="420"/>
      <c r="Y1179" s="420"/>
      <c r="Z1179" s="420"/>
      <c r="AA1179" s="420"/>
      <c r="AB1179" s="420"/>
      <c r="AC1179" s="420"/>
      <c r="AD1179" s="420"/>
      <c r="AE1179" s="420"/>
      <c r="AF1179" s="420"/>
      <c r="AG1179" s="420"/>
      <c r="AH1179" s="420"/>
      <c r="AI1179" s="420"/>
      <c r="AJ1179" s="420"/>
      <c r="AK1179" s="420"/>
      <c r="AL1179" s="420"/>
      <c r="AM1179" s="420"/>
      <c r="AN1179" s="420"/>
      <c r="AO1179" s="420"/>
      <c r="AP1179" s="420"/>
      <c r="AQ1179" s="420"/>
      <c r="AR1179" s="403"/>
      <c r="AS1179" s="403"/>
      <c r="AT1179" s="403"/>
      <c r="AU1179" s="403"/>
      <c r="AV1179" s="403"/>
      <c r="AW1179" s="403"/>
      <c r="AX1179" s="403"/>
      <c r="AY1179" s="403"/>
    </row>
    <row r="1180">
      <c r="A1180" s="415"/>
      <c r="B1180" s="415"/>
      <c r="C1180" s="410"/>
      <c r="D1180" s="429"/>
      <c r="E1180" s="416"/>
      <c r="F1180" s="413"/>
      <c r="G1180" s="413"/>
      <c r="H1180" s="415"/>
      <c r="I1180" s="415"/>
      <c r="J1180" s="415"/>
      <c r="K1180" s="415"/>
      <c r="L1180" s="417"/>
      <c r="M1180" s="420"/>
      <c r="N1180" s="420"/>
      <c r="O1180" s="420"/>
      <c r="P1180" s="420"/>
      <c r="Q1180" s="420"/>
      <c r="R1180" s="420"/>
      <c r="S1180" s="420"/>
      <c r="T1180" s="420"/>
      <c r="U1180" s="420"/>
      <c r="V1180" s="420"/>
      <c r="W1180" s="420"/>
      <c r="X1180" s="420"/>
      <c r="Y1180" s="420"/>
      <c r="Z1180" s="420"/>
      <c r="AA1180" s="420"/>
      <c r="AB1180" s="420"/>
      <c r="AC1180" s="420"/>
      <c r="AD1180" s="420"/>
      <c r="AE1180" s="420"/>
      <c r="AF1180" s="420"/>
      <c r="AG1180" s="420"/>
      <c r="AH1180" s="420"/>
      <c r="AI1180" s="420"/>
      <c r="AJ1180" s="420"/>
      <c r="AK1180" s="420"/>
      <c r="AL1180" s="420"/>
      <c r="AM1180" s="420"/>
      <c r="AN1180" s="420"/>
      <c r="AO1180" s="420"/>
      <c r="AP1180" s="420"/>
      <c r="AQ1180" s="420"/>
      <c r="AR1180" s="403"/>
      <c r="AS1180" s="403"/>
      <c r="AT1180" s="403"/>
      <c r="AU1180" s="403"/>
      <c r="AV1180" s="403"/>
      <c r="AW1180" s="403"/>
      <c r="AX1180" s="403"/>
      <c r="AY1180" s="403"/>
    </row>
    <row r="1181">
      <c r="A1181" s="415"/>
      <c r="B1181" s="415"/>
      <c r="C1181" s="410"/>
      <c r="D1181" s="429"/>
      <c r="E1181" s="416"/>
      <c r="F1181" s="413"/>
      <c r="G1181" s="413"/>
      <c r="H1181" s="415"/>
      <c r="I1181" s="415"/>
      <c r="J1181" s="415"/>
      <c r="K1181" s="415"/>
      <c r="L1181" s="417"/>
      <c r="M1181" s="420"/>
      <c r="N1181" s="420"/>
      <c r="O1181" s="420"/>
      <c r="P1181" s="420"/>
      <c r="Q1181" s="420"/>
      <c r="R1181" s="420"/>
      <c r="S1181" s="420"/>
      <c r="T1181" s="420"/>
      <c r="U1181" s="420"/>
      <c r="V1181" s="420"/>
      <c r="W1181" s="420"/>
      <c r="X1181" s="420"/>
      <c r="Y1181" s="420"/>
      <c r="Z1181" s="420"/>
      <c r="AA1181" s="420"/>
      <c r="AB1181" s="420"/>
      <c r="AC1181" s="420"/>
      <c r="AD1181" s="420"/>
      <c r="AE1181" s="420"/>
      <c r="AF1181" s="420"/>
      <c r="AG1181" s="420"/>
      <c r="AH1181" s="420"/>
      <c r="AI1181" s="420"/>
      <c r="AJ1181" s="420"/>
      <c r="AK1181" s="420"/>
      <c r="AL1181" s="420"/>
      <c r="AM1181" s="420"/>
      <c r="AN1181" s="420"/>
      <c r="AO1181" s="420"/>
      <c r="AP1181" s="420"/>
      <c r="AQ1181" s="420"/>
      <c r="AR1181" s="403"/>
      <c r="AS1181" s="403"/>
      <c r="AT1181" s="403"/>
      <c r="AU1181" s="403"/>
      <c r="AV1181" s="403"/>
      <c r="AW1181" s="403"/>
      <c r="AX1181" s="403"/>
      <c r="AY1181" s="403"/>
    </row>
    <row r="1182">
      <c r="A1182" s="415"/>
      <c r="B1182" s="415"/>
      <c r="C1182" s="410"/>
      <c r="D1182" s="429"/>
      <c r="E1182" s="416"/>
      <c r="F1182" s="413"/>
      <c r="G1182" s="413"/>
      <c r="H1182" s="415"/>
      <c r="I1182" s="415"/>
      <c r="J1182" s="415"/>
      <c r="K1182" s="415"/>
      <c r="L1182" s="417"/>
      <c r="M1182" s="420"/>
      <c r="N1182" s="420"/>
      <c r="O1182" s="420"/>
      <c r="P1182" s="420"/>
      <c r="Q1182" s="420"/>
      <c r="R1182" s="420"/>
      <c r="S1182" s="420"/>
      <c r="T1182" s="420"/>
      <c r="U1182" s="420"/>
      <c r="V1182" s="420"/>
      <c r="W1182" s="420"/>
      <c r="X1182" s="420"/>
      <c r="Y1182" s="420"/>
      <c r="Z1182" s="420"/>
      <c r="AA1182" s="420"/>
      <c r="AB1182" s="420"/>
      <c r="AC1182" s="420"/>
      <c r="AD1182" s="420"/>
      <c r="AE1182" s="420"/>
      <c r="AF1182" s="420"/>
      <c r="AG1182" s="420"/>
      <c r="AH1182" s="420"/>
      <c r="AI1182" s="420"/>
      <c r="AJ1182" s="420"/>
      <c r="AK1182" s="420"/>
      <c r="AL1182" s="420"/>
      <c r="AM1182" s="420"/>
      <c r="AN1182" s="420"/>
      <c r="AO1182" s="420"/>
      <c r="AP1182" s="420"/>
      <c r="AQ1182" s="420"/>
      <c r="AR1182" s="403"/>
      <c r="AS1182" s="403"/>
      <c r="AT1182" s="403"/>
      <c r="AU1182" s="403"/>
      <c r="AV1182" s="403"/>
      <c r="AW1182" s="403"/>
      <c r="AX1182" s="403"/>
      <c r="AY1182" s="403"/>
    </row>
    <row r="1183">
      <c r="A1183" s="415"/>
      <c r="B1183" s="415"/>
      <c r="C1183" s="410"/>
      <c r="D1183" s="429"/>
      <c r="E1183" s="416"/>
      <c r="F1183" s="413"/>
      <c r="G1183" s="413"/>
      <c r="H1183" s="415"/>
      <c r="I1183" s="415"/>
      <c r="J1183" s="415"/>
      <c r="K1183" s="415"/>
      <c r="L1183" s="417"/>
      <c r="M1183" s="420"/>
      <c r="N1183" s="420"/>
      <c r="O1183" s="420"/>
      <c r="P1183" s="420"/>
      <c r="Q1183" s="420"/>
      <c r="R1183" s="420"/>
      <c r="S1183" s="420"/>
      <c r="T1183" s="420"/>
      <c r="U1183" s="420"/>
      <c r="V1183" s="420"/>
      <c r="W1183" s="420"/>
      <c r="X1183" s="420"/>
      <c r="Y1183" s="420"/>
      <c r="Z1183" s="420"/>
      <c r="AA1183" s="420"/>
      <c r="AB1183" s="420"/>
      <c r="AC1183" s="420"/>
      <c r="AD1183" s="420"/>
      <c r="AE1183" s="420"/>
      <c r="AF1183" s="420"/>
      <c r="AG1183" s="420"/>
      <c r="AH1183" s="420"/>
      <c r="AI1183" s="420"/>
      <c r="AJ1183" s="420"/>
      <c r="AK1183" s="420"/>
      <c r="AL1183" s="420"/>
      <c r="AM1183" s="420"/>
      <c r="AN1183" s="420"/>
      <c r="AO1183" s="420"/>
      <c r="AP1183" s="420"/>
      <c r="AQ1183" s="420"/>
      <c r="AR1183" s="403"/>
      <c r="AS1183" s="403"/>
      <c r="AT1183" s="403"/>
      <c r="AU1183" s="403"/>
      <c r="AV1183" s="403"/>
      <c r="AW1183" s="403"/>
      <c r="AX1183" s="403"/>
      <c r="AY1183" s="403"/>
    </row>
    <row r="1184">
      <c r="A1184" s="415"/>
      <c r="B1184" s="415"/>
      <c r="C1184" s="410"/>
      <c r="D1184" s="429"/>
      <c r="E1184" s="416"/>
      <c r="F1184" s="413"/>
      <c r="G1184" s="413"/>
      <c r="H1184" s="415"/>
      <c r="I1184" s="415"/>
      <c r="J1184" s="415"/>
      <c r="K1184" s="415"/>
      <c r="L1184" s="417"/>
      <c r="M1184" s="420"/>
      <c r="N1184" s="420"/>
      <c r="O1184" s="420"/>
      <c r="P1184" s="420"/>
      <c r="Q1184" s="420"/>
      <c r="R1184" s="420"/>
      <c r="S1184" s="420"/>
      <c r="T1184" s="420"/>
      <c r="U1184" s="420"/>
      <c r="V1184" s="420"/>
      <c r="W1184" s="420"/>
      <c r="X1184" s="420"/>
      <c r="Y1184" s="420"/>
      <c r="Z1184" s="420"/>
      <c r="AA1184" s="420"/>
      <c r="AB1184" s="420"/>
      <c r="AC1184" s="420"/>
      <c r="AD1184" s="420"/>
      <c r="AE1184" s="420"/>
      <c r="AF1184" s="420"/>
      <c r="AG1184" s="420"/>
      <c r="AH1184" s="420"/>
      <c r="AI1184" s="420"/>
      <c r="AJ1184" s="420"/>
      <c r="AK1184" s="420"/>
      <c r="AL1184" s="420"/>
      <c r="AM1184" s="420"/>
      <c r="AN1184" s="420"/>
      <c r="AO1184" s="420"/>
      <c r="AP1184" s="420"/>
      <c r="AQ1184" s="420"/>
      <c r="AR1184" s="403"/>
      <c r="AS1184" s="403"/>
      <c r="AT1184" s="403"/>
      <c r="AU1184" s="403"/>
      <c r="AV1184" s="403"/>
      <c r="AW1184" s="403"/>
      <c r="AX1184" s="403"/>
      <c r="AY1184" s="403"/>
    </row>
    <row r="1185">
      <c r="A1185" s="415"/>
      <c r="B1185" s="415"/>
      <c r="C1185" s="410"/>
      <c r="D1185" s="429"/>
      <c r="E1185" s="416"/>
      <c r="F1185" s="413"/>
      <c r="G1185" s="413"/>
      <c r="H1185" s="415"/>
      <c r="I1185" s="415"/>
      <c r="J1185" s="415"/>
      <c r="K1185" s="415"/>
      <c r="L1185" s="417"/>
      <c r="M1185" s="420"/>
      <c r="N1185" s="420"/>
      <c r="O1185" s="420"/>
      <c r="P1185" s="420"/>
      <c r="Q1185" s="420"/>
      <c r="R1185" s="420"/>
      <c r="S1185" s="420"/>
      <c r="T1185" s="420"/>
      <c r="U1185" s="420"/>
      <c r="V1185" s="420"/>
      <c r="W1185" s="420"/>
      <c r="X1185" s="420"/>
      <c r="Y1185" s="420"/>
      <c r="Z1185" s="420"/>
      <c r="AA1185" s="420"/>
      <c r="AB1185" s="420"/>
      <c r="AC1185" s="420"/>
      <c r="AD1185" s="420"/>
      <c r="AE1185" s="420"/>
      <c r="AF1185" s="420"/>
      <c r="AG1185" s="420"/>
      <c r="AH1185" s="420"/>
      <c r="AI1185" s="420"/>
      <c r="AJ1185" s="420"/>
      <c r="AK1185" s="420"/>
      <c r="AL1185" s="420"/>
      <c r="AM1185" s="420"/>
      <c r="AN1185" s="420"/>
      <c r="AO1185" s="420"/>
      <c r="AP1185" s="420"/>
      <c r="AQ1185" s="420"/>
      <c r="AR1185" s="403"/>
      <c r="AS1185" s="403"/>
      <c r="AT1185" s="403"/>
      <c r="AU1185" s="403"/>
      <c r="AV1185" s="403"/>
      <c r="AW1185" s="403"/>
      <c r="AX1185" s="403"/>
      <c r="AY1185" s="403"/>
    </row>
    <row r="1186">
      <c r="A1186" s="415"/>
      <c r="B1186" s="415"/>
      <c r="C1186" s="410"/>
      <c r="D1186" s="429"/>
      <c r="E1186" s="416"/>
      <c r="F1186" s="413"/>
      <c r="G1186" s="413"/>
      <c r="H1186" s="415"/>
      <c r="I1186" s="415"/>
      <c r="J1186" s="415"/>
      <c r="K1186" s="415"/>
      <c r="L1186" s="417"/>
      <c r="M1186" s="420"/>
      <c r="N1186" s="420"/>
      <c r="O1186" s="420"/>
      <c r="P1186" s="420"/>
      <c r="Q1186" s="420"/>
      <c r="R1186" s="420"/>
      <c r="S1186" s="420"/>
      <c r="T1186" s="420"/>
      <c r="U1186" s="420"/>
      <c r="V1186" s="420"/>
      <c r="W1186" s="420"/>
      <c r="X1186" s="420"/>
      <c r="Y1186" s="420"/>
      <c r="Z1186" s="420"/>
      <c r="AA1186" s="420"/>
      <c r="AB1186" s="420"/>
      <c r="AC1186" s="420"/>
      <c r="AD1186" s="420"/>
      <c r="AE1186" s="420"/>
      <c r="AF1186" s="420"/>
      <c r="AG1186" s="420"/>
      <c r="AH1186" s="420"/>
      <c r="AI1186" s="420"/>
      <c r="AJ1186" s="420"/>
      <c r="AK1186" s="420"/>
      <c r="AL1186" s="420"/>
      <c r="AM1186" s="420"/>
      <c r="AN1186" s="420"/>
      <c r="AO1186" s="420"/>
      <c r="AP1186" s="420"/>
      <c r="AQ1186" s="420"/>
      <c r="AR1186" s="403"/>
      <c r="AS1186" s="403"/>
      <c r="AT1186" s="403"/>
      <c r="AU1186" s="403"/>
      <c r="AV1186" s="403"/>
      <c r="AW1186" s="403"/>
      <c r="AX1186" s="403"/>
      <c r="AY1186" s="403"/>
    </row>
    <row r="1187">
      <c r="A1187" s="415"/>
      <c r="B1187" s="415"/>
      <c r="C1187" s="410"/>
      <c r="D1187" s="429"/>
      <c r="E1187" s="416"/>
      <c r="F1187" s="413"/>
      <c r="G1187" s="413"/>
      <c r="H1187" s="415"/>
      <c r="I1187" s="415"/>
      <c r="J1187" s="415"/>
      <c r="K1187" s="415"/>
      <c r="L1187" s="417"/>
      <c r="M1187" s="420"/>
      <c r="N1187" s="420"/>
      <c r="O1187" s="420"/>
      <c r="P1187" s="420"/>
      <c r="Q1187" s="420"/>
      <c r="R1187" s="420"/>
      <c r="S1187" s="420"/>
      <c r="T1187" s="420"/>
      <c r="U1187" s="420"/>
      <c r="V1187" s="420"/>
      <c r="W1187" s="420"/>
      <c r="X1187" s="420"/>
      <c r="Y1187" s="420"/>
      <c r="Z1187" s="420"/>
      <c r="AA1187" s="420"/>
      <c r="AB1187" s="420"/>
      <c r="AC1187" s="420"/>
      <c r="AD1187" s="420"/>
      <c r="AE1187" s="420"/>
      <c r="AF1187" s="420"/>
      <c r="AG1187" s="420"/>
      <c r="AH1187" s="420"/>
      <c r="AI1187" s="420"/>
      <c r="AJ1187" s="420"/>
      <c r="AK1187" s="420"/>
      <c r="AL1187" s="420"/>
      <c r="AM1187" s="420"/>
      <c r="AN1187" s="420"/>
      <c r="AO1187" s="420"/>
      <c r="AP1187" s="420"/>
      <c r="AQ1187" s="420"/>
      <c r="AR1187" s="403"/>
      <c r="AS1187" s="403"/>
      <c r="AT1187" s="403"/>
      <c r="AU1187" s="403"/>
      <c r="AV1187" s="403"/>
      <c r="AW1187" s="403"/>
      <c r="AX1187" s="403"/>
      <c r="AY1187" s="403"/>
    </row>
    <row r="1188">
      <c r="A1188" s="415"/>
      <c r="B1188" s="415"/>
      <c r="C1188" s="410"/>
      <c r="D1188" s="429"/>
      <c r="E1188" s="416"/>
      <c r="F1188" s="413"/>
      <c r="G1188" s="413"/>
      <c r="H1188" s="415"/>
      <c r="I1188" s="415"/>
      <c r="J1188" s="415"/>
      <c r="K1188" s="415"/>
      <c r="L1188" s="417"/>
      <c r="M1188" s="420"/>
      <c r="N1188" s="420"/>
      <c r="O1188" s="420"/>
      <c r="P1188" s="420"/>
      <c r="Q1188" s="420"/>
      <c r="R1188" s="420"/>
      <c r="S1188" s="420"/>
      <c r="T1188" s="420"/>
      <c r="U1188" s="420"/>
      <c r="V1188" s="420"/>
      <c r="W1188" s="420"/>
      <c r="X1188" s="420"/>
      <c r="Y1188" s="420"/>
      <c r="Z1188" s="420"/>
      <c r="AA1188" s="420"/>
      <c r="AB1188" s="420"/>
      <c r="AC1188" s="420"/>
      <c r="AD1188" s="420"/>
      <c r="AE1188" s="420"/>
      <c r="AF1188" s="420"/>
      <c r="AG1188" s="420"/>
      <c r="AH1188" s="420"/>
      <c r="AI1188" s="420"/>
      <c r="AJ1188" s="420"/>
      <c r="AK1188" s="420"/>
      <c r="AL1188" s="420"/>
      <c r="AM1188" s="420"/>
      <c r="AN1188" s="420"/>
      <c r="AO1188" s="420"/>
      <c r="AP1188" s="420"/>
      <c r="AQ1188" s="420"/>
      <c r="AR1188" s="403"/>
      <c r="AS1188" s="403"/>
      <c r="AT1188" s="403"/>
      <c r="AU1188" s="403"/>
      <c r="AV1188" s="403"/>
      <c r="AW1188" s="403"/>
      <c r="AX1188" s="403"/>
      <c r="AY1188" s="403"/>
    </row>
    <row r="1189">
      <c r="A1189" s="415"/>
      <c r="B1189" s="415"/>
      <c r="C1189" s="410"/>
      <c r="D1189" s="429"/>
      <c r="E1189" s="416"/>
      <c r="F1189" s="413"/>
      <c r="G1189" s="413"/>
      <c r="H1189" s="415"/>
      <c r="I1189" s="415"/>
      <c r="J1189" s="415"/>
      <c r="K1189" s="415"/>
      <c r="L1189" s="417"/>
      <c r="M1189" s="420"/>
      <c r="N1189" s="420"/>
      <c r="O1189" s="420"/>
      <c r="P1189" s="420"/>
      <c r="Q1189" s="420"/>
      <c r="R1189" s="420"/>
      <c r="S1189" s="420"/>
      <c r="T1189" s="420"/>
      <c r="U1189" s="420"/>
      <c r="V1189" s="420"/>
      <c r="W1189" s="420"/>
      <c r="X1189" s="420"/>
      <c r="Y1189" s="420"/>
      <c r="Z1189" s="420"/>
      <c r="AA1189" s="420"/>
      <c r="AB1189" s="420"/>
      <c r="AC1189" s="420"/>
      <c r="AD1189" s="420"/>
      <c r="AE1189" s="420"/>
      <c r="AF1189" s="420"/>
      <c r="AG1189" s="420"/>
      <c r="AH1189" s="420"/>
      <c r="AI1189" s="420"/>
      <c r="AJ1189" s="420"/>
      <c r="AK1189" s="420"/>
      <c r="AL1189" s="420"/>
      <c r="AM1189" s="420"/>
      <c r="AN1189" s="420"/>
      <c r="AO1189" s="420"/>
      <c r="AP1189" s="420"/>
      <c r="AQ1189" s="420"/>
      <c r="AR1189" s="403"/>
      <c r="AS1189" s="403"/>
      <c r="AT1189" s="403"/>
      <c r="AU1189" s="403"/>
      <c r="AV1189" s="403"/>
      <c r="AW1189" s="403"/>
      <c r="AX1189" s="403"/>
      <c r="AY1189" s="403"/>
    </row>
    <row r="1190">
      <c r="A1190" s="415"/>
      <c r="B1190" s="415"/>
      <c r="C1190" s="410"/>
      <c r="D1190" s="429"/>
      <c r="E1190" s="416"/>
      <c r="F1190" s="413"/>
      <c r="G1190" s="413"/>
      <c r="H1190" s="415"/>
      <c r="I1190" s="415"/>
      <c r="J1190" s="415"/>
      <c r="K1190" s="415"/>
      <c r="L1190" s="417"/>
      <c r="M1190" s="420"/>
      <c r="N1190" s="420"/>
      <c r="O1190" s="420"/>
      <c r="P1190" s="420"/>
      <c r="Q1190" s="420"/>
      <c r="R1190" s="420"/>
      <c r="S1190" s="420"/>
      <c r="T1190" s="420"/>
      <c r="U1190" s="420"/>
      <c r="V1190" s="420"/>
      <c r="W1190" s="420"/>
      <c r="X1190" s="420"/>
      <c r="Y1190" s="420"/>
      <c r="Z1190" s="420"/>
      <c r="AA1190" s="420"/>
      <c r="AB1190" s="420"/>
      <c r="AC1190" s="420"/>
      <c r="AD1190" s="420"/>
      <c r="AE1190" s="420"/>
      <c r="AF1190" s="420"/>
      <c r="AG1190" s="420"/>
      <c r="AH1190" s="420"/>
      <c r="AI1190" s="420"/>
      <c r="AJ1190" s="420"/>
      <c r="AK1190" s="420"/>
      <c r="AL1190" s="420"/>
      <c r="AM1190" s="420"/>
      <c r="AN1190" s="420"/>
      <c r="AO1190" s="420"/>
      <c r="AP1190" s="420"/>
      <c r="AQ1190" s="420"/>
      <c r="AR1190" s="403"/>
      <c r="AS1190" s="403"/>
      <c r="AT1190" s="403"/>
      <c r="AU1190" s="403"/>
      <c r="AV1190" s="403"/>
      <c r="AW1190" s="403"/>
      <c r="AX1190" s="403"/>
      <c r="AY1190" s="403"/>
    </row>
    <row r="1191">
      <c r="A1191" s="415"/>
      <c r="B1191" s="415"/>
      <c r="C1191" s="410"/>
      <c r="D1191" s="429"/>
      <c r="E1191" s="416"/>
      <c r="F1191" s="413"/>
      <c r="G1191" s="413"/>
      <c r="H1191" s="415"/>
      <c r="I1191" s="415"/>
      <c r="J1191" s="415"/>
      <c r="K1191" s="415"/>
      <c r="L1191" s="417"/>
      <c r="M1191" s="420"/>
      <c r="N1191" s="420"/>
      <c r="O1191" s="420"/>
      <c r="P1191" s="420"/>
      <c r="Q1191" s="420"/>
      <c r="R1191" s="420"/>
      <c r="S1191" s="420"/>
      <c r="T1191" s="420"/>
      <c r="U1191" s="420"/>
      <c r="V1191" s="420"/>
      <c r="W1191" s="420"/>
      <c r="X1191" s="420"/>
      <c r="Y1191" s="420"/>
      <c r="Z1191" s="420"/>
      <c r="AA1191" s="420"/>
      <c r="AB1191" s="420"/>
      <c r="AC1191" s="420"/>
      <c r="AD1191" s="420"/>
      <c r="AE1191" s="420"/>
      <c r="AF1191" s="420"/>
      <c r="AG1191" s="420"/>
      <c r="AH1191" s="420"/>
      <c r="AI1191" s="420"/>
      <c r="AJ1191" s="420"/>
      <c r="AK1191" s="420"/>
      <c r="AL1191" s="420"/>
      <c r="AM1191" s="420"/>
      <c r="AN1191" s="420"/>
      <c r="AO1191" s="420"/>
      <c r="AP1191" s="420"/>
      <c r="AQ1191" s="420"/>
      <c r="AR1191" s="403"/>
      <c r="AS1191" s="403"/>
      <c r="AT1191" s="403"/>
      <c r="AU1191" s="403"/>
      <c r="AV1191" s="403"/>
      <c r="AW1191" s="403"/>
      <c r="AX1191" s="403"/>
      <c r="AY1191" s="403"/>
    </row>
    <row r="1192">
      <c r="A1192" s="415"/>
      <c r="B1192" s="415"/>
      <c r="C1192" s="410"/>
      <c r="D1192" s="429"/>
      <c r="E1192" s="416"/>
      <c r="F1192" s="413"/>
      <c r="G1192" s="413"/>
      <c r="H1192" s="415"/>
      <c r="I1192" s="415"/>
      <c r="J1192" s="415"/>
      <c r="K1192" s="415"/>
      <c r="L1192" s="417"/>
      <c r="M1192" s="420"/>
      <c r="N1192" s="420"/>
      <c r="O1192" s="420"/>
      <c r="P1192" s="420"/>
      <c r="Q1192" s="420"/>
      <c r="R1192" s="420"/>
      <c r="S1192" s="420"/>
      <c r="T1192" s="420"/>
      <c r="U1192" s="420"/>
      <c r="V1192" s="420"/>
      <c r="W1192" s="420"/>
      <c r="X1192" s="420"/>
      <c r="Y1192" s="420"/>
      <c r="Z1192" s="420"/>
      <c r="AA1192" s="420"/>
      <c r="AB1192" s="420"/>
      <c r="AC1192" s="420"/>
      <c r="AD1192" s="420"/>
      <c r="AE1192" s="420"/>
      <c r="AF1192" s="420"/>
      <c r="AG1192" s="420"/>
      <c r="AH1192" s="420"/>
      <c r="AI1192" s="420"/>
      <c r="AJ1192" s="420"/>
      <c r="AK1192" s="420"/>
      <c r="AL1192" s="420"/>
      <c r="AM1192" s="420"/>
      <c r="AN1192" s="420"/>
      <c r="AO1192" s="420"/>
      <c r="AP1192" s="420"/>
      <c r="AQ1192" s="420"/>
      <c r="AR1192" s="403"/>
      <c r="AS1192" s="403"/>
      <c r="AT1192" s="403"/>
      <c r="AU1192" s="403"/>
      <c r="AV1192" s="403"/>
      <c r="AW1192" s="403"/>
      <c r="AX1192" s="403"/>
      <c r="AY1192" s="403"/>
    </row>
    <row r="1193">
      <c r="A1193" s="415"/>
      <c r="B1193" s="415"/>
      <c r="C1193" s="410"/>
      <c r="D1193" s="429"/>
      <c r="E1193" s="416"/>
      <c r="F1193" s="413"/>
      <c r="G1193" s="413"/>
      <c r="H1193" s="415"/>
      <c r="I1193" s="415"/>
      <c r="J1193" s="415"/>
      <c r="K1193" s="415"/>
      <c r="L1193" s="417"/>
      <c r="M1193" s="420"/>
      <c r="N1193" s="420"/>
      <c r="O1193" s="420"/>
      <c r="P1193" s="420"/>
      <c r="Q1193" s="420"/>
      <c r="R1193" s="420"/>
      <c r="S1193" s="420"/>
      <c r="T1193" s="420"/>
      <c r="U1193" s="420"/>
      <c r="V1193" s="420"/>
      <c r="W1193" s="420"/>
      <c r="X1193" s="420"/>
      <c r="Y1193" s="420"/>
      <c r="Z1193" s="420"/>
      <c r="AA1193" s="420"/>
      <c r="AB1193" s="420"/>
      <c r="AC1193" s="420"/>
      <c r="AD1193" s="420"/>
      <c r="AE1193" s="420"/>
      <c r="AF1193" s="420"/>
      <c r="AG1193" s="420"/>
      <c r="AH1193" s="420"/>
      <c r="AI1193" s="420"/>
      <c r="AJ1193" s="420"/>
      <c r="AK1193" s="420"/>
      <c r="AL1193" s="420"/>
      <c r="AM1193" s="420"/>
      <c r="AN1193" s="420"/>
      <c r="AO1193" s="420"/>
      <c r="AP1193" s="420"/>
      <c r="AQ1193" s="420"/>
      <c r="AR1193" s="403"/>
      <c r="AS1193" s="403"/>
      <c r="AT1193" s="403"/>
      <c r="AU1193" s="403"/>
      <c r="AV1193" s="403"/>
      <c r="AW1193" s="403"/>
      <c r="AX1193" s="403"/>
      <c r="AY1193" s="403"/>
    </row>
    <row r="1194">
      <c r="A1194" s="415"/>
      <c r="B1194" s="415"/>
      <c r="C1194" s="410"/>
      <c r="D1194" s="429"/>
      <c r="E1194" s="416"/>
      <c r="F1194" s="413"/>
      <c r="G1194" s="413"/>
      <c r="H1194" s="415"/>
      <c r="I1194" s="415"/>
      <c r="J1194" s="415"/>
      <c r="K1194" s="415"/>
      <c r="L1194" s="417"/>
      <c r="M1194" s="420"/>
      <c r="N1194" s="420"/>
      <c r="O1194" s="420"/>
      <c r="P1194" s="420"/>
      <c r="Q1194" s="420"/>
      <c r="R1194" s="420"/>
      <c r="S1194" s="420"/>
      <c r="T1194" s="420"/>
      <c r="U1194" s="420"/>
      <c r="V1194" s="420"/>
      <c r="W1194" s="420"/>
      <c r="X1194" s="420"/>
      <c r="Y1194" s="420"/>
      <c r="Z1194" s="420"/>
      <c r="AA1194" s="420"/>
      <c r="AB1194" s="420"/>
      <c r="AC1194" s="420"/>
      <c r="AD1194" s="420"/>
      <c r="AE1194" s="420"/>
      <c r="AF1194" s="420"/>
      <c r="AG1194" s="420"/>
      <c r="AH1194" s="420"/>
      <c r="AI1194" s="420"/>
      <c r="AJ1194" s="420"/>
      <c r="AK1194" s="420"/>
      <c r="AL1194" s="420"/>
      <c r="AM1194" s="420"/>
      <c r="AN1194" s="420"/>
      <c r="AO1194" s="420"/>
      <c r="AP1194" s="420"/>
      <c r="AQ1194" s="420"/>
      <c r="AR1194" s="403"/>
      <c r="AS1194" s="403"/>
      <c r="AT1194" s="403"/>
      <c r="AU1194" s="403"/>
      <c r="AV1194" s="403"/>
      <c r="AW1194" s="403"/>
      <c r="AX1194" s="403"/>
      <c r="AY1194" s="403"/>
    </row>
    <row r="1195">
      <c r="A1195" s="415"/>
      <c r="B1195" s="415"/>
      <c r="C1195" s="410"/>
      <c r="D1195" s="429"/>
      <c r="E1195" s="416"/>
      <c r="F1195" s="413"/>
      <c r="G1195" s="413"/>
      <c r="H1195" s="415"/>
      <c r="I1195" s="415"/>
      <c r="J1195" s="415"/>
      <c r="K1195" s="415"/>
      <c r="L1195" s="417"/>
      <c r="M1195" s="420"/>
      <c r="N1195" s="420"/>
      <c r="O1195" s="420"/>
      <c r="P1195" s="420"/>
      <c r="Q1195" s="420"/>
      <c r="R1195" s="420"/>
      <c r="S1195" s="420"/>
      <c r="T1195" s="420"/>
      <c r="U1195" s="420"/>
      <c r="V1195" s="420"/>
      <c r="W1195" s="420"/>
      <c r="X1195" s="420"/>
      <c r="Y1195" s="420"/>
      <c r="Z1195" s="420"/>
      <c r="AA1195" s="420"/>
      <c r="AB1195" s="420"/>
      <c r="AC1195" s="420"/>
      <c r="AD1195" s="420"/>
      <c r="AE1195" s="420"/>
      <c r="AF1195" s="420"/>
      <c r="AG1195" s="420"/>
      <c r="AH1195" s="420"/>
      <c r="AI1195" s="420"/>
      <c r="AJ1195" s="420"/>
      <c r="AK1195" s="420"/>
      <c r="AL1195" s="420"/>
      <c r="AM1195" s="420"/>
      <c r="AN1195" s="420"/>
      <c r="AO1195" s="420"/>
      <c r="AP1195" s="420"/>
      <c r="AQ1195" s="420"/>
      <c r="AR1195" s="403"/>
      <c r="AS1195" s="403"/>
      <c r="AT1195" s="403"/>
      <c r="AU1195" s="403"/>
      <c r="AV1195" s="403"/>
      <c r="AW1195" s="403"/>
      <c r="AX1195" s="403"/>
      <c r="AY1195" s="403"/>
    </row>
    <row r="1196">
      <c r="A1196" s="415"/>
      <c r="B1196" s="415"/>
      <c r="C1196" s="410"/>
      <c r="D1196" s="429"/>
      <c r="E1196" s="416"/>
      <c r="F1196" s="413"/>
      <c r="G1196" s="413"/>
      <c r="H1196" s="415"/>
      <c r="I1196" s="415"/>
      <c r="J1196" s="415"/>
      <c r="K1196" s="415"/>
      <c r="L1196" s="417"/>
      <c r="M1196" s="420"/>
      <c r="N1196" s="420"/>
      <c r="O1196" s="420"/>
      <c r="P1196" s="420"/>
      <c r="Q1196" s="420"/>
      <c r="R1196" s="420"/>
      <c r="S1196" s="420"/>
      <c r="T1196" s="420"/>
      <c r="U1196" s="420"/>
      <c r="V1196" s="420"/>
      <c r="W1196" s="420"/>
      <c r="X1196" s="420"/>
      <c r="Y1196" s="420"/>
      <c r="Z1196" s="420"/>
      <c r="AA1196" s="420"/>
      <c r="AB1196" s="420"/>
      <c r="AC1196" s="420"/>
      <c r="AD1196" s="420"/>
      <c r="AE1196" s="420"/>
      <c r="AF1196" s="420"/>
      <c r="AG1196" s="420"/>
      <c r="AH1196" s="420"/>
      <c r="AI1196" s="420"/>
      <c r="AJ1196" s="420"/>
      <c r="AK1196" s="420"/>
      <c r="AL1196" s="420"/>
      <c r="AM1196" s="420"/>
      <c r="AN1196" s="420"/>
      <c r="AO1196" s="420"/>
      <c r="AP1196" s="420"/>
      <c r="AQ1196" s="420"/>
      <c r="AR1196" s="403"/>
      <c r="AS1196" s="403"/>
      <c r="AT1196" s="403"/>
      <c r="AU1196" s="403"/>
      <c r="AV1196" s="403"/>
      <c r="AW1196" s="403"/>
      <c r="AX1196" s="403"/>
      <c r="AY1196" s="403"/>
    </row>
    <row r="1197">
      <c r="A1197" s="415"/>
      <c r="B1197" s="415"/>
      <c r="C1197" s="410"/>
      <c r="D1197" s="429"/>
      <c r="E1197" s="416"/>
      <c r="F1197" s="413"/>
      <c r="G1197" s="413"/>
      <c r="H1197" s="415"/>
      <c r="I1197" s="415"/>
      <c r="J1197" s="415"/>
      <c r="K1197" s="415"/>
      <c r="L1197" s="417"/>
      <c r="M1197" s="420"/>
      <c r="N1197" s="420"/>
      <c r="O1197" s="420"/>
      <c r="P1197" s="420"/>
      <c r="Q1197" s="420"/>
      <c r="R1197" s="420"/>
      <c r="S1197" s="420"/>
      <c r="T1197" s="420"/>
      <c r="U1197" s="420"/>
      <c r="V1197" s="420"/>
      <c r="W1197" s="420"/>
      <c r="X1197" s="420"/>
      <c r="Y1197" s="420"/>
      <c r="Z1197" s="420"/>
      <c r="AA1197" s="420"/>
      <c r="AB1197" s="420"/>
      <c r="AC1197" s="420"/>
      <c r="AD1197" s="420"/>
      <c r="AE1197" s="420"/>
      <c r="AF1197" s="420"/>
      <c r="AG1197" s="420"/>
      <c r="AH1197" s="420"/>
      <c r="AI1197" s="420"/>
      <c r="AJ1197" s="420"/>
      <c r="AK1197" s="420"/>
      <c r="AL1197" s="420"/>
      <c r="AM1197" s="420"/>
      <c r="AN1197" s="420"/>
      <c r="AO1197" s="420"/>
      <c r="AP1197" s="420"/>
      <c r="AQ1197" s="420"/>
      <c r="AR1197" s="403"/>
      <c r="AS1197" s="403"/>
      <c r="AT1197" s="403"/>
      <c r="AU1197" s="403"/>
      <c r="AV1197" s="403"/>
      <c r="AW1197" s="403"/>
      <c r="AX1197" s="403"/>
      <c r="AY1197" s="403"/>
    </row>
    <row r="1198">
      <c r="A1198" s="415"/>
      <c r="B1198" s="415"/>
      <c r="C1198" s="410"/>
      <c r="D1198" s="429"/>
      <c r="E1198" s="416"/>
      <c r="F1198" s="413"/>
      <c r="G1198" s="413"/>
      <c r="H1198" s="415"/>
      <c r="I1198" s="415"/>
      <c r="J1198" s="415"/>
      <c r="K1198" s="415"/>
      <c r="L1198" s="417"/>
      <c r="M1198" s="420"/>
      <c r="N1198" s="420"/>
      <c r="O1198" s="420"/>
      <c r="P1198" s="420"/>
      <c r="Q1198" s="420"/>
      <c r="R1198" s="420"/>
      <c r="S1198" s="420"/>
      <c r="T1198" s="420"/>
      <c r="U1198" s="420"/>
      <c r="V1198" s="420"/>
      <c r="W1198" s="420"/>
      <c r="X1198" s="420"/>
      <c r="Y1198" s="420"/>
      <c r="Z1198" s="420"/>
      <c r="AA1198" s="420"/>
      <c r="AB1198" s="420"/>
      <c r="AC1198" s="420"/>
      <c r="AD1198" s="420"/>
      <c r="AE1198" s="420"/>
      <c r="AF1198" s="420"/>
      <c r="AG1198" s="420"/>
      <c r="AH1198" s="420"/>
      <c r="AI1198" s="420"/>
      <c r="AJ1198" s="420"/>
      <c r="AK1198" s="420"/>
      <c r="AL1198" s="420"/>
      <c r="AM1198" s="420"/>
      <c r="AN1198" s="420"/>
      <c r="AO1198" s="420"/>
      <c r="AP1198" s="420"/>
      <c r="AQ1198" s="420"/>
      <c r="AR1198" s="403"/>
      <c r="AS1198" s="403"/>
      <c r="AT1198" s="403"/>
      <c r="AU1198" s="403"/>
      <c r="AV1198" s="403"/>
      <c r="AW1198" s="403"/>
      <c r="AX1198" s="403"/>
      <c r="AY1198" s="403"/>
    </row>
    <row r="1199">
      <c r="A1199" s="415"/>
      <c r="B1199" s="415"/>
      <c r="C1199" s="410"/>
      <c r="D1199" s="429"/>
      <c r="E1199" s="416"/>
      <c r="F1199" s="413"/>
      <c r="G1199" s="413"/>
      <c r="H1199" s="415"/>
      <c r="I1199" s="415"/>
      <c r="J1199" s="415"/>
      <c r="K1199" s="415"/>
      <c r="L1199" s="417"/>
      <c r="M1199" s="420"/>
      <c r="N1199" s="420"/>
      <c r="O1199" s="420"/>
      <c r="P1199" s="420"/>
      <c r="Q1199" s="420"/>
      <c r="R1199" s="420"/>
      <c r="S1199" s="420"/>
      <c r="T1199" s="420"/>
      <c r="U1199" s="420"/>
      <c r="V1199" s="420"/>
      <c r="W1199" s="420"/>
      <c r="X1199" s="420"/>
      <c r="Y1199" s="420"/>
      <c r="Z1199" s="420"/>
      <c r="AA1199" s="420"/>
      <c r="AB1199" s="420"/>
      <c r="AC1199" s="420"/>
      <c r="AD1199" s="420"/>
      <c r="AE1199" s="420"/>
      <c r="AF1199" s="420"/>
      <c r="AG1199" s="420"/>
      <c r="AH1199" s="420"/>
      <c r="AI1199" s="420"/>
      <c r="AJ1199" s="420"/>
      <c r="AK1199" s="420"/>
      <c r="AL1199" s="420"/>
      <c r="AM1199" s="420"/>
      <c r="AN1199" s="420"/>
      <c r="AO1199" s="420"/>
      <c r="AP1199" s="420"/>
      <c r="AQ1199" s="420"/>
      <c r="AR1199" s="403"/>
      <c r="AS1199" s="403"/>
      <c r="AT1199" s="403"/>
      <c r="AU1199" s="403"/>
      <c r="AV1199" s="403"/>
      <c r="AW1199" s="403"/>
      <c r="AX1199" s="403"/>
      <c r="AY1199" s="403"/>
    </row>
    <row r="1200">
      <c r="A1200" s="415"/>
      <c r="B1200" s="415"/>
      <c r="C1200" s="410"/>
      <c r="D1200" s="429"/>
      <c r="E1200" s="416"/>
      <c r="F1200" s="413"/>
      <c r="G1200" s="413"/>
      <c r="H1200" s="415"/>
      <c r="I1200" s="415"/>
      <c r="J1200" s="415"/>
      <c r="K1200" s="415"/>
      <c r="L1200" s="417"/>
      <c r="M1200" s="420"/>
      <c r="N1200" s="420"/>
      <c r="O1200" s="420"/>
      <c r="P1200" s="420"/>
      <c r="Q1200" s="420"/>
      <c r="R1200" s="420"/>
      <c r="S1200" s="420"/>
      <c r="T1200" s="420"/>
      <c r="U1200" s="420"/>
      <c r="V1200" s="420"/>
      <c r="W1200" s="420"/>
      <c r="X1200" s="420"/>
      <c r="Y1200" s="420"/>
      <c r="Z1200" s="420"/>
      <c r="AA1200" s="420"/>
      <c r="AB1200" s="420"/>
      <c r="AC1200" s="420"/>
      <c r="AD1200" s="420"/>
      <c r="AE1200" s="420"/>
      <c r="AF1200" s="420"/>
      <c r="AG1200" s="420"/>
      <c r="AH1200" s="420"/>
      <c r="AI1200" s="420"/>
      <c r="AJ1200" s="420"/>
      <c r="AK1200" s="420"/>
      <c r="AL1200" s="420"/>
      <c r="AM1200" s="420"/>
      <c r="AN1200" s="420"/>
      <c r="AO1200" s="420"/>
      <c r="AP1200" s="420"/>
      <c r="AQ1200" s="420"/>
      <c r="AR1200" s="403"/>
      <c r="AS1200" s="403"/>
      <c r="AT1200" s="403"/>
      <c r="AU1200" s="403"/>
      <c r="AV1200" s="403"/>
      <c r="AW1200" s="403"/>
      <c r="AX1200" s="403"/>
      <c r="AY1200" s="403"/>
    </row>
    <row r="1201">
      <c r="A1201" s="415"/>
      <c r="B1201" s="415"/>
      <c r="C1201" s="410"/>
      <c r="D1201" s="429"/>
      <c r="E1201" s="416"/>
      <c r="F1201" s="413"/>
      <c r="G1201" s="413"/>
      <c r="H1201" s="415"/>
      <c r="I1201" s="415"/>
      <c r="J1201" s="415"/>
      <c r="K1201" s="415"/>
      <c r="L1201" s="417"/>
      <c r="M1201" s="420"/>
      <c r="N1201" s="420"/>
      <c r="O1201" s="420"/>
      <c r="P1201" s="420"/>
      <c r="Q1201" s="420"/>
      <c r="R1201" s="420"/>
      <c r="S1201" s="420"/>
      <c r="T1201" s="420"/>
      <c r="U1201" s="420"/>
      <c r="V1201" s="420"/>
      <c r="W1201" s="420"/>
      <c r="X1201" s="420"/>
      <c r="Y1201" s="420"/>
      <c r="Z1201" s="420"/>
      <c r="AA1201" s="420"/>
      <c r="AB1201" s="420"/>
      <c r="AC1201" s="420"/>
      <c r="AD1201" s="420"/>
      <c r="AE1201" s="420"/>
      <c r="AF1201" s="420"/>
      <c r="AG1201" s="420"/>
      <c r="AH1201" s="420"/>
      <c r="AI1201" s="420"/>
      <c r="AJ1201" s="420"/>
      <c r="AK1201" s="420"/>
      <c r="AL1201" s="420"/>
      <c r="AM1201" s="420"/>
      <c r="AN1201" s="420"/>
      <c r="AO1201" s="420"/>
      <c r="AP1201" s="420"/>
      <c r="AQ1201" s="420"/>
      <c r="AR1201" s="403"/>
      <c r="AS1201" s="403"/>
      <c r="AT1201" s="403"/>
      <c r="AU1201" s="403"/>
      <c r="AV1201" s="403"/>
      <c r="AW1201" s="403"/>
      <c r="AX1201" s="403"/>
      <c r="AY1201" s="403"/>
    </row>
    <row r="1202">
      <c r="A1202" s="415"/>
      <c r="B1202" s="415"/>
      <c r="C1202" s="410"/>
      <c r="D1202" s="429"/>
      <c r="E1202" s="416"/>
      <c r="F1202" s="413"/>
      <c r="G1202" s="413"/>
      <c r="H1202" s="415"/>
      <c r="I1202" s="415"/>
      <c r="J1202" s="415"/>
      <c r="K1202" s="415"/>
      <c r="L1202" s="417"/>
      <c r="M1202" s="420"/>
      <c r="N1202" s="420"/>
      <c r="O1202" s="420"/>
      <c r="P1202" s="420"/>
      <c r="Q1202" s="420"/>
      <c r="R1202" s="420"/>
      <c r="S1202" s="420"/>
      <c r="T1202" s="420"/>
      <c r="U1202" s="420"/>
      <c r="V1202" s="420"/>
      <c r="W1202" s="420"/>
      <c r="X1202" s="420"/>
      <c r="Y1202" s="420"/>
      <c r="Z1202" s="420"/>
      <c r="AA1202" s="420"/>
      <c r="AB1202" s="420"/>
      <c r="AC1202" s="420"/>
      <c r="AD1202" s="420"/>
      <c r="AE1202" s="420"/>
      <c r="AF1202" s="420"/>
      <c r="AG1202" s="420"/>
      <c r="AH1202" s="420"/>
      <c r="AI1202" s="420"/>
      <c r="AJ1202" s="420"/>
      <c r="AK1202" s="420"/>
      <c r="AL1202" s="420"/>
      <c r="AM1202" s="420"/>
      <c r="AN1202" s="420"/>
      <c r="AO1202" s="420"/>
      <c r="AP1202" s="420"/>
      <c r="AQ1202" s="420"/>
      <c r="AR1202" s="403"/>
      <c r="AS1202" s="403"/>
      <c r="AT1202" s="403"/>
      <c r="AU1202" s="403"/>
      <c r="AV1202" s="403"/>
      <c r="AW1202" s="403"/>
      <c r="AX1202" s="403"/>
      <c r="AY1202" s="403"/>
    </row>
    <row r="1203">
      <c r="A1203" s="415"/>
      <c r="B1203" s="415"/>
      <c r="C1203" s="410"/>
      <c r="D1203" s="429"/>
      <c r="E1203" s="416"/>
      <c r="F1203" s="413"/>
      <c r="G1203" s="413"/>
      <c r="H1203" s="415"/>
      <c r="I1203" s="415"/>
      <c r="J1203" s="415"/>
      <c r="K1203" s="415"/>
      <c r="L1203" s="417"/>
      <c r="M1203" s="420"/>
      <c r="N1203" s="420"/>
      <c r="O1203" s="420"/>
      <c r="P1203" s="420"/>
      <c r="Q1203" s="420"/>
      <c r="R1203" s="420"/>
      <c r="S1203" s="420"/>
      <c r="T1203" s="420"/>
      <c r="U1203" s="420"/>
      <c r="V1203" s="420"/>
      <c r="W1203" s="420"/>
      <c r="X1203" s="420"/>
      <c r="Y1203" s="420"/>
      <c r="Z1203" s="420"/>
      <c r="AA1203" s="420"/>
      <c r="AB1203" s="420"/>
      <c r="AC1203" s="420"/>
      <c r="AD1203" s="420"/>
      <c r="AE1203" s="420"/>
      <c r="AF1203" s="420"/>
      <c r="AG1203" s="420"/>
      <c r="AH1203" s="420"/>
      <c r="AI1203" s="420"/>
      <c r="AJ1203" s="420"/>
      <c r="AK1203" s="420"/>
      <c r="AL1203" s="420"/>
      <c r="AM1203" s="420"/>
      <c r="AN1203" s="420"/>
      <c r="AO1203" s="420"/>
      <c r="AP1203" s="420"/>
      <c r="AQ1203" s="420"/>
      <c r="AR1203" s="403"/>
      <c r="AS1203" s="403"/>
      <c r="AT1203" s="403"/>
      <c r="AU1203" s="403"/>
      <c r="AV1203" s="403"/>
      <c r="AW1203" s="403"/>
      <c r="AX1203" s="403"/>
      <c r="AY1203" s="403"/>
    </row>
    <row r="1204">
      <c r="A1204" s="415"/>
      <c r="B1204" s="415"/>
      <c r="C1204" s="410"/>
      <c r="D1204" s="429"/>
      <c r="E1204" s="416"/>
      <c r="F1204" s="413"/>
      <c r="G1204" s="413"/>
      <c r="H1204" s="415"/>
      <c r="I1204" s="415"/>
      <c r="J1204" s="415"/>
      <c r="K1204" s="415"/>
      <c r="L1204" s="417"/>
      <c r="M1204" s="420"/>
      <c r="N1204" s="420"/>
      <c r="O1204" s="420"/>
      <c r="P1204" s="420"/>
      <c r="Q1204" s="420"/>
      <c r="R1204" s="420"/>
      <c r="S1204" s="420"/>
      <c r="T1204" s="420"/>
      <c r="U1204" s="420"/>
      <c r="V1204" s="420"/>
      <c r="W1204" s="420"/>
      <c r="X1204" s="420"/>
      <c r="Y1204" s="420"/>
      <c r="Z1204" s="420"/>
      <c r="AA1204" s="420"/>
      <c r="AB1204" s="420"/>
      <c r="AC1204" s="420"/>
      <c r="AD1204" s="420"/>
      <c r="AE1204" s="420"/>
      <c r="AF1204" s="420"/>
      <c r="AG1204" s="420"/>
      <c r="AH1204" s="420"/>
      <c r="AI1204" s="420"/>
      <c r="AJ1204" s="420"/>
      <c r="AK1204" s="420"/>
      <c r="AL1204" s="420"/>
      <c r="AM1204" s="420"/>
      <c r="AN1204" s="420"/>
      <c r="AO1204" s="420"/>
      <c r="AP1204" s="420"/>
      <c r="AQ1204" s="420"/>
      <c r="AR1204" s="403"/>
      <c r="AS1204" s="403"/>
      <c r="AT1204" s="403"/>
      <c r="AU1204" s="403"/>
      <c r="AV1204" s="403"/>
      <c r="AW1204" s="403"/>
      <c r="AX1204" s="403"/>
      <c r="AY1204" s="403"/>
    </row>
    <row r="1205">
      <c r="A1205" s="415"/>
      <c r="B1205" s="415"/>
      <c r="C1205" s="410"/>
      <c r="D1205" s="429"/>
      <c r="E1205" s="416"/>
      <c r="F1205" s="413"/>
      <c r="G1205" s="413"/>
      <c r="H1205" s="415"/>
      <c r="I1205" s="415"/>
      <c r="J1205" s="415"/>
      <c r="K1205" s="415"/>
      <c r="L1205" s="417"/>
      <c r="M1205" s="420"/>
      <c r="N1205" s="420"/>
      <c r="O1205" s="420"/>
      <c r="P1205" s="420"/>
      <c r="Q1205" s="420"/>
      <c r="R1205" s="420"/>
      <c r="S1205" s="420"/>
      <c r="T1205" s="420"/>
      <c r="U1205" s="420"/>
      <c r="V1205" s="420"/>
      <c r="W1205" s="420"/>
      <c r="X1205" s="420"/>
      <c r="Y1205" s="420"/>
      <c r="Z1205" s="420"/>
      <c r="AA1205" s="420"/>
      <c r="AB1205" s="420"/>
      <c r="AC1205" s="420"/>
      <c r="AD1205" s="420"/>
      <c r="AE1205" s="420"/>
      <c r="AF1205" s="420"/>
      <c r="AG1205" s="420"/>
      <c r="AH1205" s="420"/>
      <c r="AI1205" s="420"/>
      <c r="AJ1205" s="420"/>
      <c r="AK1205" s="420"/>
      <c r="AL1205" s="420"/>
      <c r="AM1205" s="420"/>
      <c r="AN1205" s="420"/>
      <c r="AO1205" s="420"/>
      <c r="AP1205" s="420"/>
      <c r="AQ1205" s="420"/>
      <c r="AR1205" s="403"/>
      <c r="AS1205" s="403"/>
      <c r="AT1205" s="403"/>
      <c r="AU1205" s="403"/>
      <c r="AV1205" s="403"/>
      <c r="AW1205" s="403"/>
      <c r="AX1205" s="403"/>
      <c r="AY1205" s="403"/>
    </row>
    <row r="1206">
      <c r="A1206" s="415"/>
      <c r="B1206" s="415"/>
      <c r="C1206" s="410"/>
      <c r="D1206" s="429"/>
      <c r="E1206" s="416"/>
      <c r="F1206" s="413"/>
      <c r="G1206" s="413"/>
      <c r="H1206" s="415"/>
      <c r="I1206" s="415"/>
      <c r="J1206" s="415"/>
      <c r="K1206" s="415"/>
      <c r="L1206" s="417"/>
      <c r="M1206" s="420"/>
      <c r="N1206" s="420"/>
      <c r="O1206" s="420"/>
      <c r="P1206" s="420"/>
      <c r="Q1206" s="420"/>
      <c r="R1206" s="420"/>
      <c r="S1206" s="420"/>
      <c r="T1206" s="420"/>
      <c r="U1206" s="420"/>
      <c r="V1206" s="420"/>
      <c r="W1206" s="420"/>
      <c r="X1206" s="420"/>
      <c r="Y1206" s="420"/>
      <c r="Z1206" s="420"/>
      <c r="AA1206" s="420"/>
      <c r="AB1206" s="420"/>
      <c r="AC1206" s="420"/>
      <c r="AD1206" s="420"/>
      <c r="AE1206" s="420"/>
      <c r="AF1206" s="420"/>
      <c r="AG1206" s="420"/>
      <c r="AH1206" s="420"/>
      <c r="AI1206" s="420"/>
      <c r="AJ1206" s="420"/>
      <c r="AK1206" s="420"/>
      <c r="AL1206" s="420"/>
      <c r="AM1206" s="420"/>
      <c r="AN1206" s="420"/>
      <c r="AO1206" s="420"/>
      <c r="AP1206" s="420"/>
      <c r="AQ1206" s="420"/>
      <c r="AR1206" s="403"/>
      <c r="AS1206" s="403"/>
      <c r="AT1206" s="403"/>
      <c r="AU1206" s="403"/>
      <c r="AV1206" s="403"/>
      <c r="AW1206" s="403"/>
      <c r="AX1206" s="403"/>
      <c r="AY1206" s="403"/>
    </row>
    <row r="1207">
      <c r="A1207" s="415"/>
      <c r="B1207" s="415"/>
      <c r="C1207" s="410"/>
      <c r="D1207" s="429"/>
      <c r="E1207" s="416"/>
      <c r="F1207" s="413"/>
      <c r="G1207" s="413"/>
      <c r="H1207" s="415"/>
      <c r="I1207" s="415"/>
      <c r="J1207" s="415"/>
      <c r="K1207" s="415"/>
      <c r="L1207" s="417"/>
      <c r="M1207" s="420"/>
      <c r="N1207" s="420"/>
      <c r="O1207" s="420"/>
      <c r="P1207" s="420"/>
      <c r="Q1207" s="420"/>
      <c r="R1207" s="420"/>
      <c r="S1207" s="420"/>
      <c r="T1207" s="420"/>
      <c r="U1207" s="420"/>
      <c r="V1207" s="420"/>
      <c r="W1207" s="420"/>
      <c r="X1207" s="420"/>
      <c r="Y1207" s="420"/>
      <c r="Z1207" s="420"/>
      <c r="AA1207" s="420"/>
      <c r="AB1207" s="420"/>
      <c r="AC1207" s="420"/>
      <c r="AD1207" s="420"/>
      <c r="AE1207" s="420"/>
      <c r="AF1207" s="420"/>
      <c r="AG1207" s="420"/>
      <c r="AH1207" s="420"/>
      <c r="AI1207" s="420"/>
      <c r="AJ1207" s="420"/>
      <c r="AK1207" s="420"/>
      <c r="AL1207" s="420"/>
      <c r="AM1207" s="420"/>
      <c r="AN1207" s="420"/>
      <c r="AO1207" s="420"/>
      <c r="AP1207" s="420"/>
      <c r="AQ1207" s="420"/>
      <c r="AR1207" s="403"/>
      <c r="AS1207" s="403"/>
      <c r="AT1207" s="403"/>
      <c r="AU1207" s="403"/>
      <c r="AV1207" s="403"/>
      <c r="AW1207" s="403"/>
      <c r="AX1207" s="403"/>
      <c r="AY1207" s="403"/>
    </row>
    <row r="1208">
      <c r="A1208" s="415"/>
      <c r="B1208" s="415"/>
      <c r="C1208" s="410"/>
      <c r="D1208" s="429"/>
      <c r="E1208" s="416"/>
      <c r="F1208" s="413"/>
      <c r="G1208" s="413"/>
      <c r="H1208" s="415"/>
      <c r="I1208" s="415"/>
      <c r="J1208" s="415"/>
      <c r="K1208" s="415"/>
      <c r="L1208" s="417"/>
      <c r="M1208" s="420"/>
      <c r="N1208" s="420"/>
      <c r="O1208" s="420"/>
      <c r="P1208" s="420"/>
      <c r="Q1208" s="420"/>
      <c r="R1208" s="420"/>
      <c r="S1208" s="420"/>
      <c r="T1208" s="420"/>
      <c r="U1208" s="420"/>
      <c r="V1208" s="420"/>
      <c r="W1208" s="420"/>
      <c r="X1208" s="420"/>
      <c r="Y1208" s="420"/>
      <c r="Z1208" s="420"/>
      <c r="AA1208" s="420"/>
      <c r="AB1208" s="420"/>
      <c r="AC1208" s="420"/>
      <c r="AD1208" s="420"/>
      <c r="AE1208" s="420"/>
      <c r="AF1208" s="420"/>
      <c r="AG1208" s="420"/>
      <c r="AH1208" s="420"/>
      <c r="AI1208" s="420"/>
      <c r="AJ1208" s="420"/>
      <c r="AK1208" s="420"/>
      <c r="AL1208" s="420"/>
      <c r="AM1208" s="420"/>
      <c r="AN1208" s="420"/>
      <c r="AO1208" s="420"/>
      <c r="AP1208" s="420"/>
      <c r="AQ1208" s="420"/>
      <c r="AR1208" s="403"/>
      <c r="AS1208" s="403"/>
      <c r="AT1208" s="403"/>
      <c r="AU1208" s="403"/>
      <c r="AV1208" s="403"/>
      <c r="AW1208" s="403"/>
      <c r="AX1208" s="403"/>
      <c r="AY1208" s="403"/>
    </row>
    <row r="1209">
      <c r="A1209" s="415"/>
      <c r="B1209" s="415"/>
      <c r="C1209" s="410"/>
      <c r="D1209" s="429"/>
      <c r="E1209" s="416"/>
      <c r="F1209" s="413"/>
      <c r="G1209" s="413"/>
      <c r="H1209" s="415"/>
      <c r="I1209" s="415"/>
      <c r="J1209" s="415"/>
      <c r="K1209" s="415"/>
      <c r="L1209" s="417"/>
      <c r="M1209" s="420"/>
      <c r="N1209" s="420"/>
      <c r="O1209" s="420"/>
      <c r="P1209" s="420"/>
      <c r="Q1209" s="420"/>
      <c r="R1209" s="420"/>
      <c r="S1209" s="420"/>
      <c r="T1209" s="420"/>
      <c r="U1209" s="420"/>
      <c r="V1209" s="420"/>
      <c r="W1209" s="420"/>
      <c r="X1209" s="420"/>
      <c r="Y1209" s="420"/>
      <c r="Z1209" s="420"/>
      <c r="AA1209" s="420"/>
      <c r="AB1209" s="420"/>
      <c r="AC1209" s="420"/>
      <c r="AD1209" s="420"/>
      <c r="AE1209" s="420"/>
      <c r="AF1209" s="420"/>
      <c r="AG1209" s="420"/>
      <c r="AH1209" s="420"/>
      <c r="AI1209" s="420"/>
      <c r="AJ1209" s="420"/>
      <c r="AK1209" s="420"/>
      <c r="AL1209" s="420"/>
      <c r="AM1209" s="420"/>
      <c r="AN1209" s="420"/>
      <c r="AO1209" s="420"/>
      <c r="AP1209" s="420"/>
      <c r="AQ1209" s="420"/>
      <c r="AR1209" s="403"/>
      <c r="AS1209" s="403"/>
      <c r="AT1209" s="403"/>
      <c r="AU1209" s="403"/>
      <c r="AV1209" s="403"/>
      <c r="AW1209" s="403"/>
      <c r="AX1209" s="403"/>
      <c r="AY1209" s="403"/>
    </row>
    <row r="1210">
      <c r="A1210" s="415"/>
      <c r="B1210" s="415"/>
      <c r="C1210" s="410"/>
      <c r="D1210" s="429"/>
      <c r="E1210" s="416"/>
      <c r="F1210" s="413"/>
      <c r="G1210" s="413"/>
      <c r="H1210" s="415"/>
      <c r="I1210" s="415"/>
      <c r="J1210" s="415"/>
      <c r="K1210" s="415"/>
      <c r="L1210" s="417"/>
      <c r="M1210" s="420"/>
      <c r="N1210" s="420"/>
      <c r="O1210" s="420"/>
      <c r="P1210" s="420"/>
      <c r="Q1210" s="420"/>
      <c r="R1210" s="420"/>
      <c r="S1210" s="420"/>
      <c r="T1210" s="420"/>
      <c r="U1210" s="420"/>
      <c r="V1210" s="420"/>
      <c r="W1210" s="420"/>
      <c r="X1210" s="420"/>
      <c r="Y1210" s="420"/>
      <c r="Z1210" s="420"/>
      <c r="AA1210" s="420"/>
      <c r="AB1210" s="420"/>
      <c r="AC1210" s="420"/>
      <c r="AD1210" s="420"/>
      <c r="AE1210" s="420"/>
      <c r="AF1210" s="420"/>
      <c r="AG1210" s="420"/>
      <c r="AH1210" s="420"/>
      <c r="AI1210" s="420"/>
      <c r="AJ1210" s="420"/>
      <c r="AK1210" s="420"/>
      <c r="AL1210" s="420"/>
      <c r="AM1210" s="420"/>
      <c r="AN1210" s="420"/>
      <c r="AO1210" s="420"/>
      <c r="AP1210" s="420"/>
      <c r="AQ1210" s="420"/>
      <c r="AR1210" s="403"/>
      <c r="AS1210" s="403"/>
      <c r="AT1210" s="403"/>
      <c r="AU1210" s="403"/>
      <c r="AV1210" s="403"/>
      <c r="AW1210" s="403"/>
      <c r="AX1210" s="403"/>
      <c r="AY1210" s="403"/>
    </row>
    <row r="1211">
      <c r="A1211" s="415"/>
      <c r="B1211" s="415"/>
      <c r="C1211" s="410"/>
      <c r="D1211" s="429"/>
      <c r="E1211" s="416"/>
      <c r="F1211" s="413"/>
      <c r="G1211" s="413"/>
      <c r="H1211" s="415"/>
      <c r="I1211" s="415"/>
      <c r="J1211" s="415"/>
      <c r="K1211" s="415"/>
      <c r="L1211" s="417"/>
      <c r="M1211" s="420"/>
      <c r="N1211" s="420"/>
      <c r="O1211" s="420"/>
      <c r="P1211" s="420"/>
      <c r="Q1211" s="420"/>
      <c r="R1211" s="420"/>
      <c r="S1211" s="420"/>
      <c r="T1211" s="420"/>
      <c r="U1211" s="420"/>
      <c r="V1211" s="420"/>
      <c r="W1211" s="420"/>
      <c r="X1211" s="420"/>
      <c r="Y1211" s="420"/>
      <c r="Z1211" s="420"/>
      <c r="AA1211" s="420"/>
      <c r="AB1211" s="420"/>
      <c r="AC1211" s="420"/>
      <c r="AD1211" s="420"/>
      <c r="AE1211" s="420"/>
      <c r="AF1211" s="420"/>
      <c r="AG1211" s="420"/>
      <c r="AH1211" s="420"/>
      <c r="AI1211" s="420"/>
      <c r="AJ1211" s="420"/>
      <c r="AK1211" s="420"/>
      <c r="AL1211" s="420"/>
      <c r="AM1211" s="420"/>
      <c r="AN1211" s="420"/>
      <c r="AO1211" s="420"/>
      <c r="AP1211" s="420"/>
      <c r="AQ1211" s="420"/>
      <c r="AR1211" s="403"/>
      <c r="AS1211" s="403"/>
      <c r="AT1211" s="403"/>
      <c r="AU1211" s="403"/>
      <c r="AV1211" s="403"/>
      <c r="AW1211" s="403"/>
      <c r="AX1211" s="403"/>
      <c r="AY1211" s="403"/>
    </row>
    <row r="1212">
      <c r="A1212" s="415"/>
      <c r="B1212" s="415"/>
      <c r="C1212" s="410"/>
      <c r="D1212" s="429"/>
      <c r="E1212" s="416"/>
      <c r="F1212" s="413"/>
      <c r="G1212" s="413"/>
      <c r="H1212" s="415"/>
      <c r="I1212" s="415"/>
      <c r="J1212" s="415"/>
      <c r="K1212" s="415"/>
      <c r="L1212" s="417"/>
      <c r="M1212" s="420"/>
      <c r="N1212" s="420"/>
      <c r="O1212" s="420"/>
      <c r="P1212" s="420"/>
      <c r="Q1212" s="420"/>
      <c r="R1212" s="420"/>
      <c r="S1212" s="420"/>
      <c r="T1212" s="420"/>
      <c r="U1212" s="420"/>
      <c r="V1212" s="420"/>
      <c r="W1212" s="420"/>
      <c r="X1212" s="420"/>
      <c r="Y1212" s="420"/>
      <c r="Z1212" s="420"/>
      <c r="AA1212" s="420"/>
      <c r="AB1212" s="420"/>
      <c r="AC1212" s="420"/>
      <c r="AD1212" s="420"/>
      <c r="AE1212" s="420"/>
      <c r="AF1212" s="420"/>
      <c r="AG1212" s="420"/>
      <c r="AH1212" s="420"/>
      <c r="AI1212" s="420"/>
      <c r="AJ1212" s="420"/>
      <c r="AK1212" s="420"/>
      <c r="AL1212" s="420"/>
      <c r="AM1212" s="420"/>
      <c r="AN1212" s="420"/>
      <c r="AO1212" s="420"/>
      <c r="AP1212" s="420"/>
      <c r="AQ1212" s="420"/>
      <c r="AR1212" s="403"/>
      <c r="AS1212" s="403"/>
      <c r="AT1212" s="403"/>
      <c r="AU1212" s="403"/>
      <c r="AV1212" s="403"/>
      <c r="AW1212" s="403"/>
      <c r="AX1212" s="403"/>
      <c r="AY1212" s="403"/>
    </row>
    <row r="1213">
      <c r="A1213" s="415"/>
      <c r="B1213" s="415"/>
      <c r="C1213" s="410"/>
      <c r="D1213" s="429"/>
      <c r="E1213" s="416"/>
      <c r="F1213" s="413"/>
      <c r="G1213" s="413"/>
      <c r="H1213" s="415"/>
      <c r="I1213" s="415"/>
      <c r="J1213" s="415"/>
      <c r="K1213" s="415"/>
      <c r="L1213" s="417"/>
      <c r="M1213" s="420"/>
      <c r="N1213" s="420"/>
      <c r="O1213" s="420"/>
      <c r="P1213" s="420"/>
      <c r="Q1213" s="420"/>
      <c r="R1213" s="420"/>
      <c r="S1213" s="420"/>
      <c r="T1213" s="420"/>
      <c r="U1213" s="420"/>
      <c r="V1213" s="420"/>
      <c r="W1213" s="420"/>
      <c r="X1213" s="420"/>
      <c r="Y1213" s="420"/>
      <c r="Z1213" s="420"/>
      <c r="AA1213" s="420"/>
      <c r="AB1213" s="420"/>
      <c r="AC1213" s="420"/>
      <c r="AD1213" s="420"/>
      <c r="AE1213" s="420"/>
      <c r="AF1213" s="420"/>
      <c r="AG1213" s="420"/>
      <c r="AH1213" s="420"/>
      <c r="AI1213" s="420"/>
      <c r="AJ1213" s="420"/>
      <c r="AK1213" s="420"/>
      <c r="AL1213" s="420"/>
      <c r="AM1213" s="420"/>
      <c r="AN1213" s="420"/>
      <c r="AO1213" s="420"/>
      <c r="AP1213" s="420"/>
      <c r="AQ1213" s="420"/>
      <c r="AR1213" s="403"/>
      <c r="AS1213" s="403"/>
      <c r="AT1213" s="403"/>
      <c r="AU1213" s="403"/>
      <c r="AV1213" s="403"/>
      <c r="AW1213" s="403"/>
      <c r="AX1213" s="403"/>
      <c r="AY1213" s="403"/>
    </row>
    <row r="1214">
      <c r="A1214" s="415"/>
      <c r="B1214" s="415"/>
      <c r="C1214" s="410"/>
      <c r="D1214" s="429"/>
      <c r="E1214" s="416"/>
      <c r="F1214" s="413"/>
      <c r="G1214" s="413"/>
      <c r="H1214" s="415"/>
      <c r="I1214" s="415"/>
      <c r="J1214" s="415"/>
      <c r="K1214" s="415"/>
      <c r="L1214" s="417"/>
      <c r="M1214" s="420"/>
      <c r="N1214" s="420"/>
      <c r="O1214" s="420"/>
      <c r="P1214" s="420"/>
      <c r="Q1214" s="420"/>
      <c r="R1214" s="420"/>
      <c r="S1214" s="420"/>
      <c r="T1214" s="420"/>
      <c r="U1214" s="420"/>
      <c r="V1214" s="420"/>
      <c r="W1214" s="420"/>
      <c r="X1214" s="420"/>
      <c r="Y1214" s="420"/>
      <c r="Z1214" s="420"/>
      <c r="AA1214" s="420"/>
      <c r="AB1214" s="420"/>
      <c r="AC1214" s="420"/>
      <c r="AD1214" s="420"/>
      <c r="AE1214" s="420"/>
      <c r="AF1214" s="420"/>
      <c r="AG1214" s="420"/>
      <c r="AH1214" s="420"/>
      <c r="AI1214" s="420"/>
      <c r="AJ1214" s="420"/>
      <c r="AK1214" s="420"/>
      <c r="AL1214" s="420"/>
      <c r="AM1214" s="420"/>
      <c r="AN1214" s="420"/>
      <c r="AO1214" s="420"/>
      <c r="AP1214" s="420"/>
      <c r="AQ1214" s="420"/>
      <c r="AR1214" s="403"/>
      <c r="AS1214" s="403"/>
      <c r="AT1214" s="403"/>
      <c r="AU1214" s="403"/>
      <c r="AV1214" s="403"/>
      <c r="AW1214" s="403"/>
      <c r="AX1214" s="403"/>
      <c r="AY1214" s="403"/>
    </row>
    <row r="1215">
      <c r="A1215" s="415"/>
      <c r="B1215" s="415"/>
      <c r="C1215" s="410"/>
      <c r="D1215" s="429"/>
      <c r="E1215" s="416"/>
      <c r="F1215" s="413"/>
      <c r="G1215" s="413"/>
      <c r="H1215" s="415"/>
      <c r="I1215" s="415"/>
      <c r="J1215" s="415"/>
      <c r="K1215" s="415"/>
      <c r="L1215" s="417"/>
      <c r="M1215" s="420"/>
      <c r="N1215" s="420"/>
      <c r="O1215" s="420"/>
      <c r="P1215" s="420"/>
      <c r="Q1215" s="420"/>
      <c r="R1215" s="420"/>
      <c r="S1215" s="420"/>
      <c r="T1215" s="420"/>
      <c r="U1215" s="420"/>
      <c r="V1215" s="420"/>
      <c r="W1215" s="420"/>
      <c r="X1215" s="420"/>
      <c r="Y1215" s="420"/>
      <c r="Z1215" s="420"/>
      <c r="AA1215" s="420"/>
      <c r="AB1215" s="420"/>
      <c r="AC1215" s="420"/>
      <c r="AD1215" s="420"/>
      <c r="AE1215" s="420"/>
      <c r="AF1215" s="420"/>
      <c r="AG1215" s="420"/>
      <c r="AH1215" s="420"/>
      <c r="AI1215" s="420"/>
      <c r="AJ1215" s="420"/>
      <c r="AK1215" s="420"/>
      <c r="AL1215" s="420"/>
      <c r="AM1215" s="420"/>
      <c r="AN1215" s="420"/>
      <c r="AO1215" s="420"/>
      <c r="AP1215" s="420"/>
      <c r="AQ1215" s="420"/>
      <c r="AR1215" s="403"/>
      <c r="AS1215" s="403"/>
      <c r="AT1215" s="403"/>
      <c r="AU1215" s="403"/>
      <c r="AV1215" s="403"/>
      <c r="AW1215" s="403"/>
      <c r="AX1215" s="403"/>
      <c r="AY1215" s="403"/>
    </row>
    <row r="1216">
      <c r="A1216" s="415"/>
      <c r="B1216" s="415"/>
      <c r="C1216" s="410"/>
      <c r="D1216" s="429"/>
      <c r="E1216" s="416"/>
      <c r="F1216" s="413"/>
      <c r="G1216" s="413"/>
      <c r="H1216" s="415"/>
      <c r="I1216" s="415"/>
      <c r="J1216" s="415"/>
      <c r="K1216" s="415"/>
      <c r="L1216" s="417"/>
      <c r="M1216" s="420"/>
      <c r="N1216" s="420"/>
      <c r="O1216" s="420"/>
      <c r="P1216" s="420"/>
      <c r="Q1216" s="420"/>
      <c r="R1216" s="420"/>
      <c r="S1216" s="420"/>
      <c r="T1216" s="420"/>
      <c r="U1216" s="420"/>
      <c r="V1216" s="420"/>
      <c r="W1216" s="420"/>
      <c r="X1216" s="420"/>
      <c r="Y1216" s="420"/>
      <c r="Z1216" s="420"/>
      <c r="AA1216" s="420"/>
      <c r="AB1216" s="420"/>
      <c r="AC1216" s="420"/>
      <c r="AD1216" s="420"/>
      <c r="AE1216" s="420"/>
      <c r="AF1216" s="420"/>
      <c r="AG1216" s="420"/>
      <c r="AH1216" s="420"/>
      <c r="AI1216" s="420"/>
      <c r="AJ1216" s="420"/>
      <c r="AK1216" s="420"/>
      <c r="AL1216" s="420"/>
      <c r="AM1216" s="420"/>
      <c r="AN1216" s="420"/>
      <c r="AO1216" s="420"/>
      <c r="AP1216" s="420"/>
      <c r="AQ1216" s="420"/>
      <c r="AR1216" s="403"/>
      <c r="AS1216" s="403"/>
      <c r="AT1216" s="403"/>
      <c r="AU1216" s="403"/>
      <c r="AV1216" s="403"/>
      <c r="AW1216" s="403"/>
      <c r="AX1216" s="403"/>
      <c r="AY1216" s="403"/>
    </row>
    <row r="1217">
      <c r="A1217" s="415"/>
      <c r="B1217" s="415"/>
      <c r="C1217" s="410"/>
      <c r="D1217" s="429"/>
      <c r="E1217" s="416"/>
      <c r="F1217" s="413"/>
      <c r="G1217" s="413"/>
      <c r="H1217" s="415"/>
      <c r="I1217" s="415"/>
      <c r="J1217" s="415"/>
      <c r="K1217" s="415"/>
      <c r="L1217" s="417"/>
      <c r="M1217" s="420"/>
      <c r="N1217" s="420"/>
      <c r="O1217" s="420"/>
      <c r="P1217" s="420"/>
      <c r="Q1217" s="420"/>
      <c r="R1217" s="420"/>
      <c r="S1217" s="420"/>
      <c r="T1217" s="420"/>
      <c r="U1217" s="420"/>
      <c r="V1217" s="420"/>
      <c r="W1217" s="420"/>
      <c r="X1217" s="420"/>
      <c r="Y1217" s="420"/>
      <c r="Z1217" s="420"/>
      <c r="AA1217" s="420"/>
      <c r="AB1217" s="420"/>
      <c r="AC1217" s="420"/>
      <c r="AD1217" s="420"/>
      <c r="AE1217" s="420"/>
      <c r="AF1217" s="420"/>
      <c r="AG1217" s="420"/>
      <c r="AH1217" s="420"/>
      <c r="AI1217" s="420"/>
      <c r="AJ1217" s="420"/>
      <c r="AK1217" s="420"/>
      <c r="AL1217" s="420"/>
      <c r="AM1217" s="420"/>
      <c r="AN1217" s="420"/>
      <c r="AO1217" s="420"/>
      <c r="AP1217" s="420"/>
      <c r="AQ1217" s="420"/>
      <c r="AR1217" s="403"/>
      <c r="AS1217" s="403"/>
      <c r="AT1217" s="403"/>
      <c r="AU1217" s="403"/>
      <c r="AV1217" s="403"/>
      <c r="AW1217" s="403"/>
      <c r="AX1217" s="403"/>
      <c r="AY1217" s="403"/>
    </row>
    <row r="1218">
      <c r="A1218" s="415"/>
      <c r="B1218" s="415"/>
      <c r="C1218" s="410"/>
      <c r="D1218" s="429"/>
      <c r="E1218" s="416"/>
      <c r="F1218" s="413"/>
      <c r="G1218" s="413"/>
      <c r="H1218" s="415"/>
      <c r="I1218" s="415"/>
      <c r="J1218" s="415"/>
      <c r="K1218" s="415"/>
      <c r="L1218" s="417"/>
      <c r="M1218" s="420"/>
      <c r="N1218" s="420"/>
      <c r="O1218" s="420"/>
      <c r="P1218" s="420"/>
      <c r="Q1218" s="420"/>
      <c r="R1218" s="420"/>
      <c r="S1218" s="420"/>
      <c r="T1218" s="420"/>
      <c r="U1218" s="420"/>
      <c r="V1218" s="420"/>
      <c r="W1218" s="420"/>
      <c r="X1218" s="420"/>
      <c r="Y1218" s="420"/>
      <c r="Z1218" s="420"/>
      <c r="AA1218" s="420"/>
      <c r="AB1218" s="420"/>
      <c r="AC1218" s="420"/>
      <c r="AD1218" s="420"/>
      <c r="AE1218" s="420"/>
      <c r="AF1218" s="420"/>
      <c r="AG1218" s="420"/>
      <c r="AH1218" s="420"/>
      <c r="AI1218" s="420"/>
      <c r="AJ1218" s="420"/>
      <c r="AK1218" s="420"/>
      <c r="AL1218" s="420"/>
      <c r="AM1218" s="420"/>
      <c r="AN1218" s="420"/>
      <c r="AO1218" s="420"/>
      <c r="AP1218" s="420"/>
      <c r="AQ1218" s="420"/>
      <c r="AR1218" s="403"/>
      <c r="AS1218" s="403"/>
      <c r="AT1218" s="403"/>
      <c r="AU1218" s="403"/>
      <c r="AV1218" s="403"/>
      <c r="AW1218" s="403"/>
      <c r="AX1218" s="403"/>
      <c r="AY1218" s="403"/>
    </row>
    <row r="1219">
      <c r="A1219" s="415"/>
      <c r="B1219" s="415"/>
      <c r="C1219" s="410"/>
      <c r="D1219" s="429"/>
      <c r="E1219" s="416"/>
      <c r="F1219" s="413"/>
      <c r="G1219" s="413"/>
      <c r="H1219" s="415"/>
      <c r="I1219" s="415"/>
      <c r="J1219" s="415"/>
      <c r="K1219" s="415"/>
      <c r="L1219" s="417"/>
      <c r="M1219" s="420"/>
      <c r="N1219" s="420"/>
      <c r="O1219" s="420"/>
      <c r="P1219" s="420"/>
      <c r="Q1219" s="420"/>
      <c r="R1219" s="420"/>
      <c r="S1219" s="420"/>
      <c r="T1219" s="420"/>
      <c r="U1219" s="420"/>
      <c r="V1219" s="420"/>
      <c r="W1219" s="420"/>
      <c r="X1219" s="420"/>
      <c r="Y1219" s="420"/>
      <c r="Z1219" s="420"/>
      <c r="AA1219" s="420"/>
      <c r="AB1219" s="420"/>
      <c r="AC1219" s="420"/>
      <c r="AD1219" s="420"/>
      <c r="AE1219" s="420"/>
      <c r="AF1219" s="420"/>
      <c r="AG1219" s="420"/>
      <c r="AH1219" s="420"/>
      <c r="AI1219" s="420"/>
      <c r="AJ1219" s="420"/>
      <c r="AK1219" s="420"/>
      <c r="AL1219" s="420"/>
      <c r="AM1219" s="420"/>
      <c r="AN1219" s="420"/>
      <c r="AO1219" s="420"/>
      <c r="AP1219" s="420"/>
      <c r="AQ1219" s="420"/>
      <c r="AR1219" s="403"/>
      <c r="AS1219" s="403"/>
      <c r="AT1219" s="403"/>
      <c r="AU1219" s="403"/>
      <c r="AV1219" s="403"/>
      <c r="AW1219" s="403"/>
      <c r="AX1219" s="403"/>
      <c r="AY1219" s="403"/>
    </row>
    <row r="1220">
      <c r="A1220" s="415"/>
      <c r="B1220" s="415"/>
      <c r="C1220" s="410"/>
      <c r="D1220" s="429"/>
      <c r="E1220" s="416"/>
      <c r="F1220" s="413"/>
      <c r="G1220" s="413"/>
      <c r="H1220" s="415"/>
      <c r="I1220" s="415"/>
      <c r="J1220" s="415"/>
      <c r="K1220" s="415"/>
      <c r="L1220" s="417"/>
      <c r="M1220" s="420"/>
      <c r="N1220" s="420"/>
      <c r="O1220" s="420"/>
      <c r="P1220" s="420"/>
      <c r="Q1220" s="420"/>
      <c r="R1220" s="420"/>
      <c r="S1220" s="420"/>
      <c r="T1220" s="420"/>
      <c r="U1220" s="420"/>
      <c r="V1220" s="420"/>
      <c r="W1220" s="420"/>
      <c r="X1220" s="420"/>
      <c r="Y1220" s="420"/>
      <c r="Z1220" s="420"/>
      <c r="AA1220" s="420"/>
      <c r="AB1220" s="420"/>
      <c r="AC1220" s="420"/>
      <c r="AD1220" s="420"/>
      <c r="AE1220" s="420"/>
      <c r="AF1220" s="420"/>
      <c r="AG1220" s="420"/>
      <c r="AH1220" s="420"/>
      <c r="AI1220" s="420"/>
      <c r="AJ1220" s="420"/>
      <c r="AK1220" s="420"/>
      <c r="AL1220" s="420"/>
      <c r="AM1220" s="420"/>
      <c r="AN1220" s="420"/>
      <c r="AO1220" s="420"/>
      <c r="AP1220" s="420"/>
      <c r="AQ1220" s="420"/>
      <c r="AR1220" s="403"/>
      <c r="AS1220" s="403"/>
      <c r="AT1220" s="403"/>
      <c r="AU1220" s="403"/>
      <c r="AV1220" s="403"/>
      <c r="AW1220" s="403"/>
      <c r="AX1220" s="403"/>
      <c r="AY1220" s="403"/>
    </row>
    <row r="1221">
      <c r="A1221" s="415"/>
      <c r="B1221" s="415"/>
      <c r="C1221" s="410"/>
      <c r="D1221" s="429"/>
      <c r="E1221" s="416"/>
      <c r="F1221" s="413"/>
      <c r="G1221" s="413"/>
      <c r="H1221" s="415"/>
      <c r="I1221" s="415"/>
      <c r="J1221" s="415"/>
      <c r="K1221" s="415"/>
      <c r="L1221" s="417"/>
      <c r="M1221" s="420"/>
      <c r="N1221" s="420"/>
      <c r="O1221" s="420"/>
      <c r="P1221" s="420"/>
      <c r="Q1221" s="420"/>
      <c r="R1221" s="420"/>
      <c r="S1221" s="420"/>
      <c r="T1221" s="420"/>
      <c r="U1221" s="420"/>
      <c r="V1221" s="420"/>
      <c r="W1221" s="420"/>
      <c r="X1221" s="420"/>
      <c r="Y1221" s="420"/>
      <c r="Z1221" s="420"/>
      <c r="AA1221" s="420"/>
      <c r="AB1221" s="420"/>
      <c r="AC1221" s="420"/>
      <c r="AD1221" s="420"/>
      <c r="AE1221" s="420"/>
      <c r="AF1221" s="420"/>
      <c r="AG1221" s="420"/>
      <c r="AH1221" s="420"/>
      <c r="AI1221" s="420"/>
      <c r="AJ1221" s="420"/>
      <c r="AK1221" s="420"/>
      <c r="AL1221" s="420"/>
      <c r="AM1221" s="420"/>
      <c r="AN1221" s="420"/>
      <c r="AO1221" s="420"/>
      <c r="AP1221" s="420"/>
      <c r="AQ1221" s="420"/>
      <c r="AR1221" s="403"/>
      <c r="AS1221" s="403"/>
      <c r="AT1221" s="403"/>
      <c r="AU1221" s="403"/>
      <c r="AV1221" s="403"/>
      <c r="AW1221" s="403"/>
      <c r="AX1221" s="403"/>
      <c r="AY1221" s="403"/>
    </row>
    <row r="1222">
      <c r="A1222" s="415"/>
      <c r="B1222" s="415"/>
      <c r="C1222" s="410"/>
      <c r="D1222" s="429"/>
      <c r="E1222" s="416"/>
      <c r="F1222" s="413"/>
      <c r="G1222" s="413"/>
      <c r="H1222" s="415"/>
      <c r="I1222" s="415"/>
      <c r="J1222" s="415"/>
      <c r="K1222" s="415"/>
      <c r="L1222" s="417"/>
      <c r="M1222" s="420"/>
      <c r="N1222" s="420"/>
      <c r="O1222" s="420"/>
      <c r="P1222" s="420"/>
      <c r="Q1222" s="420"/>
      <c r="R1222" s="420"/>
      <c r="S1222" s="420"/>
      <c r="T1222" s="420"/>
      <c r="U1222" s="420"/>
      <c r="V1222" s="420"/>
      <c r="W1222" s="420"/>
      <c r="X1222" s="420"/>
      <c r="Y1222" s="420"/>
      <c r="Z1222" s="420"/>
      <c r="AA1222" s="420"/>
      <c r="AB1222" s="420"/>
      <c r="AC1222" s="420"/>
      <c r="AD1222" s="420"/>
      <c r="AE1222" s="420"/>
      <c r="AF1222" s="420"/>
      <c r="AG1222" s="420"/>
      <c r="AH1222" s="420"/>
      <c r="AI1222" s="420"/>
      <c r="AJ1222" s="420"/>
      <c r="AK1222" s="420"/>
      <c r="AL1222" s="420"/>
      <c r="AM1222" s="420"/>
      <c r="AN1222" s="420"/>
      <c r="AO1222" s="420"/>
      <c r="AP1222" s="420"/>
      <c r="AQ1222" s="420"/>
      <c r="AR1222" s="403"/>
      <c r="AS1222" s="403"/>
      <c r="AT1222" s="403"/>
      <c r="AU1222" s="403"/>
      <c r="AV1222" s="403"/>
      <c r="AW1222" s="403"/>
      <c r="AX1222" s="403"/>
      <c r="AY1222" s="403"/>
    </row>
    <row r="1223">
      <c r="A1223" s="415"/>
      <c r="B1223" s="415"/>
      <c r="C1223" s="410"/>
      <c r="D1223" s="429"/>
      <c r="E1223" s="416"/>
      <c r="F1223" s="413"/>
      <c r="G1223" s="413"/>
      <c r="H1223" s="415"/>
      <c r="I1223" s="415"/>
      <c r="J1223" s="415"/>
      <c r="K1223" s="415"/>
      <c r="L1223" s="417"/>
      <c r="M1223" s="420"/>
      <c r="N1223" s="420"/>
      <c r="O1223" s="420"/>
      <c r="P1223" s="420"/>
      <c r="Q1223" s="420"/>
      <c r="R1223" s="420"/>
      <c r="S1223" s="420"/>
      <c r="T1223" s="420"/>
      <c r="U1223" s="420"/>
      <c r="V1223" s="420"/>
      <c r="W1223" s="420"/>
      <c r="X1223" s="420"/>
      <c r="Y1223" s="420"/>
      <c r="Z1223" s="420"/>
      <c r="AA1223" s="420"/>
      <c r="AB1223" s="420"/>
      <c r="AC1223" s="420"/>
      <c r="AD1223" s="420"/>
      <c r="AE1223" s="420"/>
      <c r="AF1223" s="420"/>
      <c r="AG1223" s="420"/>
      <c r="AH1223" s="420"/>
      <c r="AI1223" s="420"/>
      <c r="AJ1223" s="420"/>
      <c r="AK1223" s="420"/>
      <c r="AL1223" s="420"/>
      <c r="AM1223" s="420"/>
      <c r="AN1223" s="420"/>
      <c r="AO1223" s="420"/>
      <c r="AP1223" s="420"/>
      <c r="AQ1223" s="420"/>
      <c r="AR1223" s="403"/>
      <c r="AS1223" s="403"/>
      <c r="AT1223" s="403"/>
      <c r="AU1223" s="403"/>
      <c r="AV1223" s="403"/>
      <c r="AW1223" s="403"/>
      <c r="AX1223" s="403"/>
      <c r="AY1223" s="403"/>
    </row>
    <row r="1224">
      <c r="A1224" s="415"/>
      <c r="B1224" s="415"/>
      <c r="C1224" s="410"/>
      <c r="D1224" s="429"/>
      <c r="E1224" s="416"/>
      <c r="F1224" s="413"/>
      <c r="G1224" s="413"/>
      <c r="H1224" s="415"/>
      <c r="I1224" s="415"/>
      <c r="J1224" s="415"/>
      <c r="K1224" s="415"/>
      <c r="L1224" s="417"/>
      <c r="M1224" s="420"/>
      <c r="N1224" s="420"/>
      <c r="O1224" s="420"/>
      <c r="P1224" s="420"/>
      <c r="Q1224" s="420"/>
      <c r="R1224" s="420"/>
      <c r="S1224" s="420"/>
      <c r="T1224" s="420"/>
      <c r="U1224" s="420"/>
      <c r="V1224" s="420"/>
      <c r="W1224" s="420"/>
      <c r="X1224" s="420"/>
      <c r="Y1224" s="420"/>
      <c r="Z1224" s="420"/>
      <c r="AA1224" s="420"/>
      <c r="AB1224" s="420"/>
      <c r="AC1224" s="420"/>
      <c r="AD1224" s="420"/>
      <c r="AE1224" s="420"/>
      <c r="AF1224" s="420"/>
      <c r="AG1224" s="420"/>
      <c r="AH1224" s="420"/>
      <c r="AI1224" s="420"/>
      <c r="AJ1224" s="420"/>
      <c r="AK1224" s="420"/>
      <c r="AL1224" s="420"/>
      <c r="AM1224" s="420"/>
      <c r="AN1224" s="420"/>
      <c r="AO1224" s="420"/>
      <c r="AP1224" s="420"/>
      <c r="AQ1224" s="420"/>
      <c r="AR1224" s="403"/>
      <c r="AS1224" s="403"/>
      <c r="AT1224" s="403"/>
      <c r="AU1224" s="403"/>
      <c r="AV1224" s="403"/>
      <c r="AW1224" s="403"/>
      <c r="AX1224" s="403"/>
      <c r="AY1224" s="403"/>
    </row>
    <row r="1225">
      <c r="A1225" s="415"/>
      <c r="B1225" s="415"/>
      <c r="C1225" s="410"/>
      <c r="D1225" s="429"/>
      <c r="E1225" s="416"/>
      <c r="F1225" s="413"/>
      <c r="G1225" s="413"/>
      <c r="H1225" s="415"/>
      <c r="I1225" s="415"/>
      <c r="J1225" s="415"/>
      <c r="K1225" s="415"/>
      <c r="L1225" s="417"/>
      <c r="M1225" s="420"/>
      <c r="N1225" s="420"/>
      <c r="O1225" s="420"/>
      <c r="P1225" s="420"/>
      <c r="Q1225" s="420"/>
      <c r="R1225" s="420"/>
      <c r="S1225" s="420"/>
      <c r="T1225" s="420"/>
      <c r="U1225" s="420"/>
      <c r="V1225" s="420"/>
      <c r="W1225" s="420"/>
      <c r="X1225" s="420"/>
      <c r="Y1225" s="420"/>
      <c r="Z1225" s="420"/>
      <c r="AA1225" s="420"/>
      <c r="AB1225" s="420"/>
      <c r="AC1225" s="420"/>
      <c r="AD1225" s="420"/>
      <c r="AE1225" s="420"/>
      <c r="AF1225" s="420"/>
      <c r="AG1225" s="420"/>
      <c r="AH1225" s="420"/>
      <c r="AI1225" s="420"/>
      <c r="AJ1225" s="420"/>
      <c r="AK1225" s="420"/>
      <c r="AL1225" s="420"/>
      <c r="AM1225" s="420"/>
      <c r="AN1225" s="420"/>
      <c r="AO1225" s="420"/>
      <c r="AP1225" s="420"/>
      <c r="AQ1225" s="420"/>
      <c r="AR1225" s="403"/>
      <c r="AS1225" s="403"/>
      <c r="AT1225" s="403"/>
      <c r="AU1225" s="403"/>
      <c r="AV1225" s="403"/>
      <c r="AW1225" s="403"/>
      <c r="AX1225" s="403"/>
      <c r="AY1225" s="403"/>
    </row>
    <row r="1226">
      <c r="A1226" s="415"/>
      <c r="B1226" s="415"/>
      <c r="C1226" s="410"/>
      <c r="D1226" s="429"/>
      <c r="E1226" s="416"/>
      <c r="F1226" s="413"/>
      <c r="G1226" s="413"/>
      <c r="H1226" s="415"/>
      <c r="I1226" s="415"/>
      <c r="J1226" s="415"/>
      <c r="K1226" s="415"/>
      <c r="L1226" s="417"/>
      <c r="M1226" s="420"/>
      <c r="N1226" s="420"/>
      <c r="O1226" s="420"/>
      <c r="P1226" s="420"/>
      <c r="Q1226" s="420"/>
      <c r="R1226" s="420"/>
      <c r="S1226" s="420"/>
      <c r="T1226" s="420"/>
      <c r="U1226" s="420"/>
      <c r="V1226" s="420"/>
      <c r="W1226" s="420"/>
      <c r="X1226" s="420"/>
      <c r="Y1226" s="420"/>
      <c r="Z1226" s="420"/>
      <c r="AA1226" s="420"/>
      <c r="AB1226" s="420"/>
      <c r="AC1226" s="420"/>
      <c r="AD1226" s="420"/>
      <c r="AE1226" s="420"/>
      <c r="AF1226" s="420"/>
      <c r="AG1226" s="420"/>
      <c r="AH1226" s="420"/>
      <c r="AI1226" s="420"/>
      <c r="AJ1226" s="420"/>
      <c r="AK1226" s="420"/>
      <c r="AL1226" s="420"/>
      <c r="AM1226" s="420"/>
      <c r="AN1226" s="420"/>
      <c r="AO1226" s="420"/>
      <c r="AP1226" s="420"/>
      <c r="AQ1226" s="420"/>
      <c r="AR1226" s="403"/>
      <c r="AS1226" s="403"/>
      <c r="AT1226" s="403"/>
      <c r="AU1226" s="403"/>
      <c r="AV1226" s="403"/>
      <c r="AW1226" s="403"/>
      <c r="AX1226" s="403"/>
      <c r="AY1226" s="403"/>
    </row>
    <row r="1227">
      <c r="A1227" s="415"/>
      <c r="B1227" s="415"/>
      <c r="C1227" s="410"/>
      <c r="D1227" s="429"/>
      <c r="E1227" s="416"/>
      <c r="F1227" s="413"/>
      <c r="G1227" s="413"/>
      <c r="H1227" s="415"/>
      <c r="I1227" s="415"/>
      <c r="J1227" s="415"/>
      <c r="K1227" s="415"/>
      <c r="L1227" s="417"/>
      <c r="M1227" s="420"/>
      <c r="N1227" s="420"/>
      <c r="O1227" s="420"/>
      <c r="P1227" s="420"/>
      <c r="Q1227" s="420"/>
      <c r="R1227" s="420"/>
      <c r="S1227" s="420"/>
      <c r="T1227" s="420"/>
      <c r="U1227" s="420"/>
      <c r="V1227" s="420"/>
      <c r="W1227" s="420"/>
      <c r="X1227" s="420"/>
      <c r="Y1227" s="420"/>
      <c r="Z1227" s="420"/>
      <c r="AA1227" s="420"/>
      <c r="AB1227" s="420"/>
      <c r="AC1227" s="420"/>
      <c r="AD1227" s="420"/>
      <c r="AE1227" s="420"/>
      <c r="AF1227" s="420"/>
      <c r="AG1227" s="420"/>
      <c r="AH1227" s="420"/>
      <c r="AI1227" s="420"/>
      <c r="AJ1227" s="420"/>
      <c r="AK1227" s="420"/>
      <c r="AL1227" s="420"/>
      <c r="AM1227" s="420"/>
      <c r="AN1227" s="420"/>
      <c r="AO1227" s="420"/>
      <c r="AP1227" s="420"/>
      <c r="AQ1227" s="420"/>
      <c r="AR1227" s="403"/>
      <c r="AS1227" s="403"/>
      <c r="AT1227" s="403"/>
      <c r="AU1227" s="403"/>
      <c r="AV1227" s="403"/>
      <c r="AW1227" s="403"/>
      <c r="AX1227" s="403"/>
      <c r="AY1227" s="403"/>
    </row>
    <row r="1228">
      <c r="A1228" s="415"/>
      <c r="B1228" s="415"/>
      <c r="C1228" s="410"/>
      <c r="D1228" s="429"/>
      <c r="E1228" s="416"/>
      <c r="F1228" s="413"/>
      <c r="G1228" s="413"/>
      <c r="H1228" s="415"/>
      <c r="I1228" s="415"/>
      <c r="J1228" s="415"/>
      <c r="K1228" s="415"/>
      <c r="L1228" s="417"/>
      <c r="M1228" s="420"/>
      <c r="N1228" s="420"/>
      <c r="O1228" s="420"/>
      <c r="P1228" s="420"/>
      <c r="Q1228" s="420"/>
      <c r="R1228" s="420"/>
      <c r="S1228" s="420"/>
      <c r="T1228" s="420"/>
      <c r="U1228" s="420"/>
      <c r="V1228" s="420"/>
      <c r="W1228" s="420"/>
      <c r="X1228" s="420"/>
      <c r="Y1228" s="420"/>
      <c r="Z1228" s="420"/>
      <c r="AA1228" s="420"/>
      <c r="AB1228" s="420"/>
      <c r="AC1228" s="420"/>
      <c r="AD1228" s="420"/>
      <c r="AE1228" s="420"/>
      <c r="AF1228" s="420"/>
      <c r="AG1228" s="420"/>
      <c r="AH1228" s="420"/>
      <c r="AI1228" s="420"/>
      <c r="AJ1228" s="420"/>
      <c r="AK1228" s="420"/>
      <c r="AL1228" s="420"/>
      <c r="AM1228" s="420"/>
      <c r="AN1228" s="420"/>
      <c r="AO1228" s="420"/>
      <c r="AP1228" s="420"/>
      <c r="AQ1228" s="420"/>
      <c r="AR1228" s="403"/>
      <c r="AS1228" s="403"/>
      <c r="AT1228" s="403"/>
      <c r="AU1228" s="403"/>
      <c r="AV1228" s="403"/>
      <c r="AW1228" s="403"/>
      <c r="AX1228" s="403"/>
      <c r="AY1228" s="403"/>
    </row>
    <row r="1229">
      <c r="A1229" s="415"/>
      <c r="B1229" s="415"/>
      <c r="C1229" s="410"/>
      <c r="D1229" s="429"/>
      <c r="E1229" s="416"/>
      <c r="F1229" s="413"/>
      <c r="G1229" s="413"/>
      <c r="H1229" s="415"/>
      <c r="I1229" s="415"/>
      <c r="J1229" s="415"/>
      <c r="K1229" s="415"/>
      <c r="L1229" s="417"/>
      <c r="M1229" s="420"/>
      <c r="N1229" s="420"/>
      <c r="O1229" s="420"/>
      <c r="P1229" s="420"/>
      <c r="Q1229" s="420"/>
      <c r="R1229" s="420"/>
      <c r="S1229" s="420"/>
      <c r="T1229" s="420"/>
      <c r="U1229" s="420"/>
      <c r="V1229" s="420"/>
      <c r="W1229" s="420"/>
      <c r="X1229" s="420"/>
      <c r="Y1229" s="420"/>
      <c r="Z1229" s="420"/>
      <c r="AA1229" s="420"/>
      <c r="AB1229" s="420"/>
      <c r="AC1229" s="420"/>
      <c r="AD1229" s="420"/>
      <c r="AE1229" s="420"/>
      <c r="AF1229" s="420"/>
      <c r="AG1229" s="420"/>
      <c r="AH1229" s="420"/>
      <c r="AI1229" s="420"/>
      <c r="AJ1229" s="420"/>
      <c r="AK1229" s="420"/>
      <c r="AL1229" s="420"/>
      <c r="AM1229" s="420"/>
      <c r="AN1229" s="420"/>
      <c r="AO1229" s="420"/>
      <c r="AP1229" s="420"/>
      <c r="AQ1229" s="420"/>
      <c r="AR1229" s="403"/>
      <c r="AS1229" s="403"/>
      <c r="AT1229" s="403"/>
      <c r="AU1229" s="403"/>
      <c r="AV1229" s="403"/>
      <c r="AW1229" s="403"/>
      <c r="AX1229" s="403"/>
      <c r="AY1229" s="403"/>
    </row>
    <row r="1230">
      <c r="A1230" s="415"/>
      <c r="B1230" s="415"/>
      <c r="C1230" s="410"/>
      <c r="D1230" s="429"/>
      <c r="E1230" s="416"/>
      <c r="F1230" s="413"/>
      <c r="G1230" s="413"/>
      <c r="H1230" s="415"/>
      <c r="I1230" s="415"/>
      <c r="J1230" s="415"/>
      <c r="K1230" s="415"/>
      <c r="L1230" s="417"/>
      <c r="M1230" s="420"/>
      <c r="N1230" s="420"/>
      <c r="O1230" s="420"/>
      <c r="P1230" s="420"/>
      <c r="Q1230" s="420"/>
      <c r="R1230" s="420"/>
      <c r="S1230" s="420"/>
      <c r="T1230" s="420"/>
      <c r="U1230" s="420"/>
      <c r="V1230" s="420"/>
      <c r="W1230" s="420"/>
      <c r="X1230" s="420"/>
      <c r="Y1230" s="420"/>
      <c r="Z1230" s="420"/>
      <c r="AA1230" s="420"/>
      <c r="AB1230" s="420"/>
      <c r="AC1230" s="420"/>
      <c r="AD1230" s="420"/>
      <c r="AE1230" s="420"/>
      <c r="AF1230" s="420"/>
      <c r="AG1230" s="420"/>
      <c r="AH1230" s="420"/>
      <c r="AI1230" s="420"/>
      <c r="AJ1230" s="420"/>
      <c r="AK1230" s="420"/>
      <c r="AL1230" s="420"/>
      <c r="AM1230" s="420"/>
      <c r="AN1230" s="420"/>
      <c r="AO1230" s="420"/>
      <c r="AP1230" s="420"/>
      <c r="AQ1230" s="420"/>
      <c r="AR1230" s="403"/>
      <c r="AS1230" s="403"/>
      <c r="AT1230" s="403"/>
      <c r="AU1230" s="403"/>
      <c r="AV1230" s="403"/>
      <c r="AW1230" s="403"/>
      <c r="AX1230" s="403"/>
      <c r="AY1230" s="403"/>
    </row>
    <row r="1231">
      <c r="A1231" s="415"/>
      <c r="B1231" s="415"/>
      <c r="C1231" s="410"/>
      <c r="D1231" s="429"/>
      <c r="E1231" s="416"/>
      <c r="F1231" s="413"/>
      <c r="G1231" s="413"/>
      <c r="H1231" s="415"/>
      <c r="I1231" s="415"/>
      <c r="J1231" s="415"/>
      <c r="K1231" s="415"/>
      <c r="L1231" s="417"/>
      <c r="M1231" s="420"/>
      <c r="N1231" s="420"/>
      <c r="O1231" s="420"/>
      <c r="P1231" s="420"/>
      <c r="Q1231" s="420"/>
      <c r="R1231" s="420"/>
      <c r="S1231" s="420"/>
      <c r="T1231" s="420"/>
      <c r="U1231" s="420"/>
      <c r="V1231" s="420"/>
      <c r="W1231" s="420"/>
      <c r="X1231" s="420"/>
      <c r="Y1231" s="420"/>
      <c r="Z1231" s="420"/>
      <c r="AA1231" s="420"/>
      <c r="AB1231" s="420"/>
      <c r="AC1231" s="420"/>
      <c r="AD1231" s="420"/>
      <c r="AE1231" s="420"/>
      <c r="AF1231" s="420"/>
      <c r="AG1231" s="420"/>
      <c r="AH1231" s="420"/>
      <c r="AI1231" s="420"/>
      <c r="AJ1231" s="420"/>
      <c r="AK1231" s="420"/>
      <c r="AL1231" s="420"/>
      <c r="AM1231" s="420"/>
      <c r="AN1231" s="420"/>
      <c r="AO1231" s="420"/>
      <c r="AP1231" s="420"/>
      <c r="AQ1231" s="420"/>
      <c r="AR1231" s="403"/>
      <c r="AS1231" s="403"/>
      <c r="AT1231" s="403"/>
      <c r="AU1231" s="403"/>
      <c r="AV1231" s="403"/>
      <c r="AW1231" s="403"/>
      <c r="AX1231" s="403"/>
      <c r="AY1231" s="403"/>
    </row>
    <row r="1232">
      <c r="A1232" s="415"/>
      <c r="B1232" s="415"/>
      <c r="C1232" s="410"/>
      <c r="D1232" s="429"/>
      <c r="E1232" s="416"/>
      <c r="F1232" s="413"/>
      <c r="G1232" s="413"/>
      <c r="H1232" s="415"/>
      <c r="I1232" s="415"/>
      <c r="J1232" s="415"/>
      <c r="K1232" s="415"/>
      <c r="L1232" s="417"/>
      <c r="M1232" s="420"/>
      <c r="N1232" s="420"/>
      <c r="O1232" s="420"/>
      <c r="P1232" s="420"/>
      <c r="Q1232" s="420"/>
      <c r="R1232" s="420"/>
      <c r="S1232" s="420"/>
      <c r="T1232" s="420"/>
      <c r="U1232" s="420"/>
      <c r="V1232" s="420"/>
      <c r="W1232" s="420"/>
      <c r="X1232" s="420"/>
      <c r="Y1232" s="420"/>
      <c r="Z1232" s="420"/>
      <c r="AA1232" s="420"/>
      <c r="AB1232" s="420"/>
      <c r="AC1232" s="420"/>
      <c r="AD1232" s="420"/>
      <c r="AE1232" s="420"/>
      <c r="AF1232" s="420"/>
      <c r="AG1232" s="420"/>
      <c r="AH1232" s="420"/>
      <c r="AI1232" s="420"/>
      <c r="AJ1232" s="420"/>
      <c r="AK1232" s="420"/>
      <c r="AL1232" s="420"/>
      <c r="AM1232" s="420"/>
      <c r="AN1232" s="420"/>
      <c r="AO1232" s="420"/>
      <c r="AP1232" s="420"/>
      <c r="AQ1232" s="420"/>
      <c r="AR1232" s="403"/>
      <c r="AS1232" s="403"/>
      <c r="AT1232" s="403"/>
      <c r="AU1232" s="403"/>
      <c r="AV1232" s="403"/>
      <c r="AW1232" s="403"/>
      <c r="AX1232" s="403"/>
      <c r="AY1232" s="403"/>
    </row>
    <row r="1233">
      <c r="A1233" s="415"/>
      <c r="B1233" s="415"/>
      <c r="C1233" s="410"/>
      <c r="D1233" s="429"/>
      <c r="E1233" s="416"/>
      <c r="F1233" s="413"/>
      <c r="G1233" s="413"/>
      <c r="H1233" s="415"/>
      <c r="I1233" s="415"/>
      <c r="J1233" s="415"/>
      <c r="K1233" s="415"/>
      <c r="L1233" s="417"/>
      <c r="M1233" s="420"/>
      <c r="N1233" s="420"/>
      <c r="O1233" s="420"/>
      <c r="P1233" s="420"/>
      <c r="Q1233" s="420"/>
      <c r="R1233" s="420"/>
      <c r="S1233" s="420"/>
      <c r="T1233" s="420"/>
      <c r="U1233" s="420"/>
      <c r="V1233" s="420"/>
      <c r="W1233" s="420"/>
      <c r="X1233" s="420"/>
      <c r="Y1233" s="420"/>
      <c r="Z1233" s="420"/>
      <c r="AA1233" s="420"/>
      <c r="AB1233" s="420"/>
      <c r="AC1233" s="420"/>
      <c r="AD1233" s="420"/>
      <c r="AE1233" s="420"/>
      <c r="AF1233" s="420"/>
      <c r="AG1233" s="420"/>
      <c r="AH1233" s="420"/>
      <c r="AI1233" s="420"/>
      <c r="AJ1233" s="420"/>
      <c r="AK1233" s="420"/>
      <c r="AL1233" s="420"/>
      <c r="AM1233" s="420"/>
      <c r="AN1233" s="420"/>
      <c r="AO1233" s="420"/>
      <c r="AP1233" s="420"/>
      <c r="AQ1233" s="420"/>
      <c r="AR1233" s="403"/>
      <c r="AS1233" s="403"/>
      <c r="AT1233" s="403"/>
      <c r="AU1233" s="403"/>
      <c r="AV1233" s="403"/>
      <c r="AW1233" s="403"/>
      <c r="AX1233" s="403"/>
      <c r="AY1233" s="403"/>
    </row>
    <row r="1234">
      <c r="A1234" s="415"/>
      <c r="B1234" s="415"/>
      <c r="C1234" s="410"/>
      <c r="D1234" s="429"/>
      <c r="E1234" s="416"/>
      <c r="F1234" s="413"/>
      <c r="G1234" s="413"/>
      <c r="H1234" s="415"/>
      <c r="I1234" s="415"/>
      <c r="J1234" s="415"/>
      <c r="K1234" s="415"/>
      <c r="L1234" s="417"/>
      <c r="M1234" s="420"/>
      <c r="N1234" s="420"/>
      <c r="O1234" s="420"/>
      <c r="P1234" s="420"/>
      <c r="Q1234" s="420"/>
      <c r="R1234" s="420"/>
      <c r="S1234" s="420"/>
      <c r="T1234" s="420"/>
      <c r="U1234" s="420"/>
      <c r="V1234" s="420"/>
      <c r="W1234" s="420"/>
      <c r="X1234" s="420"/>
      <c r="Y1234" s="420"/>
      <c r="Z1234" s="420"/>
      <c r="AA1234" s="420"/>
      <c r="AB1234" s="420"/>
      <c r="AC1234" s="420"/>
      <c r="AD1234" s="420"/>
      <c r="AE1234" s="420"/>
      <c r="AF1234" s="420"/>
      <c r="AG1234" s="420"/>
      <c r="AH1234" s="420"/>
      <c r="AI1234" s="420"/>
      <c r="AJ1234" s="420"/>
      <c r="AK1234" s="420"/>
      <c r="AL1234" s="420"/>
      <c r="AM1234" s="420"/>
      <c r="AN1234" s="420"/>
      <c r="AO1234" s="420"/>
      <c r="AP1234" s="420"/>
      <c r="AQ1234" s="420"/>
      <c r="AR1234" s="403"/>
      <c r="AS1234" s="403"/>
      <c r="AT1234" s="403"/>
      <c r="AU1234" s="403"/>
      <c r="AV1234" s="403"/>
      <c r="AW1234" s="403"/>
      <c r="AX1234" s="403"/>
      <c r="AY1234" s="403"/>
    </row>
    <row r="1235">
      <c r="A1235" s="415"/>
      <c r="B1235" s="415"/>
      <c r="C1235" s="410"/>
      <c r="D1235" s="429"/>
      <c r="E1235" s="416"/>
      <c r="F1235" s="413"/>
      <c r="G1235" s="413"/>
      <c r="H1235" s="415"/>
      <c r="I1235" s="415"/>
      <c r="J1235" s="415"/>
      <c r="K1235" s="415"/>
      <c r="L1235" s="417"/>
      <c r="M1235" s="420"/>
      <c r="N1235" s="420"/>
      <c r="O1235" s="420"/>
      <c r="P1235" s="420"/>
      <c r="Q1235" s="420"/>
      <c r="R1235" s="420"/>
      <c r="S1235" s="420"/>
      <c r="T1235" s="420"/>
      <c r="U1235" s="420"/>
      <c r="V1235" s="420"/>
      <c r="W1235" s="420"/>
      <c r="X1235" s="420"/>
      <c r="Y1235" s="420"/>
      <c r="Z1235" s="420"/>
      <c r="AA1235" s="420"/>
      <c r="AB1235" s="420"/>
      <c r="AC1235" s="420"/>
      <c r="AD1235" s="420"/>
      <c r="AE1235" s="420"/>
      <c r="AF1235" s="420"/>
      <c r="AG1235" s="420"/>
      <c r="AH1235" s="420"/>
      <c r="AI1235" s="420"/>
      <c r="AJ1235" s="420"/>
      <c r="AK1235" s="420"/>
      <c r="AL1235" s="420"/>
      <c r="AM1235" s="420"/>
      <c r="AN1235" s="420"/>
      <c r="AO1235" s="420"/>
      <c r="AP1235" s="420"/>
      <c r="AQ1235" s="420"/>
      <c r="AR1235" s="403"/>
      <c r="AS1235" s="403"/>
      <c r="AT1235" s="403"/>
      <c r="AU1235" s="403"/>
      <c r="AV1235" s="403"/>
      <c r="AW1235" s="403"/>
      <c r="AX1235" s="403"/>
      <c r="AY1235" s="403"/>
    </row>
    <row r="1236">
      <c r="A1236" s="415"/>
      <c r="B1236" s="415"/>
      <c r="C1236" s="410"/>
      <c r="D1236" s="429"/>
      <c r="E1236" s="416"/>
      <c r="F1236" s="413"/>
      <c r="G1236" s="413"/>
      <c r="H1236" s="415"/>
      <c r="I1236" s="415"/>
      <c r="J1236" s="415"/>
      <c r="K1236" s="415"/>
      <c r="L1236" s="417"/>
      <c r="M1236" s="420"/>
      <c r="N1236" s="420"/>
      <c r="O1236" s="420"/>
      <c r="P1236" s="420"/>
      <c r="Q1236" s="420"/>
      <c r="R1236" s="420"/>
      <c r="S1236" s="420"/>
      <c r="T1236" s="420"/>
      <c r="U1236" s="420"/>
      <c r="V1236" s="420"/>
      <c r="W1236" s="420"/>
      <c r="X1236" s="420"/>
      <c r="Y1236" s="420"/>
      <c r="Z1236" s="420"/>
      <c r="AA1236" s="420"/>
      <c r="AB1236" s="420"/>
      <c r="AC1236" s="420"/>
      <c r="AD1236" s="420"/>
      <c r="AE1236" s="420"/>
      <c r="AF1236" s="420"/>
      <c r="AG1236" s="420"/>
      <c r="AH1236" s="420"/>
      <c r="AI1236" s="420"/>
      <c r="AJ1236" s="420"/>
      <c r="AK1236" s="420"/>
      <c r="AL1236" s="420"/>
      <c r="AM1236" s="420"/>
      <c r="AN1236" s="420"/>
      <c r="AO1236" s="420"/>
      <c r="AP1236" s="420"/>
      <c r="AQ1236" s="420"/>
      <c r="AR1236" s="403"/>
      <c r="AS1236" s="403"/>
      <c r="AT1236" s="403"/>
      <c r="AU1236" s="403"/>
      <c r="AV1236" s="403"/>
      <c r="AW1236" s="403"/>
      <c r="AX1236" s="403"/>
      <c r="AY1236" s="403"/>
    </row>
    <row r="1237">
      <c r="A1237" s="415"/>
      <c r="B1237" s="415"/>
      <c r="C1237" s="410"/>
      <c r="D1237" s="429"/>
      <c r="E1237" s="416"/>
      <c r="F1237" s="413"/>
      <c r="G1237" s="413"/>
      <c r="H1237" s="415"/>
      <c r="I1237" s="415"/>
      <c r="J1237" s="415"/>
      <c r="K1237" s="415"/>
      <c r="L1237" s="417"/>
      <c r="M1237" s="420"/>
      <c r="N1237" s="420"/>
      <c r="O1237" s="420"/>
      <c r="P1237" s="420"/>
      <c r="Q1237" s="420"/>
      <c r="R1237" s="420"/>
      <c r="S1237" s="420"/>
      <c r="T1237" s="420"/>
      <c r="U1237" s="420"/>
      <c r="V1237" s="420"/>
      <c r="W1237" s="420"/>
      <c r="X1237" s="420"/>
      <c r="Y1237" s="420"/>
      <c r="Z1237" s="420"/>
      <c r="AA1237" s="420"/>
      <c r="AB1237" s="420"/>
      <c r="AC1237" s="420"/>
      <c r="AD1237" s="420"/>
      <c r="AE1237" s="420"/>
      <c r="AF1237" s="420"/>
      <c r="AG1237" s="420"/>
      <c r="AH1237" s="420"/>
      <c r="AI1237" s="420"/>
      <c r="AJ1237" s="420"/>
      <c r="AK1237" s="420"/>
      <c r="AL1237" s="420"/>
      <c r="AM1237" s="420"/>
      <c r="AN1237" s="420"/>
      <c r="AO1237" s="420"/>
      <c r="AP1237" s="420"/>
      <c r="AQ1237" s="420"/>
      <c r="AR1237" s="403"/>
      <c r="AS1237" s="403"/>
      <c r="AT1237" s="403"/>
      <c r="AU1237" s="403"/>
      <c r="AV1237" s="403"/>
      <c r="AW1237" s="403"/>
      <c r="AX1237" s="403"/>
      <c r="AY1237" s="403"/>
    </row>
    <row r="1238">
      <c r="A1238" s="415"/>
      <c r="B1238" s="415"/>
      <c r="C1238" s="410"/>
      <c r="D1238" s="429"/>
      <c r="E1238" s="416"/>
      <c r="F1238" s="413"/>
      <c r="G1238" s="413"/>
      <c r="H1238" s="415"/>
      <c r="I1238" s="415"/>
      <c r="J1238" s="415"/>
      <c r="K1238" s="415"/>
      <c r="L1238" s="417"/>
      <c r="M1238" s="420"/>
      <c r="N1238" s="420"/>
      <c r="O1238" s="420"/>
      <c r="P1238" s="420"/>
      <c r="Q1238" s="420"/>
      <c r="R1238" s="420"/>
      <c r="S1238" s="420"/>
      <c r="T1238" s="420"/>
      <c r="U1238" s="420"/>
      <c r="V1238" s="420"/>
      <c r="W1238" s="420"/>
      <c r="X1238" s="420"/>
      <c r="Y1238" s="420"/>
      <c r="Z1238" s="420"/>
      <c r="AA1238" s="420"/>
      <c r="AB1238" s="420"/>
      <c r="AC1238" s="420"/>
      <c r="AD1238" s="420"/>
      <c r="AE1238" s="420"/>
      <c r="AF1238" s="420"/>
      <c r="AG1238" s="420"/>
      <c r="AH1238" s="420"/>
      <c r="AI1238" s="420"/>
      <c r="AJ1238" s="420"/>
      <c r="AK1238" s="420"/>
      <c r="AL1238" s="420"/>
      <c r="AM1238" s="420"/>
      <c r="AN1238" s="420"/>
      <c r="AO1238" s="420"/>
      <c r="AP1238" s="420"/>
      <c r="AQ1238" s="420"/>
      <c r="AR1238" s="403"/>
      <c r="AS1238" s="403"/>
      <c r="AT1238" s="403"/>
      <c r="AU1238" s="403"/>
      <c r="AV1238" s="403"/>
      <c r="AW1238" s="403"/>
      <c r="AX1238" s="403"/>
      <c r="AY1238" s="403"/>
    </row>
    <row r="1239">
      <c r="A1239" s="415"/>
      <c r="B1239" s="415"/>
      <c r="C1239" s="410"/>
      <c r="D1239" s="429"/>
      <c r="E1239" s="416"/>
      <c r="F1239" s="413"/>
      <c r="G1239" s="413"/>
      <c r="H1239" s="415"/>
      <c r="I1239" s="415"/>
      <c r="J1239" s="415"/>
      <c r="K1239" s="415"/>
      <c r="L1239" s="417"/>
      <c r="M1239" s="420"/>
      <c r="N1239" s="420"/>
      <c r="O1239" s="420"/>
      <c r="P1239" s="420"/>
      <c r="Q1239" s="420"/>
      <c r="R1239" s="420"/>
      <c r="S1239" s="420"/>
      <c r="T1239" s="420"/>
      <c r="U1239" s="420"/>
      <c r="V1239" s="420"/>
      <c r="W1239" s="420"/>
      <c r="X1239" s="420"/>
      <c r="Y1239" s="420"/>
      <c r="Z1239" s="420"/>
      <c r="AA1239" s="420"/>
      <c r="AB1239" s="420"/>
      <c r="AC1239" s="420"/>
      <c r="AD1239" s="420"/>
      <c r="AE1239" s="420"/>
      <c r="AF1239" s="420"/>
      <c r="AG1239" s="420"/>
      <c r="AH1239" s="420"/>
      <c r="AI1239" s="420"/>
      <c r="AJ1239" s="420"/>
      <c r="AK1239" s="420"/>
      <c r="AL1239" s="420"/>
      <c r="AM1239" s="420"/>
      <c r="AN1239" s="420"/>
      <c r="AO1239" s="420"/>
      <c r="AP1239" s="420"/>
      <c r="AQ1239" s="420"/>
      <c r="AR1239" s="403"/>
      <c r="AS1239" s="403"/>
      <c r="AT1239" s="403"/>
      <c r="AU1239" s="403"/>
      <c r="AV1239" s="403"/>
      <c r="AW1239" s="403"/>
      <c r="AX1239" s="403"/>
      <c r="AY1239" s="403"/>
    </row>
    <row r="1240">
      <c r="A1240" s="415"/>
      <c r="B1240" s="415"/>
      <c r="C1240" s="410"/>
      <c r="D1240" s="429"/>
      <c r="E1240" s="416"/>
      <c r="F1240" s="413"/>
      <c r="G1240" s="413"/>
      <c r="H1240" s="415"/>
      <c r="I1240" s="415"/>
      <c r="J1240" s="415"/>
      <c r="K1240" s="415"/>
      <c r="L1240" s="417"/>
      <c r="M1240" s="420"/>
      <c r="N1240" s="420"/>
      <c r="O1240" s="420"/>
      <c r="P1240" s="420"/>
      <c r="Q1240" s="420"/>
      <c r="R1240" s="420"/>
      <c r="S1240" s="420"/>
      <c r="T1240" s="420"/>
      <c r="U1240" s="420"/>
      <c r="V1240" s="420"/>
      <c r="W1240" s="420"/>
      <c r="X1240" s="420"/>
      <c r="Y1240" s="420"/>
      <c r="Z1240" s="420"/>
      <c r="AA1240" s="420"/>
      <c r="AB1240" s="420"/>
      <c r="AC1240" s="420"/>
      <c r="AD1240" s="420"/>
      <c r="AE1240" s="420"/>
      <c r="AF1240" s="420"/>
      <c r="AG1240" s="420"/>
      <c r="AH1240" s="420"/>
      <c r="AI1240" s="420"/>
      <c r="AJ1240" s="420"/>
      <c r="AK1240" s="420"/>
      <c r="AL1240" s="420"/>
      <c r="AM1240" s="420"/>
      <c r="AN1240" s="420"/>
      <c r="AO1240" s="420"/>
      <c r="AP1240" s="420"/>
      <c r="AQ1240" s="420"/>
      <c r="AR1240" s="403"/>
      <c r="AS1240" s="403"/>
      <c r="AT1240" s="403"/>
      <c r="AU1240" s="403"/>
      <c r="AV1240" s="403"/>
      <c r="AW1240" s="403"/>
      <c r="AX1240" s="403"/>
      <c r="AY1240" s="403"/>
    </row>
    <row r="1241">
      <c r="A1241" s="415"/>
      <c r="B1241" s="415"/>
      <c r="C1241" s="410"/>
      <c r="D1241" s="429"/>
      <c r="E1241" s="416"/>
      <c r="F1241" s="413"/>
      <c r="G1241" s="413"/>
      <c r="H1241" s="415"/>
      <c r="I1241" s="415"/>
      <c r="J1241" s="415"/>
      <c r="K1241" s="415"/>
      <c r="L1241" s="417"/>
      <c r="M1241" s="420"/>
      <c r="N1241" s="420"/>
      <c r="O1241" s="420"/>
      <c r="P1241" s="420"/>
      <c r="Q1241" s="420"/>
      <c r="R1241" s="420"/>
      <c r="S1241" s="420"/>
      <c r="T1241" s="420"/>
      <c r="U1241" s="420"/>
      <c r="V1241" s="420"/>
      <c r="W1241" s="420"/>
      <c r="X1241" s="420"/>
      <c r="Y1241" s="420"/>
      <c r="Z1241" s="420"/>
      <c r="AA1241" s="420"/>
      <c r="AB1241" s="420"/>
      <c r="AC1241" s="420"/>
      <c r="AD1241" s="420"/>
      <c r="AE1241" s="420"/>
      <c r="AF1241" s="420"/>
      <c r="AG1241" s="420"/>
      <c r="AH1241" s="420"/>
      <c r="AI1241" s="420"/>
      <c r="AJ1241" s="420"/>
      <c r="AK1241" s="420"/>
      <c r="AL1241" s="420"/>
      <c r="AM1241" s="420"/>
      <c r="AN1241" s="420"/>
      <c r="AO1241" s="420"/>
      <c r="AP1241" s="420"/>
      <c r="AQ1241" s="420"/>
      <c r="AR1241" s="403"/>
      <c r="AS1241" s="403"/>
      <c r="AT1241" s="403"/>
      <c r="AU1241" s="403"/>
      <c r="AV1241" s="403"/>
      <c r="AW1241" s="403"/>
      <c r="AX1241" s="403"/>
      <c r="AY1241" s="403"/>
    </row>
    <row r="1242">
      <c r="A1242" s="415"/>
      <c r="B1242" s="415"/>
      <c r="C1242" s="410"/>
      <c r="D1242" s="429"/>
      <c r="E1242" s="416"/>
      <c r="F1242" s="413"/>
      <c r="G1242" s="413"/>
      <c r="H1242" s="415"/>
      <c r="I1242" s="415"/>
      <c r="J1242" s="415"/>
      <c r="K1242" s="415"/>
      <c r="L1242" s="417"/>
      <c r="M1242" s="420"/>
      <c r="N1242" s="420"/>
      <c r="O1242" s="420"/>
      <c r="P1242" s="420"/>
      <c r="Q1242" s="420"/>
      <c r="R1242" s="420"/>
      <c r="S1242" s="420"/>
      <c r="T1242" s="420"/>
      <c r="U1242" s="420"/>
      <c r="V1242" s="420"/>
      <c r="W1242" s="420"/>
      <c r="X1242" s="420"/>
      <c r="Y1242" s="420"/>
      <c r="Z1242" s="420"/>
      <c r="AA1242" s="420"/>
      <c r="AB1242" s="420"/>
      <c r="AC1242" s="420"/>
      <c r="AD1242" s="420"/>
      <c r="AE1242" s="420"/>
      <c r="AF1242" s="420"/>
      <c r="AG1242" s="420"/>
      <c r="AH1242" s="420"/>
      <c r="AI1242" s="420"/>
      <c r="AJ1242" s="420"/>
      <c r="AK1242" s="420"/>
      <c r="AL1242" s="420"/>
      <c r="AM1242" s="420"/>
      <c r="AN1242" s="420"/>
      <c r="AO1242" s="420"/>
      <c r="AP1242" s="420"/>
      <c r="AQ1242" s="420"/>
      <c r="AR1242" s="403"/>
      <c r="AS1242" s="403"/>
      <c r="AT1242" s="403"/>
      <c r="AU1242" s="403"/>
      <c r="AV1242" s="403"/>
      <c r="AW1242" s="403"/>
      <c r="AX1242" s="403"/>
      <c r="AY1242" s="403"/>
    </row>
    <row r="1243">
      <c r="A1243" s="415"/>
      <c r="B1243" s="415"/>
      <c r="C1243" s="410"/>
      <c r="D1243" s="429"/>
      <c r="E1243" s="416"/>
      <c r="F1243" s="413"/>
      <c r="G1243" s="413"/>
      <c r="H1243" s="415"/>
      <c r="I1243" s="415"/>
      <c r="J1243" s="415"/>
      <c r="K1243" s="415"/>
      <c r="L1243" s="417"/>
      <c r="M1243" s="420"/>
      <c r="N1243" s="420"/>
      <c r="O1243" s="420"/>
      <c r="P1243" s="420"/>
      <c r="Q1243" s="420"/>
      <c r="R1243" s="420"/>
      <c r="S1243" s="420"/>
      <c r="T1243" s="420"/>
      <c r="U1243" s="420"/>
      <c r="V1243" s="420"/>
      <c r="W1243" s="420"/>
      <c r="X1243" s="420"/>
      <c r="Y1243" s="420"/>
      <c r="Z1243" s="420"/>
      <c r="AA1243" s="420"/>
      <c r="AB1243" s="420"/>
      <c r="AC1243" s="420"/>
      <c r="AD1243" s="420"/>
      <c r="AE1243" s="420"/>
      <c r="AF1243" s="420"/>
      <c r="AG1243" s="420"/>
      <c r="AH1243" s="420"/>
      <c r="AI1243" s="420"/>
      <c r="AJ1243" s="420"/>
      <c r="AK1243" s="420"/>
      <c r="AL1243" s="420"/>
      <c r="AM1243" s="420"/>
      <c r="AN1243" s="420"/>
      <c r="AO1243" s="420"/>
      <c r="AP1243" s="420"/>
      <c r="AQ1243" s="420"/>
      <c r="AR1243" s="403"/>
      <c r="AS1243" s="403"/>
      <c r="AT1243" s="403"/>
      <c r="AU1243" s="403"/>
      <c r="AV1243" s="403"/>
      <c r="AW1243" s="403"/>
      <c r="AX1243" s="403"/>
      <c r="AY1243" s="403"/>
    </row>
    <row r="1244">
      <c r="A1244" s="415"/>
      <c r="B1244" s="415"/>
      <c r="C1244" s="410"/>
      <c r="D1244" s="429"/>
      <c r="E1244" s="416"/>
      <c r="F1244" s="413"/>
      <c r="G1244" s="413"/>
      <c r="H1244" s="415"/>
      <c r="I1244" s="415"/>
      <c r="J1244" s="415"/>
      <c r="K1244" s="415"/>
      <c r="L1244" s="417"/>
      <c r="M1244" s="420"/>
      <c r="N1244" s="420"/>
      <c r="O1244" s="420"/>
      <c r="P1244" s="420"/>
      <c r="Q1244" s="420"/>
      <c r="R1244" s="420"/>
      <c r="S1244" s="420"/>
      <c r="T1244" s="420"/>
      <c r="U1244" s="420"/>
      <c r="V1244" s="420"/>
      <c r="W1244" s="420"/>
      <c r="X1244" s="420"/>
      <c r="Y1244" s="420"/>
      <c r="Z1244" s="420"/>
      <c r="AA1244" s="420"/>
      <c r="AB1244" s="420"/>
      <c r="AC1244" s="420"/>
      <c r="AD1244" s="420"/>
      <c r="AE1244" s="420"/>
      <c r="AF1244" s="420"/>
      <c r="AG1244" s="420"/>
      <c r="AH1244" s="420"/>
      <c r="AI1244" s="420"/>
      <c r="AJ1244" s="420"/>
      <c r="AK1244" s="420"/>
      <c r="AL1244" s="420"/>
      <c r="AM1244" s="420"/>
      <c r="AN1244" s="420"/>
      <c r="AO1244" s="420"/>
      <c r="AP1244" s="420"/>
      <c r="AQ1244" s="420"/>
      <c r="AR1244" s="403"/>
      <c r="AS1244" s="403"/>
      <c r="AT1244" s="403"/>
      <c r="AU1244" s="403"/>
      <c r="AV1244" s="403"/>
      <c r="AW1244" s="403"/>
      <c r="AX1244" s="403"/>
      <c r="AY1244" s="403"/>
    </row>
    <row r="1245">
      <c r="A1245" s="415"/>
      <c r="B1245" s="415"/>
      <c r="C1245" s="410"/>
      <c r="D1245" s="429"/>
      <c r="E1245" s="416"/>
      <c r="F1245" s="413"/>
      <c r="G1245" s="413"/>
      <c r="H1245" s="415"/>
      <c r="I1245" s="415"/>
      <c r="J1245" s="415"/>
      <c r="K1245" s="415"/>
      <c r="L1245" s="417"/>
      <c r="M1245" s="420"/>
      <c r="N1245" s="420"/>
      <c r="O1245" s="420"/>
      <c r="P1245" s="420"/>
      <c r="Q1245" s="420"/>
      <c r="R1245" s="420"/>
      <c r="S1245" s="420"/>
      <c r="T1245" s="420"/>
      <c r="U1245" s="420"/>
      <c r="V1245" s="420"/>
      <c r="W1245" s="420"/>
      <c r="X1245" s="420"/>
      <c r="Y1245" s="420"/>
      <c r="Z1245" s="420"/>
      <c r="AA1245" s="420"/>
      <c r="AB1245" s="420"/>
      <c r="AC1245" s="420"/>
      <c r="AD1245" s="420"/>
      <c r="AE1245" s="420"/>
      <c r="AF1245" s="420"/>
      <c r="AG1245" s="420"/>
      <c r="AH1245" s="420"/>
      <c r="AI1245" s="420"/>
      <c r="AJ1245" s="420"/>
      <c r="AK1245" s="420"/>
      <c r="AL1245" s="420"/>
      <c r="AM1245" s="420"/>
      <c r="AN1245" s="420"/>
      <c r="AO1245" s="420"/>
      <c r="AP1245" s="420"/>
      <c r="AQ1245" s="420"/>
      <c r="AR1245" s="403"/>
      <c r="AS1245" s="403"/>
      <c r="AT1245" s="403"/>
      <c r="AU1245" s="403"/>
      <c r="AV1245" s="403"/>
      <c r="AW1245" s="403"/>
      <c r="AX1245" s="403"/>
      <c r="AY1245" s="403"/>
    </row>
    <row r="1246">
      <c r="A1246" s="415"/>
      <c r="B1246" s="415"/>
      <c r="C1246" s="410"/>
      <c r="D1246" s="429"/>
      <c r="E1246" s="416"/>
      <c r="F1246" s="413"/>
      <c r="G1246" s="413"/>
      <c r="H1246" s="415"/>
      <c r="I1246" s="415"/>
      <c r="J1246" s="415"/>
      <c r="K1246" s="415"/>
      <c r="L1246" s="417"/>
      <c r="M1246" s="420"/>
      <c r="N1246" s="420"/>
      <c r="O1246" s="420"/>
      <c r="P1246" s="420"/>
      <c r="Q1246" s="420"/>
      <c r="R1246" s="420"/>
      <c r="S1246" s="420"/>
      <c r="T1246" s="420"/>
      <c r="U1246" s="420"/>
      <c r="V1246" s="420"/>
      <c r="W1246" s="420"/>
      <c r="X1246" s="420"/>
      <c r="Y1246" s="420"/>
      <c r="Z1246" s="420"/>
      <c r="AA1246" s="420"/>
      <c r="AB1246" s="420"/>
      <c r="AC1246" s="420"/>
      <c r="AD1246" s="420"/>
      <c r="AE1246" s="420"/>
      <c r="AF1246" s="420"/>
      <c r="AG1246" s="420"/>
      <c r="AH1246" s="420"/>
      <c r="AI1246" s="420"/>
      <c r="AJ1246" s="420"/>
      <c r="AK1246" s="420"/>
      <c r="AL1246" s="420"/>
      <c r="AM1246" s="420"/>
      <c r="AN1246" s="420"/>
      <c r="AO1246" s="420"/>
      <c r="AP1246" s="420"/>
      <c r="AQ1246" s="420"/>
      <c r="AR1246" s="403"/>
      <c r="AS1246" s="403"/>
      <c r="AT1246" s="403"/>
      <c r="AU1246" s="403"/>
      <c r="AV1246" s="403"/>
      <c r="AW1246" s="403"/>
      <c r="AX1246" s="403"/>
      <c r="AY1246" s="403"/>
    </row>
    <row r="1247">
      <c r="A1247" s="415"/>
      <c r="B1247" s="415"/>
      <c r="C1247" s="410"/>
      <c r="D1247" s="429"/>
      <c r="E1247" s="416"/>
      <c r="F1247" s="413"/>
      <c r="G1247" s="413"/>
      <c r="H1247" s="415"/>
      <c r="I1247" s="415"/>
      <c r="J1247" s="415"/>
      <c r="K1247" s="415"/>
      <c r="L1247" s="417"/>
      <c r="M1247" s="420"/>
      <c r="N1247" s="420"/>
      <c r="O1247" s="420"/>
      <c r="P1247" s="420"/>
      <c r="Q1247" s="420"/>
      <c r="R1247" s="420"/>
      <c r="S1247" s="420"/>
      <c r="T1247" s="420"/>
      <c r="U1247" s="420"/>
      <c r="V1247" s="420"/>
      <c r="W1247" s="420"/>
      <c r="X1247" s="420"/>
      <c r="Y1247" s="420"/>
      <c r="Z1247" s="420"/>
      <c r="AA1247" s="420"/>
      <c r="AB1247" s="420"/>
      <c r="AC1247" s="420"/>
      <c r="AD1247" s="420"/>
      <c r="AE1247" s="420"/>
      <c r="AF1247" s="420"/>
      <c r="AG1247" s="420"/>
      <c r="AH1247" s="420"/>
      <c r="AI1247" s="420"/>
      <c r="AJ1247" s="420"/>
      <c r="AK1247" s="420"/>
      <c r="AL1247" s="420"/>
      <c r="AM1247" s="420"/>
      <c r="AN1247" s="420"/>
      <c r="AO1247" s="420"/>
      <c r="AP1247" s="420"/>
      <c r="AQ1247" s="420"/>
      <c r="AR1247" s="403"/>
      <c r="AS1247" s="403"/>
      <c r="AT1247" s="403"/>
      <c r="AU1247" s="403"/>
      <c r="AV1247" s="403"/>
      <c r="AW1247" s="403"/>
      <c r="AX1247" s="403"/>
      <c r="AY1247" s="403"/>
    </row>
    <row r="1248">
      <c r="A1248" s="415"/>
      <c r="B1248" s="415"/>
      <c r="C1248" s="410"/>
      <c r="D1248" s="429"/>
      <c r="E1248" s="416"/>
      <c r="F1248" s="413"/>
      <c r="G1248" s="413"/>
      <c r="H1248" s="415"/>
      <c r="I1248" s="415"/>
      <c r="J1248" s="415"/>
      <c r="K1248" s="415"/>
      <c r="L1248" s="417"/>
      <c r="M1248" s="420"/>
      <c r="N1248" s="420"/>
      <c r="O1248" s="420"/>
      <c r="P1248" s="420"/>
      <c r="Q1248" s="420"/>
      <c r="R1248" s="420"/>
      <c r="S1248" s="420"/>
      <c r="T1248" s="420"/>
      <c r="U1248" s="420"/>
      <c r="V1248" s="420"/>
      <c r="W1248" s="420"/>
      <c r="X1248" s="420"/>
      <c r="Y1248" s="420"/>
      <c r="Z1248" s="420"/>
      <c r="AA1248" s="420"/>
      <c r="AB1248" s="420"/>
      <c r="AC1248" s="420"/>
      <c r="AD1248" s="420"/>
      <c r="AE1248" s="420"/>
      <c r="AF1248" s="420"/>
      <c r="AG1248" s="420"/>
      <c r="AH1248" s="420"/>
      <c r="AI1248" s="420"/>
      <c r="AJ1248" s="420"/>
      <c r="AK1248" s="420"/>
      <c r="AL1248" s="420"/>
      <c r="AM1248" s="420"/>
      <c r="AN1248" s="420"/>
      <c r="AO1248" s="420"/>
      <c r="AP1248" s="420"/>
      <c r="AQ1248" s="420"/>
      <c r="AR1248" s="403"/>
      <c r="AS1248" s="403"/>
      <c r="AT1248" s="403"/>
      <c r="AU1248" s="403"/>
      <c r="AV1248" s="403"/>
      <c r="AW1248" s="403"/>
      <c r="AX1248" s="403"/>
      <c r="AY1248" s="403"/>
    </row>
    <row r="1249">
      <c r="A1249" s="415"/>
      <c r="B1249" s="415"/>
      <c r="C1249" s="410"/>
      <c r="D1249" s="429"/>
      <c r="E1249" s="416"/>
      <c r="F1249" s="413"/>
      <c r="G1249" s="413"/>
      <c r="H1249" s="415"/>
      <c r="I1249" s="415"/>
      <c r="J1249" s="415"/>
      <c r="K1249" s="415"/>
      <c r="L1249" s="417"/>
      <c r="M1249" s="420"/>
      <c r="N1249" s="420"/>
      <c r="O1249" s="420"/>
      <c r="P1249" s="420"/>
      <c r="Q1249" s="420"/>
      <c r="R1249" s="420"/>
      <c r="S1249" s="420"/>
      <c r="T1249" s="420"/>
      <c r="U1249" s="420"/>
      <c r="V1249" s="420"/>
      <c r="W1249" s="420"/>
      <c r="X1249" s="420"/>
      <c r="Y1249" s="420"/>
      <c r="Z1249" s="420"/>
      <c r="AA1249" s="420"/>
      <c r="AB1249" s="420"/>
      <c r="AC1249" s="420"/>
      <c r="AD1249" s="420"/>
      <c r="AE1249" s="420"/>
      <c r="AF1249" s="420"/>
      <c r="AG1249" s="420"/>
      <c r="AH1249" s="420"/>
      <c r="AI1249" s="420"/>
      <c r="AJ1249" s="420"/>
      <c r="AK1249" s="420"/>
      <c r="AL1249" s="420"/>
      <c r="AM1249" s="420"/>
      <c r="AN1249" s="420"/>
      <c r="AO1249" s="420"/>
      <c r="AP1249" s="420"/>
      <c r="AQ1249" s="420"/>
      <c r="AR1249" s="403"/>
      <c r="AS1249" s="403"/>
      <c r="AT1249" s="403"/>
      <c r="AU1249" s="403"/>
      <c r="AV1249" s="403"/>
      <c r="AW1249" s="403"/>
      <c r="AX1249" s="403"/>
      <c r="AY1249" s="403"/>
    </row>
    <row r="1250">
      <c r="A1250" s="415"/>
      <c r="B1250" s="415"/>
      <c r="C1250" s="410"/>
      <c r="D1250" s="429"/>
      <c r="E1250" s="416"/>
      <c r="F1250" s="413"/>
      <c r="G1250" s="413"/>
      <c r="H1250" s="415"/>
      <c r="I1250" s="415"/>
      <c r="J1250" s="415"/>
      <c r="K1250" s="415"/>
      <c r="L1250" s="417"/>
      <c r="M1250" s="420"/>
      <c r="N1250" s="420"/>
      <c r="O1250" s="420"/>
      <c r="P1250" s="420"/>
      <c r="Q1250" s="420"/>
      <c r="R1250" s="420"/>
      <c r="S1250" s="420"/>
      <c r="T1250" s="420"/>
      <c r="U1250" s="420"/>
      <c r="V1250" s="420"/>
      <c r="W1250" s="420"/>
      <c r="X1250" s="420"/>
      <c r="Y1250" s="420"/>
      <c r="Z1250" s="420"/>
      <c r="AA1250" s="420"/>
      <c r="AB1250" s="420"/>
      <c r="AC1250" s="420"/>
      <c r="AD1250" s="420"/>
      <c r="AE1250" s="420"/>
      <c r="AF1250" s="420"/>
      <c r="AG1250" s="420"/>
      <c r="AH1250" s="420"/>
      <c r="AI1250" s="420"/>
      <c r="AJ1250" s="420"/>
      <c r="AK1250" s="420"/>
      <c r="AL1250" s="420"/>
      <c r="AM1250" s="420"/>
      <c r="AN1250" s="420"/>
      <c r="AO1250" s="420"/>
      <c r="AP1250" s="420"/>
      <c r="AQ1250" s="420"/>
      <c r="AR1250" s="403"/>
      <c r="AS1250" s="403"/>
      <c r="AT1250" s="403"/>
      <c r="AU1250" s="403"/>
      <c r="AV1250" s="403"/>
      <c r="AW1250" s="403"/>
      <c r="AX1250" s="403"/>
      <c r="AY1250" s="403"/>
    </row>
    <row r="1251">
      <c r="A1251" s="415"/>
      <c r="B1251" s="415"/>
      <c r="C1251" s="410"/>
      <c r="D1251" s="429"/>
      <c r="E1251" s="416"/>
      <c r="F1251" s="413"/>
      <c r="G1251" s="413"/>
      <c r="H1251" s="415"/>
      <c r="I1251" s="415"/>
      <c r="J1251" s="415"/>
      <c r="K1251" s="415"/>
      <c r="L1251" s="417"/>
      <c r="M1251" s="420"/>
      <c r="N1251" s="420"/>
      <c r="O1251" s="420"/>
      <c r="P1251" s="420"/>
      <c r="Q1251" s="420"/>
      <c r="R1251" s="420"/>
      <c r="S1251" s="420"/>
      <c r="T1251" s="420"/>
      <c r="U1251" s="420"/>
      <c r="V1251" s="420"/>
      <c r="W1251" s="420"/>
      <c r="X1251" s="420"/>
      <c r="Y1251" s="420"/>
      <c r="Z1251" s="420"/>
      <c r="AA1251" s="420"/>
      <c r="AB1251" s="420"/>
      <c r="AC1251" s="420"/>
      <c r="AD1251" s="420"/>
      <c r="AE1251" s="420"/>
      <c r="AF1251" s="420"/>
      <c r="AG1251" s="420"/>
      <c r="AH1251" s="420"/>
      <c r="AI1251" s="420"/>
      <c r="AJ1251" s="420"/>
      <c r="AK1251" s="420"/>
      <c r="AL1251" s="420"/>
      <c r="AM1251" s="420"/>
      <c r="AN1251" s="420"/>
      <c r="AO1251" s="420"/>
      <c r="AP1251" s="420"/>
      <c r="AQ1251" s="420"/>
      <c r="AR1251" s="403"/>
      <c r="AS1251" s="403"/>
      <c r="AT1251" s="403"/>
      <c r="AU1251" s="403"/>
      <c r="AV1251" s="403"/>
      <c r="AW1251" s="403"/>
      <c r="AX1251" s="403"/>
      <c r="AY1251" s="403"/>
    </row>
    <row r="1252">
      <c r="A1252" s="415"/>
      <c r="B1252" s="415"/>
      <c r="C1252" s="410"/>
      <c r="D1252" s="429"/>
      <c r="E1252" s="416"/>
      <c r="F1252" s="413"/>
      <c r="G1252" s="413"/>
      <c r="H1252" s="415"/>
      <c r="I1252" s="415"/>
      <c r="J1252" s="415"/>
      <c r="K1252" s="415"/>
      <c r="L1252" s="417"/>
      <c r="M1252" s="420"/>
      <c r="N1252" s="420"/>
      <c r="O1252" s="420"/>
      <c r="P1252" s="420"/>
      <c r="Q1252" s="420"/>
      <c r="R1252" s="420"/>
      <c r="S1252" s="420"/>
      <c r="T1252" s="420"/>
      <c r="U1252" s="420"/>
      <c r="V1252" s="420"/>
      <c r="W1252" s="420"/>
      <c r="X1252" s="420"/>
      <c r="Y1252" s="420"/>
      <c r="Z1252" s="420"/>
      <c r="AA1252" s="420"/>
      <c r="AB1252" s="420"/>
      <c r="AC1252" s="420"/>
      <c r="AD1252" s="420"/>
      <c r="AE1252" s="420"/>
      <c r="AF1252" s="420"/>
      <c r="AG1252" s="420"/>
      <c r="AH1252" s="420"/>
      <c r="AI1252" s="420"/>
      <c r="AJ1252" s="420"/>
      <c r="AK1252" s="420"/>
      <c r="AL1252" s="420"/>
      <c r="AM1252" s="420"/>
      <c r="AN1252" s="420"/>
      <c r="AO1252" s="420"/>
      <c r="AP1252" s="420"/>
      <c r="AQ1252" s="420"/>
      <c r="AR1252" s="403"/>
      <c r="AS1252" s="403"/>
      <c r="AT1252" s="403"/>
      <c r="AU1252" s="403"/>
      <c r="AV1252" s="403"/>
      <c r="AW1252" s="403"/>
      <c r="AX1252" s="403"/>
      <c r="AY1252" s="403"/>
    </row>
    <row r="1253">
      <c r="A1253" s="415"/>
      <c r="B1253" s="415"/>
      <c r="C1253" s="410"/>
      <c r="D1253" s="429"/>
      <c r="E1253" s="416"/>
      <c r="F1253" s="413"/>
      <c r="G1253" s="413"/>
      <c r="H1253" s="415"/>
      <c r="I1253" s="415"/>
      <c r="J1253" s="415"/>
      <c r="K1253" s="415"/>
      <c r="L1253" s="417"/>
      <c r="M1253" s="420"/>
      <c r="N1253" s="420"/>
      <c r="O1253" s="420"/>
      <c r="P1253" s="420"/>
      <c r="Q1253" s="420"/>
      <c r="R1253" s="420"/>
      <c r="S1253" s="420"/>
      <c r="T1253" s="420"/>
      <c r="U1253" s="420"/>
      <c r="V1253" s="420"/>
      <c r="W1253" s="420"/>
      <c r="X1253" s="420"/>
      <c r="Y1253" s="420"/>
      <c r="Z1253" s="420"/>
      <c r="AA1253" s="420"/>
      <c r="AB1253" s="420"/>
      <c r="AC1253" s="420"/>
      <c r="AD1253" s="420"/>
      <c r="AE1253" s="420"/>
      <c r="AF1253" s="420"/>
      <c r="AG1253" s="420"/>
      <c r="AH1253" s="420"/>
      <c r="AI1253" s="420"/>
      <c r="AJ1253" s="420"/>
      <c r="AK1253" s="420"/>
      <c r="AL1253" s="420"/>
      <c r="AM1253" s="420"/>
      <c r="AN1253" s="420"/>
      <c r="AO1253" s="420"/>
      <c r="AP1253" s="420"/>
      <c r="AQ1253" s="420"/>
      <c r="AR1253" s="403"/>
      <c r="AS1253" s="403"/>
      <c r="AT1253" s="403"/>
      <c r="AU1253" s="403"/>
      <c r="AV1253" s="403"/>
      <c r="AW1253" s="403"/>
      <c r="AX1253" s="403"/>
      <c r="AY1253" s="403"/>
    </row>
    <row r="1254">
      <c r="A1254" s="415"/>
      <c r="B1254" s="415"/>
      <c r="C1254" s="410"/>
      <c r="D1254" s="429"/>
      <c r="E1254" s="416"/>
      <c r="F1254" s="413"/>
      <c r="G1254" s="413"/>
      <c r="H1254" s="415"/>
      <c r="I1254" s="415"/>
      <c r="J1254" s="415"/>
      <c r="K1254" s="415"/>
      <c r="L1254" s="417"/>
      <c r="M1254" s="420"/>
      <c r="N1254" s="420"/>
      <c r="O1254" s="420"/>
      <c r="P1254" s="420"/>
      <c r="Q1254" s="420"/>
      <c r="R1254" s="420"/>
      <c r="S1254" s="420"/>
      <c r="T1254" s="420"/>
      <c r="U1254" s="420"/>
      <c r="V1254" s="420"/>
      <c r="W1254" s="420"/>
      <c r="X1254" s="420"/>
      <c r="Y1254" s="420"/>
      <c r="Z1254" s="420"/>
      <c r="AA1254" s="420"/>
      <c r="AB1254" s="420"/>
      <c r="AC1254" s="420"/>
      <c r="AD1254" s="420"/>
      <c r="AE1254" s="420"/>
      <c r="AF1254" s="420"/>
      <c r="AG1254" s="420"/>
      <c r="AH1254" s="420"/>
      <c r="AI1254" s="420"/>
      <c r="AJ1254" s="420"/>
      <c r="AK1254" s="420"/>
      <c r="AL1254" s="420"/>
      <c r="AM1254" s="420"/>
      <c r="AN1254" s="420"/>
      <c r="AO1254" s="420"/>
      <c r="AP1254" s="420"/>
      <c r="AQ1254" s="420"/>
      <c r="AR1254" s="403"/>
      <c r="AS1254" s="403"/>
      <c r="AT1254" s="403"/>
      <c r="AU1254" s="403"/>
      <c r="AV1254" s="403"/>
      <c r="AW1254" s="403"/>
      <c r="AX1254" s="403"/>
      <c r="AY1254" s="403"/>
    </row>
    <row r="1255">
      <c r="A1255" s="415"/>
      <c r="B1255" s="415"/>
      <c r="C1255" s="410"/>
      <c r="D1255" s="429"/>
      <c r="E1255" s="416"/>
      <c r="F1255" s="413"/>
      <c r="G1255" s="413"/>
      <c r="H1255" s="415"/>
      <c r="I1255" s="415"/>
      <c r="J1255" s="415"/>
      <c r="K1255" s="415"/>
      <c r="L1255" s="417"/>
      <c r="M1255" s="420"/>
      <c r="N1255" s="420"/>
      <c r="O1255" s="420"/>
      <c r="P1255" s="420"/>
      <c r="Q1255" s="420"/>
      <c r="R1255" s="420"/>
      <c r="S1255" s="420"/>
      <c r="T1255" s="420"/>
      <c r="U1255" s="420"/>
      <c r="V1255" s="420"/>
      <c r="W1255" s="420"/>
      <c r="X1255" s="420"/>
      <c r="Y1255" s="420"/>
      <c r="Z1255" s="420"/>
      <c r="AA1255" s="420"/>
      <c r="AB1255" s="420"/>
      <c r="AC1255" s="420"/>
      <c r="AD1255" s="420"/>
      <c r="AE1255" s="420"/>
      <c r="AF1255" s="420"/>
      <c r="AG1255" s="420"/>
      <c r="AH1255" s="420"/>
      <c r="AI1255" s="420"/>
      <c r="AJ1255" s="420"/>
      <c r="AK1255" s="420"/>
      <c r="AL1255" s="420"/>
      <c r="AM1255" s="420"/>
      <c r="AN1255" s="420"/>
      <c r="AO1255" s="420"/>
      <c r="AP1255" s="420"/>
      <c r="AQ1255" s="420"/>
      <c r="AR1255" s="403"/>
      <c r="AS1255" s="403"/>
      <c r="AT1255" s="403"/>
      <c r="AU1255" s="403"/>
      <c r="AV1255" s="403"/>
      <c r="AW1255" s="403"/>
      <c r="AX1255" s="403"/>
      <c r="AY1255" s="403"/>
    </row>
    <row r="1256">
      <c r="A1256" s="415"/>
      <c r="B1256" s="415"/>
      <c r="C1256" s="410"/>
      <c r="D1256" s="429"/>
      <c r="E1256" s="416"/>
      <c r="F1256" s="413"/>
      <c r="G1256" s="413"/>
      <c r="H1256" s="415"/>
      <c r="I1256" s="415"/>
      <c r="J1256" s="415"/>
      <c r="K1256" s="415"/>
      <c r="L1256" s="417"/>
      <c r="M1256" s="420"/>
      <c r="N1256" s="420"/>
      <c r="O1256" s="420"/>
      <c r="P1256" s="420"/>
      <c r="Q1256" s="420"/>
      <c r="R1256" s="420"/>
      <c r="S1256" s="420"/>
      <c r="T1256" s="420"/>
      <c r="U1256" s="420"/>
      <c r="V1256" s="420"/>
      <c r="W1256" s="420"/>
      <c r="X1256" s="420"/>
      <c r="Y1256" s="420"/>
      <c r="Z1256" s="420"/>
      <c r="AA1256" s="420"/>
      <c r="AB1256" s="420"/>
      <c r="AC1256" s="420"/>
      <c r="AD1256" s="420"/>
      <c r="AE1256" s="420"/>
      <c r="AF1256" s="420"/>
      <c r="AG1256" s="420"/>
      <c r="AH1256" s="420"/>
      <c r="AI1256" s="420"/>
      <c r="AJ1256" s="420"/>
      <c r="AK1256" s="420"/>
      <c r="AL1256" s="420"/>
      <c r="AM1256" s="420"/>
      <c r="AN1256" s="420"/>
      <c r="AO1256" s="420"/>
      <c r="AP1256" s="420"/>
      <c r="AQ1256" s="420"/>
      <c r="AR1256" s="403"/>
      <c r="AS1256" s="403"/>
      <c r="AT1256" s="403"/>
      <c r="AU1256" s="403"/>
      <c r="AV1256" s="403"/>
      <c r="AW1256" s="403"/>
      <c r="AX1256" s="403"/>
      <c r="AY1256" s="403"/>
    </row>
    <row r="1257">
      <c r="A1257" s="415"/>
      <c r="B1257" s="415"/>
      <c r="C1257" s="410"/>
      <c r="D1257" s="429"/>
      <c r="E1257" s="416"/>
      <c r="F1257" s="413"/>
      <c r="G1257" s="413"/>
      <c r="H1257" s="415"/>
      <c r="I1257" s="415"/>
      <c r="J1257" s="415"/>
      <c r="K1257" s="415"/>
      <c r="L1257" s="417"/>
      <c r="M1257" s="420"/>
      <c r="N1257" s="420"/>
      <c r="O1257" s="420"/>
      <c r="P1257" s="420"/>
      <c r="Q1257" s="420"/>
      <c r="R1257" s="420"/>
      <c r="S1257" s="420"/>
      <c r="T1257" s="420"/>
      <c r="U1257" s="420"/>
      <c r="V1257" s="420"/>
      <c r="W1257" s="420"/>
      <c r="X1257" s="420"/>
      <c r="Y1257" s="420"/>
      <c r="Z1257" s="420"/>
      <c r="AA1257" s="420"/>
      <c r="AB1257" s="420"/>
      <c r="AC1257" s="420"/>
      <c r="AD1257" s="420"/>
      <c r="AE1257" s="420"/>
      <c r="AF1257" s="420"/>
      <c r="AG1257" s="420"/>
      <c r="AH1257" s="420"/>
      <c r="AI1257" s="420"/>
      <c r="AJ1257" s="420"/>
      <c r="AK1257" s="420"/>
      <c r="AL1257" s="420"/>
      <c r="AM1257" s="420"/>
      <c r="AN1257" s="420"/>
      <c r="AO1257" s="420"/>
      <c r="AP1257" s="420"/>
      <c r="AQ1257" s="420"/>
      <c r="AR1257" s="403"/>
      <c r="AS1257" s="403"/>
      <c r="AT1257" s="403"/>
      <c r="AU1257" s="403"/>
      <c r="AV1257" s="403"/>
      <c r="AW1257" s="403"/>
      <c r="AX1257" s="403"/>
      <c r="AY1257" s="403"/>
    </row>
    <row r="1258">
      <c r="A1258" s="415"/>
      <c r="B1258" s="415"/>
      <c r="C1258" s="410"/>
      <c r="D1258" s="429"/>
      <c r="E1258" s="416"/>
      <c r="F1258" s="413"/>
      <c r="G1258" s="413"/>
      <c r="H1258" s="415"/>
      <c r="I1258" s="415"/>
      <c r="J1258" s="415"/>
      <c r="K1258" s="415"/>
      <c r="L1258" s="417"/>
      <c r="M1258" s="420"/>
      <c r="N1258" s="420"/>
      <c r="O1258" s="420"/>
      <c r="P1258" s="420"/>
      <c r="Q1258" s="420"/>
      <c r="R1258" s="420"/>
      <c r="S1258" s="420"/>
      <c r="T1258" s="420"/>
      <c r="U1258" s="420"/>
      <c r="V1258" s="420"/>
      <c r="W1258" s="420"/>
      <c r="X1258" s="420"/>
      <c r="Y1258" s="420"/>
      <c r="Z1258" s="420"/>
      <c r="AA1258" s="420"/>
      <c r="AB1258" s="420"/>
      <c r="AC1258" s="420"/>
      <c r="AD1258" s="420"/>
      <c r="AE1258" s="420"/>
      <c r="AF1258" s="420"/>
      <c r="AG1258" s="420"/>
      <c r="AH1258" s="420"/>
      <c r="AI1258" s="420"/>
      <c r="AJ1258" s="420"/>
      <c r="AK1258" s="420"/>
      <c r="AL1258" s="420"/>
      <c r="AM1258" s="420"/>
      <c r="AN1258" s="420"/>
      <c r="AO1258" s="420"/>
      <c r="AP1258" s="420"/>
      <c r="AQ1258" s="420"/>
      <c r="AR1258" s="403"/>
      <c r="AS1258" s="403"/>
      <c r="AT1258" s="403"/>
      <c r="AU1258" s="403"/>
      <c r="AV1258" s="403"/>
      <c r="AW1258" s="403"/>
      <c r="AX1258" s="403"/>
      <c r="AY1258" s="403"/>
    </row>
    <row r="1259">
      <c r="A1259" s="415"/>
      <c r="B1259" s="415"/>
      <c r="C1259" s="410"/>
      <c r="D1259" s="429"/>
      <c r="E1259" s="416"/>
      <c r="F1259" s="413"/>
      <c r="G1259" s="413"/>
      <c r="H1259" s="415"/>
      <c r="I1259" s="415"/>
      <c r="J1259" s="415"/>
      <c r="K1259" s="415"/>
      <c r="L1259" s="417"/>
      <c r="M1259" s="420"/>
      <c r="N1259" s="420"/>
      <c r="O1259" s="420"/>
      <c r="P1259" s="420"/>
      <c r="Q1259" s="420"/>
      <c r="R1259" s="420"/>
      <c r="S1259" s="420"/>
      <c r="T1259" s="420"/>
      <c r="U1259" s="420"/>
      <c r="V1259" s="420"/>
      <c r="W1259" s="420"/>
      <c r="X1259" s="420"/>
      <c r="Y1259" s="420"/>
      <c r="Z1259" s="420"/>
      <c r="AA1259" s="420"/>
      <c r="AB1259" s="420"/>
      <c r="AC1259" s="420"/>
      <c r="AD1259" s="420"/>
      <c r="AE1259" s="420"/>
      <c r="AF1259" s="420"/>
      <c r="AG1259" s="420"/>
      <c r="AH1259" s="420"/>
      <c r="AI1259" s="420"/>
      <c r="AJ1259" s="420"/>
      <c r="AK1259" s="420"/>
      <c r="AL1259" s="420"/>
      <c r="AM1259" s="420"/>
      <c r="AN1259" s="420"/>
      <c r="AO1259" s="420"/>
      <c r="AP1259" s="420"/>
      <c r="AQ1259" s="420"/>
      <c r="AR1259" s="403"/>
      <c r="AS1259" s="403"/>
      <c r="AT1259" s="403"/>
      <c r="AU1259" s="403"/>
      <c r="AV1259" s="403"/>
      <c r="AW1259" s="403"/>
      <c r="AX1259" s="403"/>
      <c r="AY1259" s="403"/>
    </row>
    <row r="1260">
      <c r="A1260" s="415"/>
      <c r="B1260" s="415"/>
      <c r="C1260" s="410"/>
      <c r="D1260" s="429"/>
      <c r="E1260" s="416"/>
      <c r="F1260" s="413"/>
      <c r="G1260" s="413"/>
      <c r="H1260" s="415"/>
      <c r="I1260" s="415"/>
      <c r="J1260" s="415"/>
      <c r="K1260" s="415"/>
      <c r="L1260" s="417"/>
      <c r="M1260" s="420"/>
      <c r="N1260" s="420"/>
      <c r="O1260" s="420"/>
      <c r="P1260" s="420"/>
      <c r="Q1260" s="420"/>
      <c r="R1260" s="420"/>
      <c r="S1260" s="420"/>
      <c r="T1260" s="420"/>
      <c r="U1260" s="420"/>
      <c r="V1260" s="420"/>
      <c r="W1260" s="420"/>
      <c r="X1260" s="420"/>
      <c r="Y1260" s="420"/>
      <c r="Z1260" s="420"/>
      <c r="AA1260" s="420"/>
      <c r="AB1260" s="420"/>
      <c r="AC1260" s="420"/>
      <c r="AD1260" s="420"/>
      <c r="AE1260" s="420"/>
      <c r="AF1260" s="420"/>
      <c r="AG1260" s="420"/>
      <c r="AH1260" s="420"/>
      <c r="AI1260" s="420"/>
      <c r="AJ1260" s="420"/>
      <c r="AK1260" s="420"/>
      <c r="AL1260" s="420"/>
      <c r="AM1260" s="420"/>
      <c r="AN1260" s="420"/>
      <c r="AO1260" s="420"/>
      <c r="AP1260" s="420"/>
      <c r="AQ1260" s="420"/>
      <c r="AR1260" s="403"/>
      <c r="AS1260" s="403"/>
      <c r="AT1260" s="403"/>
      <c r="AU1260" s="403"/>
      <c r="AV1260" s="403"/>
      <c r="AW1260" s="403"/>
      <c r="AX1260" s="403"/>
      <c r="AY1260" s="403"/>
    </row>
    <row r="1261">
      <c r="A1261" s="415"/>
      <c r="B1261" s="415"/>
      <c r="C1261" s="410"/>
      <c r="D1261" s="429"/>
      <c r="E1261" s="416"/>
      <c r="F1261" s="413"/>
      <c r="G1261" s="413"/>
      <c r="H1261" s="415"/>
      <c r="I1261" s="415"/>
      <c r="J1261" s="415"/>
      <c r="K1261" s="415"/>
      <c r="L1261" s="417"/>
      <c r="M1261" s="420"/>
      <c r="N1261" s="420"/>
      <c r="O1261" s="420"/>
      <c r="P1261" s="420"/>
      <c r="Q1261" s="420"/>
      <c r="R1261" s="420"/>
      <c r="S1261" s="420"/>
      <c r="T1261" s="420"/>
      <c r="U1261" s="420"/>
      <c r="V1261" s="420"/>
      <c r="W1261" s="420"/>
      <c r="X1261" s="420"/>
      <c r="Y1261" s="420"/>
      <c r="Z1261" s="420"/>
      <c r="AA1261" s="420"/>
      <c r="AB1261" s="420"/>
      <c r="AC1261" s="420"/>
      <c r="AD1261" s="420"/>
      <c r="AE1261" s="420"/>
      <c r="AF1261" s="420"/>
      <c r="AG1261" s="420"/>
      <c r="AH1261" s="420"/>
      <c r="AI1261" s="420"/>
      <c r="AJ1261" s="420"/>
      <c r="AK1261" s="420"/>
      <c r="AL1261" s="420"/>
      <c r="AM1261" s="420"/>
      <c r="AN1261" s="420"/>
      <c r="AO1261" s="420"/>
      <c r="AP1261" s="420"/>
      <c r="AQ1261" s="420"/>
      <c r="AR1261" s="403"/>
      <c r="AS1261" s="403"/>
      <c r="AT1261" s="403"/>
      <c r="AU1261" s="403"/>
      <c r="AV1261" s="403"/>
      <c r="AW1261" s="403"/>
      <c r="AX1261" s="403"/>
      <c r="AY1261" s="403"/>
    </row>
    <row r="1262">
      <c r="A1262" s="415"/>
      <c r="B1262" s="415"/>
      <c r="C1262" s="410"/>
      <c r="D1262" s="429"/>
      <c r="E1262" s="416"/>
      <c r="F1262" s="413"/>
      <c r="G1262" s="413"/>
      <c r="H1262" s="415"/>
      <c r="I1262" s="415"/>
      <c r="J1262" s="415"/>
      <c r="K1262" s="415"/>
      <c r="L1262" s="417"/>
      <c r="M1262" s="420"/>
      <c r="N1262" s="420"/>
      <c r="O1262" s="420"/>
      <c r="P1262" s="420"/>
      <c r="Q1262" s="420"/>
      <c r="R1262" s="420"/>
      <c r="S1262" s="420"/>
      <c r="T1262" s="420"/>
      <c r="U1262" s="420"/>
      <c r="V1262" s="420"/>
      <c r="W1262" s="420"/>
      <c r="X1262" s="420"/>
      <c r="Y1262" s="420"/>
      <c r="Z1262" s="420"/>
      <c r="AA1262" s="420"/>
      <c r="AB1262" s="420"/>
      <c r="AC1262" s="420"/>
      <c r="AD1262" s="420"/>
      <c r="AE1262" s="420"/>
      <c r="AF1262" s="420"/>
      <c r="AG1262" s="420"/>
      <c r="AH1262" s="420"/>
      <c r="AI1262" s="420"/>
      <c r="AJ1262" s="420"/>
      <c r="AK1262" s="420"/>
      <c r="AL1262" s="420"/>
      <c r="AM1262" s="420"/>
      <c r="AN1262" s="420"/>
      <c r="AO1262" s="420"/>
      <c r="AP1262" s="420"/>
      <c r="AQ1262" s="420"/>
      <c r="AR1262" s="403"/>
      <c r="AS1262" s="403"/>
      <c r="AT1262" s="403"/>
      <c r="AU1262" s="403"/>
      <c r="AV1262" s="403"/>
      <c r="AW1262" s="403"/>
      <c r="AX1262" s="403"/>
      <c r="AY1262" s="403"/>
    </row>
    <row r="1263">
      <c r="A1263" s="415"/>
      <c r="B1263" s="415"/>
      <c r="C1263" s="410"/>
      <c r="D1263" s="429"/>
      <c r="E1263" s="416"/>
      <c r="F1263" s="413"/>
      <c r="G1263" s="413"/>
      <c r="H1263" s="415"/>
      <c r="I1263" s="415"/>
      <c r="J1263" s="415"/>
      <c r="K1263" s="415"/>
      <c r="L1263" s="417"/>
      <c r="M1263" s="420"/>
      <c r="N1263" s="420"/>
      <c r="O1263" s="420"/>
      <c r="P1263" s="420"/>
      <c r="Q1263" s="420"/>
      <c r="R1263" s="420"/>
      <c r="S1263" s="420"/>
      <c r="T1263" s="420"/>
      <c r="U1263" s="420"/>
      <c r="V1263" s="420"/>
      <c r="W1263" s="420"/>
      <c r="X1263" s="420"/>
      <c r="Y1263" s="420"/>
      <c r="Z1263" s="420"/>
      <c r="AA1263" s="420"/>
      <c r="AB1263" s="420"/>
      <c r="AC1263" s="420"/>
      <c r="AD1263" s="420"/>
      <c r="AE1263" s="420"/>
      <c r="AF1263" s="420"/>
      <c r="AG1263" s="420"/>
      <c r="AH1263" s="420"/>
      <c r="AI1263" s="420"/>
      <c r="AJ1263" s="420"/>
      <c r="AK1263" s="420"/>
      <c r="AL1263" s="420"/>
      <c r="AM1263" s="420"/>
      <c r="AN1263" s="420"/>
      <c r="AO1263" s="420"/>
      <c r="AP1263" s="420"/>
      <c r="AQ1263" s="420"/>
      <c r="AR1263" s="403"/>
      <c r="AS1263" s="403"/>
      <c r="AT1263" s="403"/>
      <c r="AU1263" s="403"/>
      <c r="AV1263" s="403"/>
      <c r="AW1263" s="403"/>
      <c r="AX1263" s="403"/>
      <c r="AY1263" s="403"/>
    </row>
    <row r="1264">
      <c r="A1264" s="415"/>
      <c r="B1264" s="415"/>
      <c r="C1264" s="410"/>
      <c r="D1264" s="429"/>
      <c r="E1264" s="416"/>
      <c r="F1264" s="413"/>
      <c r="G1264" s="413"/>
      <c r="H1264" s="415"/>
      <c r="I1264" s="415"/>
      <c r="J1264" s="415"/>
      <c r="K1264" s="415"/>
      <c r="L1264" s="417"/>
      <c r="M1264" s="420"/>
      <c r="N1264" s="420"/>
      <c r="O1264" s="420"/>
      <c r="P1264" s="420"/>
      <c r="Q1264" s="420"/>
      <c r="R1264" s="420"/>
      <c r="S1264" s="420"/>
      <c r="T1264" s="420"/>
      <c r="U1264" s="420"/>
      <c r="V1264" s="420"/>
      <c r="W1264" s="420"/>
      <c r="X1264" s="420"/>
      <c r="Y1264" s="420"/>
      <c r="Z1264" s="420"/>
      <c r="AA1264" s="420"/>
      <c r="AB1264" s="420"/>
      <c r="AC1264" s="420"/>
      <c r="AD1264" s="420"/>
      <c r="AE1264" s="420"/>
      <c r="AF1264" s="420"/>
      <c r="AG1264" s="420"/>
      <c r="AH1264" s="420"/>
      <c r="AI1264" s="420"/>
      <c r="AJ1264" s="420"/>
      <c r="AK1264" s="420"/>
      <c r="AL1264" s="420"/>
      <c r="AM1264" s="420"/>
      <c r="AN1264" s="420"/>
      <c r="AO1264" s="420"/>
      <c r="AP1264" s="420"/>
      <c r="AQ1264" s="420"/>
      <c r="AR1264" s="403"/>
      <c r="AS1264" s="403"/>
      <c r="AT1264" s="403"/>
      <c r="AU1264" s="403"/>
      <c r="AV1264" s="403"/>
      <c r="AW1264" s="403"/>
      <c r="AX1264" s="403"/>
      <c r="AY1264" s="403"/>
    </row>
    <row r="1265">
      <c r="A1265" s="415"/>
      <c r="B1265" s="415"/>
      <c r="C1265" s="410"/>
      <c r="D1265" s="429"/>
      <c r="E1265" s="416"/>
      <c r="F1265" s="413"/>
      <c r="G1265" s="413"/>
      <c r="H1265" s="415"/>
      <c r="I1265" s="415"/>
      <c r="J1265" s="415"/>
      <c r="K1265" s="415"/>
      <c r="L1265" s="417"/>
      <c r="M1265" s="420"/>
      <c r="N1265" s="420"/>
      <c r="O1265" s="420"/>
      <c r="P1265" s="420"/>
      <c r="Q1265" s="420"/>
      <c r="R1265" s="420"/>
      <c r="S1265" s="420"/>
      <c r="T1265" s="420"/>
      <c r="U1265" s="420"/>
      <c r="V1265" s="420"/>
      <c r="W1265" s="420"/>
      <c r="X1265" s="420"/>
      <c r="Y1265" s="420"/>
      <c r="Z1265" s="420"/>
      <c r="AA1265" s="420"/>
      <c r="AB1265" s="420"/>
      <c r="AC1265" s="420"/>
      <c r="AD1265" s="420"/>
      <c r="AE1265" s="420"/>
      <c r="AF1265" s="420"/>
      <c r="AG1265" s="420"/>
      <c r="AH1265" s="420"/>
      <c r="AI1265" s="420"/>
      <c r="AJ1265" s="420"/>
      <c r="AK1265" s="420"/>
      <c r="AL1265" s="420"/>
      <c r="AM1265" s="420"/>
      <c r="AN1265" s="420"/>
      <c r="AO1265" s="420"/>
      <c r="AP1265" s="420"/>
      <c r="AQ1265" s="420"/>
      <c r="AR1265" s="403"/>
      <c r="AS1265" s="403"/>
      <c r="AT1265" s="403"/>
      <c r="AU1265" s="403"/>
      <c r="AV1265" s="403"/>
      <c r="AW1265" s="403"/>
      <c r="AX1265" s="403"/>
      <c r="AY1265" s="403"/>
    </row>
    <row r="1266">
      <c r="A1266" s="415"/>
      <c r="B1266" s="415"/>
      <c r="C1266" s="410"/>
      <c r="D1266" s="429"/>
      <c r="E1266" s="416"/>
      <c r="F1266" s="413"/>
      <c r="G1266" s="413"/>
      <c r="H1266" s="415"/>
      <c r="I1266" s="415"/>
      <c r="J1266" s="415"/>
      <c r="K1266" s="415"/>
      <c r="L1266" s="417"/>
      <c r="M1266" s="420"/>
      <c r="N1266" s="420"/>
      <c r="O1266" s="420"/>
      <c r="P1266" s="420"/>
      <c r="Q1266" s="420"/>
      <c r="R1266" s="420"/>
      <c r="S1266" s="420"/>
      <c r="T1266" s="420"/>
      <c r="U1266" s="420"/>
      <c r="V1266" s="420"/>
      <c r="W1266" s="420"/>
      <c r="X1266" s="420"/>
      <c r="Y1266" s="420"/>
      <c r="Z1266" s="420"/>
      <c r="AA1266" s="420"/>
      <c r="AB1266" s="420"/>
      <c r="AC1266" s="420"/>
      <c r="AD1266" s="420"/>
      <c r="AE1266" s="420"/>
      <c r="AF1266" s="420"/>
      <c r="AG1266" s="420"/>
      <c r="AH1266" s="420"/>
      <c r="AI1266" s="420"/>
      <c r="AJ1266" s="420"/>
      <c r="AK1266" s="420"/>
      <c r="AL1266" s="420"/>
      <c r="AM1266" s="420"/>
      <c r="AN1266" s="420"/>
      <c r="AO1266" s="420"/>
      <c r="AP1266" s="420"/>
      <c r="AQ1266" s="420"/>
      <c r="AR1266" s="403"/>
      <c r="AS1266" s="403"/>
      <c r="AT1266" s="403"/>
      <c r="AU1266" s="403"/>
      <c r="AV1266" s="403"/>
      <c r="AW1266" s="403"/>
      <c r="AX1266" s="403"/>
      <c r="AY1266" s="403"/>
    </row>
    <row r="1267">
      <c r="A1267" s="415"/>
      <c r="B1267" s="415"/>
      <c r="C1267" s="410"/>
      <c r="D1267" s="429"/>
      <c r="E1267" s="416"/>
      <c r="F1267" s="413"/>
      <c r="G1267" s="413"/>
      <c r="H1267" s="415"/>
      <c r="I1267" s="415"/>
      <c r="J1267" s="415"/>
      <c r="K1267" s="415"/>
      <c r="L1267" s="417"/>
      <c r="M1267" s="420"/>
      <c r="N1267" s="420"/>
      <c r="O1267" s="420"/>
      <c r="P1267" s="420"/>
      <c r="Q1267" s="420"/>
      <c r="R1267" s="420"/>
      <c r="S1267" s="420"/>
      <c r="T1267" s="420"/>
      <c r="U1267" s="420"/>
      <c r="V1267" s="420"/>
      <c r="W1267" s="420"/>
      <c r="X1267" s="420"/>
      <c r="Y1267" s="420"/>
      <c r="Z1267" s="420"/>
      <c r="AA1267" s="420"/>
      <c r="AB1267" s="420"/>
      <c r="AC1267" s="420"/>
      <c r="AD1267" s="420"/>
      <c r="AE1267" s="420"/>
      <c r="AF1267" s="420"/>
      <c r="AG1267" s="420"/>
      <c r="AH1267" s="420"/>
      <c r="AI1267" s="420"/>
      <c r="AJ1267" s="420"/>
      <c r="AK1267" s="420"/>
      <c r="AL1267" s="420"/>
      <c r="AM1267" s="420"/>
      <c r="AN1267" s="420"/>
      <c r="AO1267" s="420"/>
      <c r="AP1267" s="420"/>
      <c r="AQ1267" s="420"/>
      <c r="AR1267" s="403"/>
      <c r="AS1267" s="403"/>
      <c r="AT1267" s="403"/>
      <c r="AU1267" s="403"/>
      <c r="AV1267" s="403"/>
      <c r="AW1267" s="403"/>
      <c r="AX1267" s="403"/>
      <c r="AY1267" s="403"/>
    </row>
    <row r="1268">
      <c r="A1268" s="415"/>
      <c r="B1268" s="415"/>
      <c r="C1268" s="410"/>
      <c r="D1268" s="429"/>
      <c r="E1268" s="416"/>
      <c r="F1268" s="413"/>
      <c r="G1268" s="413"/>
      <c r="H1268" s="415"/>
      <c r="I1268" s="415"/>
      <c r="J1268" s="415"/>
      <c r="K1268" s="415"/>
      <c r="L1268" s="417"/>
      <c r="M1268" s="420"/>
      <c r="N1268" s="420"/>
      <c r="O1268" s="420"/>
      <c r="P1268" s="420"/>
      <c r="Q1268" s="420"/>
      <c r="R1268" s="420"/>
      <c r="S1268" s="420"/>
      <c r="T1268" s="420"/>
      <c r="U1268" s="420"/>
      <c r="V1268" s="420"/>
      <c r="W1268" s="420"/>
      <c r="X1268" s="420"/>
      <c r="Y1268" s="420"/>
      <c r="Z1268" s="420"/>
      <c r="AA1268" s="420"/>
      <c r="AB1268" s="420"/>
      <c r="AC1268" s="420"/>
      <c r="AD1268" s="420"/>
      <c r="AE1268" s="420"/>
      <c r="AF1268" s="420"/>
      <c r="AG1268" s="420"/>
      <c r="AH1268" s="420"/>
      <c r="AI1268" s="420"/>
      <c r="AJ1268" s="420"/>
      <c r="AK1268" s="420"/>
      <c r="AL1268" s="420"/>
      <c r="AM1268" s="420"/>
      <c r="AN1268" s="420"/>
      <c r="AO1268" s="420"/>
      <c r="AP1268" s="420"/>
      <c r="AQ1268" s="420"/>
      <c r="AR1268" s="403"/>
      <c r="AS1268" s="403"/>
      <c r="AT1268" s="403"/>
      <c r="AU1268" s="403"/>
      <c r="AV1268" s="403"/>
      <c r="AW1268" s="403"/>
      <c r="AX1268" s="403"/>
      <c r="AY1268" s="403"/>
    </row>
    <row r="1269">
      <c r="A1269" s="415"/>
      <c r="B1269" s="415"/>
      <c r="C1269" s="410"/>
      <c r="D1269" s="429"/>
      <c r="E1269" s="416"/>
      <c r="F1269" s="413"/>
      <c r="G1269" s="413"/>
      <c r="H1269" s="415"/>
      <c r="I1269" s="415"/>
      <c r="J1269" s="415"/>
      <c r="K1269" s="415"/>
      <c r="L1269" s="417"/>
      <c r="M1269" s="420"/>
      <c r="N1269" s="420"/>
      <c r="O1269" s="420"/>
      <c r="P1269" s="420"/>
      <c r="Q1269" s="420"/>
      <c r="R1269" s="420"/>
      <c r="S1269" s="420"/>
      <c r="T1269" s="420"/>
      <c r="U1269" s="420"/>
      <c r="V1269" s="420"/>
      <c r="W1269" s="420"/>
      <c r="X1269" s="420"/>
      <c r="Y1269" s="420"/>
      <c r="Z1269" s="420"/>
      <c r="AA1269" s="420"/>
      <c r="AB1269" s="420"/>
      <c r="AC1269" s="420"/>
      <c r="AD1269" s="420"/>
      <c r="AE1269" s="420"/>
      <c r="AF1269" s="420"/>
      <c r="AG1269" s="420"/>
      <c r="AH1269" s="420"/>
      <c r="AI1269" s="420"/>
      <c r="AJ1269" s="420"/>
      <c r="AK1269" s="420"/>
      <c r="AL1269" s="420"/>
      <c r="AM1269" s="420"/>
      <c r="AN1269" s="420"/>
      <c r="AO1269" s="420"/>
      <c r="AP1269" s="420"/>
      <c r="AQ1269" s="420"/>
      <c r="AR1269" s="403"/>
      <c r="AS1269" s="403"/>
      <c r="AT1269" s="403"/>
      <c r="AU1269" s="403"/>
      <c r="AV1269" s="403"/>
      <c r="AW1269" s="403"/>
      <c r="AX1269" s="403"/>
      <c r="AY1269" s="403"/>
    </row>
    <row r="1270">
      <c r="A1270" s="415"/>
      <c r="B1270" s="415"/>
      <c r="C1270" s="410"/>
      <c r="D1270" s="429"/>
      <c r="E1270" s="416"/>
      <c r="F1270" s="413"/>
      <c r="G1270" s="413"/>
      <c r="H1270" s="415"/>
      <c r="I1270" s="415"/>
      <c r="J1270" s="415"/>
      <c r="K1270" s="415"/>
      <c r="L1270" s="417"/>
      <c r="M1270" s="420"/>
      <c r="N1270" s="420"/>
      <c r="O1270" s="420"/>
      <c r="P1270" s="420"/>
      <c r="Q1270" s="420"/>
      <c r="R1270" s="420"/>
      <c r="S1270" s="420"/>
      <c r="T1270" s="420"/>
      <c r="U1270" s="420"/>
      <c r="V1270" s="420"/>
      <c r="W1270" s="420"/>
      <c r="X1270" s="420"/>
      <c r="Y1270" s="420"/>
      <c r="Z1270" s="420"/>
      <c r="AA1270" s="420"/>
      <c r="AB1270" s="420"/>
      <c r="AC1270" s="420"/>
      <c r="AD1270" s="420"/>
      <c r="AE1270" s="420"/>
      <c r="AF1270" s="420"/>
      <c r="AG1270" s="420"/>
      <c r="AH1270" s="420"/>
      <c r="AI1270" s="420"/>
      <c r="AJ1270" s="420"/>
      <c r="AK1270" s="420"/>
      <c r="AL1270" s="420"/>
      <c r="AM1270" s="420"/>
      <c r="AN1270" s="420"/>
      <c r="AO1270" s="420"/>
      <c r="AP1270" s="420"/>
      <c r="AQ1270" s="420"/>
      <c r="AR1270" s="403"/>
      <c r="AS1270" s="403"/>
      <c r="AT1270" s="403"/>
      <c r="AU1270" s="403"/>
      <c r="AV1270" s="403"/>
      <c r="AW1270" s="403"/>
      <c r="AX1270" s="403"/>
      <c r="AY1270" s="403"/>
    </row>
    <row r="1271">
      <c r="A1271" s="415"/>
      <c r="B1271" s="415"/>
      <c r="C1271" s="410"/>
      <c r="D1271" s="429"/>
      <c r="E1271" s="416"/>
      <c r="F1271" s="413"/>
      <c r="G1271" s="413"/>
      <c r="H1271" s="415"/>
      <c r="I1271" s="415"/>
      <c r="J1271" s="415"/>
      <c r="K1271" s="415"/>
      <c r="L1271" s="417"/>
      <c r="M1271" s="420"/>
      <c r="N1271" s="420"/>
      <c r="O1271" s="420"/>
      <c r="P1271" s="420"/>
      <c r="Q1271" s="420"/>
      <c r="R1271" s="420"/>
      <c r="S1271" s="420"/>
      <c r="T1271" s="420"/>
      <c r="U1271" s="420"/>
      <c r="V1271" s="420"/>
      <c r="W1271" s="420"/>
      <c r="X1271" s="420"/>
      <c r="Y1271" s="420"/>
      <c r="Z1271" s="420"/>
      <c r="AA1271" s="420"/>
      <c r="AB1271" s="420"/>
      <c r="AC1271" s="420"/>
      <c r="AD1271" s="420"/>
      <c r="AE1271" s="420"/>
      <c r="AF1271" s="420"/>
      <c r="AG1271" s="420"/>
      <c r="AH1271" s="420"/>
      <c r="AI1271" s="420"/>
      <c r="AJ1271" s="420"/>
      <c r="AK1271" s="420"/>
      <c r="AL1271" s="420"/>
      <c r="AM1271" s="420"/>
      <c r="AN1271" s="420"/>
      <c r="AO1271" s="420"/>
      <c r="AP1271" s="420"/>
      <c r="AQ1271" s="420"/>
      <c r="AR1271" s="403"/>
      <c r="AS1271" s="403"/>
      <c r="AT1271" s="403"/>
      <c r="AU1271" s="403"/>
      <c r="AV1271" s="403"/>
      <c r="AW1271" s="403"/>
      <c r="AX1271" s="403"/>
      <c r="AY1271" s="403"/>
    </row>
    <row r="1272">
      <c r="A1272" s="415"/>
      <c r="B1272" s="415"/>
      <c r="C1272" s="410"/>
      <c r="D1272" s="429"/>
      <c r="E1272" s="416"/>
      <c r="F1272" s="413"/>
      <c r="G1272" s="413"/>
      <c r="H1272" s="415"/>
      <c r="I1272" s="415"/>
      <c r="J1272" s="415"/>
      <c r="K1272" s="415"/>
      <c r="L1272" s="417"/>
      <c r="M1272" s="420"/>
      <c r="N1272" s="420"/>
      <c r="O1272" s="420"/>
      <c r="P1272" s="420"/>
      <c r="Q1272" s="420"/>
      <c r="R1272" s="420"/>
      <c r="S1272" s="420"/>
      <c r="T1272" s="420"/>
      <c r="U1272" s="420"/>
      <c r="V1272" s="420"/>
      <c r="W1272" s="420"/>
      <c r="X1272" s="420"/>
      <c r="Y1272" s="420"/>
      <c r="Z1272" s="420"/>
      <c r="AA1272" s="420"/>
      <c r="AB1272" s="420"/>
      <c r="AC1272" s="420"/>
      <c r="AD1272" s="420"/>
      <c r="AE1272" s="420"/>
      <c r="AF1272" s="420"/>
      <c r="AG1272" s="420"/>
      <c r="AH1272" s="420"/>
      <c r="AI1272" s="420"/>
      <c r="AJ1272" s="420"/>
      <c r="AK1272" s="420"/>
      <c r="AL1272" s="420"/>
      <c r="AM1272" s="420"/>
      <c r="AN1272" s="420"/>
      <c r="AO1272" s="420"/>
      <c r="AP1272" s="420"/>
      <c r="AQ1272" s="420"/>
      <c r="AR1272" s="403"/>
      <c r="AS1272" s="403"/>
      <c r="AT1272" s="403"/>
      <c r="AU1272" s="403"/>
      <c r="AV1272" s="403"/>
      <c r="AW1272" s="403"/>
      <c r="AX1272" s="403"/>
      <c r="AY1272" s="403"/>
    </row>
    <row r="1273">
      <c r="A1273" s="415"/>
      <c r="B1273" s="415"/>
      <c r="C1273" s="410"/>
      <c r="D1273" s="429"/>
      <c r="E1273" s="416"/>
      <c r="F1273" s="413"/>
      <c r="G1273" s="413"/>
      <c r="H1273" s="415"/>
      <c r="I1273" s="415"/>
      <c r="J1273" s="415"/>
      <c r="K1273" s="415"/>
      <c r="L1273" s="417"/>
      <c r="M1273" s="420"/>
      <c r="N1273" s="420"/>
      <c r="O1273" s="420"/>
      <c r="P1273" s="420"/>
      <c r="Q1273" s="420"/>
      <c r="R1273" s="420"/>
      <c r="S1273" s="420"/>
      <c r="T1273" s="420"/>
      <c r="U1273" s="420"/>
      <c r="V1273" s="420"/>
      <c r="W1273" s="420"/>
      <c r="X1273" s="420"/>
      <c r="Y1273" s="420"/>
      <c r="Z1273" s="420"/>
      <c r="AA1273" s="420"/>
      <c r="AB1273" s="420"/>
      <c r="AC1273" s="420"/>
      <c r="AD1273" s="420"/>
      <c r="AE1273" s="420"/>
      <c r="AF1273" s="420"/>
      <c r="AG1273" s="420"/>
      <c r="AH1273" s="420"/>
      <c r="AI1273" s="420"/>
      <c r="AJ1273" s="420"/>
      <c r="AK1273" s="420"/>
      <c r="AL1273" s="420"/>
      <c r="AM1273" s="420"/>
      <c r="AN1273" s="420"/>
      <c r="AO1273" s="420"/>
      <c r="AP1273" s="420"/>
      <c r="AQ1273" s="420"/>
      <c r="AR1273" s="403"/>
      <c r="AS1273" s="403"/>
      <c r="AT1273" s="403"/>
      <c r="AU1273" s="403"/>
      <c r="AV1273" s="403"/>
      <c r="AW1273" s="403"/>
      <c r="AX1273" s="403"/>
      <c r="AY1273" s="403"/>
    </row>
    <row r="1274">
      <c r="A1274" s="415"/>
      <c r="B1274" s="415"/>
      <c r="C1274" s="410"/>
      <c r="D1274" s="429"/>
      <c r="E1274" s="416"/>
      <c r="F1274" s="413"/>
      <c r="G1274" s="413"/>
      <c r="H1274" s="415"/>
      <c r="I1274" s="415"/>
      <c r="J1274" s="415"/>
      <c r="K1274" s="415"/>
      <c r="L1274" s="417"/>
      <c r="M1274" s="420"/>
      <c r="N1274" s="420"/>
      <c r="O1274" s="420"/>
      <c r="P1274" s="420"/>
      <c r="Q1274" s="420"/>
      <c r="R1274" s="420"/>
      <c r="S1274" s="420"/>
      <c r="T1274" s="420"/>
      <c r="U1274" s="420"/>
      <c r="V1274" s="420"/>
      <c r="W1274" s="420"/>
      <c r="X1274" s="420"/>
      <c r="Y1274" s="420"/>
      <c r="Z1274" s="420"/>
      <c r="AA1274" s="420"/>
      <c r="AB1274" s="420"/>
      <c r="AC1274" s="420"/>
      <c r="AD1274" s="420"/>
      <c r="AE1274" s="420"/>
      <c r="AF1274" s="420"/>
      <c r="AG1274" s="420"/>
      <c r="AH1274" s="420"/>
      <c r="AI1274" s="420"/>
      <c r="AJ1274" s="420"/>
      <c r="AK1274" s="420"/>
      <c r="AL1274" s="420"/>
      <c r="AM1274" s="420"/>
      <c r="AN1274" s="420"/>
      <c r="AO1274" s="420"/>
      <c r="AP1274" s="420"/>
      <c r="AQ1274" s="420"/>
      <c r="AR1274" s="403"/>
      <c r="AS1274" s="403"/>
      <c r="AT1274" s="403"/>
      <c r="AU1274" s="403"/>
      <c r="AV1274" s="403"/>
      <c r="AW1274" s="403"/>
      <c r="AX1274" s="403"/>
      <c r="AY1274" s="403"/>
    </row>
    <row r="1275">
      <c r="A1275" s="415"/>
      <c r="B1275" s="415"/>
      <c r="C1275" s="410"/>
      <c r="D1275" s="429"/>
      <c r="E1275" s="416"/>
      <c r="F1275" s="413"/>
      <c r="G1275" s="413"/>
      <c r="H1275" s="415"/>
      <c r="I1275" s="415"/>
      <c r="J1275" s="415"/>
      <c r="K1275" s="415"/>
      <c r="L1275" s="417"/>
      <c r="M1275" s="420"/>
      <c r="N1275" s="420"/>
      <c r="O1275" s="420"/>
      <c r="P1275" s="420"/>
      <c r="Q1275" s="420"/>
      <c r="R1275" s="420"/>
      <c r="S1275" s="420"/>
      <c r="T1275" s="420"/>
      <c r="U1275" s="420"/>
      <c r="V1275" s="420"/>
      <c r="W1275" s="420"/>
      <c r="X1275" s="420"/>
      <c r="Y1275" s="420"/>
      <c r="Z1275" s="420"/>
      <c r="AA1275" s="420"/>
      <c r="AB1275" s="420"/>
      <c r="AC1275" s="420"/>
      <c r="AD1275" s="420"/>
      <c r="AE1275" s="420"/>
      <c r="AF1275" s="420"/>
      <c r="AG1275" s="420"/>
      <c r="AH1275" s="420"/>
      <c r="AI1275" s="420"/>
      <c r="AJ1275" s="420"/>
      <c r="AK1275" s="420"/>
      <c r="AL1275" s="420"/>
      <c r="AM1275" s="420"/>
      <c r="AN1275" s="420"/>
      <c r="AO1275" s="420"/>
      <c r="AP1275" s="420"/>
      <c r="AQ1275" s="420"/>
      <c r="AR1275" s="403"/>
      <c r="AS1275" s="403"/>
      <c r="AT1275" s="403"/>
      <c r="AU1275" s="403"/>
      <c r="AV1275" s="403"/>
      <c r="AW1275" s="403"/>
      <c r="AX1275" s="403"/>
      <c r="AY1275" s="403"/>
    </row>
    <row r="1276">
      <c r="A1276" s="415"/>
      <c r="B1276" s="415"/>
      <c r="C1276" s="410"/>
      <c r="D1276" s="429"/>
      <c r="E1276" s="416"/>
      <c r="F1276" s="413"/>
      <c r="G1276" s="413"/>
      <c r="H1276" s="415"/>
      <c r="I1276" s="415"/>
      <c r="J1276" s="415"/>
      <c r="K1276" s="415"/>
      <c r="L1276" s="417"/>
      <c r="M1276" s="420"/>
      <c r="N1276" s="420"/>
      <c r="O1276" s="420"/>
      <c r="P1276" s="420"/>
      <c r="Q1276" s="420"/>
      <c r="R1276" s="420"/>
      <c r="S1276" s="420"/>
      <c r="T1276" s="420"/>
      <c r="U1276" s="420"/>
      <c r="V1276" s="420"/>
      <c r="W1276" s="420"/>
      <c r="X1276" s="420"/>
      <c r="Y1276" s="420"/>
      <c r="Z1276" s="420"/>
      <c r="AA1276" s="420"/>
      <c r="AB1276" s="420"/>
      <c r="AC1276" s="420"/>
      <c r="AD1276" s="420"/>
      <c r="AE1276" s="420"/>
      <c r="AF1276" s="420"/>
      <c r="AG1276" s="420"/>
      <c r="AH1276" s="420"/>
      <c r="AI1276" s="420"/>
      <c r="AJ1276" s="420"/>
      <c r="AK1276" s="420"/>
      <c r="AL1276" s="420"/>
      <c r="AM1276" s="420"/>
      <c r="AN1276" s="420"/>
      <c r="AO1276" s="420"/>
      <c r="AP1276" s="420"/>
      <c r="AQ1276" s="420"/>
      <c r="AR1276" s="403"/>
      <c r="AS1276" s="403"/>
      <c r="AT1276" s="403"/>
      <c r="AU1276" s="403"/>
      <c r="AV1276" s="403"/>
      <c r="AW1276" s="403"/>
      <c r="AX1276" s="403"/>
      <c r="AY1276" s="403"/>
    </row>
    <row r="1277">
      <c r="A1277" s="415"/>
      <c r="B1277" s="415"/>
      <c r="C1277" s="410"/>
      <c r="D1277" s="429"/>
      <c r="E1277" s="416"/>
      <c r="F1277" s="413"/>
      <c r="G1277" s="413"/>
      <c r="H1277" s="415"/>
      <c r="I1277" s="415"/>
      <c r="J1277" s="415"/>
      <c r="K1277" s="415"/>
      <c r="L1277" s="417"/>
      <c r="M1277" s="420"/>
      <c r="N1277" s="420"/>
      <c r="O1277" s="420"/>
      <c r="P1277" s="420"/>
      <c r="Q1277" s="420"/>
      <c r="R1277" s="420"/>
      <c r="S1277" s="420"/>
      <c r="T1277" s="420"/>
      <c r="U1277" s="420"/>
      <c r="V1277" s="420"/>
      <c r="W1277" s="420"/>
      <c r="X1277" s="420"/>
      <c r="Y1277" s="420"/>
      <c r="Z1277" s="420"/>
      <c r="AA1277" s="420"/>
      <c r="AB1277" s="420"/>
      <c r="AC1277" s="420"/>
      <c r="AD1277" s="420"/>
      <c r="AE1277" s="420"/>
      <c r="AF1277" s="420"/>
      <c r="AG1277" s="420"/>
      <c r="AH1277" s="420"/>
      <c r="AI1277" s="420"/>
      <c r="AJ1277" s="420"/>
      <c r="AK1277" s="420"/>
      <c r="AL1277" s="420"/>
      <c r="AM1277" s="420"/>
      <c r="AN1277" s="420"/>
      <c r="AO1277" s="420"/>
      <c r="AP1277" s="420"/>
      <c r="AQ1277" s="420"/>
      <c r="AR1277" s="403"/>
      <c r="AS1277" s="403"/>
      <c r="AT1277" s="403"/>
      <c r="AU1277" s="403"/>
      <c r="AV1277" s="403"/>
      <c r="AW1277" s="403"/>
      <c r="AX1277" s="403"/>
      <c r="AY1277" s="403"/>
    </row>
    <row r="1278">
      <c r="A1278" s="415"/>
      <c r="B1278" s="415"/>
      <c r="C1278" s="410"/>
      <c r="D1278" s="429"/>
      <c r="E1278" s="416"/>
      <c r="F1278" s="413"/>
      <c r="G1278" s="413"/>
      <c r="H1278" s="415"/>
      <c r="I1278" s="415"/>
      <c r="J1278" s="415"/>
      <c r="K1278" s="415"/>
      <c r="L1278" s="417"/>
      <c r="M1278" s="420"/>
      <c r="N1278" s="420"/>
      <c r="O1278" s="420"/>
      <c r="P1278" s="420"/>
      <c r="Q1278" s="420"/>
      <c r="R1278" s="420"/>
      <c r="S1278" s="420"/>
      <c r="T1278" s="420"/>
      <c r="U1278" s="420"/>
      <c r="V1278" s="420"/>
      <c r="W1278" s="420"/>
      <c r="X1278" s="420"/>
      <c r="Y1278" s="420"/>
      <c r="Z1278" s="420"/>
      <c r="AA1278" s="420"/>
      <c r="AB1278" s="420"/>
      <c r="AC1278" s="420"/>
      <c r="AD1278" s="420"/>
      <c r="AE1278" s="420"/>
      <c r="AF1278" s="420"/>
      <c r="AG1278" s="420"/>
      <c r="AH1278" s="420"/>
      <c r="AI1278" s="420"/>
      <c r="AJ1278" s="420"/>
      <c r="AK1278" s="420"/>
      <c r="AL1278" s="420"/>
      <c r="AM1278" s="420"/>
      <c r="AN1278" s="420"/>
      <c r="AO1278" s="420"/>
      <c r="AP1278" s="420"/>
      <c r="AQ1278" s="420"/>
      <c r="AR1278" s="403"/>
      <c r="AS1278" s="403"/>
      <c r="AT1278" s="403"/>
      <c r="AU1278" s="403"/>
      <c r="AV1278" s="403"/>
      <c r="AW1278" s="403"/>
      <c r="AX1278" s="403"/>
      <c r="AY1278" s="403"/>
    </row>
    <row r="1279">
      <c r="A1279" s="415"/>
      <c r="B1279" s="415"/>
      <c r="C1279" s="410"/>
      <c r="D1279" s="429"/>
      <c r="E1279" s="416"/>
      <c r="F1279" s="413"/>
      <c r="G1279" s="413"/>
      <c r="H1279" s="415"/>
      <c r="I1279" s="415"/>
      <c r="J1279" s="415"/>
      <c r="K1279" s="415"/>
      <c r="L1279" s="417"/>
      <c r="M1279" s="420"/>
      <c r="N1279" s="420"/>
      <c r="O1279" s="420"/>
      <c r="P1279" s="420"/>
      <c r="Q1279" s="420"/>
      <c r="R1279" s="420"/>
      <c r="S1279" s="420"/>
      <c r="T1279" s="420"/>
      <c r="U1279" s="420"/>
      <c r="V1279" s="420"/>
      <c r="W1279" s="420"/>
      <c r="X1279" s="420"/>
      <c r="Y1279" s="420"/>
      <c r="Z1279" s="420"/>
      <c r="AA1279" s="420"/>
      <c r="AB1279" s="420"/>
      <c r="AC1279" s="420"/>
      <c r="AD1279" s="420"/>
      <c r="AE1279" s="420"/>
      <c r="AF1279" s="420"/>
      <c r="AG1279" s="420"/>
      <c r="AH1279" s="420"/>
      <c r="AI1279" s="420"/>
      <c r="AJ1279" s="420"/>
      <c r="AK1279" s="420"/>
      <c r="AL1279" s="420"/>
      <c r="AM1279" s="420"/>
      <c r="AN1279" s="420"/>
      <c r="AO1279" s="420"/>
      <c r="AP1279" s="420"/>
      <c r="AQ1279" s="420"/>
      <c r="AR1279" s="403"/>
      <c r="AS1279" s="403"/>
      <c r="AT1279" s="403"/>
      <c r="AU1279" s="403"/>
      <c r="AV1279" s="403"/>
      <c r="AW1279" s="403"/>
      <c r="AX1279" s="403"/>
      <c r="AY1279" s="403"/>
    </row>
    <row r="1280">
      <c r="A1280" s="415"/>
      <c r="B1280" s="415"/>
      <c r="C1280" s="410"/>
      <c r="D1280" s="429"/>
      <c r="E1280" s="416"/>
      <c r="F1280" s="413"/>
      <c r="G1280" s="413"/>
      <c r="H1280" s="415"/>
      <c r="I1280" s="415"/>
      <c r="J1280" s="415"/>
      <c r="K1280" s="415"/>
      <c r="L1280" s="417"/>
      <c r="M1280" s="420"/>
      <c r="N1280" s="420"/>
      <c r="O1280" s="420"/>
      <c r="P1280" s="420"/>
      <c r="Q1280" s="420"/>
      <c r="R1280" s="420"/>
      <c r="S1280" s="420"/>
      <c r="T1280" s="420"/>
      <c r="U1280" s="420"/>
      <c r="V1280" s="420"/>
      <c r="W1280" s="420"/>
      <c r="X1280" s="420"/>
      <c r="Y1280" s="420"/>
      <c r="Z1280" s="420"/>
      <c r="AA1280" s="420"/>
      <c r="AB1280" s="420"/>
      <c r="AC1280" s="420"/>
      <c r="AD1280" s="420"/>
      <c r="AE1280" s="420"/>
      <c r="AF1280" s="420"/>
      <c r="AG1280" s="420"/>
      <c r="AH1280" s="420"/>
      <c r="AI1280" s="420"/>
      <c r="AJ1280" s="420"/>
      <c r="AK1280" s="420"/>
      <c r="AL1280" s="420"/>
      <c r="AM1280" s="420"/>
      <c r="AN1280" s="420"/>
      <c r="AO1280" s="420"/>
      <c r="AP1280" s="420"/>
      <c r="AQ1280" s="420"/>
      <c r="AR1280" s="403"/>
      <c r="AS1280" s="403"/>
      <c r="AT1280" s="403"/>
      <c r="AU1280" s="403"/>
      <c r="AV1280" s="403"/>
      <c r="AW1280" s="403"/>
      <c r="AX1280" s="403"/>
      <c r="AY1280" s="403"/>
    </row>
    <row r="1281">
      <c r="A1281" s="415"/>
      <c r="B1281" s="415"/>
      <c r="C1281" s="410"/>
      <c r="D1281" s="429"/>
      <c r="E1281" s="416"/>
      <c r="F1281" s="413"/>
      <c r="G1281" s="413"/>
      <c r="H1281" s="415"/>
      <c r="I1281" s="415"/>
      <c r="J1281" s="415"/>
      <c r="K1281" s="415"/>
      <c r="L1281" s="417"/>
      <c r="M1281" s="420"/>
      <c r="N1281" s="420"/>
      <c r="O1281" s="420"/>
      <c r="P1281" s="420"/>
      <c r="Q1281" s="420"/>
      <c r="R1281" s="420"/>
      <c r="S1281" s="420"/>
      <c r="T1281" s="420"/>
      <c r="U1281" s="420"/>
      <c r="V1281" s="420"/>
      <c r="W1281" s="420"/>
      <c r="X1281" s="420"/>
      <c r="Y1281" s="420"/>
      <c r="Z1281" s="420"/>
      <c r="AA1281" s="420"/>
      <c r="AB1281" s="420"/>
      <c r="AC1281" s="420"/>
      <c r="AD1281" s="420"/>
      <c r="AE1281" s="420"/>
      <c r="AF1281" s="420"/>
      <c r="AG1281" s="420"/>
      <c r="AH1281" s="420"/>
      <c r="AI1281" s="420"/>
      <c r="AJ1281" s="420"/>
      <c r="AK1281" s="420"/>
      <c r="AL1281" s="420"/>
      <c r="AM1281" s="420"/>
      <c r="AN1281" s="420"/>
      <c r="AO1281" s="420"/>
      <c r="AP1281" s="420"/>
      <c r="AQ1281" s="420"/>
      <c r="AR1281" s="403"/>
      <c r="AS1281" s="403"/>
      <c r="AT1281" s="403"/>
      <c r="AU1281" s="403"/>
      <c r="AV1281" s="403"/>
      <c r="AW1281" s="403"/>
      <c r="AX1281" s="403"/>
      <c r="AY1281" s="403"/>
    </row>
    <row r="1282">
      <c r="A1282" s="415"/>
      <c r="B1282" s="415"/>
      <c r="C1282" s="410"/>
      <c r="D1282" s="429"/>
      <c r="E1282" s="416"/>
      <c r="F1282" s="413"/>
      <c r="G1282" s="413"/>
      <c r="H1282" s="415"/>
      <c r="I1282" s="415"/>
      <c r="J1282" s="415"/>
      <c r="K1282" s="415"/>
      <c r="L1282" s="417"/>
      <c r="M1282" s="420"/>
      <c r="N1282" s="420"/>
      <c r="O1282" s="420"/>
      <c r="P1282" s="420"/>
      <c r="Q1282" s="420"/>
      <c r="R1282" s="420"/>
      <c r="S1282" s="420"/>
      <c r="T1282" s="420"/>
      <c r="U1282" s="420"/>
      <c r="V1282" s="420"/>
      <c r="W1282" s="420"/>
      <c r="X1282" s="420"/>
      <c r="Y1282" s="420"/>
      <c r="Z1282" s="420"/>
      <c r="AA1282" s="420"/>
      <c r="AB1282" s="420"/>
      <c r="AC1282" s="420"/>
      <c r="AD1282" s="420"/>
      <c r="AE1282" s="420"/>
      <c r="AF1282" s="420"/>
      <c r="AG1282" s="420"/>
      <c r="AH1282" s="420"/>
      <c r="AI1282" s="420"/>
      <c r="AJ1282" s="420"/>
      <c r="AK1282" s="420"/>
      <c r="AL1282" s="420"/>
      <c r="AM1282" s="420"/>
      <c r="AN1282" s="420"/>
      <c r="AO1282" s="420"/>
      <c r="AP1282" s="420"/>
      <c r="AQ1282" s="420"/>
      <c r="AR1282" s="403"/>
      <c r="AS1282" s="403"/>
      <c r="AT1282" s="403"/>
      <c r="AU1282" s="403"/>
      <c r="AV1282" s="403"/>
      <c r="AW1282" s="403"/>
      <c r="AX1282" s="403"/>
      <c r="AY1282" s="403"/>
    </row>
    <row r="1283">
      <c r="A1283" s="415"/>
      <c r="B1283" s="415"/>
      <c r="C1283" s="410"/>
      <c r="D1283" s="429"/>
      <c r="E1283" s="416"/>
      <c r="F1283" s="413"/>
      <c r="G1283" s="413"/>
      <c r="H1283" s="415"/>
      <c r="I1283" s="415"/>
      <c r="J1283" s="415"/>
      <c r="K1283" s="415"/>
      <c r="L1283" s="417"/>
      <c r="M1283" s="420"/>
      <c r="N1283" s="420"/>
      <c r="O1283" s="420"/>
      <c r="P1283" s="420"/>
      <c r="Q1283" s="420"/>
      <c r="R1283" s="420"/>
      <c r="S1283" s="420"/>
      <c r="T1283" s="420"/>
      <c r="U1283" s="420"/>
      <c r="V1283" s="420"/>
      <c r="W1283" s="420"/>
      <c r="X1283" s="420"/>
      <c r="Y1283" s="420"/>
      <c r="Z1283" s="420"/>
      <c r="AA1283" s="420"/>
      <c r="AB1283" s="420"/>
      <c r="AC1283" s="420"/>
      <c r="AD1283" s="420"/>
      <c r="AE1283" s="420"/>
      <c r="AF1283" s="420"/>
      <c r="AG1283" s="420"/>
      <c r="AH1283" s="420"/>
      <c r="AI1283" s="420"/>
      <c r="AJ1283" s="420"/>
      <c r="AK1283" s="420"/>
      <c r="AL1283" s="420"/>
      <c r="AM1283" s="420"/>
      <c r="AN1283" s="420"/>
      <c r="AO1283" s="420"/>
      <c r="AP1283" s="420"/>
      <c r="AQ1283" s="420"/>
      <c r="AR1283" s="403"/>
      <c r="AS1283" s="403"/>
      <c r="AT1283" s="403"/>
      <c r="AU1283" s="403"/>
      <c r="AV1283" s="403"/>
      <c r="AW1283" s="403"/>
      <c r="AX1283" s="403"/>
      <c r="AY1283" s="403"/>
    </row>
    <row r="1284">
      <c r="A1284" s="415"/>
      <c r="B1284" s="415"/>
      <c r="C1284" s="410"/>
      <c r="D1284" s="429"/>
      <c r="E1284" s="416"/>
      <c r="F1284" s="413"/>
      <c r="G1284" s="413"/>
      <c r="H1284" s="415"/>
      <c r="I1284" s="415"/>
      <c r="J1284" s="415"/>
      <c r="K1284" s="415"/>
      <c r="L1284" s="417"/>
      <c r="M1284" s="420"/>
      <c r="N1284" s="420"/>
      <c r="O1284" s="420"/>
      <c r="P1284" s="420"/>
      <c r="Q1284" s="420"/>
      <c r="R1284" s="420"/>
      <c r="S1284" s="420"/>
      <c r="T1284" s="420"/>
      <c r="U1284" s="420"/>
      <c r="V1284" s="420"/>
      <c r="W1284" s="420"/>
      <c r="X1284" s="420"/>
      <c r="Y1284" s="420"/>
      <c r="Z1284" s="420"/>
      <c r="AA1284" s="420"/>
      <c r="AB1284" s="420"/>
      <c r="AC1284" s="420"/>
      <c r="AD1284" s="420"/>
      <c r="AE1284" s="420"/>
      <c r="AF1284" s="420"/>
      <c r="AG1284" s="420"/>
      <c r="AH1284" s="420"/>
      <c r="AI1284" s="420"/>
      <c r="AJ1284" s="420"/>
      <c r="AK1284" s="420"/>
      <c r="AL1284" s="420"/>
      <c r="AM1284" s="420"/>
      <c r="AN1284" s="420"/>
      <c r="AO1284" s="420"/>
      <c r="AP1284" s="420"/>
      <c r="AQ1284" s="420"/>
      <c r="AR1284" s="403"/>
      <c r="AS1284" s="403"/>
      <c r="AT1284" s="403"/>
      <c r="AU1284" s="403"/>
      <c r="AV1284" s="403"/>
      <c r="AW1284" s="403"/>
      <c r="AX1284" s="403"/>
      <c r="AY1284" s="403"/>
    </row>
    <row r="1285">
      <c r="A1285" s="415"/>
      <c r="B1285" s="415"/>
      <c r="C1285" s="410"/>
      <c r="D1285" s="429"/>
      <c r="E1285" s="416"/>
      <c r="F1285" s="413"/>
      <c r="G1285" s="413"/>
      <c r="H1285" s="415"/>
      <c r="I1285" s="415"/>
      <c r="J1285" s="415"/>
      <c r="K1285" s="415"/>
      <c r="L1285" s="417"/>
      <c r="M1285" s="420"/>
      <c r="N1285" s="420"/>
      <c r="O1285" s="420"/>
      <c r="P1285" s="420"/>
      <c r="Q1285" s="420"/>
      <c r="R1285" s="420"/>
      <c r="S1285" s="420"/>
      <c r="T1285" s="420"/>
      <c r="U1285" s="420"/>
      <c r="V1285" s="420"/>
      <c r="W1285" s="420"/>
      <c r="X1285" s="420"/>
      <c r="Y1285" s="420"/>
      <c r="Z1285" s="420"/>
      <c r="AA1285" s="420"/>
      <c r="AB1285" s="420"/>
      <c r="AC1285" s="420"/>
      <c r="AD1285" s="420"/>
      <c r="AE1285" s="420"/>
      <c r="AF1285" s="420"/>
      <c r="AG1285" s="420"/>
      <c r="AH1285" s="420"/>
      <c r="AI1285" s="420"/>
      <c r="AJ1285" s="420"/>
      <c r="AK1285" s="420"/>
      <c r="AL1285" s="420"/>
      <c r="AM1285" s="420"/>
      <c r="AN1285" s="420"/>
      <c r="AO1285" s="420"/>
      <c r="AP1285" s="420"/>
      <c r="AQ1285" s="420"/>
      <c r="AR1285" s="403"/>
      <c r="AS1285" s="403"/>
      <c r="AT1285" s="403"/>
      <c r="AU1285" s="403"/>
      <c r="AV1285" s="403"/>
      <c r="AW1285" s="403"/>
      <c r="AX1285" s="403"/>
      <c r="AY1285" s="403"/>
    </row>
    <row r="1286">
      <c r="A1286" s="415"/>
      <c r="B1286" s="415"/>
      <c r="C1286" s="410"/>
      <c r="D1286" s="429"/>
      <c r="E1286" s="416"/>
      <c r="F1286" s="413"/>
      <c r="G1286" s="413"/>
      <c r="H1286" s="415"/>
      <c r="I1286" s="415"/>
      <c r="J1286" s="415"/>
      <c r="K1286" s="415"/>
      <c r="L1286" s="417"/>
      <c r="M1286" s="420"/>
      <c r="N1286" s="420"/>
      <c r="O1286" s="420"/>
      <c r="P1286" s="420"/>
      <c r="Q1286" s="420"/>
      <c r="R1286" s="420"/>
      <c r="S1286" s="420"/>
      <c r="T1286" s="420"/>
      <c r="U1286" s="420"/>
      <c r="V1286" s="420"/>
      <c r="W1286" s="420"/>
      <c r="X1286" s="420"/>
      <c r="Y1286" s="420"/>
      <c r="Z1286" s="420"/>
      <c r="AA1286" s="420"/>
      <c r="AB1286" s="420"/>
      <c r="AC1286" s="420"/>
      <c r="AD1286" s="420"/>
      <c r="AE1286" s="420"/>
      <c r="AF1286" s="420"/>
      <c r="AG1286" s="420"/>
      <c r="AH1286" s="420"/>
      <c r="AI1286" s="420"/>
      <c r="AJ1286" s="420"/>
      <c r="AK1286" s="420"/>
      <c r="AL1286" s="420"/>
      <c r="AM1286" s="420"/>
      <c r="AN1286" s="420"/>
      <c r="AO1286" s="420"/>
      <c r="AP1286" s="420"/>
      <c r="AQ1286" s="420"/>
      <c r="AR1286" s="403"/>
      <c r="AS1286" s="403"/>
      <c r="AT1286" s="403"/>
      <c r="AU1286" s="403"/>
      <c r="AV1286" s="403"/>
      <c r="AW1286" s="403"/>
      <c r="AX1286" s="403"/>
      <c r="AY1286" s="403"/>
    </row>
    <row r="1287">
      <c r="A1287" s="415"/>
      <c r="B1287" s="415"/>
      <c r="C1287" s="410"/>
      <c r="D1287" s="429"/>
      <c r="E1287" s="416"/>
      <c r="F1287" s="413"/>
      <c r="G1287" s="413"/>
      <c r="H1287" s="415"/>
      <c r="I1287" s="415"/>
      <c r="J1287" s="415"/>
      <c r="K1287" s="415"/>
      <c r="L1287" s="417"/>
      <c r="M1287" s="420"/>
      <c r="N1287" s="420"/>
      <c r="O1287" s="420"/>
      <c r="P1287" s="420"/>
      <c r="Q1287" s="420"/>
      <c r="R1287" s="420"/>
      <c r="S1287" s="420"/>
      <c r="T1287" s="420"/>
      <c r="U1287" s="420"/>
      <c r="V1287" s="420"/>
      <c r="W1287" s="420"/>
      <c r="X1287" s="420"/>
      <c r="Y1287" s="420"/>
      <c r="Z1287" s="420"/>
      <c r="AA1287" s="420"/>
      <c r="AB1287" s="420"/>
      <c r="AC1287" s="420"/>
      <c r="AD1287" s="420"/>
      <c r="AE1287" s="420"/>
      <c r="AF1287" s="420"/>
      <c r="AG1287" s="420"/>
      <c r="AH1287" s="420"/>
      <c r="AI1287" s="420"/>
      <c r="AJ1287" s="420"/>
      <c r="AK1287" s="420"/>
      <c r="AL1287" s="420"/>
      <c r="AM1287" s="420"/>
      <c r="AN1287" s="420"/>
      <c r="AO1287" s="420"/>
      <c r="AP1287" s="420"/>
      <c r="AQ1287" s="420"/>
      <c r="AR1287" s="403"/>
      <c r="AS1287" s="403"/>
      <c r="AT1287" s="403"/>
      <c r="AU1287" s="403"/>
      <c r="AV1287" s="403"/>
      <c r="AW1287" s="403"/>
      <c r="AX1287" s="403"/>
      <c r="AY1287" s="403"/>
    </row>
    <row r="1288">
      <c r="A1288" s="415"/>
      <c r="B1288" s="415"/>
      <c r="C1288" s="410"/>
      <c r="D1288" s="429"/>
      <c r="E1288" s="416"/>
      <c r="F1288" s="413"/>
      <c r="G1288" s="413"/>
      <c r="H1288" s="415"/>
      <c r="I1288" s="415"/>
      <c r="J1288" s="415"/>
      <c r="K1288" s="415"/>
      <c r="L1288" s="417"/>
      <c r="M1288" s="420"/>
      <c r="N1288" s="420"/>
      <c r="O1288" s="420"/>
      <c r="P1288" s="420"/>
      <c r="Q1288" s="420"/>
      <c r="R1288" s="420"/>
      <c r="S1288" s="420"/>
      <c r="T1288" s="420"/>
      <c r="U1288" s="420"/>
      <c r="V1288" s="420"/>
      <c r="W1288" s="420"/>
      <c r="X1288" s="420"/>
      <c r="Y1288" s="420"/>
      <c r="Z1288" s="420"/>
      <c r="AA1288" s="420"/>
      <c r="AB1288" s="420"/>
      <c r="AC1288" s="420"/>
      <c r="AD1288" s="420"/>
      <c r="AE1288" s="420"/>
      <c r="AF1288" s="420"/>
      <c r="AG1288" s="420"/>
      <c r="AH1288" s="420"/>
      <c r="AI1288" s="420"/>
      <c r="AJ1288" s="420"/>
      <c r="AK1288" s="420"/>
      <c r="AL1288" s="420"/>
      <c r="AM1288" s="420"/>
      <c r="AN1288" s="420"/>
      <c r="AO1288" s="420"/>
      <c r="AP1288" s="420"/>
      <c r="AQ1288" s="420"/>
      <c r="AR1288" s="403"/>
      <c r="AS1288" s="403"/>
      <c r="AT1288" s="403"/>
      <c r="AU1288" s="403"/>
      <c r="AV1288" s="403"/>
      <c r="AW1288" s="403"/>
      <c r="AX1288" s="403"/>
      <c r="AY1288" s="403"/>
    </row>
    <row r="1289">
      <c r="A1289" s="415"/>
      <c r="B1289" s="415"/>
      <c r="C1289" s="410"/>
      <c r="D1289" s="429"/>
      <c r="E1289" s="416"/>
      <c r="F1289" s="413"/>
      <c r="G1289" s="413"/>
      <c r="H1289" s="415"/>
      <c r="I1289" s="415"/>
      <c r="J1289" s="415"/>
      <c r="K1289" s="415"/>
      <c r="L1289" s="417"/>
      <c r="M1289" s="420"/>
      <c r="N1289" s="420"/>
      <c r="O1289" s="420"/>
      <c r="P1289" s="420"/>
      <c r="Q1289" s="420"/>
      <c r="R1289" s="420"/>
      <c r="S1289" s="420"/>
      <c r="T1289" s="420"/>
      <c r="U1289" s="420"/>
      <c r="V1289" s="420"/>
      <c r="W1289" s="420"/>
      <c r="X1289" s="420"/>
      <c r="Y1289" s="420"/>
      <c r="Z1289" s="420"/>
      <c r="AA1289" s="420"/>
      <c r="AB1289" s="420"/>
      <c r="AC1289" s="420"/>
      <c r="AD1289" s="420"/>
      <c r="AE1289" s="420"/>
      <c r="AF1289" s="420"/>
      <c r="AG1289" s="420"/>
      <c r="AH1289" s="420"/>
      <c r="AI1289" s="420"/>
      <c r="AJ1289" s="420"/>
      <c r="AK1289" s="420"/>
      <c r="AL1289" s="420"/>
      <c r="AM1289" s="420"/>
      <c r="AN1289" s="420"/>
      <c r="AO1289" s="420"/>
      <c r="AP1289" s="420"/>
      <c r="AQ1289" s="420"/>
      <c r="AR1289" s="403"/>
      <c r="AS1289" s="403"/>
      <c r="AT1289" s="403"/>
      <c r="AU1289" s="403"/>
      <c r="AV1289" s="403"/>
      <c r="AW1289" s="403"/>
      <c r="AX1289" s="403"/>
      <c r="AY1289" s="403"/>
    </row>
    <row r="1290">
      <c r="A1290" s="415"/>
      <c r="B1290" s="415"/>
      <c r="C1290" s="410"/>
      <c r="D1290" s="429"/>
      <c r="E1290" s="416"/>
      <c r="F1290" s="413"/>
      <c r="G1290" s="413"/>
      <c r="H1290" s="415"/>
      <c r="I1290" s="415"/>
      <c r="J1290" s="415"/>
      <c r="K1290" s="415"/>
      <c r="L1290" s="417"/>
      <c r="M1290" s="420"/>
      <c r="N1290" s="420"/>
      <c r="O1290" s="420"/>
      <c r="P1290" s="420"/>
      <c r="Q1290" s="420"/>
      <c r="R1290" s="420"/>
      <c r="S1290" s="420"/>
      <c r="T1290" s="420"/>
      <c r="U1290" s="420"/>
      <c r="V1290" s="420"/>
      <c r="W1290" s="420"/>
      <c r="X1290" s="420"/>
      <c r="Y1290" s="420"/>
      <c r="Z1290" s="420"/>
      <c r="AA1290" s="420"/>
      <c r="AB1290" s="420"/>
      <c r="AC1290" s="420"/>
      <c r="AD1290" s="420"/>
      <c r="AE1290" s="420"/>
      <c r="AF1290" s="420"/>
      <c r="AG1290" s="420"/>
      <c r="AH1290" s="420"/>
      <c r="AI1290" s="420"/>
      <c r="AJ1290" s="420"/>
      <c r="AK1290" s="420"/>
      <c r="AL1290" s="420"/>
      <c r="AM1290" s="420"/>
      <c r="AN1290" s="420"/>
      <c r="AO1290" s="420"/>
      <c r="AP1290" s="420"/>
      <c r="AQ1290" s="420"/>
      <c r="AR1290" s="403"/>
      <c r="AS1290" s="403"/>
      <c r="AT1290" s="403"/>
      <c r="AU1290" s="403"/>
      <c r="AV1290" s="403"/>
      <c r="AW1290" s="403"/>
      <c r="AX1290" s="403"/>
      <c r="AY1290" s="403"/>
    </row>
    <row r="1291">
      <c r="A1291" s="415"/>
      <c r="B1291" s="415"/>
      <c r="C1291" s="410"/>
      <c r="D1291" s="429"/>
      <c r="E1291" s="416"/>
      <c r="F1291" s="413"/>
      <c r="G1291" s="413"/>
      <c r="H1291" s="415"/>
      <c r="I1291" s="415"/>
      <c r="J1291" s="415"/>
      <c r="K1291" s="415"/>
      <c r="L1291" s="417"/>
      <c r="M1291" s="420"/>
      <c r="N1291" s="420"/>
      <c r="O1291" s="420"/>
      <c r="P1291" s="420"/>
      <c r="Q1291" s="420"/>
      <c r="R1291" s="420"/>
      <c r="S1291" s="420"/>
      <c r="T1291" s="420"/>
      <c r="U1291" s="420"/>
      <c r="V1291" s="420"/>
      <c r="W1291" s="420"/>
      <c r="X1291" s="420"/>
      <c r="Y1291" s="420"/>
      <c r="Z1291" s="420"/>
      <c r="AA1291" s="420"/>
      <c r="AB1291" s="420"/>
      <c r="AC1291" s="420"/>
      <c r="AD1291" s="420"/>
      <c r="AE1291" s="420"/>
      <c r="AF1291" s="420"/>
      <c r="AG1291" s="420"/>
      <c r="AH1291" s="420"/>
      <c r="AI1291" s="420"/>
      <c r="AJ1291" s="420"/>
      <c r="AK1291" s="420"/>
      <c r="AL1291" s="420"/>
      <c r="AM1291" s="420"/>
      <c r="AN1291" s="420"/>
      <c r="AO1291" s="420"/>
      <c r="AP1291" s="420"/>
      <c r="AQ1291" s="420"/>
      <c r="AR1291" s="403"/>
      <c r="AS1291" s="403"/>
      <c r="AT1291" s="403"/>
      <c r="AU1291" s="403"/>
      <c r="AV1291" s="403"/>
      <c r="AW1291" s="403"/>
      <c r="AX1291" s="403"/>
      <c r="AY1291" s="403"/>
    </row>
    <row r="1292">
      <c r="A1292" s="415"/>
      <c r="B1292" s="415"/>
      <c r="C1292" s="410"/>
      <c r="D1292" s="429"/>
      <c r="E1292" s="416"/>
      <c r="F1292" s="413"/>
      <c r="G1292" s="413"/>
      <c r="H1292" s="415"/>
      <c r="I1292" s="415"/>
      <c r="J1292" s="415"/>
      <c r="K1292" s="415"/>
      <c r="L1292" s="417"/>
      <c r="M1292" s="420"/>
      <c r="N1292" s="420"/>
      <c r="O1292" s="420"/>
      <c r="P1292" s="420"/>
      <c r="Q1292" s="420"/>
      <c r="R1292" s="420"/>
      <c r="S1292" s="420"/>
      <c r="T1292" s="420"/>
      <c r="U1292" s="420"/>
      <c r="V1292" s="420"/>
      <c r="W1292" s="420"/>
      <c r="X1292" s="420"/>
      <c r="Y1292" s="420"/>
      <c r="Z1292" s="420"/>
      <c r="AA1292" s="420"/>
      <c r="AB1292" s="420"/>
      <c r="AC1292" s="420"/>
      <c r="AD1292" s="420"/>
      <c r="AE1292" s="420"/>
      <c r="AF1292" s="420"/>
      <c r="AG1292" s="420"/>
      <c r="AH1292" s="420"/>
      <c r="AI1292" s="420"/>
      <c r="AJ1292" s="420"/>
      <c r="AK1292" s="420"/>
      <c r="AL1292" s="420"/>
      <c r="AM1292" s="420"/>
      <c r="AN1292" s="420"/>
      <c r="AO1292" s="420"/>
      <c r="AP1292" s="420"/>
      <c r="AQ1292" s="420"/>
      <c r="AR1292" s="403"/>
      <c r="AS1292" s="403"/>
      <c r="AT1292" s="403"/>
      <c r="AU1292" s="403"/>
      <c r="AV1292" s="403"/>
      <c r="AW1292" s="403"/>
      <c r="AX1292" s="403"/>
      <c r="AY1292" s="403"/>
    </row>
    <row r="1293">
      <c r="A1293" s="415"/>
      <c r="B1293" s="415"/>
      <c r="C1293" s="410"/>
      <c r="D1293" s="429"/>
      <c r="E1293" s="416"/>
      <c r="F1293" s="413"/>
      <c r="G1293" s="413"/>
      <c r="H1293" s="415"/>
      <c r="I1293" s="415"/>
      <c r="J1293" s="415"/>
      <c r="K1293" s="415"/>
      <c r="L1293" s="417"/>
      <c r="M1293" s="420"/>
      <c r="N1293" s="420"/>
      <c r="O1293" s="420"/>
      <c r="P1293" s="420"/>
      <c r="Q1293" s="420"/>
      <c r="R1293" s="420"/>
      <c r="S1293" s="420"/>
      <c r="T1293" s="420"/>
      <c r="U1293" s="420"/>
      <c r="V1293" s="420"/>
      <c r="W1293" s="420"/>
      <c r="X1293" s="420"/>
      <c r="Y1293" s="420"/>
      <c r="Z1293" s="420"/>
      <c r="AA1293" s="420"/>
      <c r="AB1293" s="420"/>
      <c r="AC1293" s="420"/>
      <c r="AD1293" s="420"/>
      <c r="AE1293" s="420"/>
      <c r="AF1293" s="420"/>
      <c r="AG1293" s="420"/>
      <c r="AH1293" s="420"/>
      <c r="AI1293" s="420"/>
      <c r="AJ1293" s="420"/>
      <c r="AK1293" s="420"/>
      <c r="AL1293" s="420"/>
      <c r="AM1293" s="420"/>
      <c r="AN1293" s="420"/>
      <c r="AO1293" s="420"/>
      <c r="AP1293" s="420"/>
      <c r="AQ1293" s="420"/>
      <c r="AR1293" s="403"/>
      <c r="AS1293" s="403"/>
      <c r="AT1293" s="403"/>
      <c r="AU1293" s="403"/>
      <c r="AV1293" s="403"/>
      <c r="AW1293" s="403"/>
      <c r="AX1293" s="403"/>
      <c r="AY1293" s="403"/>
    </row>
    <row r="1294">
      <c r="A1294" s="415"/>
      <c r="B1294" s="415"/>
      <c r="C1294" s="410"/>
      <c r="D1294" s="429"/>
      <c r="E1294" s="416"/>
      <c r="F1294" s="413"/>
      <c r="G1294" s="413"/>
      <c r="H1294" s="415"/>
      <c r="I1294" s="415"/>
      <c r="J1294" s="415"/>
      <c r="K1294" s="415"/>
      <c r="L1294" s="417"/>
      <c r="M1294" s="420"/>
      <c r="N1294" s="420"/>
      <c r="O1294" s="420"/>
      <c r="P1294" s="420"/>
      <c r="Q1294" s="420"/>
      <c r="R1294" s="420"/>
      <c r="S1294" s="420"/>
      <c r="T1294" s="420"/>
      <c r="U1294" s="420"/>
      <c r="V1294" s="420"/>
      <c r="W1294" s="420"/>
      <c r="X1294" s="420"/>
      <c r="Y1294" s="420"/>
      <c r="Z1294" s="420"/>
      <c r="AA1294" s="420"/>
      <c r="AB1294" s="420"/>
      <c r="AC1294" s="420"/>
      <c r="AD1294" s="420"/>
      <c r="AE1294" s="420"/>
      <c r="AF1294" s="420"/>
      <c r="AG1294" s="420"/>
      <c r="AH1294" s="420"/>
      <c r="AI1294" s="420"/>
      <c r="AJ1294" s="420"/>
      <c r="AK1294" s="420"/>
      <c r="AL1294" s="420"/>
      <c r="AM1294" s="420"/>
      <c r="AN1294" s="420"/>
      <c r="AO1294" s="420"/>
      <c r="AP1294" s="420"/>
      <c r="AQ1294" s="420"/>
      <c r="AR1294" s="403"/>
      <c r="AS1294" s="403"/>
      <c r="AT1294" s="403"/>
      <c r="AU1294" s="403"/>
      <c r="AV1294" s="403"/>
      <c r="AW1294" s="403"/>
      <c r="AX1294" s="403"/>
      <c r="AY1294" s="403"/>
    </row>
    <row r="1295">
      <c r="A1295" s="415"/>
      <c r="B1295" s="415"/>
      <c r="C1295" s="410"/>
      <c r="D1295" s="429"/>
      <c r="E1295" s="416"/>
      <c r="F1295" s="413"/>
      <c r="G1295" s="413"/>
      <c r="H1295" s="415"/>
      <c r="I1295" s="415"/>
      <c r="J1295" s="415"/>
      <c r="K1295" s="415"/>
      <c r="L1295" s="417"/>
      <c r="M1295" s="420"/>
      <c r="N1295" s="420"/>
      <c r="O1295" s="420"/>
      <c r="P1295" s="420"/>
      <c r="Q1295" s="420"/>
      <c r="R1295" s="420"/>
      <c r="S1295" s="420"/>
      <c r="T1295" s="420"/>
      <c r="U1295" s="420"/>
      <c r="V1295" s="420"/>
      <c r="W1295" s="420"/>
      <c r="X1295" s="420"/>
      <c r="Y1295" s="420"/>
      <c r="Z1295" s="420"/>
      <c r="AA1295" s="420"/>
      <c r="AB1295" s="420"/>
      <c r="AC1295" s="420"/>
      <c r="AD1295" s="420"/>
      <c r="AE1295" s="420"/>
      <c r="AF1295" s="420"/>
      <c r="AG1295" s="420"/>
      <c r="AH1295" s="420"/>
      <c r="AI1295" s="420"/>
      <c r="AJ1295" s="420"/>
      <c r="AK1295" s="420"/>
      <c r="AL1295" s="420"/>
      <c r="AM1295" s="420"/>
      <c r="AN1295" s="420"/>
      <c r="AO1295" s="420"/>
      <c r="AP1295" s="420"/>
      <c r="AQ1295" s="420"/>
      <c r="AR1295" s="403"/>
      <c r="AS1295" s="403"/>
      <c r="AT1295" s="403"/>
      <c r="AU1295" s="403"/>
      <c r="AV1295" s="403"/>
      <c r="AW1295" s="403"/>
      <c r="AX1295" s="403"/>
      <c r="AY1295" s="403"/>
    </row>
    <row r="1296">
      <c r="A1296" s="415"/>
      <c r="B1296" s="415"/>
      <c r="C1296" s="410"/>
      <c r="D1296" s="429"/>
      <c r="E1296" s="416"/>
      <c r="F1296" s="413"/>
      <c r="G1296" s="413"/>
      <c r="H1296" s="415"/>
      <c r="I1296" s="415"/>
      <c r="J1296" s="415"/>
      <c r="K1296" s="415"/>
      <c r="L1296" s="417"/>
      <c r="M1296" s="420"/>
      <c r="N1296" s="420"/>
      <c r="O1296" s="420"/>
      <c r="P1296" s="420"/>
      <c r="Q1296" s="420"/>
      <c r="R1296" s="420"/>
      <c r="S1296" s="420"/>
      <c r="T1296" s="420"/>
      <c r="U1296" s="420"/>
      <c r="V1296" s="420"/>
      <c r="W1296" s="420"/>
      <c r="X1296" s="420"/>
      <c r="Y1296" s="420"/>
      <c r="Z1296" s="420"/>
      <c r="AA1296" s="420"/>
      <c r="AB1296" s="420"/>
      <c r="AC1296" s="420"/>
      <c r="AD1296" s="420"/>
      <c r="AE1296" s="420"/>
      <c r="AF1296" s="420"/>
      <c r="AG1296" s="420"/>
      <c r="AH1296" s="420"/>
      <c r="AI1296" s="420"/>
      <c r="AJ1296" s="420"/>
      <c r="AK1296" s="420"/>
      <c r="AL1296" s="420"/>
      <c r="AM1296" s="420"/>
      <c r="AN1296" s="420"/>
      <c r="AO1296" s="420"/>
      <c r="AP1296" s="420"/>
      <c r="AQ1296" s="420"/>
      <c r="AR1296" s="403"/>
      <c r="AS1296" s="403"/>
      <c r="AT1296" s="403"/>
      <c r="AU1296" s="403"/>
      <c r="AV1296" s="403"/>
      <c r="AW1296" s="403"/>
      <c r="AX1296" s="403"/>
      <c r="AY1296" s="403"/>
    </row>
    <row r="1297">
      <c r="A1297" s="415"/>
      <c r="B1297" s="415"/>
      <c r="C1297" s="410"/>
      <c r="D1297" s="429"/>
      <c r="E1297" s="416"/>
      <c r="F1297" s="413"/>
      <c r="G1297" s="413"/>
      <c r="H1297" s="415"/>
      <c r="I1297" s="415"/>
      <c r="J1297" s="415"/>
      <c r="K1297" s="415"/>
      <c r="L1297" s="417"/>
      <c r="M1297" s="420"/>
      <c r="N1297" s="420"/>
      <c r="O1297" s="420"/>
      <c r="P1297" s="420"/>
      <c r="Q1297" s="420"/>
      <c r="R1297" s="420"/>
      <c r="S1297" s="420"/>
      <c r="T1297" s="420"/>
      <c r="U1297" s="420"/>
      <c r="V1297" s="420"/>
      <c r="W1297" s="420"/>
      <c r="X1297" s="420"/>
      <c r="Y1297" s="420"/>
      <c r="Z1297" s="420"/>
      <c r="AA1297" s="420"/>
      <c r="AB1297" s="420"/>
      <c r="AC1297" s="420"/>
      <c r="AD1297" s="420"/>
      <c r="AE1297" s="420"/>
      <c r="AF1297" s="420"/>
      <c r="AG1297" s="420"/>
      <c r="AH1297" s="420"/>
      <c r="AI1297" s="420"/>
      <c r="AJ1297" s="420"/>
      <c r="AK1297" s="420"/>
      <c r="AL1297" s="420"/>
      <c r="AM1297" s="420"/>
      <c r="AN1297" s="420"/>
      <c r="AO1297" s="420"/>
      <c r="AP1297" s="420"/>
      <c r="AQ1297" s="420"/>
      <c r="AR1297" s="403"/>
      <c r="AS1297" s="403"/>
      <c r="AT1297" s="403"/>
      <c r="AU1297" s="403"/>
      <c r="AV1297" s="403"/>
      <c r="AW1297" s="403"/>
      <c r="AX1297" s="403"/>
      <c r="AY1297" s="403"/>
    </row>
    <row r="1298">
      <c r="A1298" s="415"/>
      <c r="B1298" s="415"/>
      <c r="C1298" s="410"/>
      <c r="D1298" s="429"/>
      <c r="E1298" s="416"/>
      <c r="F1298" s="413"/>
      <c r="G1298" s="413"/>
      <c r="H1298" s="415"/>
      <c r="I1298" s="415"/>
      <c r="J1298" s="415"/>
      <c r="K1298" s="415"/>
      <c r="L1298" s="417"/>
      <c r="M1298" s="420"/>
      <c r="N1298" s="420"/>
      <c r="O1298" s="420"/>
      <c r="P1298" s="420"/>
      <c r="Q1298" s="420"/>
      <c r="R1298" s="420"/>
      <c r="S1298" s="420"/>
      <c r="T1298" s="420"/>
      <c r="U1298" s="420"/>
      <c r="V1298" s="420"/>
      <c r="W1298" s="420"/>
      <c r="X1298" s="420"/>
      <c r="Y1298" s="420"/>
      <c r="Z1298" s="420"/>
      <c r="AA1298" s="420"/>
      <c r="AB1298" s="420"/>
      <c r="AC1298" s="420"/>
      <c r="AD1298" s="420"/>
      <c r="AE1298" s="420"/>
      <c r="AF1298" s="420"/>
      <c r="AG1298" s="420"/>
      <c r="AH1298" s="420"/>
      <c r="AI1298" s="420"/>
      <c r="AJ1298" s="420"/>
      <c r="AK1298" s="420"/>
      <c r="AL1298" s="420"/>
      <c r="AM1298" s="420"/>
      <c r="AN1298" s="420"/>
      <c r="AO1298" s="420"/>
      <c r="AP1298" s="420"/>
      <c r="AQ1298" s="420"/>
      <c r="AR1298" s="403"/>
      <c r="AS1298" s="403"/>
      <c r="AT1298" s="403"/>
      <c r="AU1298" s="403"/>
      <c r="AV1298" s="403"/>
      <c r="AW1298" s="403"/>
      <c r="AX1298" s="403"/>
      <c r="AY1298" s="403"/>
    </row>
    <row r="1299">
      <c r="A1299" s="415"/>
      <c r="B1299" s="415"/>
      <c r="C1299" s="410"/>
      <c r="D1299" s="429"/>
      <c r="E1299" s="416"/>
      <c r="F1299" s="413"/>
      <c r="G1299" s="413"/>
      <c r="H1299" s="415"/>
      <c r="I1299" s="415"/>
      <c r="J1299" s="415"/>
      <c r="K1299" s="415"/>
      <c r="L1299" s="417"/>
      <c r="M1299" s="420"/>
      <c r="N1299" s="420"/>
      <c r="O1299" s="420"/>
      <c r="P1299" s="420"/>
      <c r="Q1299" s="420"/>
      <c r="R1299" s="420"/>
      <c r="S1299" s="420"/>
      <c r="T1299" s="420"/>
      <c r="U1299" s="420"/>
      <c r="V1299" s="420"/>
      <c r="W1299" s="420"/>
      <c r="X1299" s="420"/>
      <c r="Y1299" s="420"/>
      <c r="Z1299" s="420"/>
      <c r="AA1299" s="420"/>
      <c r="AB1299" s="420"/>
      <c r="AC1299" s="420"/>
      <c r="AD1299" s="420"/>
      <c r="AE1299" s="420"/>
      <c r="AF1299" s="420"/>
      <c r="AG1299" s="420"/>
      <c r="AH1299" s="420"/>
      <c r="AI1299" s="420"/>
      <c r="AJ1299" s="420"/>
      <c r="AK1299" s="420"/>
      <c r="AL1299" s="420"/>
      <c r="AM1299" s="420"/>
      <c r="AN1299" s="420"/>
      <c r="AO1299" s="420"/>
      <c r="AP1299" s="420"/>
      <c r="AQ1299" s="420"/>
      <c r="AR1299" s="403"/>
      <c r="AS1299" s="403"/>
      <c r="AT1299" s="403"/>
      <c r="AU1299" s="403"/>
      <c r="AV1299" s="403"/>
      <c r="AW1299" s="403"/>
      <c r="AX1299" s="403"/>
      <c r="AY1299" s="403"/>
    </row>
    <row r="1300">
      <c r="A1300" s="415"/>
      <c r="B1300" s="415"/>
      <c r="C1300" s="410"/>
      <c r="D1300" s="429"/>
      <c r="E1300" s="416"/>
      <c r="F1300" s="413"/>
      <c r="G1300" s="413"/>
      <c r="H1300" s="415"/>
      <c r="I1300" s="415"/>
      <c r="J1300" s="415"/>
      <c r="K1300" s="415"/>
      <c r="L1300" s="417"/>
      <c r="M1300" s="420"/>
      <c r="N1300" s="420"/>
      <c r="O1300" s="420"/>
      <c r="P1300" s="420"/>
      <c r="Q1300" s="420"/>
      <c r="R1300" s="420"/>
      <c r="S1300" s="420"/>
      <c r="T1300" s="420"/>
      <c r="U1300" s="420"/>
      <c r="V1300" s="420"/>
      <c r="W1300" s="420"/>
      <c r="X1300" s="420"/>
      <c r="Y1300" s="420"/>
      <c r="Z1300" s="420"/>
      <c r="AA1300" s="420"/>
      <c r="AB1300" s="420"/>
      <c r="AC1300" s="420"/>
      <c r="AD1300" s="420"/>
      <c r="AE1300" s="420"/>
      <c r="AF1300" s="420"/>
      <c r="AG1300" s="420"/>
      <c r="AH1300" s="420"/>
      <c r="AI1300" s="420"/>
      <c r="AJ1300" s="420"/>
      <c r="AK1300" s="420"/>
      <c r="AL1300" s="420"/>
      <c r="AM1300" s="420"/>
      <c r="AN1300" s="420"/>
      <c r="AO1300" s="420"/>
      <c r="AP1300" s="420"/>
      <c r="AQ1300" s="420"/>
      <c r="AR1300" s="403"/>
      <c r="AS1300" s="403"/>
      <c r="AT1300" s="403"/>
      <c r="AU1300" s="403"/>
      <c r="AV1300" s="403"/>
      <c r="AW1300" s="403"/>
      <c r="AX1300" s="403"/>
      <c r="AY1300" s="403"/>
    </row>
    <row r="1301">
      <c r="A1301" s="415"/>
      <c r="B1301" s="415"/>
      <c r="C1301" s="410"/>
      <c r="D1301" s="429"/>
      <c r="E1301" s="416"/>
      <c r="F1301" s="413"/>
      <c r="G1301" s="413"/>
      <c r="H1301" s="415"/>
      <c r="I1301" s="415"/>
      <c r="J1301" s="415"/>
      <c r="K1301" s="415"/>
      <c r="L1301" s="417"/>
      <c r="M1301" s="420"/>
      <c r="N1301" s="420"/>
      <c r="O1301" s="420"/>
      <c r="P1301" s="420"/>
      <c r="Q1301" s="420"/>
      <c r="R1301" s="420"/>
      <c r="S1301" s="420"/>
      <c r="T1301" s="420"/>
      <c r="U1301" s="420"/>
      <c r="V1301" s="420"/>
      <c r="W1301" s="420"/>
      <c r="X1301" s="420"/>
      <c r="Y1301" s="420"/>
      <c r="Z1301" s="420"/>
      <c r="AA1301" s="420"/>
      <c r="AB1301" s="420"/>
      <c r="AC1301" s="420"/>
      <c r="AD1301" s="420"/>
      <c r="AE1301" s="420"/>
      <c r="AF1301" s="420"/>
      <c r="AG1301" s="420"/>
      <c r="AH1301" s="420"/>
      <c r="AI1301" s="420"/>
      <c r="AJ1301" s="420"/>
      <c r="AK1301" s="420"/>
      <c r="AL1301" s="420"/>
      <c r="AM1301" s="420"/>
      <c r="AN1301" s="420"/>
      <c r="AO1301" s="420"/>
      <c r="AP1301" s="420"/>
      <c r="AQ1301" s="420"/>
      <c r="AR1301" s="403"/>
      <c r="AS1301" s="403"/>
      <c r="AT1301" s="403"/>
      <c r="AU1301" s="403"/>
      <c r="AV1301" s="403"/>
      <c r="AW1301" s="403"/>
      <c r="AX1301" s="403"/>
      <c r="AY1301" s="403"/>
    </row>
    <row r="1302">
      <c r="A1302" s="415"/>
      <c r="B1302" s="415"/>
      <c r="C1302" s="410"/>
      <c r="D1302" s="429"/>
      <c r="E1302" s="416"/>
      <c r="F1302" s="413"/>
      <c r="G1302" s="413"/>
      <c r="H1302" s="415"/>
      <c r="I1302" s="415"/>
      <c r="J1302" s="415"/>
      <c r="K1302" s="415"/>
      <c r="L1302" s="417"/>
      <c r="M1302" s="420"/>
      <c r="N1302" s="420"/>
      <c r="O1302" s="420"/>
      <c r="P1302" s="420"/>
      <c r="Q1302" s="420"/>
      <c r="R1302" s="420"/>
      <c r="S1302" s="420"/>
      <c r="T1302" s="420"/>
      <c r="U1302" s="420"/>
      <c r="V1302" s="420"/>
      <c r="W1302" s="420"/>
      <c r="X1302" s="420"/>
      <c r="Y1302" s="420"/>
      <c r="Z1302" s="420"/>
      <c r="AA1302" s="420"/>
      <c r="AB1302" s="420"/>
      <c r="AC1302" s="420"/>
      <c r="AD1302" s="420"/>
      <c r="AE1302" s="420"/>
      <c r="AF1302" s="420"/>
      <c r="AG1302" s="420"/>
      <c r="AH1302" s="420"/>
      <c r="AI1302" s="420"/>
      <c r="AJ1302" s="420"/>
      <c r="AK1302" s="420"/>
      <c r="AL1302" s="420"/>
      <c r="AM1302" s="420"/>
      <c r="AN1302" s="420"/>
      <c r="AO1302" s="420"/>
      <c r="AP1302" s="420"/>
      <c r="AQ1302" s="420"/>
      <c r="AR1302" s="403"/>
      <c r="AS1302" s="403"/>
      <c r="AT1302" s="403"/>
      <c r="AU1302" s="403"/>
      <c r="AV1302" s="403"/>
      <c r="AW1302" s="403"/>
      <c r="AX1302" s="403"/>
      <c r="AY1302" s="403"/>
    </row>
    <row r="1303">
      <c r="A1303" s="415"/>
      <c r="B1303" s="415"/>
      <c r="C1303" s="410"/>
      <c r="D1303" s="429"/>
      <c r="E1303" s="416"/>
      <c r="F1303" s="413"/>
      <c r="G1303" s="413"/>
      <c r="H1303" s="415"/>
      <c r="I1303" s="415"/>
      <c r="J1303" s="415"/>
      <c r="K1303" s="415"/>
      <c r="L1303" s="417"/>
      <c r="M1303" s="420"/>
      <c r="N1303" s="420"/>
      <c r="O1303" s="420"/>
      <c r="P1303" s="420"/>
      <c r="Q1303" s="420"/>
      <c r="R1303" s="420"/>
      <c r="S1303" s="420"/>
      <c r="T1303" s="420"/>
      <c r="U1303" s="420"/>
      <c r="V1303" s="420"/>
      <c r="W1303" s="420"/>
      <c r="X1303" s="420"/>
      <c r="Y1303" s="420"/>
      <c r="Z1303" s="420"/>
      <c r="AA1303" s="420"/>
      <c r="AB1303" s="420"/>
      <c r="AC1303" s="420"/>
      <c r="AD1303" s="420"/>
      <c r="AE1303" s="420"/>
      <c r="AF1303" s="420"/>
      <c r="AG1303" s="420"/>
      <c r="AH1303" s="420"/>
      <c r="AI1303" s="420"/>
      <c r="AJ1303" s="420"/>
      <c r="AK1303" s="420"/>
      <c r="AL1303" s="420"/>
      <c r="AM1303" s="420"/>
      <c r="AN1303" s="420"/>
      <c r="AO1303" s="420"/>
      <c r="AP1303" s="420"/>
      <c r="AQ1303" s="420"/>
      <c r="AR1303" s="403"/>
      <c r="AS1303" s="403"/>
      <c r="AT1303" s="403"/>
      <c r="AU1303" s="403"/>
      <c r="AV1303" s="403"/>
      <c r="AW1303" s="403"/>
      <c r="AX1303" s="403"/>
      <c r="AY1303" s="403"/>
    </row>
    <row r="1304">
      <c r="A1304" s="415"/>
      <c r="B1304" s="415"/>
      <c r="C1304" s="410"/>
      <c r="D1304" s="429"/>
      <c r="E1304" s="416"/>
      <c r="F1304" s="413"/>
      <c r="G1304" s="413"/>
      <c r="H1304" s="415"/>
      <c r="I1304" s="415"/>
      <c r="J1304" s="415"/>
      <c r="K1304" s="415"/>
      <c r="L1304" s="417"/>
      <c r="M1304" s="420"/>
      <c r="N1304" s="420"/>
      <c r="O1304" s="420"/>
      <c r="P1304" s="420"/>
      <c r="Q1304" s="420"/>
      <c r="R1304" s="420"/>
      <c r="S1304" s="420"/>
      <c r="T1304" s="420"/>
      <c r="U1304" s="420"/>
      <c r="V1304" s="420"/>
      <c r="W1304" s="420"/>
      <c r="X1304" s="420"/>
      <c r="Y1304" s="420"/>
      <c r="Z1304" s="420"/>
      <c r="AA1304" s="420"/>
      <c r="AB1304" s="420"/>
      <c r="AC1304" s="420"/>
      <c r="AD1304" s="420"/>
      <c r="AE1304" s="420"/>
      <c r="AF1304" s="420"/>
      <c r="AG1304" s="420"/>
      <c r="AH1304" s="420"/>
      <c r="AI1304" s="420"/>
      <c r="AJ1304" s="420"/>
      <c r="AK1304" s="420"/>
      <c r="AL1304" s="420"/>
      <c r="AM1304" s="420"/>
      <c r="AN1304" s="420"/>
      <c r="AO1304" s="420"/>
      <c r="AP1304" s="420"/>
      <c r="AQ1304" s="420"/>
      <c r="AR1304" s="403"/>
      <c r="AS1304" s="403"/>
      <c r="AT1304" s="403"/>
      <c r="AU1304" s="403"/>
      <c r="AV1304" s="403"/>
      <c r="AW1304" s="403"/>
      <c r="AX1304" s="403"/>
      <c r="AY1304" s="403"/>
    </row>
    <row r="1305">
      <c r="A1305" s="443"/>
      <c r="B1305" s="443"/>
      <c r="C1305" s="444"/>
      <c r="D1305" s="445"/>
      <c r="E1305" s="446"/>
      <c r="F1305" s="425"/>
      <c r="G1305" s="425"/>
      <c r="H1305" s="443"/>
      <c r="I1305" s="443"/>
      <c r="J1305" s="443"/>
      <c r="K1305" s="443"/>
      <c r="L1305" s="417"/>
      <c r="M1305" s="420"/>
      <c r="N1305" s="420"/>
      <c r="O1305" s="420"/>
      <c r="P1305" s="420"/>
      <c r="Q1305" s="420"/>
      <c r="R1305" s="420"/>
      <c r="S1305" s="420"/>
      <c r="T1305" s="420"/>
      <c r="U1305" s="420"/>
      <c r="V1305" s="420"/>
      <c r="W1305" s="420"/>
      <c r="X1305" s="420"/>
      <c r="Y1305" s="420"/>
      <c r="Z1305" s="420"/>
      <c r="AA1305" s="420"/>
      <c r="AB1305" s="420"/>
      <c r="AC1305" s="420"/>
      <c r="AD1305" s="420"/>
      <c r="AE1305" s="420"/>
      <c r="AF1305" s="420"/>
      <c r="AG1305" s="420"/>
      <c r="AH1305" s="420"/>
      <c r="AI1305" s="420"/>
      <c r="AJ1305" s="420"/>
      <c r="AK1305" s="420"/>
      <c r="AL1305" s="420"/>
      <c r="AM1305" s="420"/>
      <c r="AN1305" s="420"/>
      <c r="AO1305" s="420"/>
      <c r="AP1305" s="420"/>
      <c r="AQ1305" s="420"/>
      <c r="AR1305" s="403"/>
      <c r="AS1305" s="403"/>
      <c r="AT1305" s="403"/>
      <c r="AU1305" s="403"/>
      <c r="AV1305" s="403"/>
      <c r="AW1305" s="403"/>
      <c r="AX1305" s="403"/>
      <c r="AY1305" s="403"/>
    </row>
    <row r="1306">
      <c r="C1306" s="165"/>
      <c r="E1306" s="98"/>
      <c r="F1306" s="168"/>
      <c r="L1306" s="417"/>
      <c r="M1306" s="420"/>
      <c r="N1306" s="420"/>
      <c r="O1306" s="420"/>
      <c r="P1306" s="420"/>
      <c r="Q1306" s="420"/>
      <c r="R1306" s="420"/>
      <c r="S1306" s="420"/>
      <c r="T1306" s="420"/>
      <c r="U1306" s="420"/>
      <c r="V1306" s="420"/>
      <c r="W1306" s="420"/>
      <c r="X1306" s="420"/>
      <c r="Y1306" s="420"/>
      <c r="Z1306" s="420"/>
      <c r="AA1306" s="420"/>
      <c r="AB1306" s="420"/>
      <c r="AC1306" s="420"/>
      <c r="AD1306" s="420"/>
      <c r="AE1306" s="420"/>
      <c r="AF1306" s="420"/>
      <c r="AG1306" s="420"/>
      <c r="AH1306" s="420"/>
      <c r="AI1306" s="420"/>
      <c r="AJ1306" s="420"/>
      <c r="AK1306" s="420"/>
      <c r="AL1306" s="420"/>
      <c r="AM1306" s="420"/>
      <c r="AN1306" s="420"/>
      <c r="AO1306" s="420"/>
      <c r="AP1306" s="420"/>
      <c r="AQ1306" s="420"/>
      <c r="AR1306" s="403"/>
      <c r="AS1306" s="403"/>
      <c r="AT1306" s="403"/>
      <c r="AU1306" s="403"/>
      <c r="AV1306" s="403"/>
      <c r="AW1306" s="403"/>
      <c r="AX1306" s="403"/>
      <c r="AY1306" s="403"/>
    </row>
    <row r="1307">
      <c r="C1307" s="165"/>
      <c r="E1307" s="98"/>
      <c r="F1307" s="168"/>
      <c r="L1307" s="417"/>
      <c r="M1307" s="420"/>
      <c r="N1307" s="420"/>
      <c r="O1307" s="420"/>
      <c r="P1307" s="420"/>
      <c r="Q1307" s="420"/>
      <c r="R1307" s="420"/>
      <c r="S1307" s="420"/>
      <c r="T1307" s="420"/>
      <c r="U1307" s="420"/>
      <c r="V1307" s="420"/>
      <c r="W1307" s="420"/>
      <c r="X1307" s="420"/>
      <c r="Y1307" s="420"/>
      <c r="Z1307" s="420"/>
      <c r="AA1307" s="420"/>
      <c r="AB1307" s="420"/>
      <c r="AC1307" s="420"/>
      <c r="AD1307" s="420"/>
      <c r="AE1307" s="420"/>
      <c r="AF1307" s="420"/>
      <c r="AG1307" s="420"/>
      <c r="AH1307" s="420"/>
      <c r="AI1307" s="420"/>
      <c r="AJ1307" s="420"/>
      <c r="AK1307" s="420"/>
      <c r="AL1307" s="420"/>
      <c r="AM1307" s="420"/>
      <c r="AN1307" s="420"/>
      <c r="AO1307" s="420"/>
      <c r="AP1307" s="420"/>
      <c r="AQ1307" s="420"/>
      <c r="AR1307" s="403"/>
      <c r="AS1307" s="403"/>
      <c r="AT1307" s="403"/>
      <c r="AU1307" s="403"/>
      <c r="AV1307" s="403"/>
      <c r="AW1307" s="403"/>
      <c r="AX1307" s="403"/>
      <c r="AY1307" s="403"/>
    </row>
    <row r="1308">
      <c r="C1308" s="165"/>
      <c r="E1308" s="98"/>
      <c r="F1308" s="168"/>
      <c r="L1308" s="417"/>
      <c r="M1308" s="420"/>
      <c r="N1308" s="420"/>
      <c r="O1308" s="420"/>
      <c r="P1308" s="420"/>
      <c r="Q1308" s="420"/>
      <c r="R1308" s="420"/>
      <c r="S1308" s="420"/>
      <c r="T1308" s="420"/>
      <c r="U1308" s="420"/>
      <c r="V1308" s="420"/>
      <c r="W1308" s="420"/>
      <c r="X1308" s="420"/>
      <c r="Y1308" s="420"/>
      <c r="Z1308" s="420"/>
      <c r="AA1308" s="420"/>
      <c r="AB1308" s="420"/>
      <c r="AC1308" s="420"/>
      <c r="AD1308" s="420"/>
      <c r="AE1308" s="420"/>
      <c r="AF1308" s="420"/>
      <c r="AG1308" s="420"/>
      <c r="AH1308" s="420"/>
      <c r="AI1308" s="420"/>
      <c r="AJ1308" s="420"/>
      <c r="AK1308" s="420"/>
      <c r="AL1308" s="420"/>
      <c r="AM1308" s="420"/>
      <c r="AN1308" s="420"/>
      <c r="AO1308" s="420"/>
      <c r="AP1308" s="420"/>
      <c r="AQ1308" s="420"/>
      <c r="AR1308" s="403"/>
      <c r="AS1308" s="403"/>
      <c r="AT1308" s="403"/>
      <c r="AU1308" s="403"/>
      <c r="AV1308" s="403"/>
      <c r="AW1308" s="403"/>
      <c r="AX1308" s="403"/>
      <c r="AY1308" s="403"/>
    </row>
    <row r="1309">
      <c r="C1309" s="165"/>
      <c r="E1309" s="98"/>
      <c r="F1309" s="168"/>
      <c r="L1309" s="417"/>
      <c r="M1309" s="420"/>
      <c r="N1309" s="420"/>
      <c r="O1309" s="420"/>
      <c r="P1309" s="420"/>
      <c r="Q1309" s="420"/>
      <c r="R1309" s="420"/>
      <c r="S1309" s="420"/>
      <c r="T1309" s="420"/>
      <c r="U1309" s="420"/>
      <c r="V1309" s="420"/>
      <c r="W1309" s="420"/>
      <c r="X1309" s="420"/>
      <c r="Y1309" s="420"/>
      <c r="Z1309" s="420"/>
      <c r="AA1309" s="420"/>
      <c r="AB1309" s="420"/>
      <c r="AC1309" s="420"/>
      <c r="AD1309" s="420"/>
      <c r="AE1309" s="420"/>
      <c r="AF1309" s="420"/>
      <c r="AG1309" s="420"/>
      <c r="AH1309" s="420"/>
      <c r="AI1309" s="420"/>
      <c r="AJ1309" s="420"/>
      <c r="AK1309" s="420"/>
      <c r="AL1309" s="420"/>
      <c r="AM1309" s="420"/>
      <c r="AN1309" s="420"/>
      <c r="AO1309" s="420"/>
      <c r="AP1309" s="420"/>
      <c r="AQ1309" s="420"/>
      <c r="AR1309" s="403"/>
      <c r="AS1309" s="403"/>
      <c r="AT1309" s="403"/>
      <c r="AU1309" s="403"/>
      <c r="AV1309" s="403"/>
      <c r="AW1309" s="403"/>
      <c r="AX1309" s="403"/>
      <c r="AY1309" s="403"/>
    </row>
    <row r="1310">
      <c r="C1310" s="165"/>
      <c r="E1310" s="98"/>
      <c r="F1310" s="168"/>
      <c r="L1310" s="417"/>
      <c r="M1310" s="420"/>
      <c r="N1310" s="420"/>
      <c r="O1310" s="420"/>
      <c r="P1310" s="420"/>
      <c r="Q1310" s="420"/>
      <c r="R1310" s="420"/>
      <c r="S1310" s="420"/>
      <c r="T1310" s="420"/>
      <c r="U1310" s="420"/>
      <c r="V1310" s="420"/>
      <c r="W1310" s="420"/>
      <c r="X1310" s="420"/>
      <c r="Y1310" s="420"/>
      <c r="Z1310" s="420"/>
      <c r="AA1310" s="420"/>
      <c r="AB1310" s="420"/>
      <c r="AC1310" s="420"/>
      <c r="AD1310" s="420"/>
      <c r="AE1310" s="420"/>
      <c r="AF1310" s="420"/>
      <c r="AG1310" s="420"/>
      <c r="AH1310" s="420"/>
      <c r="AI1310" s="420"/>
      <c r="AJ1310" s="420"/>
      <c r="AK1310" s="420"/>
      <c r="AL1310" s="420"/>
      <c r="AM1310" s="420"/>
      <c r="AN1310" s="420"/>
      <c r="AO1310" s="420"/>
      <c r="AP1310" s="420"/>
      <c r="AQ1310" s="420"/>
      <c r="AR1310" s="403"/>
      <c r="AS1310" s="403"/>
      <c r="AT1310" s="403"/>
      <c r="AU1310" s="403"/>
      <c r="AV1310" s="403"/>
      <c r="AW1310" s="403"/>
      <c r="AX1310" s="403"/>
      <c r="AY1310" s="403"/>
    </row>
    <row r="1311">
      <c r="C1311" s="165"/>
      <c r="E1311" s="98"/>
      <c r="F1311" s="168"/>
      <c r="L1311" s="417"/>
      <c r="M1311" s="420"/>
      <c r="N1311" s="420"/>
      <c r="O1311" s="420"/>
      <c r="P1311" s="420"/>
      <c r="Q1311" s="420"/>
      <c r="R1311" s="420"/>
      <c r="S1311" s="420"/>
      <c r="T1311" s="420"/>
      <c r="U1311" s="420"/>
      <c r="V1311" s="420"/>
      <c r="W1311" s="420"/>
      <c r="X1311" s="420"/>
      <c r="Y1311" s="420"/>
      <c r="Z1311" s="420"/>
      <c r="AA1311" s="420"/>
      <c r="AB1311" s="420"/>
      <c r="AC1311" s="420"/>
      <c r="AD1311" s="420"/>
      <c r="AE1311" s="420"/>
      <c r="AF1311" s="420"/>
      <c r="AG1311" s="420"/>
      <c r="AH1311" s="420"/>
      <c r="AI1311" s="420"/>
      <c r="AJ1311" s="420"/>
      <c r="AK1311" s="420"/>
      <c r="AL1311" s="420"/>
      <c r="AM1311" s="420"/>
      <c r="AN1311" s="420"/>
      <c r="AO1311" s="420"/>
      <c r="AP1311" s="420"/>
      <c r="AQ1311" s="420"/>
      <c r="AR1311" s="403"/>
      <c r="AS1311" s="403"/>
      <c r="AT1311" s="403"/>
      <c r="AU1311" s="403"/>
      <c r="AV1311" s="403"/>
      <c r="AW1311" s="403"/>
      <c r="AX1311" s="403"/>
      <c r="AY1311" s="403"/>
    </row>
    <row r="1312">
      <c r="C1312" s="165"/>
      <c r="E1312" s="98"/>
      <c r="F1312" s="168"/>
      <c r="L1312" s="417"/>
      <c r="M1312" s="420"/>
      <c r="N1312" s="420"/>
      <c r="O1312" s="420"/>
      <c r="P1312" s="420"/>
      <c r="Q1312" s="420"/>
      <c r="R1312" s="420"/>
      <c r="S1312" s="420"/>
      <c r="T1312" s="420"/>
      <c r="U1312" s="420"/>
      <c r="V1312" s="420"/>
      <c r="W1312" s="420"/>
      <c r="X1312" s="420"/>
      <c r="Y1312" s="420"/>
      <c r="Z1312" s="420"/>
      <c r="AA1312" s="420"/>
      <c r="AB1312" s="420"/>
      <c r="AC1312" s="420"/>
      <c r="AD1312" s="420"/>
      <c r="AE1312" s="420"/>
      <c r="AF1312" s="420"/>
      <c r="AG1312" s="420"/>
      <c r="AH1312" s="420"/>
      <c r="AI1312" s="420"/>
      <c r="AJ1312" s="420"/>
      <c r="AK1312" s="420"/>
      <c r="AL1312" s="420"/>
      <c r="AM1312" s="420"/>
      <c r="AN1312" s="420"/>
      <c r="AO1312" s="420"/>
      <c r="AP1312" s="420"/>
      <c r="AQ1312" s="420"/>
      <c r="AR1312" s="403"/>
      <c r="AS1312" s="403"/>
      <c r="AT1312" s="403"/>
      <c r="AU1312" s="403"/>
      <c r="AV1312" s="403"/>
      <c r="AW1312" s="403"/>
      <c r="AX1312" s="403"/>
      <c r="AY1312" s="403"/>
    </row>
    <row r="1313">
      <c r="C1313" s="165"/>
      <c r="E1313" s="98"/>
      <c r="F1313" s="168"/>
      <c r="L1313" s="417"/>
      <c r="M1313" s="420"/>
      <c r="N1313" s="420"/>
      <c r="O1313" s="420"/>
      <c r="P1313" s="420"/>
      <c r="Q1313" s="420"/>
      <c r="R1313" s="420"/>
      <c r="S1313" s="420"/>
      <c r="T1313" s="420"/>
      <c r="U1313" s="420"/>
      <c r="V1313" s="420"/>
      <c r="W1313" s="420"/>
      <c r="X1313" s="420"/>
      <c r="Y1313" s="420"/>
      <c r="Z1313" s="420"/>
      <c r="AA1313" s="420"/>
      <c r="AB1313" s="420"/>
      <c r="AC1313" s="420"/>
      <c r="AD1313" s="420"/>
      <c r="AE1313" s="420"/>
      <c r="AF1313" s="420"/>
      <c r="AG1313" s="420"/>
      <c r="AH1313" s="420"/>
      <c r="AI1313" s="420"/>
      <c r="AJ1313" s="420"/>
      <c r="AK1313" s="420"/>
      <c r="AL1313" s="420"/>
      <c r="AM1313" s="420"/>
      <c r="AN1313" s="420"/>
      <c r="AO1313" s="420"/>
      <c r="AP1313" s="420"/>
      <c r="AQ1313" s="420"/>
      <c r="AR1313" s="403"/>
      <c r="AS1313" s="403"/>
      <c r="AT1313" s="403"/>
      <c r="AU1313" s="403"/>
      <c r="AV1313" s="403"/>
      <c r="AW1313" s="403"/>
      <c r="AX1313" s="403"/>
      <c r="AY1313" s="403"/>
    </row>
    <row r="1314">
      <c r="C1314" s="165"/>
      <c r="E1314" s="98"/>
      <c r="F1314" s="168"/>
      <c r="L1314" s="417"/>
      <c r="M1314" s="420"/>
      <c r="N1314" s="420"/>
      <c r="O1314" s="420"/>
      <c r="P1314" s="420"/>
      <c r="Q1314" s="420"/>
      <c r="R1314" s="420"/>
      <c r="S1314" s="420"/>
      <c r="T1314" s="420"/>
      <c r="U1314" s="420"/>
      <c r="V1314" s="420"/>
      <c r="W1314" s="420"/>
      <c r="X1314" s="420"/>
      <c r="Y1314" s="420"/>
      <c r="Z1314" s="420"/>
      <c r="AA1314" s="420"/>
      <c r="AB1314" s="420"/>
      <c r="AC1314" s="420"/>
      <c r="AD1314" s="420"/>
      <c r="AE1314" s="420"/>
      <c r="AF1314" s="420"/>
      <c r="AG1314" s="420"/>
      <c r="AH1314" s="420"/>
      <c r="AI1314" s="420"/>
      <c r="AJ1314" s="420"/>
      <c r="AK1314" s="420"/>
      <c r="AL1314" s="420"/>
      <c r="AM1314" s="420"/>
      <c r="AN1314" s="420"/>
      <c r="AO1314" s="420"/>
      <c r="AP1314" s="420"/>
      <c r="AQ1314" s="420"/>
      <c r="AR1314" s="403"/>
      <c r="AS1314" s="403"/>
      <c r="AT1314" s="403"/>
      <c r="AU1314" s="403"/>
      <c r="AV1314" s="403"/>
      <c r="AW1314" s="403"/>
      <c r="AX1314" s="403"/>
      <c r="AY1314" s="403"/>
    </row>
    <row r="1315">
      <c r="C1315" s="165"/>
      <c r="E1315" s="98"/>
      <c r="F1315" s="168"/>
      <c r="L1315" s="417"/>
      <c r="M1315" s="420"/>
      <c r="N1315" s="420"/>
      <c r="O1315" s="420"/>
      <c r="P1315" s="420"/>
      <c r="Q1315" s="420"/>
      <c r="R1315" s="420"/>
      <c r="S1315" s="420"/>
      <c r="T1315" s="420"/>
      <c r="U1315" s="420"/>
      <c r="V1315" s="420"/>
      <c r="W1315" s="420"/>
      <c r="X1315" s="420"/>
      <c r="Y1315" s="420"/>
      <c r="Z1315" s="420"/>
      <c r="AA1315" s="420"/>
      <c r="AB1315" s="420"/>
      <c r="AC1315" s="420"/>
      <c r="AD1315" s="420"/>
      <c r="AE1315" s="420"/>
      <c r="AF1315" s="420"/>
      <c r="AG1315" s="420"/>
      <c r="AH1315" s="420"/>
      <c r="AI1315" s="420"/>
      <c r="AJ1315" s="420"/>
      <c r="AK1315" s="420"/>
      <c r="AL1315" s="420"/>
      <c r="AM1315" s="420"/>
      <c r="AN1315" s="420"/>
      <c r="AO1315" s="420"/>
      <c r="AP1315" s="420"/>
      <c r="AQ1315" s="420"/>
      <c r="AR1315" s="403"/>
      <c r="AS1315" s="403"/>
      <c r="AT1315" s="403"/>
      <c r="AU1315" s="403"/>
      <c r="AV1315" s="403"/>
      <c r="AW1315" s="403"/>
      <c r="AX1315" s="403"/>
      <c r="AY1315" s="403"/>
    </row>
    <row r="1316">
      <c r="C1316" s="165"/>
      <c r="E1316" s="98"/>
      <c r="F1316" s="168"/>
      <c r="L1316" s="417"/>
      <c r="M1316" s="420"/>
      <c r="N1316" s="420"/>
      <c r="O1316" s="420"/>
      <c r="P1316" s="420"/>
      <c r="Q1316" s="420"/>
      <c r="R1316" s="420"/>
      <c r="S1316" s="420"/>
      <c r="T1316" s="420"/>
      <c r="U1316" s="420"/>
      <c r="V1316" s="420"/>
      <c r="W1316" s="420"/>
      <c r="X1316" s="420"/>
      <c r="Y1316" s="420"/>
      <c r="Z1316" s="420"/>
      <c r="AA1316" s="420"/>
      <c r="AB1316" s="420"/>
      <c r="AC1316" s="420"/>
      <c r="AD1316" s="420"/>
      <c r="AE1316" s="420"/>
      <c r="AF1316" s="420"/>
      <c r="AG1316" s="420"/>
      <c r="AH1316" s="420"/>
      <c r="AI1316" s="420"/>
      <c r="AJ1316" s="420"/>
      <c r="AK1316" s="420"/>
      <c r="AL1316" s="420"/>
      <c r="AM1316" s="420"/>
      <c r="AN1316" s="420"/>
      <c r="AO1316" s="420"/>
      <c r="AP1316" s="420"/>
      <c r="AQ1316" s="420"/>
      <c r="AR1316" s="403"/>
      <c r="AS1316" s="403"/>
      <c r="AT1316" s="403"/>
      <c r="AU1316" s="403"/>
      <c r="AV1316" s="403"/>
      <c r="AW1316" s="403"/>
      <c r="AX1316" s="403"/>
      <c r="AY1316" s="403"/>
    </row>
    <row r="1317">
      <c r="C1317" s="165"/>
      <c r="E1317" s="98"/>
      <c r="F1317" s="168"/>
      <c r="L1317" s="417"/>
      <c r="M1317" s="420"/>
      <c r="N1317" s="420"/>
      <c r="O1317" s="420"/>
      <c r="P1317" s="420"/>
      <c r="Q1317" s="420"/>
      <c r="R1317" s="420"/>
      <c r="S1317" s="420"/>
      <c r="T1317" s="420"/>
      <c r="U1317" s="420"/>
      <c r="V1317" s="420"/>
      <c r="W1317" s="420"/>
      <c r="X1317" s="420"/>
      <c r="Y1317" s="420"/>
      <c r="Z1317" s="420"/>
      <c r="AA1317" s="420"/>
      <c r="AB1317" s="420"/>
      <c r="AC1317" s="420"/>
      <c r="AD1317" s="420"/>
      <c r="AE1317" s="420"/>
      <c r="AF1317" s="420"/>
      <c r="AG1317" s="420"/>
      <c r="AH1317" s="420"/>
      <c r="AI1317" s="420"/>
      <c r="AJ1317" s="420"/>
      <c r="AK1317" s="420"/>
      <c r="AL1317" s="420"/>
      <c r="AM1317" s="420"/>
      <c r="AN1317" s="420"/>
      <c r="AO1317" s="420"/>
      <c r="AP1317" s="420"/>
      <c r="AQ1317" s="420"/>
      <c r="AR1317" s="403"/>
      <c r="AS1317" s="403"/>
      <c r="AT1317" s="403"/>
      <c r="AU1317" s="403"/>
      <c r="AV1317" s="403"/>
      <c r="AW1317" s="403"/>
      <c r="AX1317" s="403"/>
      <c r="AY1317" s="403"/>
    </row>
    <row r="1318">
      <c r="C1318" s="165"/>
      <c r="E1318" s="98"/>
      <c r="F1318" s="168"/>
      <c r="L1318" s="417"/>
      <c r="M1318" s="420"/>
      <c r="N1318" s="420"/>
      <c r="O1318" s="420"/>
      <c r="P1318" s="420"/>
      <c r="Q1318" s="420"/>
      <c r="R1318" s="420"/>
      <c r="S1318" s="420"/>
      <c r="T1318" s="420"/>
      <c r="U1318" s="420"/>
      <c r="V1318" s="420"/>
      <c r="W1318" s="420"/>
      <c r="X1318" s="420"/>
      <c r="Y1318" s="420"/>
      <c r="Z1318" s="420"/>
      <c r="AA1318" s="420"/>
      <c r="AB1318" s="420"/>
      <c r="AC1318" s="420"/>
      <c r="AD1318" s="420"/>
      <c r="AE1318" s="420"/>
      <c r="AF1318" s="420"/>
      <c r="AG1318" s="420"/>
      <c r="AH1318" s="420"/>
      <c r="AI1318" s="420"/>
      <c r="AJ1318" s="420"/>
      <c r="AK1318" s="420"/>
      <c r="AL1318" s="420"/>
      <c r="AM1318" s="420"/>
      <c r="AN1318" s="420"/>
      <c r="AO1318" s="420"/>
      <c r="AP1318" s="420"/>
      <c r="AQ1318" s="420"/>
      <c r="AR1318" s="403"/>
      <c r="AS1318" s="403"/>
      <c r="AT1318" s="403"/>
      <c r="AU1318" s="403"/>
      <c r="AV1318" s="403"/>
      <c r="AW1318" s="403"/>
      <c r="AX1318" s="403"/>
      <c r="AY1318" s="403"/>
    </row>
    <row r="1319">
      <c r="C1319" s="165"/>
      <c r="E1319" s="98"/>
      <c r="F1319" s="168"/>
      <c r="L1319" s="417"/>
      <c r="M1319" s="420"/>
      <c r="N1319" s="420"/>
      <c r="O1319" s="420"/>
      <c r="P1319" s="420"/>
      <c r="Q1319" s="420"/>
      <c r="R1319" s="420"/>
      <c r="S1319" s="420"/>
      <c r="T1319" s="420"/>
      <c r="U1319" s="420"/>
      <c r="V1319" s="420"/>
      <c r="W1319" s="420"/>
      <c r="X1319" s="420"/>
      <c r="Y1319" s="420"/>
      <c r="Z1319" s="420"/>
      <c r="AA1319" s="420"/>
      <c r="AB1319" s="420"/>
      <c r="AC1319" s="420"/>
      <c r="AD1319" s="420"/>
      <c r="AE1319" s="420"/>
      <c r="AF1319" s="420"/>
      <c r="AG1319" s="420"/>
      <c r="AH1319" s="420"/>
      <c r="AI1319" s="420"/>
      <c r="AJ1319" s="420"/>
      <c r="AK1319" s="420"/>
      <c r="AL1319" s="420"/>
      <c r="AM1319" s="420"/>
      <c r="AN1319" s="420"/>
      <c r="AO1319" s="420"/>
      <c r="AP1319" s="420"/>
      <c r="AQ1319" s="420"/>
      <c r="AR1319" s="420"/>
      <c r="AS1319" s="420"/>
      <c r="AT1319" s="420"/>
      <c r="AU1319" s="420"/>
      <c r="AV1319" s="420"/>
      <c r="AW1319" s="403"/>
      <c r="AX1319" s="403"/>
      <c r="AY1319" s="403"/>
    </row>
    <row r="1320">
      <c r="C1320" s="165"/>
      <c r="E1320" s="98"/>
      <c r="F1320" s="168"/>
      <c r="L1320" s="417"/>
      <c r="M1320" s="420"/>
      <c r="N1320" s="420"/>
      <c r="O1320" s="420"/>
      <c r="P1320" s="420"/>
      <c r="Q1320" s="420"/>
      <c r="R1320" s="420"/>
      <c r="S1320" s="420"/>
      <c r="T1320" s="420"/>
      <c r="U1320" s="420"/>
      <c r="V1320" s="420"/>
      <c r="W1320" s="420"/>
      <c r="X1320" s="420"/>
      <c r="Y1320" s="420"/>
      <c r="Z1320" s="420"/>
      <c r="AA1320" s="420"/>
      <c r="AB1320" s="420"/>
      <c r="AC1320" s="420"/>
      <c r="AD1320" s="420"/>
      <c r="AE1320" s="420"/>
      <c r="AF1320" s="420"/>
      <c r="AG1320" s="420"/>
      <c r="AH1320" s="420"/>
      <c r="AI1320" s="420"/>
      <c r="AJ1320" s="420"/>
      <c r="AK1320" s="420"/>
      <c r="AL1320" s="420"/>
      <c r="AM1320" s="420"/>
      <c r="AN1320" s="420"/>
      <c r="AO1320" s="420"/>
      <c r="AP1320" s="420"/>
      <c r="AQ1320" s="420"/>
      <c r="AR1320" s="420"/>
      <c r="AS1320" s="420"/>
      <c r="AT1320" s="420"/>
      <c r="AU1320" s="420"/>
      <c r="AV1320" s="420"/>
      <c r="AW1320" s="403"/>
      <c r="AX1320" s="403"/>
      <c r="AY1320" s="403"/>
    </row>
    <row r="1321">
      <c r="C1321" s="165"/>
      <c r="E1321" s="98"/>
      <c r="F1321" s="168"/>
      <c r="L1321" s="417"/>
      <c r="M1321" s="420"/>
      <c r="N1321" s="420"/>
      <c r="O1321" s="420"/>
      <c r="P1321" s="420"/>
      <c r="Q1321" s="420"/>
      <c r="R1321" s="420"/>
      <c r="S1321" s="420"/>
      <c r="T1321" s="420"/>
      <c r="U1321" s="420"/>
      <c r="V1321" s="420"/>
      <c r="W1321" s="420"/>
      <c r="X1321" s="420"/>
      <c r="Y1321" s="420"/>
      <c r="Z1321" s="420"/>
      <c r="AA1321" s="420"/>
      <c r="AB1321" s="420"/>
      <c r="AC1321" s="420"/>
      <c r="AD1321" s="420"/>
      <c r="AE1321" s="420"/>
      <c r="AF1321" s="420"/>
      <c r="AG1321" s="420"/>
      <c r="AH1321" s="420"/>
      <c r="AI1321" s="420"/>
      <c r="AJ1321" s="420"/>
      <c r="AK1321" s="420"/>
      <c r="AL1321" s="420"/>
      <c r="AM1321" s="420"/>
      <c r="AN1321" s="420"/>
      <c r="AO1321" s="420"/>
      <c r="AP1321" s="420"/>
      <c r="AQ1321" s="420"/>
      <c r="AR1321" s="420"/>
      <c r="AS1321" s="420"/>
      <c r="AT1321" s="420"/>
      <c r="AU1321" s="420"/>
      <c r="AV1321" s="420"/>
      <c r="AW1321" s="403"/>
      <c r="AX1321" s="403"/>
      <c r="AY1321" s="403"/>
    </row>
    <row r="1322">
      <c r="C1322" s="165"/>
      <c r="E1322" s="98"/>
      <c r="F1322" s="168"/>
      <c r="L1322" s="417"/>
      <c r="M1322" s="420"/>
      <c r="N1322" s="420"/>
      <c r="O1322" s="420"/>
      <c r="P1322" s="420"/>
      <c r="Q1322" s="420"/>
      <c r="R1322" s="420"/>
      <c r="S1322" s="420"/>
      <c r="T1322" s="420"/>
      <c r="U1322" s="420"/>
      <c r="V1322" s="420"/>
      <c r="W1322" s="420"/>
      <c r="X1322" s="420"/>
      <c r="Y1322" s="420"/>
      <c r="Z1322" s="420"/>
      <c r="AA1322" s="420"/>
      <c r="AB1322" s="420"/>
      <c r="AC1322" s="420"/>
      <c r="AD1322" s="420"/>
      <c r="AE1322" s="420"/>
      <c r="AF1322" s="420"/>
      <c r="AG1322" s="420"/>
      <c r="AH1322" s="420"/>
      <c r="AI1322" s="420"/>
      <c r="AJ1322" s="420"/>
      <c r="AK1322" s="420"/>
      <c r="AL1322" s="420"/>
      <c r="AM1322" s="420"/>
      <c r="AN1322" s="420"/>
      <c r="AO1322" s="420"/>
      <c r="AP1322" s="420"/>
      <c r="AQ1322" s="420"/>
      <c r="AR1322" s="420"/>
      <c r="AS1322" s="420"/>
      <c r="AT1322" s="420"/>
      <c r="AU1322" s="420"/>
      <c r="AV1322" s="420"/>
      <c r="AW1322" s="403"/>
      <c r="AX1322" s="403"/>
      <c r="AY1322" s="403"/>
    </row>
    <row r="1323">
      <c r="C1323" s="165"/>
      <c r="E1323" s="98"/>
      <c r="F1323" s="168"/>
      <c r="L1323" s="417"/>
      <c r="M1323" s="420"/>
      <c r="N1323" s="420"/>
      <c r="O1323" s="420"/>
      <c r="P1323" s="420"/>
      <c r="Q1323" s="420"/>
      <c r="R1323" s="420"/>
      <c r="S1323" s="420"/>
      <c r="T1323" s="420"/>
      <c r="U1323" s="420"/>
      <c r="V1323" s="420"/>
      <c r="W1323" s="420"/>
      <c r="X1323" s="420"/>
      <c r="Y1323" s="420"/>
      <c r="Z1323" s="420"/>
      <c r="AA1323" s="420"/>
      <c r="AB1323" s="420"/>
      <c r="AC1323" s="420"/>
      <c r="AD1323" s="420"/>
      <c r="AE1323" s="420"/>
      <c r="AF1323" s="420"/>
      <c r="AG1323" s="420"/>
      <c r="AH1323" s="420"/>
      <c r="AI1323" s="420"/>
      <c r="AJ1323" s="420"/>
      <c r="AK1323" s="420"/>
      <c r="AL1323" s="420"/>
      <c r="AM1323" s="420"/>
      <c r="AN1323" s="420"/>
      <c r="AO1323" s="420"/>
      <c r="AP1323" s="420"/>
      <c r="AQ1323" s="420"/>
      <c r="AR1323" s="420"/>
      <c r="AS1323" s="420"/>
      <c r="AT1323" s="420"/>
      <c r="AU1323" s="420"/>
      <c r="AV1323" s="420"/>
      <c r="AW1323" s="403"/>
      <c r="AX1323" s="403"/>
      <c r="AY1323" s="403"/>
    </row>
    <row r="1324">
      <c r="C1324" s="165"/>
      <c r="E1324" s="98"/>
      <c r="F1324" s="168"/>
      <c r="L1324" s="417"/>
      <c r="M1324" s="420"/>
      <c r="N1324" s="420"/>
      <c r="O1324" s="420"/>
      <c r="P1324" s="420"/>
      <c r="Q1324" s="420"/>
      <c r="R1324" s="420"/>
      <c r="S1324" s="420"/>
      <c r="T1324" s="420"/>
      <c r="U1324" s="420"/>
      <c r="V1324" s="420"/>
      <c r="W1324" s="420"/>
      <c r="X1324" s="420"/>
      <c r="Y1324" s="420"/>
      <c r="Z1324" s="420"/>
      <c r="AA1324" s="420"/>
      <c r="AB1324" s="420"/>
      <c r="AC1324" s="420"/>
      <c r="AD1324" s="420"/>
      <c r="AE1324" s="420"/>
      <c r="AF1324" s="420"/>
      <c r="AG1324" s="420"/>
      <c r="AH1324" s="420"/>
      <c r="AI1324" s="420"/>
      <c r="AJ1324" s="420"/>
      <c r="AK1324" s="420"/>
      <c r="AL1324" s="420"/>
      <c r="AM1324" s="420"/>
      <c r="AN1324" s="420"/>
      <c r="AO1324" s="420"/>
      <c r="AP1324" s="420"/>
      <c r="AQ1324" s="420"/>
      <c r="AR1324" s="420"/>
      <c r="AS1324" s="420"/>
      <c r="AT1324" s="420"/>
      <c r="AU1324" s="420"/>
      <c r="AV1324" s="420"/>
      <c r="AW1324" s="403"/>
      <c r="AX1324" s="403"/>
      <c r="AY1324" s="403"/>
    </row>
    <row r="1325">
      <c r="C1325" s="165"/>
      <c r="E1325" s="98"/>
      <c r="F1325" s="168"/>
      <c r="L1325" s="417"/>
      <c r="M1325" s="420"/>
      <c r="N1325" s="420"/>
      <c r="O1325" s="420"/>
      <c r="P1325" s="420"/>
      <c r="Q1325" s="420"/>
      <c r="R1325" s="420"/>
      <c r="S1325" s="420"/>
      <c r="T1325" s="420"/>
      <c r="U1325" s="420"/>
      <c r="V1325" s="420"/>
      <c r="W1325" s="420"/>
      <c r="X1325" s="420"/>
      <c r="Y1325" s="420"/>
      <c r="Z1325" s="420"/>
      <c r="AA1325" s="420"/>
      <c r="AB1325" s="420"/>
      <c r="AC1325" s="420"/>
      <c r="AD1325" s="420"/>
      <c r="AE1325" s="420"/>
      <c r="AF1325" s="420"/>
      <c r="AG1325" s="420"/>
      <c r="AH1325" s="420"/>
      <c r="AI1325" s="420"/>
      <c r="AJ1325" s="420"/>
      <c r="AK1325" s="420"/>
      <c r="AL1325" s="420"/>
      <c r="AM1325" s="420"/>
      <c r="AN1325" s="420"/>
      <c r="AO1325" s="420"/>
      <c r="AP1325" s="420"/>
      <c r="AQ1325" s="420"/>
      <c r="AR1325" s="420"/>
      <c r="AS1325" s="420"/>
      <c r="AT1325" s="420"/>
      <c r="AU1325" s="420"/>
      <c r="AV1325" s="420"/>
      <c r="AW1325" s="403"/>
      <c r="AX1325" s="403"/>
      <c r="AY1325" s="403"/>
    </row>
    <row r="1326">
      <c r="C1326" s="165"/>
      <c r="E1326" s="98"/>
      <c r="F1326" s="168"/>
      <c r="L1326" s="417"/>
      <c r="M1326" s="420"/>
      <c r="N1326" s="420"/>
      <c r="O1326" s="420"/>
      <c r="P1326" s="420"/>
      <c r="Q1326" s="420"/>
      <c r="R1326" s="420"/>
      <c r="S1326" s="420"/>
      <c r="T1326" s="420"/>
      <c r="U1326" s="420"/>
      <c r="V1326" s="420"/>
      <c r="W1326" s="420"/>
      <c r="X1326" s="420"/>
      <c r="Y1326" s="420"/>
      <c r="Z1326" s="420"/>
      <c r="AA1326" s="420"/>
      <c r="AB1326" s="420"/>
      <c r="AC1326" s="420"/>
      <c r="AD1326" s="420"/>
      <c r="AE1326" s="420"/>
      <c r="AF1326" s="420"/>
      <c r="AG1326" s="420"/>
      <c r="AH1326" s="420"/>
      <c r="AI1326" s="420"/>
      <c r="AJ1326" s="420"/>
      <c r="AK1326" s="420"/>
      <c r="AL1326" s="420"/>
      <c r="AM1326" s="420"/>
      <c r="AN1326" s="420"/>
      <c r="AO1326" s="420"/>
      <c r="AP1326" s="420"/>
      <c r="AQ1326" s="420"/>
      <c r="AR1326" s="420"/>
      <c r="AS1326" s="420"/>
      <c r="AT1326" s="420"/>
      <c r="AU1326" s="420"/>
      <c r="AV1326" s="420"/>
      <c r="AW1326" s="403"/>
      <c r="AX1326" s="403"/>
      <c r="AY1326" s="403"/>
    </row>
    <row r="1327">
      <c r="C1327" s="165"/>
      <c r="E1327" s="98"/>
      <c r="F1327" s="168"/>
      <c r="L1327" s="417"/>
      <c r="M1327" s="420"/>
      <c r="N1327" s="420"/>
      <c r="O1327" s="420"/>
      <c r="P1327" s="420"/>
      <c r="Q1327" s="420"/>
      <c r="R1327" s="420"/>
      <c r="S1327" s="420"/>
      <c r="T1327" s="420"/>
      <c r="U1327" s="420"/>
      <c r="V1327" s="420"/>
      <c r="W1327" s="420"/>
      <c r="X1327" s="420"/>
      <c r="Y1327" s="420"/>
      <c r="Z1327" s="420"/>
      <c r="AA1327" s="420"/>
      <c r="AB1327" s="420"/>
      <c r="AC1327" s="420"/>
      <c r="AD1327" s="420"/>
      <c r="AE1327" s="420"/>
      <c r="AF1327" s="420"/>
      <c r="AG1327" s="420"/>
      <c r="AH1327" s="420"/>
      <c r="AI1327" s="420"/>
      <c r="AJ1327" s="420"/>
      <c r="AK1327" s="420"/>
      <c r="AL1327" s="420"/>
      <c r="AM1327" s="420"/>
      <c r="AN1327" s="420"/>
      <c r="AO1327" s="420"/>
      <c r="AP1327" s="420"/>
      <c r="AQ1327" s="420"/>
      <c r="AR1327" s="420"/>
      <c r="AS1327" s="420"/>
      <c r="AT1327" s="420"/>
      <c r="AU1327" s="420"/>
      <c r="AV1327" s="420"/>
      <c r="AW1327" s="403"/>
      <c r="AX1327" s="403"/>
      <c r="AY1327" s="403"/>
    </row>
    <row r="1328">
      <c r="C1328" s="165"/>
      <c r="E1328" s="98"/>
      <c r="F1328" s="168"/>
      <c r="L1328" s="417"/>
      <c r="M1328" s="420"/>
      <c r="N1328" s="420"/>
      <c r="O1328" s="420"/>
      <c r="P1328" s="420"/>
      <c r="Q1328" s="420"/>
      <c r="R1328" s="420"/>
      <c r="S1328" s="420"/>
      <c r="T1328" s="420"/>
      <c r="U1328" s="420"/>
      <c r="V1328" s="420"/>
      <c r="W1328" s="420"/>
      <c r="X1328" s="420"/>
      <c r="Y1328" s="420"/>
      <c r="Z1328" s="420"/>
      <c r="AA1328" s="420"/>
      <c r="AB1328" s="420"/>
      <c r="AC1328" s="420"/>
      <c r="AD1328" s="420"/>
      <c r="AE1328" s="420"/>
      <c r="AF1328" s="420"/>
      <c r="AG1328" s="420"/>
      <c r="AH1328" s="420"/>
      <c r="AI1328" s="420"/>
      <c r="AJ1328" s="420"/>
      <c r="AK1328" s="420"/>
      <c r="AL1328" s="420"/>
      <c r="AM1328" s="420"/>
      <c r="AN1328" s="420"/>
      <c r="AO1328" s="420"/>
      <c r="AP1328" s="420"/>
      <c r="AQ1328" s="420"/>
      <c r="AR1328" s="420"/>
      <c r="AS1328" s="420"/>
      <c r="AT1328" s="420"/>
      <c r="AU1328" s="420"/>
      <c r="AV1328" s="420"/>
      <c r="AW1328" s="403"/>
      <c r="AX1328" s="403"/>
      <c r="AY1328" s="403"/>
    </row>
    <row r="1329">
      <c r="C1329" s="165"/>
      <c r="E1329" s="98"/>
      <c r="F1329" s="168"/>
      <c r="L1329" s="417"/>
      <c r="M1329" s="420"/>
      <c r="N1329" s="420"/>
      <c r="O1329" s="420"/>
      <c r="P1329" s="420"/>
      <c r="Q1329" s="420"/>
      <c r="R1329" s="420"/>
      <c r="S1329" s="420"/>
      <c r="T1329" s="420"/>
      <c r="U1329" s="420"/>
      <c r="V1329" s="420"/>
      <c r="W1329" s="420"/>
      <c r="X1329" s="420"/>
      <c r="Y1329" s="420"/>
      <c r="Z1329" s="420"/>
      <c r="AA1329" s="420"/>
      <c r="AB1329" s="420"/>
      <c r="AC1329" s="420"/>
      <c r="AD1329" s="420"/>
      <c r="AE1329" s="420"/>
      <c r="AF1329" s="420"/>
      <c r="AG1329" s="420"/>
      <c r="AH1329" s="420"/>
      <c r="AI1329" s="420"/>
      <c r="AJ1329" s="420"/>
      <c r="AK1329" s="420"/>
      <c r="AL1329" s="420"/>
      <c r="AM1329" s="420"/>
      <c r="AN1329" s="420"/>
      <c r="AO1329" s="420"/>
      <c r="AP1329" s="420"/>
      <c r="AQ1329" s="420"/>
      <c r="AR1329" s="420"/>
      <c r="AS1329" s="420"/>
      <c r="AT1329" s="420"/>
      <c r="AU1329" s="420"/>
      <c r="AV1329" s="420"/>
      <c r="AW1329" s="403"/>
      <c r="AX1329" s="403"/>
      <c r="AY1329" s="403"/>
    </row>
    <row r="1330">
      <c r="C1330" s="165"/>
      <c r="E1330" s="98"/>
      <c r="F1330" s="168"/>
      <c r="L1330" s="417"/>
      <c r="M1330" s="420"/>
      <c r="N1330" s="420"/>
      <c r="O1330" s="420"/>
      <c r="P1330" s="420"/>
      <c r="Q1330" s="420"/>
      <c r="R1330" s="420"/>
      <c r="S1330" s="420"/>
      <c r="T1330" s="420"/>
      <c r="U1330" s="420"/>
      <c r="V1330" s="420"/>
      <c r="W1330" s="420"/>
      <c r="X1330" s="420"/>
      <c r="Y1330" s="420"/>
      <c r="Z1330" s="420"/>
      <c r="AA1330" s="420"/>
      <c r="AB1330" s="420"/>
      <c r="AC1330" s="420"/>
      <c r="AD1330" s="420"/>
      <c r="AE1330" s="420"/>
      <c r="AF1330" s="420"/>
      <c r="AG1330" s="420"/>
      <c r="AH1330" s="420"/>
      <c r="AI1330" s="420"/>
      <c r="AJ1330" s="420"/>
      <c r="AK1330" s="420"/>
      <c r="AL1330" s="420"/>
      <c r="AM1330" s="420"/>
      <c r="AN1330" s="420"/>
      <c r="AO1330" s="420"/>
      <c r="AP1330" s="420"/>
      <c r="AQ1330" s="420"/>
      <c r="AR1330" s="420"/>
      <c r="AS1330" s="420"/>
      <c r="AT1330" s="420"/>
      <c r="AU1330" s="420"/>
      <c r="AV1330" s="420"/>
      <c r="AW1330" s="403"/>
      <c r="AX1330" s="403"/>
      <c r="AY1330" s="403"/>
    </row>
    <row r="1331">
      <c r="C1331" s="165"/>
      <c r="E1331" s="98"/>
      <c r="F1331" s="168"/>
      <c r="L1331" s="417"/>
      <c r="M1331" s="420"/>
      <c r="N1331" s="420"/>
      <c r="O1331" s="420"/>
      <c r="P1331" s="420"/>
      <c r="Q1331" s="420"/>
      <c r="R1331" s="420"/>
      <c r="S1331" s="420"/>
      <c r="T1331" s="420"/>
      <c r="U1331" s="420"/>
      <c r="V1331" s="420"/>
      <c r="W1331" s="420"/>
      <c r="X1331" s="420"/>
      <c r="Y1331" s="420"/>
      <c r="Z1331" s="420"/>
      <c r="AA1331" s="420"/>
      <c r="AB1331" s="420"/>
      <c r="AC1331" s="420"/>
      <c r="AD1331" s="420"/>
      <c r="AE1331" s="420"/>
      <c r="AF1331" s="420"/>
      <c r="AG1331" s="420"/>
      <c r="AH1331" s="420"/>
      <c r="AI1331" s="420"/>
      <c r="AJ1331" s="420"/>
      <c r="AK1331" s="420"/>
      <c r="AL1331" s="420"/>
      <c r="AM1331" s="420"/>
      <c r="AN1331" s="420"/>
      <c r="AO1331" s="420"/>
      <c r="AP1331" s="420"/>
      <c r="AQ1331" s="420"/>
      <c r="AR1331" s="420"/>
      <c r="AS1331" s="420"/>
      <c r="AT1331" s="420"/>
      <c r="AU1331" s="420"/>
      <c r="AV1331" s="420"/>
      <c r="AW1331" s="403"/>
      <c r="AX1331" s="403"/>
      <c r="AY1331" s="403"/>
    </row>
    <row r="1332">
      <c r="C1332" s="165"/>
      <c r="E1332" s="98"/>
      <c r="F1332" s="168"/>
      <c r="L1332" s="417"/>
      <c r="M1332" s="420"/>
      <c r="N1332" s="420"/>
      <c r="O1332" s="420"/>
      <c r="P1332" s="420"/>
      <c r="Q1332" s="420"/>
      <c r="R1332" s="420"/>
      <c r="S1332" s="420"/>
      <c r="T1332" s="420"/>
      <c r="U1332" s="420"/>
      <c r="V1332" s="420"/>
      <c r="W1332" s="420"/>
      <c r="X1332" s="420"/>
      <c r="Y1332" s="420"/>
      <c r="Z1332" s="420"/>
      <c r="AA1332" s="420"/>
      <c r="AB1332" s="420"/>
      <c r="AC1332" s="420"/>
      <c r="AD1332" s="420"/>
      <c r="AE1332" s="420"/>
      <c r="AF1332" s="420"/>
      <c r="AG1332" s="420"/>
      <c r="AH1332" s="420"/>
      <c r="AI1332" s="420"/>
      <c r="AJ1332" s="420"/>
      <c r="AK1332" s="420"/>
      <c r="AL1332" s="420"/>
      <c r="AM1332" s="420"/>
      <c r="AN1332" s="420"/>
      <c r="AO1332" s="420"/>
      <c r="AP1332" s="420"/>
      <c r="AQ1332" s="420"/>
      <c r="AR1332" s="420"/>
      <c r="AS1332" s="420"/>
      <c r="AT1332" s="420"/>
      <c r="AU1332" s="420"/>
      <c r="AV1332" s="420"/>
      <c r="AW1332" s="403"/>
      <c r="AX1332" s="403"/>
      <c r="AY1332" s="403"/>
    </row>
    <row r="1333">
      <c r="C1333" s="165"/>
      <c r="E1333" s="98"/>
      <c r="F1333" s="168"/>
      <c r="L1333" s="417"/>
      <c r="M1333" s="420"/>
      <c r="N1333" s="420"/>
      <c r="O1333" s="420"/>
      <c r="P1333" s="420"/>
      <c r="Q1333" s="420"/>
      <c r="R1333" s="420"/>
      <c r="S1333" s="420"/>
      <c r="T1333" s="420"/>
      <c r="U1333" s="420"/>
      <c r="V1333" s="420"/>
      <c r="W1333" s="420"/>
      <c r="X1333" s="420"/>
      <c r="Y1333" s="420"/>
      <c r="Z1333" s="420"/>
      <c r="AA1333" s="420"/>
      <c r="AB1333" s="420"/>
      <c r="AC1333" s="420"/>
      <c r="AD1333" s="420"/>
      <c r="AE1333" s="420"/>
      <c r="AF1333" s="420"/>
      <c r="AG1333" s="420"/>
      <c r="AH1333" s="420"/>
      <c r="AI1333" s="420"/>
      <c r="AJ1333" s="420"/>
      <c r="AK1333" s="420"/>
      <c r="AL1333" s="420"/>
      <c r="AM1333" s="420"/>
      <c r="AN1333" s="420"/>
      <c r="AO1333" s="420"/>
      <c r="AP1333" s="420"/>
      <c r="AQ1333" s="420"/>
      <c r="AR1333" s="420"/>
      <c r="AS1333" s="420"/>
      <c r="AT1333" s="420"/>
      <c r="AU1333" s="420"/>
      <c r="AV1333" s="420"/>
      <c r="AW1333" s="403"/>
      <c r="AX1333" s="403"/>
      <c r="AY1333" s="403"/>
    </row>
    <row r="1334">
      <c r="C1334" s="165"/>
      <c r="E1334" s="98"/>
      <c r="F1334" s="168"/>
      <c r="L1334" s="417"/>
      <c r="M1334" s="420"/>
      <c r="N1334" s="420"/>
      <c r="O1334" s="420"/>
      <c r="P1334" s="420"/>
      <c r="Q1334" s="420"/>
      <c r="R1334" s="420"/>
      <c r="S1334" s="420"/>
      <c r="T1334" s="420"/>
      <c r="U1334" s="420"/>
      <c r="V1334" s="420"/>
      <c r="W1334" s="420"/>
      <c r="X1334" s="420"/>
      <c r="Y1334" s="420"/>
      <c r="Z1334" s="420"/>
      <c r="AA1334" s="420"/>
      <c r="AB1334" s="420"/>
      <c r="AC1334" s="420"/>
      <c r="AD1334" s="420"/>
      <c r="AE1334" s="420"/>
      <c r="AF1334" s="420"/>
      <c r="AG1334" s="420"/>
      <c r="AH1334" s="420"/>
      <c r="AI1334" s="420"/>
      <c r="AJ1334" s="420"/>
      <c r="AK1334" s="420"/>
      <c r="AL1334" s="420"/>
      <c r="AM1334" s="420"/>
      <c r="AN1334" s="420"/>
      <c r="AO1334" s="420"/>
      <c r="AP1334" s="420"/>
      <c r="AQ1334" s="420"/>
      <c r="AR1334" s="420"/>
      <c r="AS1334" s="420"/>
      <c r="AT1334" s="420"/>
      <c r="AU1334" s="420"/>
      <c r="AV1334" s="420"/>
      <c r="AW1334" s="403"/>
      <c r="AX1334" s="403"/>
      <c r="AY1334" s="403"/>
    </row>
    <row r="1335">
      <c r="C1335" s="165"/>
      <c r="E1335" s="98"/>
      <c r="F1335" s="168"/>
      <c r="L1335" s="417"/>
      <c r="M1335" s="420"/>
      <c r="N1335" s="420"/>
      <c r="O1335" s="420"/>
      <c r="P1335" s="420"/>
      <c r="Q1335" s="420"/>
      <c r="R1335" s="420"/>
      <c r="S1335" s="420"/>
      <c r="T1335" s="420"/>
      <c r="U1335" s="420"/>
      <c r="V1335" s="420"/>
      <c r="W1335" s="420"/>
      <c r="X1335" s="420"/>
      <c r="Y1335" s="420"/>
      <c r="Z1335" s="420"/>
      <c r="AA1335" s="420"/>
      <c r="AB1335" s="420"/>
      <c r="AC1335" s="420"/>
      <c r="AD1335" s="420"/>
      <c r="AE1335" s="420"/>
      <c r="AF1335" s="420"/>
      <c r="AG1335" s="420"/>
      <c r="AH1335" s="420"/>
      <c r="AI1335" s="420"/>
      <c r="AJ1335" s="420"/>
      <c r="AK1335" s="420"/>
      <c r="AL1335" s="420"/>
      <c r="AM1335" s="420"/>
      <c r="AN1335" s="420"/>
      <c r="AO1335" s="420"/>
      <c r="AP1335" s="420"/>
      <c r="AQ1335" s="420"/>
      <c r="AR1335" s="420"/>
      <c r="AS1335" s="420"/>
      <c r="AT1335" s="420"/>
      <c r="AU1335" s="420"/>
      <c r="AV1335" s="420"/>
      <c r="AW1335" s="403"/>
      <c r="AX1335" s="403"/>
      <c r="AY1335" s="403"/>
    </row>
    <row r="1336">
      <c r="C1336" s="165"/>
      <c r="E1336" s="98"/>
      <c r="F1336" s="168"/>
      <c r="L1336" s="417"/>
      <c r="M1336" s="420"/>
      <c r="N1336" s="420"/>
      <c r="O1336" s="420"/>
      <c r="P1336" s="420"/>
      <c r="Q1336" s="420"/>
      <c r="R1336" s="420"/>
      <c r="S1336" s="420"/>
      <c r="T1336" s="420"/>
      <c r="U1336" s="420"/>
      <c r="V1336" s="420"/>
      <c r="W1336" s="420"/>
      <c r="X1336" s="420"/>
      <c r="Y1336" s="420"/>
      <c r="Z1336" s="420"/>
      <c r="AA1336" s="420"/>
      <c r="AB1336" s="420"/>
      <c r="AC1336" s="420"/>
      <c r="AD1336" s="420"/>
      <c r="AE1336" s="420"/>
      <c r="AF1336" s="420"/>
      <c r="AG1336" s="420"/>
      <c r="AH1336" s="420"/>
      <c r="AI1336" s="420"/>
      <c r="AJ1336" s="420"/>
      <c r="AK1336" s="420"/>
      <c r="AL1336" s="420"/>
      <c r="AM1336" s="420"/>
      <c r="AN1336" s="420"/>
      <c r="AO1336" s="420"/>
      <c r="AP1336" s="420"/>
      <c r="AQ1336" s="420"/>
      <c r="AR1336" s="420"/>
      <c r="AS1336" s="420"/>
      <c r="AT1336" s="420"/>
      <c r="AU1336" s="420"/>
      <c r="AV1336" s="420"/>
      <c r="AW1336" s="403"/>
      <c r="AX1336" s="403"/>
      <c r="AY1336" s="403"/>
    </row>
    <row r="1337">
      <c r="C1337" s="165"/>
      <c r="E1337" s="98"/>
      <c r="F1337" s="168"/>
      <c r="L1337" s="417"/>
      <c r="M1337" s="420"/>
      <c r="N1337" s="420"/>
      <c r="O1337" s="420"/>
      <c r="P1337" s="420"/>
      <c r="Q1337" s="420"/>
      <c r="R1337" s="420"/>
      <c r="S1337" s="420"/>
      <c r="T1337" s="420"/>
      <c r="U1337" s="420"/>
      <c r="V1337" s="420"/>
      <c r="W1337" s="420"/>
      <c r="X1337" s="420"/>
      <c r="Y1337" s="420"/>
      <c r="Z1337" s="420"/>
      <c r="AA1337" s="420"/>
      <c r="AB1337" s="420"/>
      <c r="AC1337" s="420"/>
      <c r="AD1337" s="420"/>
      <c r="AE1337" s="420"/>
      <c r="AF1337" s="420"/>
      <c r="AG1337" s="420"/>
      <c r="AH1337" s="420"/>
      <c r="AI1337" s="420"/>
      <c r="AJ1337" s="420"/>
      <c r="AK1337" s="420"/>
      <c r="AL1337" s="420"/>
      <c r="AM1337" s="420"/>
      <c r="AN1337" s="420"/>
      <c r="AO1337" s="420"/>
      <c r="AP1337" s="420"/>
      <c r="AQ1337" s="420"/>
      <c r="AR1337" s="420"/>
      <c r="AS1337" s="420"/>
      <c r="AT1337" s="420"/>
      <c r="AU1337" s="420"/>
      <c r="AV1337" s="420"/>
      <c r="AW1337" s="403"/>
      <c r="AX1337" s="403"/>
      <c r="AY1337" s="403"/>
    </row>
    <row r="1338">
      <c r="C1338" s="165"/>
      <c r="E1338" s="98"/>
      <c r="F1338" s="168"/>
      <c r="L1338" s="417"/>
      <c r="M1338" s="420"/>
      <c r="N1338" s="420"/>
      <c r="O1338" s="420"/>
      <c r="P1338" s="420"/>
      <c r="Q1338" s="420"/>
      <c r="R1338" s="420"/>
      <c r="S1338" s="420"/>
      <c r="T1338" s="420"/>
      <c r="U1338" s="420"/>
      <c r="V1338" s="420"/>
      <c r="W1338" s="420"/>
      <c r="X1338" s="420"/>
      <c r="Y1338" s="420"/>
      <c r="Z1338" s="420"/>
      <c r="AA1338" s="420"/>
      <c r="AB1338" s="420"/>
      <c r="AC1338" s="420"/>
      <c r="AD1338" s="420"/>
      <c r="AE1338" s="420"/>
      <c r="AF1338" s="420"/>
      <c r="AG1338" s="420"/>
      <c r="AH1338" s="420"/>
      <c r="AI1338" s="420"/>
      <c r="AJ1338" s="420"/>
      <c r="AK1338" s="420"/>
      <c r="AL1338" s="420"/>
      <c r="AM1338" s="420"/>
      <c r="AN1338" s="420"/>
      <c r="AO1338" s="420"/>
      <c r="AP1338" s="420"/>
      <c r="AQ1338" s="420"/>
      <c r="AR1338" s="420"/>
      <c r="AS1338" s="420"/>
      <c r="AT1338" s="420"/>
      <c r="AU1338" s="420"/>
      <c r="AV1338" s="420"/>
      <c r="AW1338" s="403"/>
      <c r="AX1338" s="403"/>
      <c r="AY1338" s="403"/>
    </row>
    <row r="1339">
      <c r="C1339" s="165"/>
      <c r="E1339" s="98"/>
      <c r="F1339" s="168"/>
      <c r="L1339" s="417"/>
      <c r="M1339" s="420"/>
      <c r="N1339" s="420"/>
      <c r="O1339" s="420"/>
      <c r="P1339" s="420"/>
      <c r="Q1339" s="420"/>
      <c r="R1339" s="420"/>
      <c r="S1339" s="420"/>
      <c r="T1339" s="420"/>
      <c r="U1339" s="420"/>
      <c r="V1339" s="420"/>
      <c r="W1339" s="420"/>
      <c r="X1339" s="420"/>
      <c r="Y1339" s="420"/>
      <c r="Z1339" s="420"/>
      <c r="AA1339" s="420"/>
      <c r="AB1339" s="420"/>
      <c r="AC1339" s="420"/>
      <c r="AD1339" s="420"/>
      <c r="AE1339" s="420"/>
      <c r="AF1339" s="420"/>
      <c r="AG1339" s="420"/>
      <c r="AH1339" s="420"/>
      <c r="AI1339" s="420"/>
      <c r="AJ1339" s="420"/>
      <c r="AK1339" s="420"/>
      <c r="AL1339" s="420"/>
      <c r="AM1339" s="420"/>
      <c r="AN1339" s="420"/>
      <c r="AO1339" s="420"/>
      <c r="AP1339" s="420"/>
      <c r="AQ1339" s="420"/>
      <c r="AR1339" s="420"/>
      <c r="AS1339" s="420"/>
      <c r="AT1339" s="420"/>
      <c r="AU1339" s="420"/>
      <c r="AV1339" s="420"/>
      <c r="AW1339" s="403"/>
      <c r="AX1339" s="403"/>
      <c r="AY1339" s="403"/>
    </row>
    <row r="1340">
      <c r="C1340" s="165"/>
      <c r="E1340" s="98"/>
      <c r="F1340" s="168"/>
      <c r="L1340" s="417"/>
      <c r="M1340" s="420"/>
      <c r="N1340" s="420"/>
      <c r="O1340" s="420"/>
      <c r="P1340" s="420"/>
      <c r="Q1340" s="420"/>
      <c r="R1340" s="420"/>
      <c r="S1340" s="420"/>
      <c r="T1340" s="420"/>
      <c r="U1340" s="420"/>
      <c r="V1340" s="420"/>
      <c r="W1340" s="420"/>
      <c r="X1340" s="420"/>
      <c r="Y1340" s="420"/>
      <c r="Z1340" s="420"/>
      <c r="AA1340" s="420"/>
      <c r="AB1340" s="420"/>
      <c r="AC1340" s="420"/>
      <c r="AD1340" s="420"/>
      <c r="AE1340" s="420"/>
      <c r="AF1340" s="420"/>
      <c r="AG1340" s="420"/>
      <c r="AH1340" s="420"/>
      <c r="AI1340" s="420"/>
      <c r="AJ1340" s="420"/>
      <c r="AK1340" s="420"/>
      <c r="AL1340" s="420"/>
      <c r="AM1340" s="420"/>
      <c r="AN1340" s="420"/>
      <c r="AO1340" s="420"/>
      <c r="AP1340" s="420"/>
      <c r="AQ1340" s="420"/>
      <c r="AR1340" s="420"/>
      <c r="AS1340" s="420"/>
      <c r="AT1340" s="420"/>
      <c r="AU1340" s="420"/>
      <c r="AV1340" s="420"/>
      <c r="AW1340" s="403"/>
      <c r="AX1340" s="403"/>
      <c r="AY1340" s="403"/>
    </row>
  </sheetData>
  <conditionalFormatting sqref="M27:N28 M30:N30 M36:N40 M43:N47 M53:M57 N53:N62 M59:M62 M78:N81 M85:N88">
    <cfRule type="cellIs" dxfId="1" priority="1" operator="greaterThan">
      <formula>20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6.5"/>
    <col customWidth="1" min="3" max="3" width="6.88"/>
    <col customWidth="1" min="4" max="4" width="4.88"/>
    <col customWidth="1" min="5" max="5" width="6.38"/>
    <col customWidth="1" min="6" max="6" width="6.63"/>
    <col customWidth="1" min="7" max="7" width="6.5"/>
    <col customWidth="1" min="10" max="10" width="9.88"/>
    <col customWidth="1" min="12" max="12" width="5.75"/>
    <col customWidth="1" min="13" max="13" width="10.0"/>
    <col customWidth="1" min="14" max="14" width="11.38"/>
    <col customWidth="1" min="15" max="15" width="5.75"/>
    <col customWidth="1" min="16" max="16" width="10.5"/>
    <col customWidth="1" min="17" max="17" width="10.0"/>
    <col customWidth="1" min="18" max="18" width="9.13"/>
  </cols>
  <sheetData>
    <row r="1">
      <c r="A1" s="447" t="s">
        <v>164</v>
      </c>
      <c r="D1" s="319"/>
      <c r="F1" s="448" t="s">
        <v>165</v>
      </c>
      <c r="G1" s="319"/>
      <c r="J1" s="449" t="s">
        <v>166</v>
      </c>
      <c r="R1" s="319"/>
      <c r="S1" s="247" t="s">
        <v>1</v>
      </c>
      <c r="T1" s="252" t="s">
        <v>167</v>
      </c>
      <c r="U1" s="249" t="s">
        <v>89</v>
      </c>
      <c r="V1" s="250" t="s">
        <v>90</v>
      </c>
      <c r="W1" s="251" t="s">
        <v>91</v>
      </c>
      <c r="X1" s="252" t="s">
        <v>92</v>
      </c>
      <c r="Y1" s="253" t="s">
        <v>168</v>
      </c>
      <c r="Z1" s="450" t="s">
        <v>169</v>
      </c>
      <c r="AA1" s="253" t="s">
        <v>170</v>
      </c>
      <c r="AB1" s="450" t="s">
        <v>171</v>
      </c>
      <c r="AC1" s="253" t="s">
        <v>172</v>
      </c>
      <c r="AD1" s="253" t="s">
        <v>173</v>
      </c>
      <c r="AE1" s="253" t="s">
        <v>174</v>
      </c>
      <c r="AF1" s="253" t="s">
        <v>175</v>
      </c>
      <c r="AG1" s="451" t="s">
        <v>176</v>
      </c>
      <c r="AH1" s="451" t="s">
        <v>177</v>
      </c>
      <c r="AI1" s="253" t="s">
        <v>178</v>
      </c>
      <c r="AJ1" s="248" t="s">
        <v>88</v>
      </c>
      <c r="AK1" s="251" t="s">
        <v>179</v>
      </c>
      <c r="AL1" s="251" t="s">
        <v>180</v>
      </c>
      <c r="AM1" s="251" t="s">
        <v>181</v>
      </c>
      <c r="AN1" s="251" t="s">
        <v>182</v>
      </c>
      <c r="AO1" s="251" t="s">
        <v>183</v>
      </c>
      <c r="AP1" s="251" t="s">
        <v>184</v>
      </c>
      <c r="AQ1" s="251" t="s">
        <v>185</v>
      </c>
      <c r="AR1" s="252" t="s">
        <v>40</v>
      </c>
      <c r="AS1" s="251" t="s">
        <v>25</v>
      </c>
    </row>
    <row r="2">
      <c r="A2" s="452" t="s">
        <v>186</v>
      </c>
      <c r="B2" s="453" t="s">
        <v>187</v>
      </c>
      <c r="C2" s="453" t="s">
        <v>188</v>
      </c>
      <c r="D2" s="453" t="s">
        <v>189</v>
      </c>
      <c r="F2" s="454" t="s">
        <v>186</v>
      </c>
      <c r="G2" s="454" t="s">
        <v>187</v>
      </c>
      <c r="J2" s="455" t="s">
        <v>190</v>
      </c>
      <c r="K2" s="456" t="s">
        <v>191</v>
      </c>
      <c r="L2" s="457" t="s">
        <v>192</v>
      </c>
      <c r="M2" s="455" t="s">
        <v>193</v>
      </c>
      <c r="N2" s="458" t="s">
        <v>194</v>
      </c>
      <c r="O2" s="457" t="s">
        <v>192</v>
      </c>
      <c r="P2" s="455" t="s">
        <v>195</v>
      </c>
      <c r="Q2" s="458" t="s">
        <v>196</v>
      </c>
      <c r="R2" s="455" t="s">
        <v>192</v>
      </c>
      <c r="S2" s="459" t="str">
        <f>CUENTAS!A1</f>
        <v>FECHA</v>
      </c>
    </row>
    <row r="3">
      <c r="A3" s="460">
        <v>10000.0</v>
      </c>
      <c r="B3" s="461">
        <f t="array" ref="B3:B52">FREQUENCY(GRAFICO!B:B,A3:A51)</f>
        <v>1</v>
      </c>
      <c r="C3" s="462">
        <f>IFERROR(__xludf.DUMMYFUNCTION("STDEVP(FILTER(GRAFICO!B:B, GRAFICO!B:B&gt;= A3 ,GRAFICO!B:B &lt; A4))
"),73.32263901999771)</f>
        <v>73.32263902</v>
      </c>
      <c r="D3" s="463">
        <f t="shared" ref="D3:D52" si="1">SUM(B$3:B3)</f>
        <v>1</v>
      </c>
      <c r="F3" s="464">
        <v>-0.025</v>
      </c>
      <c r="G3" s="461">
        <f t="array" ref="G3:G19">FREQUENCY(GRAFICO!K:K,F3:F51)</f>
        <v>6</v>
      </c>
      <c r="J3" s="465">
        <v>45657.0</v>
      </c>
      <c r="K3" s="466">
        <f>SUMIF(GRAFICO!A:A,J3,GRAFICO!B:B)</f>
        <v>13916.4734</v>
      </c>
      <c r="L3" s="467">
        <f t="shared" ref="L3:L368" si="2">ln(K3/$K$368)</f>
        <v>0.3204189424</v>
      </c>
      <c r="M3" s="468">
        <v>46022.0</v>
      </c>
      <c r="N3" s="469">
        <f>IF(SUMIF(GRAFICO!A:A,M3,GRAFICO!B:B)=0,"",SUMIF(GRAFICO!A:A,M3,GRAFICO!B:B))</f>
        <v>20702.56961</v>
      </c>
      <c r="O3" s="467">
        <f t="shared" ref="O3:O308" si="3">ln(N3/$N$368)</f>
        <v>0.3971845533</v>
      </c>
      <c r="P3" s="468">
        <v>46387.0</v>
      </c>
      <c r="Q3" s="463" t="str">
        <f>IF(SUMIF(GRAFICO!A:A,P3,GRAFICO!B:B)=0,"",SUMIF(GRAFICO!A:A,P3,GRAFICO!B:B))</f>
        <v/>
      </c>
      <c r="R3" s="463" t="str">
        <f t="shared" ref="R3:R368" si="4">IF(Q3="","",LN(Q3/$Q$368))</f>
        <v/>
      </c>
    </row>
    <row r="4">
      <c r="A4" s="460">
        <v>10250.0</v>
      </c>
      <c r="B4" s="461">
        <v>54.0</v>
      </c>
      <c r="C4" s="462">
        <f>IFERROR(__xludf.DUMMYFUNCTION("STDEVP(FILTER(GRAFICO!B:B, GRAFICO!B:B&gt;= A4 ,GRAFICO!B:B &lt; A5))
"),82.32194725608598)</f>
        <v>82.32194726</v>
      </c>
      <c r="D4" s="463">
        <f t="shared" si="1"/>
        <v>55</v>
      </c>
      <c r="F4" s="464">
        <v>-0.02</v>
      </c>
      <c r="G4" s="461">
        <v>3.0</v>
      </c>
      <c r="J4" s="470">
        <v>45656.0</v>
      </c>
      <c r="K4" s="466">
        <f>SUMIF(GRAFICO!A:A,J4,GRAFICO!B:B)</f>
        <v>13916.4734</v>
      </c>
      <c r="L4" s="467">
        <f t="shared" si="2"/>
        <v>0.3204189424</v>
      </c>
      <c r="M4" s="468">
        <v>46021.0</v>
      </c>
      <c r="N4" s="469">
        <f>IF(SUMIF(GRAFICO!A:A,M4,GRAFICO!B:B)=0,"",SUMIF(GRAFICO!A:A,M4,GRAFICO!B:B))</f>
        <v>20700.15697</v>
      </c>
      <c r="O4" s="467">
        <f t="shared" si="3"/>
        <v>0.3970680082</v>
      </c>
      <c r="P4" s="465">
        <v>46386.0</v>
      </c>
      <c r="Q4" s="463" t="str">
        <f>IF(SUMIF(GRAFICO!A:A,P4,GRAFICO!B:B)=0,"",SUMIF(GRAFICO!A:A,P4,GRAFICO!B:B))</f>
        <v/>
      </c>
      <c r="R4" s="463" t="str">
        <f t="shared" si="4"/>
        <v/>
      </c>
    </row>
    <row r="5">
      <c r="A5" s="460">
        <v>10500.0</v>
      </c>
      <c r="B5" s="461">
        <v>17.0</v>
      </c>
      <c r="C5" s="462">
        <f>IFERROR(__xludf.DUMMYFUNCTION("STDEVP(FILTER(GRAFICO!B:B, GRAFICO!B:B&gt;= A5 ,GRAFICO!B:B &lt; A6))
"),56.03864492793233)</f>
        <v>56.03864493</v>
      </c>
      <c r="D5" s="463">
        <f t="shared" si="1"/>
        <v>72</v>
      </c>
      <c r="F5" s="464">
        <v>-0.015</v>
      </c>
      <c r="G5" s="461">
        <v>10.0</v>
      </c>
      <c r="J5" s="465">
        <v>45655.0</v>
      </c>
      <c r="K5" s="466">
        <f>SUMIF(GRAFICO!A:A,J5,GRAFICO!B:B)</f>
        <v>13753.08129</v>
      </c>
      <c r="L5" s="467">
        <f t="shared" si="2"/>
        <v>0.3086085605</v>
      </c>
      <c r="M5" s="468">
        <v>46020.0</v>
      </c>
      <c r="N5" s="469">
        <f>IF(SUMIF(GRAFICO!A:A,M5,GRAFICO!B:B)=0,"",SUMIF(GRAFICO!A:A,M5,GRAFICO!B:B))</f>
        <v>21268.03664</v>
      </c>
      <c r="O5" s="467">
        <f t="shared" si="3"/>
        <v>0.4241320437</v>
      </c>
      <c r="P5" s="468">
        <v>46385.0</v>
      </c>
      <c r="Q5" s="463" t="str">
        <f>IF(SUMIF(GRAFICO!A:A,P5,GRAFICO!B:B)=0,"",SUMIF(GRAFICO!A:A,P5,GRAFICO!B:B))</f>
        <v/>
      </c>
      <c r="R5" s="463" t="str">
        <f t="shared" si="4"/>
        <v/>
      </c>
    </row>
    <row r="6">
      <c r="A6" s="460">
        <v>10750.0</v>
      </c>
      <c r="B6" s="461">
        <v>30.0</v>
      </c>
      <c r="C6" s="462">
        <f>IFERROR(__xludf.DUMMYFUNCTION("STDEVP(FILTER(GRAFICO!B:B, GRAFICO!B:B&gt;= A6 ,GRAFICO!B:B &lt; A7))
"),60.02496239947717)</f>
        <v>60.0249624</v>
      </c>
      <c r="D6" s="463">
        <f t="shared" si="1"/>
        <v>102</v>
      </c>
      <c r="F6" s="464">
        <v>-0.01</v>
      </c>
      <c r="G6" s="461">
        <v>13.0</v>
      </c>
      <c r="J6" s="465">
        <v>45654.0</v>
      </c>
      <c r="K6" s="466">
        <f>SUMIF(GRAFICO!A:A,J6,GRAFICO!B:B)</f>
        <v>13753.08129</v>
      </c>
      <c r="L6" s="467">
        <f t="shared" si="2"/>
        <v>0.3086085605</v>
      </c>
      <c r="M6" s="468">
        <v>46019.0</v>
      </c>
      <c r="N6" s="469">
        <f>IF(SUMIF(GRAFICO!A:A,M6,GRAFICO!B:B)=0,"",SUMIF(GRAFICO!A:A,M6,GRAFICO!B:B))</f>
        <v>21172.53894</v>
      </c>
      <c r="O6" s="467">
        <f t="shared" si="3"/>
        <v>0.4196317341</v>
      </c>
      <c r="P6" s="465">
        <v>46384.0</v>
      </c>
      <c r="Q6" s="463" t="str">
        <f>IF(SUMIF(GRAFICO!A:A,P6,GRAFICO!B:B)=0,"",SUMIF(GRAFICO!A:A,P6,GRAFICO!B:B))</f>
        <v/>
      </c>
      <c r="R6" s="463" t="str">
        <f t="shared" si="4"/>
        <v/>
      </c>
    </row>
    <row r="7">
      <c r="A7" s="460">
        <v>11000.0</v>
      </c>
      <c r="B7" s="461">
        <v>16.0</v>
      </c>
      <c r="C7" s="462">
        <f>IFERROR(__xludf.DUMMYFUNCTION("STDEVP(FILTER(GRAFICO!B:B, GRAFICO!B:B&gt;= A7 ,GRAFICO!B:B &lt; A8))
"),53.862955601090185)</f>
        <v>53.8629556</v>
      </c>
      <c r="D7" s="463">
        <f t="shared" si="1"/>
        <v>118</v>
      </c>
      <c r="F7" s="464">
        <v>-0.005</v>
      </c>
      <c r="G7" s="461">
        <v>48.0</v>
      </c>
      <c r="J7" s="470">
        <v>45653.0</v>
      </c>
      <c r="K7" s="466">
        <f>SUMIF(GRAFICO!A:A,J7,GRAFICO!B:B)</f>
        <v>13753.08129</v>
      </c>
      <c r="L7" s="467">
        <f t="shared" si="2"/>
        <v>0.3086085605</v>
      </c>
      <c r="M7" s="468">
        <v>46018.0</v>
      </c>
      <c r="N7" s="469">
        <f>IF(SUMIF(GRAFICO!A:A,M7,GRAFICO!B:B)=0,"",SUMIF(GRAFICO!A:A,M7,GRAFICO!B:B))</f>
        <v>21170.10571</v>
      </c>
      <c r="O7" s="467">
        <f t="shared" si="3"/>
        <v>0.4195168035</v>
      </c>
      <c r="P7" s="468">
        <v>46383.0</v>
      </c>
      <c r="Q7" s="463" t="str">
        <f>IF(SUMIF(GRAFICO!A:A,P7,GRAFICO!B:B)=0,"",SUMIF(GRAFICO!A:A,P7,GRAFICO!B:B))</f>
        <v/>
      </c>
      <c r="R7" s="463" t="str">
        <f t="shared" si="4"/>
        <v/>
      </c>
    </row>
    <row r="8">
      <c r="A8" s="460">
        <v>11250.0</v>
      </c>
      <c r="B8" s="461">
        <v>22.0</v>
      </c>
      <c r="C8" s="462">
        <f>IFERROR(__xludf.DUMMYFUNCTION("STDEVP(FILTER(GRAFICO!B:B, GRAFICO!B:B&gt;= A8 ,GRAFICO!B:B &lt; A9))
"),44.102055652247394)</f>
        <v>44.10205565</v>
      </c>
      <c r="D8" s="463">
        <f t="shared" si="1"/>
        <v>140</v>
      </c>
      <c r="F8" s="464">
        <v>0.0</v>
      </c>
      <c r="G8" s="461">
        <v>177.0</v>
      </c>
      <c r="J8" s="465">
        <v>45652.0</v>
      </c>
      <c r="K8" s="466">
        <f>SUMIF(GRAFICO!A:A,J8,GRAFICO!B:B)</f>
        <v>13788.64827</v>
      </c>
      <c r="L8" s="467">
        <f t="shared" si="2"/>
        <v>0.3111913322</v>
      </c>
      <c r="M8" s="468">
        <v>46017.0</v>
      </c>
      <c r="N8" s="469">
        <f>IF(SUMIF(GRAFICO!A:A,M8,GRAFICO!B:B)=0,"",SUMIF(GRAFICO!A:A,M8,GRAFICO!B:B))</f>
        <v>21167.6726</v>
      </c>
      <c r="O8" s="467">
        <f t="shared" si="3"/>
        <v>0.4194018655</v>
      </c>
      <c r="P8" s="465">
        <v>46382.0</v>
      </c>
      <c r="Q8" s="463" t="str">
        <f>IF(SUMIF(GRAFICO!A:A,P8,GRAFICO!B:B)=0,"",SUMIF(GRAFICO!A:A,P8,GRAFICO!B:B))</f>
        <v/>
      </c>
      <c r="R8" s="463" t="str">
        <f t="shared" si="4"/>
        <v/>
      </c>
    </row>
    <row r="9">
      <c r="A9" s="460">
        <v>11500.0</v>
      </c>
      <c r="B9" s="461">
        <v>13.0</v>
      </c>
      <c r="C9" s="462">
        <f>IFERROR(__xludf.DUMMYFUNCTION("STDEVP(FILTER(GRAFICO!B:B, GRAFICO!B:B&gt;= A9 ,GRAFICO!B:B &lt; A10))
"),90.74828632971003)</f>
        <v>90.74828633</v>
      </c>
      <c r="D9" s="463">
        <f t="shared" si="1"/>
        <v>153</v>
      </c>
      <c r="F9" s="464">
        <v>0.005</v>
      </c>
      <c r="G9" s="461">
        <v>420.0</v>
      </c>
      <c r="J9" s="470">
        <v>45651.0</v>
      </c>
      <c r="K9" s="466">
        <f>SUMIF(GRAFICO!A:A,J9,GRAFICO!B:B)</f>
        <v>13742.67642</v>
      </c>
      <c r="L9" s="467">
        <f t="shared" si="2"/>
        <v>0.3078517258</v>
      </c>
      <c r="M9" s="468">
        <v>46016.0</v>
      </c>
      <c r="N9" s="469">
        <f>IF(SUMIF(GRAFICO!A:A,M9,GRAFICO!B:B)=0,"",SUMIF(GRAFICO!A:A,M9,GRAFICO!B:B))</f>
        <v>21152.7518</v>
      </c>
      <c r="O9" s="467">
        <f t="shared" si="3"/>
        <v>0.418696731</v>
      </c>
      <c r="P9" s="468">
        <v>46381.0</v>
      </c>
      <c r="Q9" s="463" t="str">
        <f>IF(SUMIF(GRAFICO!A:A,P9,GRAFICO!B:B)=0,"",SUMIF(GRAFICO!A:A,P9,GRAFICO!B:B))</f>
        <v/>
      </c>
      <c r="R9" s="463" t="str">
        <f t="shared" si="4"/>
        <v/>
      </c>
    </row>
    <row r="10">
      <c r="A10" s="460">
        <v>11750.0</v>
      </c>
      <c r="B10" s="461">
        <v>2.0</v>
      </c>
      <c r="C10" s="462">
        <f>IFERROR(__xludf.DUMMYFUNCTION("STDEVP(FILTER(GRAFICO!B:B, GRAFICO!B:B&gt;= A10 ,GRAFICO!B:B &lt; A11))
"),39.823305335368914)</f>
        <v>39.82330534</v>
      </c>
      <c r="D10" s="463">
        <f t="shared" si="1"/>
        <v>155</v>
      </c>
      <c r="F10" s="464">
        <v>0.01</v>
      </c>
      <c r="G10" s="461">
        <v>89.0</v>
      </c>
      <c r="J10" s="465">
        <v>45650.0</v>
      </c>
      <c r="K10" s="466">
        <f>SUMIF(GRAFICO!A:A,J10,GRAFICO!B:B)</f>
        <v>13742.67642</v>
      </c>
      <c r="L10" s="467">
        <f t="shared" si="2"/>
        <v>0.3078517258</v>
      </c>
      <c r="M10" s="468">
        <v>46015.0</v>
      </c>
      <c r="N10" s="469">
        <f>IF(SUMIF(GRAFICO!A:A,M10,GRAFICO!B:B)=0,"",SUMIF(GRAFICO!A:A,M10,GRAFICO!B:B))</f>
        <v>21145.50882</v>
      </c>
      <c r="O10" s="467">
        <f t="shared" si="3"/>
        <v>0.4183542591</v>
      </c>
      <c r="P10" s="465">
        <v>46380.0</v>
      </c>
      <c r="Q10" s="463" t="str">
        <f>IF(SUMIF(GRAFICO!A:A,P10,GRAFICO!B:B)=0,"",SUMIF(GRAFICO!A:A,P10,GRAFICO!B:B))</f>
        <v/>
      </c>
      <c r="R10" s="463" t="str">
        <f t="shared" si="4"/>
        <v/>
      </c>
    </row>
    <row r="11">
      <c r="A11" s="460">
        <v>12000.0</v>
      </c>
      <c r="B11" s="461">
        <v>12.0</v>
      </c>
      <c r="C11" s="462">
        <f>IFERROR(__xludf.DUMMYFUNCTION("STDEVP(FILTER(GRAFICO!B:B, GRAFICO!B:B&gt;= A11 ,GRAFICO!B:B &lt; A12))
"),62.07754131628317)</f>
        <v>62.07754132</v>
      </c>
      <c r="D11" s="463">
        <f t="shared" si="1"/>
        <v>167</v>
      </c>
      <c r="F11" s="464">
        <v>0.015</v>
      </c>
      <c r="G11" s="461">
        <v>25.0</v>
      </c>
      <c r="J11" s="465">
        <v>45649.0</v>
      </c>
      <c r="K11" s="466">
        <f>SUMIF(GRAFICO!A:A,J11,GRAFICO!B:B)</f>
        <v>13607.17507</v>
      </c>
      <c r="L11" s="467">
        <f t="shared" si="2"/>
        <v>0.2979428997</v>
      </c>
      <c r="M11" s="468">
        <v>46014.0</v>
      </c>
      <c r="N11" s="469">
        <f>IF(SUMIF(GRAFICO!A:A,M11,GRAFICO!B:B)=0,"",SUMIF(GRAFICO!A:A,M11,GRAFICO!B:B))</f>
        <v>21151.37991</v>
      </c>
      <c r="O11" s="467">
        <f t="shared" si="3"/>
        <v>0.4186318723</v>
      </c>
      <c r="P11" s="468">
        <v>46379.0</v>
      </c>
      <c r="Q11" s="463" t="str">
        <f>IF(SUMIF(GRAFICO!A:A,P11,GRAFICO!B:B)=0,"",SUMIF(GRAFICO!A:A,P11,GRAFICO!B:B))</f>
        <v/>
      </c>
      <c r="R11" s="463" t="str">
        <f t="shared" si="4"/>
        <v/>
      </c>
    </row>
    <row r="12">
      <c r="A12" s="460">
        <v>12250.0</v>
      </c>
      <c r="B12" s="461">
        <v>20.0</v>
      </c>
      <c r="C12" s="462">
        <f>IFERROR(__xludf.DUMMYFUNCTION("STDEVP(FILTER(GRAFICO!B:B, GRAFICO!B:B&gt;= A12 ,GRAFICO!B:B &lt; A13))
"),33.48487270949853)</f>
        <v>33.48487271</v>
      </c>
      <c r="D12" s="463">
        <f t="shared" si="1"/>
        <v>187</v>
      </c>
      <c r="F12" s="464">
        <v>0.02</v>
      </c>
      <c r="G12" s="461">
        <v>11.0</v>
      </c>
      <c r="J12" s="470">
        <v>45648.0</v>
      </c>
      <c r="K12" s="466">
        <f>SUMIF(GRAFICO!A:A,J12,GRAFICO!B:B)</f>
        <v>13847.29979</v>
      </c>
      <c r="L12" s="467">
        <f t="shared" si="2"/>
        <v>0.3154359199</v>
      </c>
      <c r="M12" s="468">
        <v>46013.0</v>
      </c>
      <c r="N12" s="469">
        <f>IF(SUMIF(GRAFICO!A:A,M12,GRAFICO!B:B)=0,"",SUMIF(GRAFICO!A:A,M12,GRAFICO!B:B))</f>
        <v>21049.89115</v>
      </c>
      <c r="O12" s="467">
        <f t="shared" si="3"/>
        <v>0.4138221143</v>
      </c>
      <c r="P12" s="465">
        <v>46378.0</v>
      </c>
      <c r="Q12" s="463" t="str">
        <f>IF(SUMIF(GRAFICO!A:A,P12,GRAFICO!B:B)=0,"",SUMIF(GRAFICO!A:A,P12,GRAFICO!B:B))</f>
        <v/>
      </c>
      <c r="R12" s="463" t="str">
        <f t="shared" si="4"/>
        <v/>
      </c>
    </row>
    <row r="13">
      <c r="A13" s="460">
        <v>12500.0</v>
      </c>
      <c r="B13" s="461">
        <v>20.0</v>
      </c>
      <c r="C13" s="462">
        <f>IFERROR(__xludf.DUMMYFUNCTION("STDEVP(FILTER(GRAFICO!B:B, GRAFICO!B:B&gt;= A13 ,GRAFICO!B:B &lt; A14))
"),50.47845876428479)</f>
        <v>50.47845876</v>
      </c>
      <c r="D13" s="463">
        <f t="shared" si="1"/>
        <v>207</v>
      </c>
      <c r="F13" s="464">
        <v>0.025</v>
      </c>
      <c r="G13" s="461">
        <v>3.0</v>
      </c>
      <c r="J13" s="465">
        <v>45647.0</v>
      </c>
      <c r="K13" s="466">
        <f>SUMIF(GRAFICO!A:A,J13,GRAFICO!B:B)</f>
        <v>13847.29979</v>
      </c>
      <c r="L13" s="467">
        <f t="shared" si="2"/>
        <v>0.3154359199</v>
      </c>
      <c r="M13" s="468">
        <v>46012.0</v>
      </c>
      <c r="N13" s="469">
        <f>IF(SUMIF(GRAFICO!A:A,M13,GRAFICO!B:B)=0,"",SUMIF(GRAFICO!A:A,M13,GRAFICO!B:B))</f>
        <v>20986.91018</v>
      </c>
      <c r="O13" s="467">
        <f t="shared" si="3"/>
        <v>0.4108256438</v>
      </c>
      <c r="P13" s="468">
        <v>46377.0</v>
      </c>
      <c r="Q13" s="463" t="str">
        <f>IF(SUMIF(GRAFICO!A:A,P13,GRAFICO!B:B)=0,"",SUMIF(GRAFICO!A:A,P13,GRAFICO!B:B))</f>
        <v/>
      </c>
      <c r="R13" s="463" t="str">
        <f t="shared" si="4"/>
        <v/>
      </c>
    </row>
    <row r="14">
      <c r="A14" s="460">
        <v>12750.0</v>
      </c>
      <c r="B14" s="461">
        <v>28.0</v>
      </c>
      <c r="C14" s="462">
        <f>IFERROR(__xludf.DUMMYFUNCTION("STDEVP(FILTER(GRAFICO!B:B, GRAFICO!B:B&gt;= A14 ,GRAFICO!B:B &lt; A15))
"),67.93959753449529)</f>
        <v>67.93959753</v>
      </c>
      <c r="D14" s="463">
        <f t="shared" si="1"/>
        <v>235</v>
      </c>
      <c r="F14" s="464">
        <v>0.03</v>
      </c>
      <c r="G14" s="461">
        <v>3.0</v>
      </c>
      <c r="J14" s="470">
        <v>45646.0</v>
      </c>
      <c r="K14" s="466">
        <f>SUMIF(GRAFICO!A:A,J14,GRAFICO!B:B)</f>
        <v>13847.29979</v>
      </c>
      <c r="L14" s="467">
        <f t="shared" si="2"/>
        <v>0.3154359199</v>
      </c>
      <c r="M14" s="468">
        <v>46011.0</v>
      </c>
      <c r="N14" s="469">
        <f>IF(SUMIF(GRAFICO!A:A,M14,GRAFICO!B:B)=0,"",SUMIF(GRAFICO!A:A,M14,GRAFICO!B:B))</f>
        <v>20973.87434</v>
      </c>
      <c r="O14" s="467">
        <f t="shared" si="3"/>
        <v>0.4102043093</v>
      </c>
      <c r="P14" s="465">
        <v>46376.0</v>
      </c>
      <c r="Q14" s="463" t="str">
        <f>IF(SUMIF(GRAFICO!A:A,P14,GRAFICO!B:B)=0,"",SUMIF(GRAFICO!A:A,P14,GRAFICO!B:B))</f>
        <v/>
      </c>
      <c r="R14" s="463" t="str">
        <f t="shared" si="4"/>
        <v/>
      </c>
    </row>
    <row r="15">
      <c r="A15" s="460">
        <v>13000.0</v>
      </c>
      <c r="B15" s="461">
        <v>23.0</v>
      </c>
      <c r="C15" s="462">
        <f>IFERROR(__xludf.DUMMYFUNCTION("STDEVP(FILTER(GRAFICO!B:B, GRAFICO!B:B&gt;= A15 ,GRAFICO!B:B &lt; A16))
"),70.33989409830868)</f>
        <v>70.3398941</v>
      </c>
      <c r="D15" s="463">
        <f t="shared" si="1"/>
        <v>258</v>
      </c>
      <c r="F15" s="464">
        <v>0.035</v>
      </c>
      <c r="G15" s="461">
        <v>3.0</v>
      </c>
      <c r="J15" s="470">
        <v>45645.0</v>
      </c>
      <c r="K15" s="466">
        <f>SUMIF(GRAFICO!A:A,J15,GRAFICO!B:B)</f>
        <v>13933.11143</v>
      </c>
      <c r="L15" s="467">
        <f t="shared" si="2"/>
        <v>0.3216137925</v>
      </c>
      <c r="M15" s="468">
        <v>46010.0</v>
      </c>
      <c r="N15" s="469">
        <f>IF(SUMIF(GRAFICO!A:A,M15,GRAFICO!B:B)=0,"",SUMIF(GRAFICO!A:A,M15,GRAFICO!B:B))</f>
        <v>20960.83862</v>
      </c>
      <c r="O15" s="467">
        <f t="shared" si="3"/>
        <v>0.4095825941</v>
      </c>
      <c r="P15" s="468">
        <v>46375.0</v>
      </c>
      <c r="Q15" s="463" t="str">
        <f>IF(SUMIF(GRAFICO!A:A,P15,GRAFICO!B:B)=0,"",SUMIF(GRAFICO!A:A,P15,GRAFICO!B:B))</f>
        <v/>
      </c>
      <c r="R15" s="463" t="str">
        <f t="shared" si="4"/>
        <v/>
      </c>
      <c r="S15" s="471">
        <f>CUENTAS!A4</f>
        <v>46098</v>
      </c>
    </row>
    <row r="16">
      <c r="A16" s="460">
        <v>13250.0</v>
      </c>
      <c r="B16" s="461">
        <v>26.0</v>
      </c>
      <c r="C16" s="462">
        <f>IFERROR(__xludf.DUMMYFUNCTION("STDEVP(FILTER(GRAFICO!B:B, GRAFICO!B:B&gt;= A16 ,GRAFICO!B:B &lt; A17))
"),54.53619146010464)</f>
        <v>54.53619146</v>
      </c>
      <c r="D16" s="463">
        <f t="shared" si="1"/>
        <v>284</v>
      </c>
      <c r="F16" s="464">
        <v>0.04</v>
      </c>
      <c r="G16" s="461">
        <v>3.0</v>
      </c>
      <c r="J16" s="470">
        <v>45644.0</v>
      </c>
      <c r="K16" s="466">
        <f>SUMIF(GRAFICO!A:A,J16,GRAFICO!B:B)</f>
        <v>13993.42258</v>
      </c>
      <c r="L16" s="467">
        <f t="shared" si="2"/>
        <v>0.325933071</v>
      </c>
      <c r="M16" s="468">
        <v>46009.0</v>
      </c>
      <c r="N16" s="469">
        <f>IF(SUMIF(GRAFICO!A:A,M16,GRAFICO!B:B)=0,"",SUMIF(GRAFICO!A:A,M16,GRAFICO!B:B))</f>
        <v>21074.81315</v>
      </c>
      <c r="O16" s="467">
        <f t="shared" si="3"/>
        <v>0.415005363</v>
      </c>
      <c r="P16" s="465">
        <v>46374.0</v>
      </c>
      <c r="Q16" s="463" t="str">
        <f>IF(SUMIF(GRAFICO!A:A,P16,GRAFICO!B:B)=0,"",SUMIF(GRAFICO!A:A,P16,GRAFICO!B:B))</f>
        <v/>
      </c>
      <c r="R16" s="463" t="str">
        <f t="shared" si="4"/>
        <v/>
      </c>
      <c r="S16" s="471">
        <f>CUENTAS!A5</f>
        <v>46097</v>
      </c>
    </row>
    <row r="17">
      <c r="A17" s="460">
        <v>13500.0</v>
      </c>
      <c r="B17" s="461">
        <v>20.0</v>
      </c>
      <c r="C17" s="462">
        <f>IFERROR(__xludf.DUMMYFUNCTION("STDEVP(FILTER(GRAFICO!B:B, GRAFICO!B:B&gt;= A17 ,GRAFICO!B:B &lt; A18))
"),64.40192973205974)</f>
        <v>64.40192973</v>
      </c>
      <c r="D17" s="463">
        <f t="shared" si="1"/>
        <v>304</v>
      </c>
      <c r="F17" s="464">
        <v>0.045</v>
      </c>
      <c r="G17" s="461">
        <v>0.0</v>
      </c>
      <c r="J17" s="465">
        <v>45643.0</v>
      </c>
      <c r="K17" s="466">
        <f>SUMIF(GRAFICO!A:A,J17,GRAFICO!B:B)</f>
        <v>14190.21875</v>
      </c>
      <c r="L17" s="467">
        <f t="shared" si="2"/>
        <v>0.3398985743</v>
      </c>
      <c r="M17" s="468">
        <v>46008.0</v>
      </c>
      <c r="N17" s="469">
        <f>IF(SUMIF(GRAFICO!A:A,M17,GRAFICO!B:B)=0,"",SUMIF(GRAFICO!A:A,M17,GRAFICO!B:B))</f>
        <v>21255.24973</v>
      </c>
      <c r="O17" s="467">
        <f t="shared" si="3"/>
        <v>0.4235306361</v>
      </c>
      <c r="P17" s="468">
        <v>46373.0</v>
      </c>
      <c r="Q17" s="463" t="str">
        <f>IF(SUMIF(GRAFICO!A:A,P17,GRAFICO!B:B)=0,"",SUMIF(GRAFICO!A:A,P17,GRAFICO!B:B))</f>
        <v/>
      </c>
      <c r="R17" s="463" t="str">
        <f t="shared" si="4"/>
        <v/>
      </c>
      <c r="S17" s="471">
        <f>CUENTAS!A6</f>
        <v>46096</v>
      </c>
    </row>
    <row r="18">
      <c r="A18" s="460">
        <v>13750.0</v>
      </c>
      <c r="B18" s="461">
        <v>10.0</v>
      </c>
      <c r="C18" s="462">
        <f>IFERROR(__xludf.DUMMYFUNCTION("STDEVP(FILTER(GRAFICO!B:B, GRAFICO!B:B&gt;= A18 ,GRAFICO!B:B &lt; A19))
"),76.43404130275249)</f>
        <v>76.4340413</v>
      </c>
      <c r="D18" s="463">
        <f t="shared" si="1"/>
        <v>314</v>
      </c>
      <c r="F18" s="464">
        <v>0.05</v>
      </c>
      <c r="G18" s="461">
        <v>1.0</v>
      </c>
      <c r="J18" s="465">
        <v>45642.0</v>
      </c>
      <c r="K18" s="466">
        <f>SUMIF(GRAFICO!A:A,J18,GRAFICO!B:B)</f>
        <v>14278.80339</v>
      </c>
      <c r="L18" s="467">
        <f t="shared" si="2"/>
        <v>0.3461218248</v>
      </c>
      <c r="M18" s="468">
        <v>46007.0</v>
      </c>
      <c r="N18" s="469">
        <f>IF(SUMIF(GRAFICO!A:A,M18,GRAFICO!B:B)=0,"",SUMIF(GRAFICO!A:A,M18,GRAFICO!B:B))</f>
        <v>21171.16671</v>
      </c>
      <c r="O18" s="467">
        <f t="shared" si="3"/>
        <v>0.4195669203</v>
      </c>
      <c r="P18" s="465">
        <v>46372.0</v>
      </c>
      <c r="Q18" s="463" t="str">
        <f>IF(SUMIF(GRAFICO!A:A,P18,GRAFICO!B:B)=0,"",SUMIF(GRAFICO!A:A,P18,GRAFICO!B:B))</f>
        <v/>
      </c>
      <c r="R18" s="463" t="str">
        <f t="shared" si="4"/>
        <v/>
      </c>
      <c r="S18" s="471">
        <f>CUENTAS!A7</f>
        <v>46095</v>
      </c>
    </row>
    <row r="19">
      <c r="A19" s="460">
        <v>14000.0</v>
      </c>
      <c r="B19" s="461">
        <v>43.0</v>
      </c>
      <c r="C19" s="462">
        <f>IFERROR(__xludf.DUMMYFUNCTION("STDEVP(FILTER(GRAFICO!B:B, GRAFICO!B:B&gt;= A19 ,GRAFICO!B:B &lt; A20))
"),67.17002912711173)</f>
        <v>67.17002913</v>
      </c>
      <c r="D19" s="463">
        <f t="shared" si="1"/>
        <v>357</v>
      </c>
      <c r="F19" s="464"/>
      <c r="G19" s="461">
        <v>0.0</v>
      </c>
      <c r="J19" s="465">
        <v>45641.0</v>
      </c>
      <c r="K19" s="466">
        <f>SUMIF(GRAFICO!A:A,J19,GRAFICO!B:B)</f>
        <v>14420.90261</v>
      </c>
      <c r="L19" s="467">
        <f t="shared" si="2"/>
        <v>0.3560243919</v>
      </c>
      <c r="M19" s="468">
        <v>46006.0</v>
      </c>
      <c r="N19" s="469">
        <f>IF(SUMIF(GRAFICO!A:A,M19,GRAFICO!B:B)=0,"",SUMIF(GRAFICO!A:A,M19,GRAFICO!B:B))</f>
        <v>21362.80848</v>
      </c>
      <c r="O19" s="467">
        <f t="shared" si="3"/>
        <v>0.4285782136</v>
      </c>
      <c r="P19" s="468">
        <v>46371.0</v>
      </c>
      <c r="Q19" s="463" t="str">
        <f>IF(SUMIF(GRAFICO!A:A,P19,GRAFICO!B:B)=0,"",SUMIF(GRAFICO!A:A,P19,GRAFICO!B:B))</f>
        <v/>
      </c>
      <c r="R19" s="463" t="str">
        <f t="shared" si="4"/>
        <v/>
      </c>
      <c r="S19" s="471">
        <f>CUENTAS!A8</f>
        <v>46094</v>
      </c>
    </row>
    <row r="20">
      <c r="A20" s="460">
        <v>14250.0</v>
      </c>
      <c r="B20" s="461">
        <v>40.0</v>
      </c>
      <c r="C20" s="462">
        <f>IFERROR(__xludf.DUMMYFUNCTION("STDEVP(FILTER(GRAFICO!B:B, GRAFICO!B:B&gt;= A20 ,GRAFICO!B:B &lt; A21))
"),60.641331288154774)</f>
        <v>60.64133129</v>
      </c>
      <c r="D20" s="463">
        <f t="shared" si="1"/>
        <v>397</v>
      </c>
      <c r="F20" s="464"/>
      <c r="G20" s="461"/>
      <c r="J20" s="470">
        <v>45640.0</v>
      </c>
      <c r="K20" s="466">
        <f>SUMIF(GRAFICO!A:A,J20,GRAFICO!B:B)</f>
        <v>14418.27147</v>
      </c>
      <c r="L20" s="467">
        <f t="shared" si="2"/>
        <v>0.3558419216</v>
      </c>
      <c r="M20" s="468">
        <v>46005.0</v>
      </c>
      <c r="N20" s="469">
        <f>IF(SUMIF(GRAFICO!A:A,M20,GRAFICO!B:B)=0,"",SUMIF(GRAFICO!A:A,M20,GRAFICO!B:B))</f>
        <v>21430.78096</v>
      </c>
      <c r="O20" s="467">
        <f t="shared" si="3"/>
        <v>0.4317549764</v>
      </c>
      <c r="P20" s="465">
        <v>46370.0</v>
      </c>
      <c r="Q20" s="463" t="str">
        <f>IF(SUMIF(GRAFICO!A:A,P20,GRAFICO!B:B)=0,"",SUMIF(GRAFICO!A:A,P20,GRAFICO!B:B))</f>
        <v/>
      </c>
      <c r="R20" s="463" t="str">
        <f t="shared" si="4"/>
        <v/>
      </c>
      <c r="S20" s="471">
        <f>CUENTAS!A9</f>
        <v>46093</v>
      </c>
    </row>
    <row r="21">
      <c r="A21" s="460">
        <v>14500.0</v>
      </c>
      <c r="B21" s="461">
        <v>36.0</v>
      </c>
      <c r="C21" s="462">
        <f>IFERROR(__xludf.DUMMYFUNCTION("STDEVP(FILTER(GRAFICO!B:B, GRAFICO!B:B&gt;= A21 ,GRAFICO!B:B &lt; A22))
"),68.05406415720836)</f>
        <v>68.05406416</v>
      </c>
      <c r="D21" s="463">
        <f t="shared" si="1"/>
        <v>433</v>
      </c>
      <c r="F21" s="472"/>
      <c r="G21" s="200"/>
      <c r="J21" s="465">
        <v>45639.0</v>
      </c>
      <c r="K21" s="466">
        <f>SUMIF(GRAFICO!A:A,J21,GRAFICO!B:B)</f>
        <v>14415.64032</v>
      </c>
      <c r="L21" s="467">
        <f t="shared" si="2"/>
        <v>0.355659418</v>
      </c>
      <c r="M21" s="468">
        <v>46004.0</v>
      </c>
      <c r="N21" s="469">
        <f>IF(SUMIF(GRAFICO!A:A,M21,GRAFICO!B:B)=0,"",SUMIF(GRAFICO!A:A,M21,GRAFICO!B:B))</f>
        <v>21428.12091</v>
      </c>
      <c r="O21" s="467">
        <f t="shared" si="3"/>
        <v>0.4316308456</v>
      </c>
      <c r="P21" s="468">
        <v>46369.0</v>
      </c>
      <c r="Q21" s="463" t="str">
        <f>IF(SUMIF(GRAFICO!A:A,P21,GRAFICO!B:B)=0,"",SUMIF(GRAFICO!A:A,P21,GRAFICO!B:B))</f>
        <v/>
      </c>
      <c r="R21" s="463" t="str">
        <f t="shared" si="4"/>
        <v/>
      </c>
      <c r="S21" s="471">
        <f>CUENTAS!A10</f>
        <v>46092</v>
      </c>
    </row>
    <row r="22">
      <c r="A22" s="460">
        <v>14750.0</v>
      </c>
      <c r="B22" s="461">
        <v>37.0</v>
      </c>
      <c r="C22" s="462">
        <f>IFERROR(__xludf.DUMMYFUNCTION("STDEVP(FILTER(GRAFICO!B:B, GRAFICO!B:B&gt;= A22 ,GRAFICO!B:B &lt; A23))
"),54.343079267712696)</f>
        <v>54.34307927</v>
      </c>
      <c r="D22" s="463">
        <f t="shared" si="1"/>
        <v>470</v>
      </c>
      <c r="F22" s="472"/>
      <c r="G22" s="200"/>
      <c r="J22" s="470">
        <v>45638.0</v>
      </c>
      <c r="K22" s="466">
        <f>SUMIF(GRAFICO!A:A,J22,GRAFICO!B:B)</f>
        <v>14520.63549</v>
      </c>
      <c r="L22" s="467">
        <f t="shared" si="2"/>
        <v>0.3629164425</v>
      </c>
      <c r="M22" s="468">
        <v>46003.0</v>
      </c>
      <c r="N22" s="469">
        <f>IF(SUMIF(GRAFICO!A:A,M22,GRAFICO!B:B)=0,"",SUMIF(GRAFICO!A:A,M22,GRAFICO!B:B))</f>
        <v>21425.46097</v>
      </c>
      <c r="O22" s="467">
        <f t="shared" si="3"/>
        <v>0.431506705</v>
      </c>
      <c r="P22" s="465">
        <v>46368.0</v>
      </c>
      <c r="Q22" s="463" t="str">
        <f>IF(SUMIF(GRAFICO!A:A,P22,GRAFICO!B:B)=0,"",SUMIF(GRAFICO!A:A,P22,GRAFICO!B:B))</f>
        <v/>
      </c>
      <c r="R22" s="463" t="str">
        <f t="shared" si="4"/>
        <v/>
      </c>
      <c r="S22" s="471">
        <f>CUENTAS!A11</f>
        <v>46091</v>
      </c>
    </row>
    <row r="23">
      <c r="A23" s="460">
        <v>15000.0</v>
      </c>
      <c r="B23" s="461">
        <v>4.0</v>
      </c>
      <c r="C23" s="462">
        <f>IFERROR(__xludf.DUMMYFUNCTION("STDEVP(FILTER(GRAFICO!B:B, GRAFICO!B:B&gt;= A23 ,GRAFICO!B:B &lt; A24))
"),28.94811847914616)</f>
        <v>28.94811848</v>
      </c>
      <c r="D23" s="463">
        <f t="shared" si="1"/>
        <v>474</v>
      </c>
      <c r="F23" s="472"/>
      <c r="G23" s="200"/>
      <c r="J23" s="470">
        <v>45637.0</v>
      </c>
      <c r="K23" s="466">
        <f>SUMIF(GRAFICO!A:A,J23,GRAFICO!B:B)</f>
        <v>14477.13255</v>
      </c>
      <c r="L23" s="467">
        <f t="shared" si="2"/>
        <v>0.3599160068</v>
      </c>
      <c r="M23" s="468">
        <v>46002.0</v>
      </c>
      <c r="N23" s="469">
        <f>IF(SUMIF(GRAFICO!A:A,M23,GRAFICO!B:B)=0,"",SUMIF(GRAFICO!A:A,M23,GRAFICO!B:B))</f>
        <v>21396.78078</v>
      </c>
      <c r="O23" s="467">
        <f t="shared" si="3"/>
        <v>0.4301672051</v>
      </c>
      <c r="P23" s="468">
        <v>46367.0</v>
      </c>
      <c r="Q23" s="463" t="str">
        <f>IF(SUMIF(GRAFICO!A:A,P23,GRAFICO!B:B)=0,"",SUMIF(GRAFICO!A:A,P23,GRAFICO!B:B))</f>
        <v/>
      </c>
      <c r="R23" s="463" t="str">
        <f t="shared" si="4"/>
        <v/>
      </c>
      <c r="S23" s="471">
        <f>CUENTAS!A12</f>
        <v>46090</v>
      </c>
    </row>
    <row r="24">
      <c r="A24" s="460">
        <v>15250.0</v>
      </c>
      <c r="B24" s="461">
        <v>2.0</v>
      </c>
      <c r="C24" s="462">
        <f>IFERROR(__xludf.DUMMYFUNCTION("STDEVP(FILTER(GRAFICO!B:B, GRAFICO!B:B&gt;= A24 ,GRAFICO!B:B &lt; A25))
"),59.862275232755245)</f>
        <v>59.86227523</v>
      </c>
      <c r="D24" s="463">
        <f t="shared" si="1"/>
        <v>476</v>
      </c>
      <c r="F24" s="472"/>
      <c r="G24" s="200"/>
      <c r="J24" s="470">
        <v>45636.0</v>
      </c>
      <c r="K24" s="466">
        <f>SUMIF(GRAFICO!A:A,J24,GRAFICO!B:B)</f>
        <v>14416.70209</v>
      </c>
      <c r="L24" s="467">
        <f t="shared" si="2"/>
        <v>0.3557330692</v>
      </c>
      <c r="M24" s="468">
        <v>46001.0</v>
      </c>
      <c r="N24" s="469">
        <f>IF(SUMIF(GRAFICO!A:A,M24,GRAFICO!B:B)=0,"",SUMIF(GRAFICO!A:A,M24,GRAFICO!B:B))</f>
        <v>21306.03615</v>
      </c>
      <c r="O24" s="467">
        <f t="shared" si="3"/>
        <v>0.4259171448</v>
      </c>
      <c r="P24" s="465">
        <v>46366.0</v>
      </c>
      <c r="Q24" s="463" t="str">
        <f>IF(SUMIF(GRAFICO!A:A,P24,GRAFICO!B:B)=0,"",SUMIF(GRAFICO!A:A,P24,GRAFICO!B:B))</f>
        <v/>
      </c>
      <c r="R24" s="463" t="str">
        <f t="shared" si="4"/>
        <v/>
      </c>
      <c r="S24" s="471">
        <f>CUENTAS!A13</f>
        <v>46089</v>
      </c>
      <c r="Y24" s="459">
        <f>IF(CUENTAS!G13/CUENTAS!$AB13&lt;&gt;0,CUENTAS!G13/CUENTAS!$AB13,"")</f>
        <v>0.09058770897</v>
      </c>
      <c r="Z24" s="459">
        <f>IF(CUENTAS!H13/CUENTAS!$AB13&lt;&gt;0,CUENTAS!H13/CUENTAS!$AB13,"")</f>
        <v>0.08593890306</v>
      </c>
      <c r="AA24" s="459">
        <f>IF(CUENTAS!I13/CUENTAS!$AB13&lt;&gt;0,CUENTAS!I13/CUENTAS!$AB13,"")</f>
        <v>0.0129988461</v>
      </c>
      <c r="AB24" s="459">
        <f>IF(CUENTAS!J13/CUENTAS!$AB13&lt;&gt;0,CUENTAS!J13/CUENTAS!$AB13,"")</f>
        <v>0.1157679293</v>
      </c>
      <c r="AC24" s="459" t="str">
        <f>IF(CUENTAS!K13/CUENTAS!$AB13&lt;&gt;0,CUENTAS!K13/CUENTAS!$AB13,"")</f>
        <v/>
      </c>
      <c r="AD24" s="459">
        <f>IF(CUENTAS!L13/CUENTAS!$AB13&lt;&gt;0,CUENTAS!L13/CUENTAS!$AB13,"")</f>
        <v>0.004696114921</v>
      </c>
      <c r="AE24" s="459">
        <f>IF(CUENTAS!M13/CUENTAS!$AB13&lt;&gt;0,CUENTAS!M13/CUENTAS!$AB13,"")</f>
        <v>0.03349477878</v>
      </c>
      <c r="AF24" s="459">
        <f>IF(CUENTAS!N13/CUENTAS!$AB13&lt;&gt;0,CUENTAS!N13/CUENTAS!$AB13,"")</f>
        <v>0.08178336315</v>
      </c>
      <c r="AG24" s="459">
        <f>IF(CUENTAS!O13/CUENTAS!$AB13&lt;&gt;0,CUENTAS!O13/CUENTAS!$AB13,"")</f>
        <v>0.02831583367</v>
      </c>
      <c r="AH24" s="459">
        <f>IF(CUENTAS!P13/CUENTAS!$AB13&lt;&gt;0,CUENTAS!P13/CUENTAS!$AB13,"")</f>
        <v>0.03791677974</v>
      </c>
      <c r="AI24" s="459">
        <f>IF(CUENTAS!R13/CUENTAS!$AB13&lt;&gt;0,CUENTAS!R13/CUENTAS!$AB13,"")</f>
        <v>0.05928420699</v>
      </c>
      <c r="AJ24" s="459" t="str">
        <f>IF(CUENTAS!B13/CUENTAS!$AB13&lt;&gt;0,CUENTAS!B13/CUENTAS!$AB13,"")</f>
        <v/>
      </c>
      <c r="AK24" s="459">
        <f>IF(CUENTAS!S13/CUENTAS!$AB13&lt;&gt;0,CUENTAS!S13/CUENTAS!$AB13,"")</f>
        <v>0.02012797311</v>
      </c>
      <c r="AL24" s="459">
        <f>IF(CUENTAS!T13/CUENTAS!$AB13&lt;&gt;0,CUENTAS!T13/CUENTAS!$AB13,"")</f>
        <v>0.1764116442</v>
      </c>
      <c r="AM24" s="459">
        <f>IF(CUENTAS!U13/CUENTAS!$AB13&lt;&gt;0,CUENTAS!U13/CUENTAS!$AB13,"")</f>
        <v>0.0467868737</v>
      </c>
      <c r="AN24" s="459">
        <f>IF(CUENTAS!V13/CUENTAS!$AB13&lt;&gt;0,CUENTAS!V13/CUENTAS!$AB13,"")</f>
        <v>0.1269665848</v>
      </c>
      <c r="AO24" s="459">
        <f>IF(CUENTAS!W13/CUENTAS!$AB13&lt;&gt;0,CUENTAS!W13/CUENTAS!$AB13,"")</f>
        <v>0.03544992796</v>
      </c>
      <c r="AP24" s="459">
        <f>IF(CUENTAS!X13/CUENTAS!$AB13&lt;&gt;0,CUENTAS!X13/CUENTAS!$AB13,"")</f>
        <v>0.03964008803</v>
      </c>
      <c r="AQ24" s="459">
        <f>IF(CUENTAS!Y13/CUENTAS!$AB13&lt;&gt;0,CUENTAS!Y13/CUENTAS!$AB13,"")</f>
        <v>0.105505644</v>
      </c>
      <c r="AR24" s="459">
        <f>IF(CUENTAS!AA13/CUENTAS!$AB13&lt;&gt;0,CUENTAS!AA13/CUENTAS!$AB13,"")</f>
        <v>0.1348480634</v>
      </c>
    </row>
    <row r="25">
      <c r="A25" s="460">
        <v>15500.0</v>
      </c>
      <c r="B25" s="461">
        <v>19.0</v>
      </c>
      <c r="C25" s="462">
        <f>IFERROR(__xludf.DUMMYFUNCTION("STDEVP(FILTER(GRAFICO!B:B, GRAFICO!B:B&gt;= A25 ,GRAFICO!B:B &lt; A26))
"),67.89070487613374)</f>
        <v>67.89070488</v>
      </c>
      <c r="D25" s="463">
        <f t="shared" si="1"/>
        <v>495</v>
      </c>
      <c r="F25" s="472"/>
      <c r="G25" s="200"/>
      <c r="J25" s="465">
        <v>45635.0</v>
      </c>
      <c r="K25" s="466">
        <f>SUMIF(GRAFICO!A:A,J25,GRAFICO!B:B)</f>
        <v>14405.52527</v>
      </c>
      <c r="L25" s="467">
        <f t="shared" si="2"/>
        <v>0.3549574998</v>
      </c>
      <c r="M25" s="468">
        <v>46000.0</v>
      </c>
      <c r="N25" s="469">
        <f>IF(SUMIF(GRAFICO!A:A,M25,GRAFICO!B:B)=0,"",SUMIF(GRAFICO!A:A,M25,GRAFICO!B:B))</f>
        <v>21232.49991</v>
      </c>
      <c r="O25" s="467">
        <f t="shared" si="3"/>
        <v>0.4224597475</v>
      </c>
      <c r="P25" s="468">
        <v>46365.0</v>
      </c>
      <c r="Q25" s="463" t="str">
        <f>IF(SUMIF(GRAFICO!A:A,P25,GRAFICO!B:B)=0,"",SUMIF(GRAFICO!A:A,P25,GRAFICO!B:B))</f>
        <v/>
      </c>
      <c r="R25" s="463" t="str">
        <f t="shared" si="4"/>
        <v/>
      </c>
      <c r="S25" s="471">
        <f>CUENTAS!A14</f>
        <v>46088</v>
      </c>
      <c r="Y25" s="459">
        <f>IF(CUENTAS!G14/CUENTAS!$AB14&lt;&gt;0,CUENTAS!G14/CUENTAS!$AB14,"")</f>
        <v>0.0978210821</v>
      </c>
      <c r="Z25" s="459">
        <f>IF(CUENTAS!H14/CUENTAS!$AB14&lt;&gt;0,CUENTAS!H14/CUENTAS!$AB14,"")</f>
        <v>0.09280107188</v>
      </c>
      <c r="AA25" s="459">
        <f>IF(CUENTAS!I14/CUENTAS!$AB14&lt;&gt;0,CUENTAS!I14/CUENTAS!$AB14,"")</f>
        <v>0.01403679601</v>
      </c>
      <c r="AB25" s="459">
        <f>IF(CUENTAS!J14/CUENTAS!$AB14&lt;&gt;0,CUENTAS!J14/CUENTAS!$AB14,"")</f>
        <v>0.1250119276</v>
      </c>
      <c r="AC25" s="459" t="str">
        <f>IF(CUENTAS!K14/CUENTAS!$AB14&lt;&gt;0,CUENTAS!K14/CUENTAS!$AB14,"")</f>
        <v/>
      </c>
      <c r="AD25" s="459">
        <f>IF(CUENTAS!L14/CUENTAS!$AB14&lt;&gt;0,CUENTAS!L14/CUENTAS!$AB14,"")</f>
        <v>0.005071096824</v>
      </c>
      <c r="AE25" s="459">
        <f>IF(CUENTAS!M14/CUENTAS!$AB14&lt;&gt;0,CUENTAS!M14/CUENTAS!$AB14,"")</f>
        <v>0.03616931637</v>
      </c>
      <c r="AF25" s="459">
        <f>IF(CUENTAS!N14/CUENTAS!$AB14&lt;&gt;0,CUENTAS!N14/CUENTAS!$AB14,"")</f>
        <v>0.08831371465</v>
      </c>
      <c r="AG25" s="459">
        <f>IF(CUENTAS!O14/CUENTAS!$AB14&lt;&gt;0,CUENTAS!O14/CUENTAS!$AB14,"")</f>
        <v>0.03057683567</v>
      </c>
      <c r="AH25" s="459">
        <f>IF(CUENTAS!P14/CUENTAS!$AB14&lt;&gt;0,CUENTAS!P14/CUENTAS!$AB14,"")</f>
        <v>0.04094441139</v>
      </c>
      <c r="AI25" s="459">
        <f>IF(CUENTAS!R14/CUENTAS!$AB14&lt;&gt;0,CUENTAS!R14/CUENTAS!$AB14,"")</f>
        <v>0.06401801464</v>
      </c>
      <c r="AJ25" s="459" t="str">
        <f>IF(CUENTAS!B14/CUENTAS!$AB14&lt;&gt;0,CUENTAS!B14/CUENTAS!$AB14,"")</f>
        <v/>
      </c>
      <c r="AK25" s="459">
        <f>IF(CUENTAS!S14/CUENTAS!$AB14&lt;&gt;0,CUENTAS!S14/CUENTAS!$AB14,"")</f>
        <v>0.02170220427</v>
      </c>
      <c r="AL25" s="459">
        <f>IF(CUENTAS!T14/CUENTAS!$AB14&lt;&gt;0,CUENTAS!T14/CUENTAS!$AB14,"")</f>
        <v>0.1106428809</v>
      </c>
      <c r="AM25" s="459">
        <f>IF(CUENTAS!U14/CUENTAS!$AB14&lt;&gt;0,CUENTAS!U14/CUENTAS!$AB14,"")</f>
        <v>0.05052277694</v>
      </c>
      <c r="AN25" s="459">
        <f>IF(CUENTAS!V14/CUENTAS!$AB14&lt;&gt;0,CUENTAS!V14/CUENTAS!$AB14,"")</f>
        <v>0.1385796202</v>
      </c>
      <c r="AO25" s="459">
        <f>IF(CUENTAS!W14/CUENTAS!$AB14&lt;&gt;0,CUENTAS!W14/CUENTAS!$AB14,"")</f>
        <v>0.03826491896</v>
      </c>
      <c r="AP25" s="459">
        <f>IF(CUENTAS!X14/CUENTAS!$AB14&lt;&gt;0,CUENTAS!X14/CUENTAS!$AB14,"")</f>
        <v>0.0427402892</v>
      </c>
      <c r="AQ25" s="459">
        <f>IF(CUENTAS!Y14/CUENTAS!$AB14&lt;&gt;0,CUENTAS!Y14/CUENTAS!$AB14,"")</f>
        <v>0.1138492265</v>
      </c>
      <c r="AR25" s="459">
        <f>IF(CUENTAS!AA14/CUENTAS!$AB14&lt;&gt;0,CUENTAS!AA14/CUENTAS!$AB14,"")</f>
        <v>0.1456155987</v>
      </c>
    </row>
    <row r="26">
      <c r="A26" s="460">
        <v>15750.0</v>
      </c>
      <c r="B26" s="461">
        <v>15.0</v>
      </c>
      <c r="C26" s="462" t="str">
        <f>IFERROR(__xludf.DUMMYFUNCTION("STDEVP(FILTER(GRAFICO!B:B, GRAFICO!B:B&gt;= A26 ,GRAFICO!B:B &lt; A27))
"),"#N/A")</f>
        <v>#N/A</v>
      </c>
      <c r="D26" s="463">
        <f t="shared" si="1"/>
        <v>510</v>
      </c>
      <c r="F26" s="472"/>
      <c r="G26" s="200"/>
      <c r="J26" s="465">
        <v>45634.0</v>
      </c>
      <c r="K26" s="466">
        <f>SUMIF(GRAFICO!A:A,J26,GRAFICO!B:B)</f>
        <v>14535.33838</v>
      </c>
      <c r="L26" s="467">
        <f t="shared" si="2"/>
        <v>0.3639284817</v>
      </c>
      <c r="M26" s="468">
        <v>45999.0</v>
      </c>
      <c r="N26" s="469">
        <f>IF(SUMIF(GRAFICO!A:A,M26,GRAFICO!B:B)=0,"",SUMIF(GRAFICO!A:A,M26,GRAFICO!B:B))</f>
        <v>21092.80246</v>
      </c>
      <c r="O26" s="467">
        <f t="shared" si="3"/>
        <v>0.4158585915</v>
      </c>
      <c r="P26" s="465">
        <v>46364.0</v>
      </c>
      <c r="Q26" s="463" t="str">
        <f>IF(SUMIF(GRAFICO!A:A,P26,GRAFICO!B:B)=0,"",SUMIF(GRAFICO!A:A,P26,GRAFICO!B:B))</f>
        <v/>
      </c>
      <c r="R26" s="463" t="str">
        <f t="shared" si="4"/>
        <v/>
      </c>
      <c r="S26" s="471">
        <f>CUENTAS!A15</f>
        <v>46087</v>
      </c>
      <c r="Y26" s="459">
        <f>IF(CUENTAS!G15/CUENTAS!$AB15&lt;&gt;0,CUENTAS!G15/CUENTAS!$AB15,"")</f>
        <v>0.09783968283</v>
      </c>
      <c r="Z26" s="459">
        <f>IF(CUENTAS!H15/CUENTAS!$AB15&lt;&gt;0,CUENTAS!H15/CUENTAS!$AB15,"")</f>
        <v>0.09281871806</v>
      </c>
      <c r="AA26" s="459">
        <f>IF(CUENTAS!I15/CUENTAS!$AB15&lt;&gt;0,CUENTAS!I15/CUENTAS!$AB15,"")</f>
        <v>0.01403946511</v>
      </c>
      <c r="AB26" s="459">
        <f>IF(CUENTAS!J15/CUENTAS!$AB15&lt;&gt;0,CUENTAS!J15/CUENTAS!$AB15,"")</f>
        <v>0.1250356987</v>
      </c>
      <c r="AC26" s="459" t="str">
        <f>IF(CUENTAS!K15/CUENTAS!$AB15&lt;&gt;0,CUENTAS!K15/CUENTAS!$AB15,"")</f>
        <v/>
      </c>
      <c r="AD26" s="459">
        <f>IF(CUENTAS!L15/CUENTAS!$AB15&lt;&gt;0,CUENTAS!L15/CUENTAS!$AB15,"")</f>
        <v>0.005072061096</v>
      </c>
      <c r="AE26" s="459">
        <f>IF(CUENTAS!M15/CUENTAS!$AB15&lt;&gt;0,CUENTAS!M15/CUENTAS!$AB15,"")</f>
        <v>0.03617619399</v>
      </c>
      <c r="AF26" s="459">
        <f>IF(CUENTAS!N15/CUENTAS!$AB15&lt;&gt;0,CUENTAS!N15/CUENTAS!$AB15,"")</f>
        <v>0.08833050755</v>
      </c>
      <c r="AG26" s="459">
        <f>IF(CUENTAS!O15/CUENTAS!$AB15&lt;&gt;0,CUENTAS!O15/CUENTAS!$AB15,"")</f>
        <v>0.03058264987</v>
      </c>
      <c r="AH26" s="459">
        <f>IF(CUENTAS!P15/CUENTAS!$AB15&lt;&gt;0,CUENTAS!P15/CUENTAS!$AB15,"")</f>
        <v>0.040952197</v>
      </c>
      <c r="AI26" s="459">
        <f>IF(CUENTAS!R15/CUENTAS!$AB15&lt;&gt;0,CUENTAS!R15/CUENTAS!$AB15,"")</f>
        <v>0.0640301877</v>
      </c>
      <c r="AJ26" s="459" t="str">
        <f>IF(CUENTAS!B15/CUENTAS!$AB15&lt;&gt;0,CUENTAS!B15/CUENTAS!$AB15,"")</f>
        <v/>
      </c>
      <c r="AK26" s="459">
        <f>IF(CUENTAS!S15/CUENTAS!$AB15&lt;&gt;0,CUENTAS!S15/CUENTAS!$AB15,"")</f>
        <v>0.02167334951</v>
      </c>
      <c r="AL26" s="459">
        <f>IF(CUENTAS!T15/CUENTAS!$AB15&lt;&gt;0,CUENTAS!T15/CUENTAS!$AB15,"")</f>
        <v>0.1105188963</v>
      </c>
      <c r="AM26" s="459">
        <f>IF(CUENTAS!U15/CUENTAS!$AB15&lt;&gt;0,CUENTAS!U15/CUENTAS!$AB15,"")</f>
        <v>0.05053238387</v>
      </c>
      <c r="AN26" s="459">
        <f>IF(CUENTAS!V15/CUENTAS!$AB15&lt;&gt;0,CUENTAS!V15/CUENTAS!$AB15,"")</f>
        <v>0.1385782555</v>
      </c>
      <c r="AO26" s="459">
        <f>IF(CUENTAS!W15/CUENTAS!$AB15&lt;&gt;0,CUENTAS!W15/CUENTAS!$AB15,"")</f>
        <v>0.03825652802</v>
      </c>
      <c r="AP26" s="459">
        <f>IF(CUENTAS!X15/CUENTAS!$AB15&lt;&gt;0,CUENTAS!X15/CUENTAS!$AB15,"")</f>
        <v>0.04268336832</v>
      </c>
      <c r="AQ26" s="459">
        <f>IF(CUENTAS!Y15/CUENTAS!$AB15&lt;&gt;0,CUENTAS!Y15/CUENTAS!$AB15,"")</f>
        <v>0.1137898809</v>
      </c>
      <c r="AR26" s="459">
        <f>IF(CUENTAS!AA15/CUENTAS!$AB15&lt;&gt;0,CUENTAS!AA15/CUENTAS!$AB15,"")</f>
        <v>0.005992538744</v>
      </c>
    </row>
    <row r="27">
      <c r="A27" s="460">
        <v>16000.0</v>
      </c>
      <c r="B27" s="461">
        <v>0.0</v>
      </c>
      <c r="C27" s="462">
        <f>IFERROR(__xludf.DUMMYFUNCTION("STDEVP(FILTER(GRAFICO!B:B, GRAFICO!B:B&gt;= A27 ,GRAFICO!B:B &lt; A28))
"),0.0)</f>
        <v>0</v>
      </c>
      <c r="D27" s="463">
        <f t="shared" si="1"/>
        <v>510</v>
      </c>
      <c r="F27" s="472"/>
      <c r="G27" s="200"/>
      <c r="J27" s="465">
        <v>45633.0</v>
      </c>
      <c r="K27" s="466">
        <f>SUMIF(GRAFICO!A:A,J27,GRAFICO!B:B)</f>
        <v>14532.57759</v>
      </c>
      <c r="L27" s="467">
        <f t="shared" si="2"/>
        <v>0.3637385273</v>
      </c>
      <c r="M27" s="468">
        <v>45998.0</v>
      </c>
      <c r="N27" s="469">
        <f>IF(SUMIF(GRAFICO!A:A,M27,GRAFICO!B:B)=0,"",SUMIF(GRAFICO!A:A,M27,GRAFICO!B:B))</f>
        <v>21087.01191</v>
      </c>
      <c r="O27" s="467">
        <f t="shared" si="3"/>
        <v>0.4155840269</v>
      </c>
      <c r="P27" s="468">
        <v>46363.0</v>
      </c>
      <c r="Q27" s="463" t="str">
        <f>IF(SUMIF(GRAFICO!A:A,P27,GRAFICO!B:B)=0,"",SUMIF(GRAFICO!A:A,P27,GRAFICO!B:B))</f>
        <v/>
      </c>
      <c r="R27" s="463" t="str">
        <f t="shared" si="4"/>
        <v/>
      </c>
      <c r="S27" s="471">
        <f>CUENTAS!A16</f>
        <v>46086</v>
      </c>
      <c r="Y27" s="459">
        <f>IF(CUENTAS!G16/CUENTAS!$AB16&lt;&gt;0,CUENTAS!G16/CUENTAS!$AB16,"")</f>
        <v>0.09792462521</v>
      </c>
      <c r="Z27" s="459">
        <f>IF(CUENTAS!H16/CUENTAS!$AB16&lt;&gt;0,CUENTAS!H16/CUENTAS!$AB16,"")</f>
        <v>0.09445743753</v>
      </c>
      <c r="AA27" s="459">
        <f>IF(CUENTAS!I16/CUENTAS!$AB16&lt;&gt;0,CUENTAS!I16/CUENTAS!$AB16,"")</f>
        <v>0.01383126764</v>
      </c>
      <c r="AB27" s="459">
        <f>IF(CUENTAS!J16/CUENTAS!$AB16&lt;&gt;0,CUENTAS!J16/CUENTAS!$AB16,"")</f>
        <v>0.1244439256</v>
      </c>
      <c r="AC27" s="459" t="str">
        <f>IF(CUENTAS!K16/CUENTAS!$AB16&lt;&gt;0,CUENTAS!K16/CUENTAS!$AB16,"")</f>
        <v/>
      </c>
      <c r="AD27" s="459">
        <f>IF(CUENTAS!L16/CUENTAS!$AB16&lt;&gt;0,CUENTAS!L16/CUENTAS!$AB16,"")</f>
        <v>0.005075213111</v>
      </c>
      <c r="AE27" s="459">
        <f>IF(CUENTAS!M16/CUENTAS!$AB16&lt;&gt;0,CUENTAS!M16/CUENTAS!$AB16,"")</f>
        <v>0.03741863918</v>
      </c>
      <c r="AF27" s="459">
        <f>IF(CUENTAS!N16/CUENTAS!$AB16&lt;&gt;0,CUENTAS!N16/CUENTAS!$AB16,"")</f>
        <v>0.08821724935</v>
      </c>
      <c r="AG27" s="459">
        <f>IF(CUENTAS!O16/CUENTAS!$AB16&lt;&gt;0,CUENTAS!O16/CUENTAS!$AB16,"")</f>
        <v>0.03092356586</v>
      </c>
      <c r="AH27" s="459">
        <f>IF(CUENTAS!P16/CUENTAS!$AB16&lt;&gt;0,CUENTAS!P16/CUENTAS!$AB16,"")</f>
        <v>0.04085659004</v>
      </c>
      <c r="AI27" s="459">
        <f>IF(CUENTAS!R16/CUENTAS!$AB16&lt;&gt;0,CUENTAS!R16/CUENTAS!$AB16,"")</f>
        <v>0.06388070289</v>
      </c>
      <c r="AJ27" s="459" t="str">
        <f>IF(CUENTAS!B16/CUENTAS!$AB16&lt;&gt;0,CUENTAS!B16/CUENTAS!$AB16,"")</f>
        <v/>
      </c>
      <c r="AK27" s="459">
        <f>IF(CUENTAS!S16/CUENTAS!$AB16&lt;&gt;0,CUENTAS!S16/CUENTAS!$AB16,"")</f>
        <v>0.02158984649</v>
      </c>
      <c r="AL27" s="459">
        <f>IF(CUENTAS!T16/CUENTAS!$AB16&lt;&gt;0,CUENTAS!T16/CUENTAS!$AB16,"")</f>
        <v>0.1101161942</v>
      </c>
      <c r="AM27" s="459">
        <f>IF(CUENTAS!U16/CUENTAS!$AB16&lt;&gt;0,CUENTAS!U16/CUENTAS!$AB16,"")</f>
        <v>0.05041441102</v>
      </c>
      <c r="AN27" s="459">
        <f>IF(CUENTAS!V16/CUENTAS!$AB16&lt;&gt;0,CUENTAS!V16/CUENTAS!$AB16,"")</f>
        <v>0.1382270855</v>
      </c>
      <c r="AO27" s="459">
        <f>IF(CUENTAS!W16/CUENTAS!$AB16&lt;&gt;0,CUENTAS!W16/CUENTAS!$AB16,"")</f>
        <v>0.03815158392</v>
      </c>
      <c r="AP27" s="459">
        <f>IF(CUENTAS!X16/CUENTAS!$AB16&lt;&gt;0,CUENTAS!X16/CUENTAS!$AB16,"")</f>
        <v>0.04251882367</v>
      </c>
      <c r="AQ27" s="459">
        <f>IF(CUENTAS!Y16/CUENTAS!$AB16&lt;&gt;0,CUENTAS!Y16/CUENTAS!$AB16,"")</f>
        <v>0.1134434222</v>
      </c>
      <c r="AR27" s="459">
        <f>IF(CUENTAS!AA16/CUENTAS!$AB16&lt;&gt;0,CUENTAS!AA16/CUENTAS!$AB16,"")</f>
        <v>0.005978548569</v>
      </c>
    </row>
    <row r="28">
      <c r="A28" s="460">
        <v>16250.0</v>
      </c>
      <c r="B28" s="461">
        <v>1.0</v>
      </c>
      <c r="C28" s="462">
        <f>IFERROR(__xludf.DUMMYFUNCTION("STDEVP(FILTER(GRAFICO!B:B, GRAFICO!B:B&gt;= A28 ,GRAFICO!B:B &lt; A29))
"),64.71782626484978)</f>
        <v>64.71782626</v>
      </c>
      <c r="D28" s="463">
        <f t="shared" si="1"/>
        <v>511</v>
      </c>
      <c r="F28" s="472"/>
      <c r="G28" s="200"/>
      <c r="J28" s="470">
        <v>45632.0</v>
      </c>
      <c r="K28" s="466">
        <f>SUMIF(GRAFICO!A:A,J28,GRAFICO!B:B)</f>
        <v>14529.8168</v>
      </c>
      <c r="L28" s="467">
        <f t="shared" si="2"/>
        <v>0.3635485367</v>
      </c>
      <c r="M28" s="468">
        <v>45997.0</v>
      </c>
      <c r="N28" s="469">
        <f>IF(SUMIF(GRAFICO!A:A,M28,GRAFICO!B:B)=0,"",SUMIF(GRAFICO!A:A,M28,GRAFICO!B:B))</f>
        <v>21081.2215</v>
      </c>
      <c r="O28" s="467">
        <f t="shared" si="3"/>
        <v>0.4153093929</v>
      </c>
      <c r="P28" s="465">
        <v>46362.0</v>
      </c>
      <c r="Q28" s="463" t="str">
        <f>IF(SUMIF(GRAFICO!A:A,P28,GRAFICO!B:B)=0,"",SUMIF(GRAFICO!A:A,P28,GRAFICO!B:B))</f>
        <v/>
      </c>
      <c r="R28" s="463" t="str">
        <f t="shared" si="4"/>
        <v/>
      </c>
      <c r="S28" s="471">
        <f>CUENTAS!A17</f>
        <v>46085</v>
      </c>
      <c r="Y28" s="459">
        <f>IF(CUENTAS!G17/CUENTAS!$AB17&lt;&gt;0,CUENTAS!G17/CUENTAS!$AB17,"")</f>
        <v>0.09774563624</v>
      </c>
      <c r="Z28" s="459">
        <f>IF(CUENTAS!H17/CUENTAS!$AB17&lt;&gt;0,CUENTAS!H17/CUENTAS!$AB17,"")</f>
        <v>0.09554887771</v>
      </c>
      <c r="AA28" s="459">
        <f>IF(CUENTAS!I17/CUENTAS!$AB17&lt;&gt;0,CUENTAS!I17/CUENTAS!$AB17,"")</f>
        <v>0.01416538251</v>
      </c>
      <c r="AB28" s="459">
        <f>IF(CUENTAS!J17/CUENTAS!$AB17&lt;&gt;0,CUENTAS!J17/CUENTAS!$AB17,"")</f>
        <v>0.1244754882</v>
      </c>
      <c r="AC28" s="459" t="str">
        <f>IF(CUENTAS!K17/CUENTAS!$AB17&lt;&gt;0,CUENTAS!K17/CUENTAS!$AB17,"")</f>
        <v/>
      </c>
      <c r="AD28" s="459">
        <f>IF(CUENTAS!L17/CUENTAS!$AB17&lt;&gt;0,CUENTAS!L17/CUENTAS!$AB17,"")</f>
        <v>0.004891179166</v>
      </c>
      <c r="AE28" s="459">
        <f>IF(CUENTAS!M17/CUENTAS!$AB17&lt;&gt;0,CUENTAS!M17/CUENTAS!$AB17,"")</f>
        <v>0.03802918034</v>
      </c>
      <c r="AF28" s="459">
        <f>IF(CUENTAS!N17/CUENTAS!$AB17&lt;&gt;0,CUENTAS!N17/CUENTAS!$AB17,"")</f>
        <v>0.09024173097</v>
      </c>
      <c r="AG28" s="459">
        <f>IF(CUENTAS!O17/CUENTAS!$AB17&lt;&gt;0,CUENTAS!O17/CUENTAS!$AB17,"")</f>
        <v>0.03044807748</v>
      </c>
      <c r="AH28" s="459">
        <f>IF(CUENTAS!P17/CUENTAS!$AB17&lt;&gt;0,CUENTAS!P17/CUENTAS!$AB17,"")</f>
        <v>0.04140938537</v>
      </c>
      <c r="AI28" s="459">
        <f>IF(CUENTAS!R17/CUENTAS!$AB17&lt;&gt;0,CUENTAS!R17/CUENTAS!$AB17,"")</f>
        <v>0.06386612601</v>
      </c>
      <c r="AJ28" s="459" t="str">
        <f>IF(CUENTAS!B17/CUENTAS!$AB17&lt;&gt;0,CUENTAS!B17/CUENTAS!$AB17,"")</f>
        <v/>
      </c>
      <c r="AK28" s="459">
        <f>IF(CUENTAS!S17/CUENTAS!$AB17&lt;&gt;0,CUENTAS!S17/CUENTAS!$AB17,"")</f>
        <v>0.02155202298</v>
      </c>
      <c r="AL28" s="459">
        <f>IF(CUENTAS!T17/CUENTAS!$AB17&lt;&gt;0,CUENTAS!T17/CUENTAS!$AB17,"")</f>
        <v>0.1099464151</v>
      </c>
      <c r="AM28" s="459">
        <f>IF(CUENTAS!U17/CUENTAS!$AB17&lt;&gt;0,CUENTAS!U17/CUENTAS!$AB17,"")</f>
        <v>0.05040290701</v>
      </c>
      <c r="AN28" s="459">
        <f>IF(CUENTAS!V17/CUENTAS!$AB17&lt;&gt;0,CUENTAS!V17/CUENTAS!$AB17,"")</f>
        <v>0.13816791</v>
      </c>
      <c r="AO28" s="459">
        <f>IF(CUENTAS!W17/CUENTAS!$AB17&lt;&gt;0,CUENTAS!W17/CUENTAS!$AB17,"")</f>
        <v>0.03812725125</v>
      </c>
      <c r="AP28" s="459">
        <f>IF(CUENTAS!X17/CUENTAS!$AB17&lt;&gt;0,CUENTAS!X17/CUENTAS!$AB17,"")</f>
        <v>0.04244424004</v>
      </c>
      <c r="AQ28" s="459">
        <f>IF(CUENTAS!Y17/CUENTAS!$AB17&lt;&gt;0,CUENTAS!Y17/CUENTAS!$AB17,"")</f>
        <v>0.1133367491</v>
      </c>
      <c r="AR28" s="459">
        <f>IF(CUENTAS!AA17/CUENTAS!$AB17&lt;&gt;0,CUENTAS!AA17/CUENTAS!$AB17,"")</f>
        <v>0.00597718433</v>
      </c>
    </row>
    <row r="29">
      <c r="A29" s="460">
        <v>16500.0</v>
      </c>
      <c r="B29" s="461">
        <v>7.0</v>
      </c>
      <c r="C29" s="462">
        <f>IFERROR(__xludf.DUMMYFUNCTION("STDEVP(FILTER(GRAFICO!B:B, GRAFICO!B:B&gt;= A29 ,GRAFICO!B:B &lt; A30))
"),58.01112328204382)</f>
        <v>58.01112328</v>
      </c>
      <c r="D29" s="463">
        <f t="shared" si="1"/>
        <v>518</v>
      </c>
      <c r="F29" s="472"/>
      <c r="G29" s="200"/>
      <c r="J29" s="465">
        <v>45631.0</v>
      </c>
      <c r="K29" s="466">
        <f>SUMIF(GRAFICO!A:A,J29,GRAFICO!B:B)</f>
        <v>14566.70447</v>
      </c>
      <c r="L29" s="467">
        <f t="shared" si="2"/>
        <v>0.3660840759</v>
      </c>
      <c r="M29" s="468">
        <v>45996.0</v>
      </c>
      <c r="N29" s="469">
        <f>IF(SUMIF(GRAFICO!A:A,M29,GRAFICO!B:B)=0,"",SUMIF(GRAFICO!A:A,M29,GRAFICO!B:B))</f>
        <v>21075.43121</v>
      </c>
      <c r="O29" s="467">
        <f t="shared" si="3"/>
        <v>0.4150346897</v>
      </c>
      <c r="P29" s="468">
        <v>46361.0</v>
      </c>
      <c r="Q29" s="463" t="str">
        <f>IF(SUMIF(GRAFICO!A:A,P29,GRAFICO!B:B)=0,"",SUMIF(GRAFICO!A:A,P29,GRAFICO!B:B))</f>
        <v/>
      </c>
      <c r="R29" s="463" t="str">
        <f t="shared" si="4"/>
        <v/>
      </c>
      <c r="S29" s="471">
        <f>CUENTAS!A18</f>
        <v>46084</v>
      </c>
      <c r="Y29" s="459">
        <f>IF(CUENTAS!G18/CUENTAS!$AB18&lt;&gt;0,CUENTAS!G18/CUENTAS!$AB18,"")</f>
        <v>0.09788784761</v>
      </c>
      <c r="Z29" s="459">
        <f>IF(CUENTAS!H18/CUENTAS!$AB18&lt;&gt;0,CUENTAS!H18/CUENTAS!$AB18,"")</f>
        <v>0.09475918339</v>
      </c>
      <c r="AA29" s="459">
        <f>IF(CUENTAS!I18/CUENTAS!$AB18&lt;&gt;0,CUENTAS!I18/CUENTAS!$AB18,"")</f>
        <v>0.01411833148</v>
      </c>
      <c r="AB29" s="459">
        <f>IF(CUENTAS!J18/CUENTAS!$AB18&lt;&gt;0,CUENTAS!J18/CUENTAS!$AB18,"")</f>
        <v>0.1243971882</v>
      </c>
      <c r="AC29" s="459" t="str">
        <f>IF(CUENTAS!K18/CUENTAS!$AB18&lt;&gt;0,CUENTAS!K18/CUENTAS!$AB18,"")</f>
        <v/>
      </c>
      <c r="AD29" s="459">
        <f>IF(CUENTAS!L18/CUENTAS!$AB18&lt;&gt;0,CUENTAS!L18/CUENTAS!$AB18,"")</f>
        <v>0.004863480429</v>
      </c>
      <c r="AE29" s="459">
        <f>IF(CUENTAS!M18/CUENTAS!$AB18&lt;&gt;0,CUENTAS!M18/CUENTAS!$AB18,"")</f>
        <v>0.03965947222</v>
      </c>
      <c r="AF29" s="459">
        <f>IF(CUENTAS!N18/CUENTAS!$AB18&lt;&gt;0,CUENTAS!N18/CUENTAS!$AB18,"")</f>
        <v>0.08920627276</v>
      </c>
      <c r="AG29" s="459">
        <f>IF(CUENTAS!O18/CUENTAS!$AB18&lt;&gt;0,CUENTAS!O18/CUENTAS!$AB18,"")</f>
        <v>0.02975041187</v>
      </c>
      <c r="AH29" s="459">
        <f>IF(CUENTAS!P18/CUENTAS!$AB18&lt;&gt;0,CUENTAS!P18/CUENTAS!$AB18,"")</f>
        <v>0.04192410055</v>
      </c>
      <c r="AI29" s="459">
        <f>IF(CUENTAS!R18/CUENTAS!$AB18&lt;&gt;0,CUENTAS!R18/CUENTAS!$AB18,"")</f>
        <v>0.06385671118</v>
      </c>
      <c r="AJ29" s="459" t="str">
        <f>IF(CUENTAS!B18/CUENTAS!$AB18&lt;&gt;0,CUENTAS!B18/CUENTAS!$AB18,"")</f>
        <v/>
      </c>
      <c r="AK29" s="459">
        <f>IF(CUENTAS!S18/CUENTAS!$AB18&lt;&gt;0,CUENTAS!S18/CUENTAS!$AB18,"")</f>
        <v>0.0215159538</v>
      </c>
      <c r="AL29" s="459">
        <f>IF(CUENTAS!T18/CUENTAS!$AB18&lt;&gt;0,CUENTAS!T18/CUENTAS!$AB18,"")</f>
        <v>0.1097855769</v>
      </c>
      <c r="AM29" s="459">
        <f>IF(CUENTAS!U18/CUENTAS!$AB18&lt;&gt;0,CUENTAS!U18/CUENTAS!$AB18,"")</f>
        <v>0.05039547685</v>
      </c>
      <c r="AN29" s="459">
        <f>IF(CUENTAS!V18/CUENTAS!$AB18&lt;&gt;0,CUENTAS!V18/CUENTAS!$AB18,"")</f>
        <v>0.138119918</v>
      </c>
      <c r="AO29" s="459">
        <f>IF(CUENTAS!W18/CUENTAS!$AB18&lt;&gt;0,CUENTAS!W18/CUENTAS!$AB18,"")</f>
        <v>0.03810600613</v>
      </c>
      <c r="AP29" s="459">
        <f>IF(CUENTAS!X18/CUENTAS!$AB18&lt;&gt;0,CUENTAS!X18/CUENTAS!$AB18,"")</f>
        <v>0.04237311139</v>
      </c>
      <c r="AQ29" s="459">
        <f>IF(CUENTAS!Y18/CUENTAS!$AB18&lt;&gt;0,CUENTAS!Y18/CUENTAS!$AB18,"")</f>
        <v>0.113239267</v>
      </c>
      <c r="AR29" s="459">
        <f>IF(CUENTAS!AA18/CUENTAS!$AB18&lt;&gt;0,CUENTAS!AA18/CUENTAS!$AB18,"")</f>
        <v>0.005976303202</v>
      </c>
    </row>
    <row r="30">
      <c r="A30" s="460">
        <v>16750.0</v>
      </c>
      <c r="B30" s="461">
        <v>17.0</v>
      </c>
      <c r="C30" s="462">
        <f>IFERROR(__xludf.DUMMYFUNCTION("STDEVP(FILTER(GRAFICO!B:B, GRAFICO!B:B&gt;= A30 ,GRAFICO!B:B &lt; A31))
"),39.65663451408521)</f>
        <v>39.65663451</v>
      </c>
      <c r="D30" s="463">
        <f t="shared" si="1"/>
        <v>535</v>
      </c>
      <c r="F30" s="472"/>
      <c r="G30" s="200"/>
      <c r="J30" s="470">
        <v>45630.0</v>
      </c>
      <c r="K30" s="466">
        <f>SUMIF(GRAFICO!A:A,J30,GRAFICO!B:B)</f>
        <v>14561.86958</v>
      </c>
      <c r="L30" s="467">
        <f t="shared" si="2"/>
        <v>0.3657521073</v>
      </c>
      <c r="M30" s="468">
        <v>45995.0</v>
      </c>
      <c r="N30" s="469">
        <f>IF(SUMIF(GRAFICO!A:A,M30,GRAFICO!B:B)=0,"",SUMIF(GRAFICO!A:A,M30,GRAFICO!B:B))</f>
        <v>21209.05502</v>
      </c>
      <c r="O30" s="467">
        <f t="shared" si="3"/>
        <v>0.4213549391</v>
      </c>
      <c r="P30" s="465">
        <v>46360.0</v>
      </c>
      <c r="Q30" s="463" t="str">
        <f>IF(SUMIF(GRAFICO!A:A,P30,GRAFICO!B:B)=0,"",SUMIF(GRAFICO!A:A,P30,GRAFICO!B:B))</f>
        <v/>
      </c>
      <c r="R30" s="463" t="str">
        <f t="shared" si="4"/>
        <v/>
      </c>
      <c r="S30" s="471">
        <f>CUENTAS!A19</f>
        <v>46083</v>
      </c>
      <c r="Y30" s="459">
        <f>IF(CUENTAS!G19/CUENTAS!$AB19&lt;&gt;0,CUENTAS!G19/CUENTAS!$AB19,"")</f>
        <v>0.09721816832</v>
      </c>
      <c r="Z30" s="459">
        <f>IF(CUENTAS!H19/CUENTAS!$AB19&lt;&gt;0,CUENTAS!H19/CUENTAS!$AB19,"")</f>
        <v>0.09617287632</v>
      </c>
      <c r="AA30" s="459">
        <f>IF(CUENTAS!I19/CUENTAS!$AB19&lt;&gt;0,CUENTAS!I19/CUENTAS!$AB19,"")</f>
        <v>0.01493768116</v>
      </c>
      <c r="AB30" s="459">
        <f>IF(CUENTAS!J19/CUENTAS!$AB19&lt;&gt;0,CUENTAS!J19/CUENTAS!$AB19,"")</f>
        <v>0.1263067436</v>
      </c>
      <c r="AC30" s="459" t="str">
        <f>IF(CUENTAS!K19/CUENTAS!$AB19&lt;&gt;0,CUENTAS!K19/CUENTAS!$AB19,"")</f>
        <v/>
      </c>
      <c r="AD30" s="459">
        <f>IF(CUENTAS!L19/CUENTAS!$AB19&lt;&gt;0,CUENTAS!L19/CUENTAS!$AB19,"")</f>
        <v>0.005072409088</v>
      </c>
      <c r="AE30" s="459">
        <f>IF(CUENTAS!M19/CUENTAS!$AB19&lt;&gt;0,CUENTAS!M19/CUENTAS!$AB19,"")</f>
        <v>0.03768612086</v>
      </c>
      <c r="AF30" s="459">
        <f>IF(CUENTAS!N19/CUENTAS!$AB19&lt;&gt;0,CUENTAS!N19/CUENTAS!$AB19,"")</f>
        <v>0.08870929601</v>
      </c>
      <c r="AG30" s="459">
        <f>IF(CUENTAS!O19/CUENTAS!$AB19&lt;&gt;0,CUENTAS!O19/CUENTAS!$AB19,"")</f>
        <v>0.02875116618</v>
      </c>
      <c r="AH30" s="459">
        <f>IF(CUENTAS!P19/CUENTAS!$AB19&lt;&gt;0,CUENTAS!P19/CUENTAS!$AB19,"")</f>
        <v>0.04296142631</v>
      </c>
      <c r="AI30" s="459">
        <f>IF(CUENTAS!R19/CUENTAS!$AB19&lt;&gt;0,CUENTAS!R19/CUENTAS!$AB19,"")</f>
        <v>0.0646132863</v>
      </c>
      <c r="AJ30" s="459" t="str">
        <f>IF(CUENTAS!B19/CUENTAS!$AB19&lt;&gt;0,CUENTAS!B19/CUENTAS!$AB19,"")</f>
        <v/>
      </c>
      <c r="AK30" s="459">
        <f>IF(CUENTAS!S19/CUENTAS!$AB19&lt;&gt;0,CUENTAS!S19/CUENTAS!$AB19,"")</f>
        <v>0.02154290168</v>
      </c>
      <c r="AL30" s="459">
        <f>IF(CUENTAS!T19/CUENTAS!$AB19&lt;&gt;0,CUENTAS!T19/CUENTAS!$AB19,"")</f>
        <v>0.1099463457</v>
      </c>
      <c r="AM30" s="459">
        <f>IF(CUENTAS!U19/CUENTAS!$AB19&lt;&gt;0,CUENTAS!U19/CUENTAS!$AB19,"")</f>
        <v>0.05053585088</v>
      </c>
      <c r="AN30" s="459">
        <f>IF(CUENTAS!V19/CUENTAS!$AB19&lt;&gt;0,CUENTAS!V19/CUENTAS!$AB19,"")</f>
        <v>0.1384769486</v>
      </c>
      <c r="AO30" s="459">
        <f>IF(CUENTAS!W19/CUENTAS!$AB19&lt;&gt;0,CUENTAS!W19/CUENTAS!$AB19,"")</f>
        <v>0.03819648036</v>
      </c>
      <c r="AP30" s="459">
        <f>IF(CUENTAS!X19/CUENTAS!$AB19&lt;&gt;0,CUENTAS!X19/CUENTAS!$AB19,"")</f>
        <v>0.0424260871</v>
      </c>
      <c r="AQ30" s="459">
        <f>IF(CUENTAS!Y19/CUENTAS!$AB19&lt;&gt;0,CUENTAS!Y19/CUENTAS!$AB19,"")</f>
        <v>0.1134736895</v>
      </c>
      <c r="AR30" s="459">
        <f>IF(CUENTAS!AA19/CUENTAS!$AB19&lt;&gt;0,CUENTAS!AA19/CUENTAS!$AB19,"")</f>
        <v>0.001859875818</v>
      </c>
    </row>
    <row r="31">
      <c r="A31" s="460">
        <v>17000.0</v>
      </c>
      <c r="B31" s="461">
        <v>18.0</v>
      </c>
      <c r="C31" s="462">
        <f>IFERROR(__xludf.DUMMYFUNCTION("STDEVP(FILTER(GRAFICO!B:B, GRAFICO!B:B&gt;= A31 ,GRAFICO!B:B &lt; A32))
"),55.45025256900124)</f>
        <v>55.45025257</v>
      </c>
      <c r="D31" s="463">
        <f t="shared" si="1"/>
        <v>553</v>
      </c>
      <c r="F31" s="472"/>
      <c r="G31" s="200"/>
      <c r="J31" s="470">
        <v>45629.0</v>
      </c>
      <c r="K31" s="466">
        <f>SUMIF(GRAFICO!A:A,J31,GRAFICO!B:B)</f>
        <v>14616.3756</v>
      </c>
      <c r="L31" s="467">
        <f t="shared" si="2"/>
        <v>0.369488184</v>
      </c>
      <c r="M31" s="468">
        <v>45994.0</v>
      </c>
      <c r="N31" s="469">
        <f>IF(SUMIF(GRAFICO!A:A,M31,GRAFICO!B:B)=0,"",SUMIF(GRAFICO!A:A,M31,GRAFICO!B:B))</f>
        <v>21204.17183</v>
      </c>
      <c r="O31" s="467">
        <f t="shared" si="3"/>
        <v>0.4211246717</v>
      </c>
      <c r="P31" s="468">
        <v>46359.0</v>
      </c>
      <c r="Q31" s="463" t="str">
        <f>IF(SUMIF(GRAFICO!A:A,P31,GRAFICO!B:B)=0,"",SUMIF(GRAFICO!A:A,P31,GRAFICO!B:B))</f>
        <v/>
      </c>
      <c r="R31" s="463" t="str">
        <f t="shared" si="4"/>
        <v/>
      </c>
      <c r="S31" s="471">
        <f>CUENTAS!A20</f>
        <v>46082</v>
      </c>
      <c r="Y31" s="459">
        <f>IF(CUENTAS!G20/CUENTAS!$AB20&lt;&gt;0,CUENTAS!G20/CUENTAS!$AB20,"")</f>
        <v>0.1022615702</v>
      </c>
      <c r="Z31" s="459">
        <f>IF(CUENTAS!H20/CUENTAS!$AB20&lt;&gt;0,CUENTAS!H20/CUENTAS!$AB20,"")</f>
        <v>0.02506635374</v>
      </c>
      <c r="AA31" s="459">
        <f>IF(CUENTAS!I20/CUENTAS!$AB20&lt;&gt;0,CUENTAS!I20/CUENTAS!$AB20,"")</f>
        <v>0.01404298543</v>
      </c>
      <c r="AB31" s="459">
        <f>IF(CUENTAS!J20/CUENTAS!$AB20&lt;&gt;0,CUENTAS!J20/CUENTAS!$AB20,"")</f>
        <v>0.1353824436</v>
      </c>
      <c r="AC31" s="459" t="str">
        <f>IF(CUENTAS!K20/CUENTAS!$AB20&lt;&gt;0,CUENTAS!K20/CUENTAS!$AB20,"")</f>
        <v/>
      </c>
      <c r="AD31" s="459">
        <f>IF(CUENTAS!L20/CUENTAS!$AB20&lt;&gt;0,CUENTAS!L20/CUENTAS!$AB20,"")</f>
        <v>0.004998849575</v>
      </c>
      <c r="AE31" s="459">
        <f>IF(CUENTAS!M20/CUENTAS!$AB20&lt;&gt;0,CUENTAS!M20/CUENTAS!$AB20,"")</f>
        <v>0.03733318037</v>
      </c>
      <c r="AF31" s="459">
        <f>IF(CUENTAS!N20/CUENTAS!$AB20&lt;&gt;0,CUENTAS!N20/CUENTAS!$AB20,"")</f>
        <v>0.09059734264</v>
      </c>
      <c r="AG31" s="459">
        <f>IF(CUENTAS!O20/CUENTAS!$AB20&lt;&gt;0,CUENTAS!O20/CUENTAS!$AB20,"")</f>
        <v>0.02880555797</v>
      </c>
      <c r="AH31" s="459">
        <f>IF(CUENTAS!P20/CUENTAS!$AB20&lt;&gt;0,CUENTAS!P20/CUENTAS!$AB20,"")</f>
        <v>0.0426749007</v>
      </c>
      <c r="AI31" s="459">
        <f>IF(CUENTAS!R20/CUENTAS!$AB20&lt;&gt;0,CUENTAS!R20/CUENTAS!$AB20,"")</f>
        <v>0.06383050447</v>
      </c>
      <c r="AJ31" s="459" t="str">
        <f>IF(CUENTAS!B20/CUENTAS!$AB20&lt;&gt;0,CUENTAS!B20/CUENTAS!$AB20,"")</f>
        <v/>
      </c>
      <c r="AK31" s="459">
        <f>IF(CUENTAS!S20/CUENTAS!$AB20&lt;&gt;0,CUENTAS!S20/CUENTAS!$AB20,"")</f>
        <v>0.02106069898</v>
      </c>
      <c r="AL31" s="459">
        <f>IF(CUENTAS!T20/CUENTAS!$AB20&lt;&gt;0,CUENTAS!T20/CUENTAS!$AB20,"")</f>
        <v>0.1075081918</v>
      </c>
      <c r="AM31" s="459">
        <f>IF(CUENTAS!U20/CUENTAS!$AB20&lt;&gt;0,CUENTAS!U20/CUENTAS!$AB20,"")</f>
        <v>0.04948044638</v>
      </c>
      <c r="AN31" s="459">
        <f>IF(CUENTAS!V20/CUENTAS!$AB20&lt;&gt;0,CUENTAS!V20/CUENTAS!$AB20,"")</f>
        <v>0.1355578466</v>
      </c>
      <c r="AO31" s="459">
        <f>IF(CUENTAS!W20/CUENTAS!$AB20&lt;&gt;0,CUENTAS!W20/CUENTAS!$AB20,"")</f>
        <v>0.03738343375</v>
      </c>
      <c r="AP31" s="459">
        <f>IF(CUENTAS!X20/CUENTAS!$AB20&lt;&gt;0,CUENTAS!X20/CUENTAS!$AB20,"")</f>
        <v>0.04147635526</v>
      </c>
      <c r="AQ31" s="459">
        <f>IF(CUENTAS!Y20/CUENTAS!$AB20&lt;&gt;0,CUENTAS!Y20/CUENTAS!$AB20,"")</f>
        <v>0.1110245661</v>
      </c>
      <c r="AR31" s="459">
        <f>IF(CUENTAS!AA20/CUENTAS!$AB20&lt;&gt;0,CUENTAS!AA20/CUENTAS!$AB20,"")</f>
        <v>0.06847113505</v>
      </c>
    </row>
    <row r="32">
      <c r="A32" s="460">
        <v>17250.0</v>
      </c>
      <c r="B32" s="461">
        <v>18.0</v>
      </c>
      <c r="C32" s="462">
        <f>IFERROR(__xludf.DUMMYFUNCTION("STDEVP(FILTER(GRAFICO!B:B, GRAFICO!B:B&gt;= A32 ,GRAFICO!B:B &lt; A33))
"),57.106369466746834)</f>
        <v>57.10636947</v>
      </c>
      <c r="D32" s="463">
        <f t="shared" si="1"/>
        <v>571</v>
      </c>
      <c r="F32" s="472"/>
      <c r="G32" s="200"/>
      <c r="J32" s="470">
        <v>45628.0</v>
      </c>
      <c r="K32" s="466">
        <f>SUMIF(GRAFICO!A:A,J32,GRAFICO!B:B)</f>
        <v>14648.91113</v>
      </c>
      <c r="L32" s="467">
        <f t="shared" si="2"/>
        <v>0.3717116744</v>
      </c>
      <c r="M32" s="468">
        <v>45993.0</v>
      </c>
      <c r="N32" s="469">
        <f>IF(SUMIF(GRAFICO!A:A,M32,GRAFICO!B:B)=0,"",SUMIF(GRAFICO!A:A,M32,GRAFICO!B:B))</f>
        <v>21280.65119</v>
      </c>
      <c r="O32" s="467">
        <f t="shared" si="3"/>
        <v>0.42472499</v>
      </c>
      <c r="P32" s="465">
        <v>46358.0</v>
      </c>
      <c r="Q32" s="463" t="str">
        <f>IF(SUMIF(GRAFICO!A:A,P32,GRAFICO!B:B)=0,"",SUMIF(GRAFICO!A:A,P32,GRAFICO!B:B))</f>
        <v/>
      </c>
      <c r="R32" s="463" t="str">
        <f t="shared" si="4"/>
        <v/>
      </c>
      <c r="S32" s="471">
        <f>CUENTAS!A21</f>
        <v>46081</v>
      </c>
      <c r="Y32" s="459">
        <f>IF(CUENTAS!G21/CUENTAS!$AB21&lt;&gt;0,CUENTAS!G21/CUENTAS!$AB21,"")</f>
        <v>0.1022226786</v>
      </c>
      <c r="Z32" s="459">
        <f>IF(CUENTAS!H21/CUENTAS!$AB21&lt;&gt;0,CUENTAS!H21/CUENTAS!$AB21,"")</f>
        <v>0.02505682063</v>
      </c>
      <c r="AA32" s="459">
        <f>IF(CUENTAS!I21/CUENTAS!$AB21&lt;&gt;0,CUENTAS!I21/CUENTAS!$AB21,"")</f>
        <v>0.01403764467</v>
      </c>
      <c r="AB32" s="459">
        <f>IF(CUENTAS!J21/CUENTAS!$AB21&lt;&gt;0,CUENTAS!J21/CUENTAS!$AB21,"")</f>
        <v>0.1353309556</v>
      </c>
      <c r="AC32" s="459" t="str">
        <f>IF(CUENTAS!K21/CUENTAS!$AB21&lt;&gt;0,CUENTAS!K21/CUENTAS!$AB21,"")</f>
        <v/>
      </c>
      <c r="AD32" s="459">
        <f>IF(CUENTAS!L21/CUENTAS!$AB21&lt;&gt;0,CUENTAS!L21/CUENTAS!$AB21,"")</f>
        <v>0.004996948436</v>
      </c>
      <c r="AE32" s="459">
        <f>IF(CUENTAS!M21/CUENTAS!$AB21&lt;&gt;0,CUENTAS!M21/CUENTAS!$AB21,"")</f>
        <v>0.03731898199</v>
      </c>
      <c r="AF32" s="459">
        <f>IF(CUENTAS!N21/CUENTAS!$AB21&lt;&gt;0,CUENTAS!N21/CUENTAS!$AB21,"")</f>
        <v>0.09056288708</v>
      </c>
      <c r="AG32" s="459">
        <f>IF(CUENTAS!O21/CUENTAS!$AB21&lt;&gt;0,CUENTAS!O21/CUENTAS!$AB21,"")</f>
        <v>0.02879460278</v>
      </c>
      <c r="AH32" s="459">
        <f>IF(CUENTAS!P21/CUENTAS!$AB21&lt;&gt;0,CUENTAS!P21/CUENTAS!$AB21,"")</f>
        <v>0.04265867078</v>
      </c>
      <c r="AI32" s="459">
        <f>IF(CUENTAS!R21/CUENTAS!$AB21&lt;&gt;0,CUENTAS!R21/CUENTAS!$AB21,"")</f>
        <v>0.06437263293</v>
      </c>
      <c r="AJ32" s="459" t="str">
        <f>IF(CUENTAS!B21/CUENTAS!$AB21&lt;&gt;0,CUENTAS!B21/CUENTAS!$AB21,"")</f>
        <v/>
      </c>
      <c r="AK32" s="459">
        <f>IF(CUENTAS!S21/CUENTAS!$AB21&lt;&gt;0,CUENTAS!S21/CUENTAS!$AB21,"")</f>
        <v>0.02102040669</v>
      </c>
      <c r="AL32" s="459">
        <f>IF(CUENTAS!T21/CUENTAS!$AB21&lt;&gt;0,CUENTAS!T21/CUENTAS!$AB21,"")</f>
        <v>0.1073253543</v>
      </c>
      <c r="AM32" s="459">
        <f>IF(CUENTAS!U21/CUENTAS!$AB21&lt;&gt;0,CUENTAS!U21/CUENTAS!$AB21,"")</f>
        <v>0.04946162821</v>
      </c>
      <c r="AN32" s="459">
        <f>IF(CUENTAS!V21/CUENTAS!$AB21&lt;&gt;0,CUENTAS!V21/CUENTAS!$AB21,"")</f>
        <v>0.135479196</v>
      </c>
      <c r="AO32" s="459">
        <f>IF(CUENTAS!W21/CUENTAS!$AB21&lt;&gt;0,CUENTAS!W21/CUENTAS!$AB21,"")</f>
        <v>0.0373538812</v>
      </c>
      <c r="AP32" s="459">
        <f>IF(CUENTAS!X21/CUENTAS!$AB21&lt;&gt;0,CUENTAS!X21/CUENTAS!$AB21,"")</f>
        <v>0.04139691154</v>
      </c>
      <c r="AQ32" s="459">
        <f>IF(CUENTAS!Y21/CUENTAS!$AB21&lt;&gt;0,CUENTAS!Y21/CUENTAS!$AB21,"")</f>
        <v>0.1109030639</v>
      </c>
      <c r="AR32" s="459">
        <f>IF(CUENTAS!AA21/CUENTAS!$AB21&lt;&gt;0,CUENTAS!AA21/CUENTAS!$AB21,"")</f>
        <v>0.06844509442</v>
      </c>
    </row>
    <row r="33">
      <c r="A33" s="460">
        <v>17500.0</v>
      </c>
      <c r="B33" s="461">
        <v>27.0</v>
      </c>
      <c r="C33" s="462">
        <f>IFERROR(__xludf.DUMMYFUNCTION("STDEVP(FILTER(GRAFICO!B:B, GRAFICO!B:B&gt;= A33 ,GRAFICO!B:B &lt; A34))
"),75.89907535522309)</f>
        <v>75.89907536</v>
      </c>
      <c r="D33" s="463">
        <f t="shared" si="1"/>
        <v>598</v>
      </c>
      <c r="F33" s="472"/>
      <c r="G33" s="200"/>
      <c r="J33" s="465">
        <v>45627.0</v>
      </c>
      <c r="K33" s="466">
        <f>SUMIF(GRAFICO!A:A,J33,GRAFICO!B:B)</f>
        <v>14633.8782</v>
      </c>
      <c r="L33" s="467">
        <f t="shared" si="2"/>
        <v>0.3706849328</v>
      </c>
      <c r="M33" s="468">
        <v>45992.0</v>
      </c>
      <c r="N33" s="469">
        <f>IF(SUMIF(GRAFICO!A:A,M33,GRAFICO!B:B)=0,"",SUMIF(GRAFICO!A:A,M33,GRAFICO!B:B))</f>
        <v>21108.33631</v>
      </c>
      <c r="O33" s="467">
        <f t="shared" si="3"/>
        <v>0.4165947732</v>
      </c>
      <c r="P33" s="468">
        <v>46357.0</v>
      </c>
      <c r="Q33" s="463" t="str">
        <f>IF(SUMIF(GRAFICO!A:A,P33,GRAFICO!B:B)=0,"",SUMIF(GRAFICO!A:A,P33,GRAFICO!B:B))</f>
        <v/>
      </c>
      <c r="R33" s="463" t="str">
        <f t="shared" si="4"/>
        <v/>
      </c>
      <c r="S33" s="471">
        <f>CUENTAS!A22</f>
        <v>46080</v>
      </c>
      <c r="Y33" s="459">
        <f>IF(CUENTAS!G22/CUENTAS!$AB22&lt;&gt;0,CUENTAS!G22/CUENTAS!$AB22,"")</f>
        <v>0.102183816</v>
      </c>
      <c r="Z33" s="459">
        <f>IF(CUENTAS!H22/CUENTAS!$AB22&lt;&gt;0,CUENTAS!H22/CUENTAS!$AB22,"")</f>
        <v>0.02504729462</v>
      </c>
      <c r="AA33" s="459">
        <f>IF(CUENTAS!I22/CUENTAS!$AB22&lt;&gt;0,CUENTAS!I22/CUENTAS!$AB22,"")</f>
        <v>0.01403230789</v>
      </c>
      <c r="AB33" s="459">
        <f>IF(CUENTAS!J22/CUENTAS!$AB22&lt;&gt;0,CUENTAS!J22/CUENTAS!$AB22,"")</f>
        <v>0.135279506</v>
      </c>
      <c r="AC33" s="459" t="str">
        <f>IF(CUENTAS!K22/CUENTAS!$AB22&lt;&gt;0,CUENTAS!K22/CUENTAS!$AB22,"")</f>
        <v/>
      </c>
      <c r="AD33" s="459">
        <f>IF(CUENTAS!L22/CUENTAS!$AB22&lt;&gt;0,CUENTAS!L22/CUENTAS!$AB22,"")</f>
        <v>0.004995048715</v>
      </c>
      <c r="AE33" s="459">
        <f>IF(CUENTAS!M22/CUENTAS!$AB22&lt;&gt;0,CUENTAS!M22/CUENTAS!$AB22,"")</f>
        <v>0.0373047942</v>
      </c>
      <c r="AF33" s="459">
        <f>IF(CUENTAS!N22/CUENTAS!$AB22&lt;&gt;0,CUENTAS!N22/CUENTAS!$AB22,"")</f>
        <v>0.09052845723</v>
      </c>
      <c r="AG33" s="459">
        <f>IF(CUENTAS!O22/CUENTAS!$AB22&lt;&gt;0,CUENTAS!O22/CUENTAS!$AB22,"")</f>
        <v>0.02878365576</v>
      </c>
      <c r="AH33" s="459">
        <f>IF(CUENTAS!P22/CUENTAS!$AB22&lt;&gt;0,CUENTAS!P22/CUENTAS!$AB22,"")</f>
        <v>0.04264245297</v>
      </c>
      <c r="AI33" s="459">
        <f>IF(CUENTAS!R22/CUENTAS!$AB22&lt;&gt;0,CUENTAS!R22/CUENTAS!$AB22,"")</f>
        <v>0.06491434884</v>
      </c>
      <c r="AJ33" s="459" t="str">
        <f>IF(CUENTAS!B22/CUENTAS!$AB22&lt;&gt;0,CUENTAS!B22/CUENTAS!$AB22,"")</f>
        <v/>
      </c>
      <c r="AK33" s="459">
        <f>IF(CUENTAS!S22/CUENTAS!$AB22&lt;&gt;0,CUENTAS!S22/CUENTAS!$AB22,"")</f>
        <v>0.02098014492</v>
      </c>
      <c r="AL33" s="459">
        <f>IF(CUENTAS!T22/CUENTAS!$AB22&lt;&gt;0,CUENTAS!T22/CUENTAS!$AB22,"")</f>
        <v>0.1071426554</v>
      </c>
      <c r="AM33" s="459">
        <f>IF(CUENTAS!U22/CUENTAS!$AB22&lt;&gt;0,CUENTAS!U22/CUENTAS!$AB22,"")</f>
        <v>0.04944282408</v>
      </c>
      <c r="AN33" s="459">
        <f>IF(CUENTAS!V22/CUENTAS!$AB22&lt;&gt;0,CUENTAS!V22/CUENTAS!$AB22,"")</f>
        <v>0.13540061</v>
      </c>
      <c r="AO33" s="459">
        <f>IF(CUENTAS!W22/CUENTAS!$AB22&lt;&gt;0,CUENTAS!W22/CUENTAS!$AB22,"")</f>
        <v>0.03732435092</v>
      </c>
      <c r="AP33" s="459">
        <f>IF(CUENTAS!X22/CUENTAS!$AB22&lt;&gt;0,CUENTAS!X22/CUENTAS!$AB22,"")</f>
        <v>0.04131752799</v>
      </c>
      <c r="AQ33" s="459">
        <f>IF(CUENTAS!Y22/CUENTAS!$AB22&lt;&gt;0,CUENTAS!Y22/CUENTAS!$AB22,"")</f>
        <v>0.1107816535</v>
      </c>
      <c r="AR33" s="459">
        <f>IF(CUENTAS!AA22/CUENTAS!$AB22&lt;&gt;0,CUENTAS!AA22/CUENTAS!$AB22,"")</f>
        <v>0.06841907323</v>
      </c>
    </row>
    <row r="34">
      <c r="A34" s="460">
        <v>17750.0</v>
      </c>
      <c r="B34" s="461">
        <v>12.0</v>
      </c>
      <c r="C34" s="462" t="str">
        <f>IFERROR(__xludf.DUMMYFUNCTION("STDEVP(FILTER(GRAFICO!B:B, GRAFICO!B:B&gt;= A34 ,GRAFICO!B:B &lt; A35))
"),"#N/A")</f>
        <v>#N/A</v>
      </c>
      <c r="D34" s="463">
        <f t="shared" si="1"/>
        <v>610</v>
      </c>
      <c r="F34" s="472"/>
      <c r="G34" s="200"/>
      <c r="J34" s="465">
        <v>45626.0</v>
      </c>
      <c r="K34" s="466">
        <f>SUMIF(GRAFICO!A:A,J34,GRAFICO!B:B)</f>
        <v>14624.72199</v>
      </c>
      <c r="L34" s="467">
        <f t="shared" si="2"/>
        <v>0.3700590509</v>
      </c>
      <c r="M34" s="468">
        <v>45991.0</v>
      </c>
      <c r="N34" s="469">
        <f>IF(SUMIF(GRAFICO!A:A,M34,GRAFICO!B:B)=0,"",SUMIF(GRAFICO!A:A,M34,GRAFICO!B:B))</f>
        <v>20979.43078</v>
      </c>
      <c r="O34" s="467">
        <f t="shared" si="3"/>
        <v>0.4104691959</v>
      </c>
      <c r="P34" s="465">
        <v>46356.0</v>
      </c>
      <c r="Q34" s="463" t="str">
        <f>IF(SUMIF(GRAFICO!A:A,P34,GRAFICO!B:B)=0,"",SUMIF(GRAFICO!A:A,P34,GRAFICO!B:B))</f>
        <v/>
      </c>
      <c r="R34" s="463" t="str">
        <f t="shared" si="4"/>
        <v/>
      </c>
      <c r="S34" s="471">
        <f>CUENTAS!A23</f>
        <v>46079</v>
      </c>
      <c r="Y34" s="459">
        <f>IF(CUENTAS!G23/CUENTAS!$AB23&lt;&gt;0,CUENTAS!G23/CUENTAS!$AB23,"")</f>
        <v>0.09970155958</v>
      </c>
      <c r="Z34" s="459">
        <f>IF(CUENTAS!H23/CUENTAS!$AB23&lt;&gt;0,CUENTAS!H23/CUENTAS!$AB23,"")</f>
        <v>0.02479452988</v>
      </c>
      <c r="AA34" s="459">
        <f>IF(CUENTAS!I23/CUENTAS!$AB23&lt;&gt;0,CUENTAS!I23/CUENTAS!$AB23,"")</f>
        <v>0.01418073112</v>
      </c>
      <c r="AB34" s="459">
        <f>IF(CUENTAS!J23/CUENTAS!$AB23&lt;&gt;0,CUENTAS!J23/CUENTAS!$AB23,"")</f>
        <v>0.1441852661</v>
      </c>
      <c r="AC34" s="459">
        <f>IF(CUENTAS!K23/CUENTAS!$AB23&lt;&gt;0,CUENTAS!K23/CUENTAS!$AB23,"")</f>
        <v>0.06938118448</v>
      </c>
      <c r="AD34" s="459">
        <f>IF(CUENTAS!L23/CUENTAS!$AB23&lt;&gt;0,CUENTAS!L23/CUENTAS!$AB23,"")</f>
        <v>0.005256150339</v>
      </c>
      <c r="AE34" s="459">
        <f>IF(CUENTAS!M23/CUENTAS!$AB23&lt;&gt;0,CUENTAS!M23/CUENTAS!$AB23,"")</f>
        <v>0.03734186697</v>
      </c>
      <c r="AF34" s="459">
        <f>IF(CUENTAS!N23/CUENTAS!$AB23&lt;&gt;0,CUENTAS!N23/CUENTAS!$AB23,"")</f>
        <v>0.08926900739</v>
      </c>
      <c r="AG34" s="459">
        <f>IF(CUENTAS!O23/CUENTAS!$AB23&lt;&gt;0,CUENTAS!O23/CUENTAS!$AB23,"")</f>
        <v>0.02838321183</v>
      </c>
      <c r="AH34" s="459">
        <f>IF(CUENTAS!P23/CUENTAS!$AB23&lt;&gt;0,CUENTAS!P23/CUENTAS!$AB23,"")</f>
        <v>0.04244069529</v>
      </c>
      <c r="AI34" s="459">
        <f>IF(CUENTAS!R23/CUENTAS!$AB23&lt;&gt;0,CUENTAS!R23/CUENTAS!$AB23,"")</f>
        <v>0.06456955946</v>
      </c>
      <c r="AJ34" s="459" t="str">
        <f>IF(CUENTAS!B23/CUENTAS!$AB23&lt;&gt;0,CUENTAS!B23/CUENTAS!$AB23,"")</f>
        <v/>
      </c>
      <c r="AK34" s="459">
        <f>IF(CUENTAS!S23/CUENTAS!$AB23&lt;&gt;0,CUENTAS!S23/CUENTAS!$AB23,"")</f>
        <v>0.02065644362</v>
      </c>
      <c r="AL34" s="459">
        <f>IF(CUENTAS!T23/CUENTAS!$AB23&lt;&gt;0,CUENTAS!T23/CUENTAS!$AB23,"")</f>
        <v>0.1055121432</v>
      </c>
      <c r="AM34" s="459">
        <f>IF(CUENTAS!U23/CUENTAS!$AB23&lt;&gt;0,CUENTAS!U23/CUENTAS!$AB23,"")</f>
        <v>0.04875496571</v>
      </c>
      <c r="AN34" s="459">
        <f>IF(CUENTAS!V23/CUENTAS!$AB23&lt;&gt;0,CUENTAS!V23/CUENTAS!$AB23,"")</f>
        <v>0.1334901918</v>
      </c>
      <c r="AO34" s="459">
        <f>IF(CUENTAS!W23/CUENTAS!$AB23&lt;&gt;0,CUENTAS!W23/CUENTAS!$AB23,"")</f>
        <v>0.03678997118</v>
      </c>
      <c r="AP34" s="459">
        <f>IF(CUENTAS!X23/CUENTAS!$AB23&lt;&gt;0,CUENTAS!X23/CUENTAS!$AB23,"")</f>
        <v>0.04067995037</v>
      </c>
      <c r="AQ34" s="459">
        <f>IF(CUENTAS!Y23/CUENTAS!$AB23&lt;&gt;0,CUENTAS!Y23/CUENTAS!$AB23,"")</f>
        <v>0.109162292</v>
      </c>
      <c r="AR34" s="459">
        <f>IF(CUENTAS!AA23/CUENTAS!$AB23&lt;&gt;0,CUENTAS!AA23/CUENTAS!$AB23,"")</f>
        <v>-0.000000007249862544</v>
      </c>
    </row>
    <row r="35">
      <c r="A35" s="460">
        <v>18000.0</v>
      </c>
      <c r="B35" s="461">
        <v>0.0</v>
      </c>
      <c r="C35" s="462">
        <f>IFERROR(__xludf.DUMMYFUNCTION("STDEVP(FILTER(GRAFICO!B:B, GRAFICO!B:B&gt;= A35 ,GRAFICO!B:B &lt; A36))
"),28.019639821288784)</f>
        <v>28.01963982</v>
      </c>
      <c r="D35" s="463">
        <f t="shared" si="1"/>
        <v>610</v>
      </c>
      <c r="F35" s="472"/>
      <c r="G35" s="200"/>
      <c r="J35" s="465">
        <v>45625.0</v>
      </c>
      <c r="K35" s="466">
        <f>SUMIF(GRAFICO!A:A,J35,GRAFICO!B:B)</f>
        <v>14613.97795</v>
      </c>
      <c r="L35" s="467">
        <f t="shared" si="2"/>
        <v>0.3693241319</v>
      </c>
      <c r="M35" s="468">
        <v>45990.0</v>
      </c>
      <c r="N35" s="469">
        <f>IF(SUMIF(GRAFICO!A:A,M35,GRAFICO!B:B)=0,"",SUMIF(GRAFICO!A:A,M35,GRAFICO!B:B))</f>
        <v>20973.23716</v>
      </c>
      <c r="O35" s="467">
        <f t="shared" si="3"/>
        <v>0.4101739292</v>
      </c>
      <c r="P35" s="468">
        <v>46355.0</v>
      </c>
      <c r="Q35" s="463" t="str">
        <f>IF(SUMIF(GRAFICO!A:A,P35,GRAFICO!B:B)=0,"",SUMIF(GRAFICO!A:A,P35,GRAFICO!B:B))</f>
        <v/>
      </c>
      <c r="R35" s="463" t="str">
        <f t="shared" si="4"/>
        <v/>
      </c>
      <c r="S35" s="471">
        <f>CUENTAS!A24</f>
        <v>46078</v>
      </c>
      <c r="Y35" s="459">
        <f>IF(CUENTAS!G24/CUENTAS!$AB24&lt;&gt;0,CUENTAS!G24/CUENTAS!$AB24,"")</f>
        <v>0.1005851795</v>
      </c>
      <c r="Z35" s="459">
        <f>IF(CUENTAS!H24/CUENTAS!$AB24&lt;&gt;0,CUENTAS!H24/CUENTAS!$AB24,"")</f>
        <v>0.02616391102</v>
      </c>
      <c r="AA35" s="459">
        <f>IF(CUENTAS!I24/CUENTAS!$AB24&lt;&gt;0,CUENTAS!I24/CUENTAS!$AB24,"")</f>
        <v>0.01469474074</v>
      </c>
      <c r="AB35" s="459">
        <f>IF(CUENTAS!J24/CUENTAS!$AB24&lt;&gt;0,CUENTAS!J24/CUENTAS!$AB24,"")</f>
        <v>0.1494999145</v>
      </c>
      <c r="AC35" s="459">
        <f>IF(CUENTAS!K24/CUENTAS!$AB24&lt;&gt;0,CUENTAS!K24/CUENTAS!$AB24,"")</f>
        <v>0.06795087683</v>
      </c>
      <c r="AD35" s="459">
        <f>IF(CUENTAS!L24/CUENTAS!$AB24&lt;&gt;0,CUENTAS!L24/CUENTAS!$AB24,"")</f>
        <v>0.005184869222</v>
      </c>
      <c r="AE35" s="459">
        <f>IF(CUENTAS!M24/CUENTAS!$AB24&lt;&gt;0,CUENTAS!M24/CUENTAS!$AB24,"")</f>
        <v>0.03912180613</v>
      </c>
      <c r="AF35" s="459">
        <f>IF(CUENTAS!N24/CUENTAS!$AB24&lt;&gt;0,CUENTAS!N24/CUENTAS!$AB24,"")</f>
        <v>0.08832245046</v>
      </c>
      <c r="AG35" s="459">
        <f>IF(CUENTAS!O24/CUENTAS!$AB24&lt;&gt;0,CUENTAS!O24/CUENTAS!$AB24,"")</f>
        <v>0.02780664187</v>
      </c>
      <c r="AH35" s="459">
        <f>IF(CUENTAS!P24/CUENTAS!$AB24&lt;&gt;0,CUENTAS!P24/CUENTAS!$AB24,"")</f>
        <v>0.04119304446</v>
      </c>
      <c r="AI35" s="459">
        <f>IF(CUENTAS!R24/CUENTAS!$AB24&lt;&gt;0,CUENTAS!R24/CUENTAS!$AB24,"")</f>
        <v>0.06405028232</v>
      </c>
      <c r="AJ35" s="459" t="str">
        <f>IF(CUENTAS!B24/CUENTAS!$AB24&lt;&gt;0,CUENTAS!B24/CUENTAS!$AB24,"")</f>
        <v/>
      </c>
      <c r="AK35" s="459">
        <f>IF(CUENTAS!S24/CUENTAS!$AB24&lt;&gt;0,CUENTAS!S24/CUENTAS!$AB24,"")</f>
        <v>0.02028337255</v>
      </c>
      <c r="AL35" s="459">
        <f>IF(CUENTAS!T24/CUENTAS!$AB24&lt;&gt;0,CUENTAS!T24/CUENTAS!$AB24,"")</f>
        <v>0.1036287591</v>
      </c>
      <c r="AM35" s="459">
        <f>IF(CUENTAS!U24/CUENTAS!$AB24&lt;&gt;0,CUENTAS!U24/CUENTAS!$AB24,"")</f>
        <v>0.04794827855</v>
      </c>
      <c r="AN35" s="459">
        <f>IF(CUENTAS!V24/CUENTAS!$AB24&lt;&gt;0,CUENTAS!V24/CUENTAS!$AB24,"")</f>
        <v>0.1312552463</v>
      </c>
      <c r="AO35" s="459">
        <f>IF(CUENTAS!W24/CUENTAS!$AB24&lt;&gt;0,CUENTAS!W24/CUENTAS!$AB24,"")</f>
        <v>0.0361663879</v>
      </c>
      <c r="AP35" s="459">
        <f>IF(CUENTAS!X24/CUENTAS!$AB24&lt;&gt;0,CUENTAS!X24/CUENTAS!$AB24,"")</f>
        <v>0.03994514878</v>
      </c>
      <c r="AQ35" s="459">
        <f>IF(CUENTAS!Y24/CUENTAS!$AB24&lt;&gt;0,CUENTAS!Y24/CUENTAS!$AB24,"")</f>
        <v>0.1072792685</v>
      </c>
      <c r="AR35" s="459">
        <f>IF(CUENTAS!AA24/CUENTAS!$AB24&lt;&gt;0,CUENTAS!AA24/CUENTAS!$AB24,"")</f>
        <v>-0.000000007129908178</v>
      </c>
    </row>
    <row r="36">
      <c r="A36" s="460">
        <v>18250.0</v>
      </c>
      <c r="B36" s="461">
        <v>6.0</v>
      </c>
      <c r="C36" s="462">
        <f>IFERROR(__xludf.DUMMYFUNCTION("STDEVP(FILTER(GRAFICO!B:B, GRAFICO!B:B&gt;= A36 ,GRAFICO!B:B &lt; A37))
"),71.7230843020305)</f>
        <v>71.7230843</v>
      </c>
      <c r="D36" s="463">
        <f t="shared" si="1"/>
        <v>616</v>
      </c>
      <c r="F36" s="472"/>
      <c r="G36" s="200"/>
      <c r="J36" s="470">
        <v>45624.0</v>
      </c>
      <c r="K36" s="466">
        <f>SUMIF(GRAFICO!A:A,J36,GRAFICO!B:B)</f>
        <v>14692.42477</v>
      </c>
      <c r="L36" s="467">
        <f t="shared" si="2"/>
        <v>0.3746777069</v>
      </c>
      <c r="M36" s="468">
        <v>45989.0</v>
      </c>
      <c r="N36" s="469">
        <f>IF(SUMIF(GRAFICO!A:A,M36,GRAFICO!B:B)=0,"",SUMIF(GRAFICO!A:A,M36,GRAFICO!B:B))</f>
        <v>20967.04368</v>
      </c>
      <c r="O36" s="467">
        <f t="shared" si="3"/>
        <v>0.4098785816</v>
      </c>
      <c r="P36" s="465">
        <v>46354.0</v>
      </c>
      <c r="Q36" s="463" t="str">
        <f>IF(SUMIF(GRAFICO!A:A,P36,GRAFICO!B:B)=0,"",SUMIF(GRAFICO!A:A,P36,GRAFICO!B:B))</f>
        <v/>
      </c>
      <c r="R36" s="463" t="str">
        <f t="shared" si="4"/>
        <v/>
      </c>
      <c r="S36" s="471">
        <f>CUENTAS!A25</f>
        <v>46077</v>
      </c>
      <c r="Y36" s="459">
        <f>IF(CUENTAS!G25/CUENTAS!$AB25&lt;&gt;0,CUENTAS!G25/CUENTAS!$AB25,"")</f>
        <v>0.1011861733</v>
      </c>
      <c r="Z36" s="459">
        <f>IF(CUENTAS!H25/CUENTAS!$AB25&lt;&gt;0,CUENTAS!H25/CUENTAS!$AB25,"")</f>
        <v>0.02622508089</v>
      </c>
      <c r="AA36" s="459">
        <f>IF(CUENTAS!I25/CUENTAS!$AB25&lt;&gt;0,CUENTAS!I25/CUENTAS!$AB25,"")</f>
        <v>0.01513610704</v>
      </c>
      <c r="AB36" s="459">
        <f>IF(CUENTAS!J25/CUENTAS!$AB25&lt;&gt;0,CUENTAS!J25/CUENTAS!$AB25,"")</f>
        <v>0.1491649516</v>
      </c>
      <c r="AC36" s="459">
        <f>IF(CUENTAS!K25/CUENTAS!$AB25&lt;&gt;0,CUENTAS!K25/CUENTAS!$AB25,"")</f>
        <v>0.06771889157</v>
      </c>
      <c r="AD36" s="459">
        <f>IF(CUENTAS!L25/CUENTAS!$AB25&lt;&gt;0,CUENTAS!L25/CUENTAS!$AB25,"")</f>
        <v>0.005200808591</v>
      </c>
      <c r="AE36" s="459">
        <f>IF(CUENTAS!M25/CUENTAS!$AB25&lt;&gt;0,CUENTAS!M25/CUENTAS!$AB25,"")</f>
        <v>0.03975474129</v>
      </c>
      <c r="AF36" s="459">
        <f>IF(CUENTAS!N25/CUENTAS!$AB25&lt;&gt;0,CUENTAS!N25/CUENTAS!$AB25,"")</f>
        <v>0.08708894452</v>
      </c>
      <c r="AG36" s="459">
        <f>IF(CUENTAS!O25/CUENTAS!$AB25&lt;&gt;0,CUENTAS!O25/CUENTAS!$AB25,"")</f>
        <v>0.02762974128</v>
      </c>
      <c r="AH36" s="459">
        <f>IF(CUENTAS!P25/CUENTAS!$AB25&lt;&gt;0,CUENTAS!P25/CUENTAS!$AB25,"")</f>
        <v>0.04155513089</v>
      </c>
      <c r="AI36" s="459">
        <f>IF(CUENTAS!R25/CUENTAS!$AB25&lt;&gt;0,CUENTAS!R25/CUENTAS!$AB25,"")</f>
        <v>0.06460250631</v>
      </c>
      <c r="AJ36" s="459" t="str">
        <f>IF(CUENTAS!B25/CUENTAS!$AB25&lt;&gt;0,CUENTAS!B25/CUENTAS!$AB25,"")</f>
        <v/>
      </c>
      <c r="AK36" s="459">
        <f>IF(CUENTAS!S25/CUENTAS!$AB25&lt;&gt;0,CUENTAS!S25/CUENTAS!$AB25,"")</f>
        <v>0.02025306516</v>
      </c>
      <c r="AL36" s="459">
        <f>IF(CUENTAS!T25/CUENTAS!$AB25&lt;&gt;0,CUENTAS!T25/CUENTAS!$AB25,"")</f>
        <v>0.1034961979</v>
      </c>
      <c r="AM36" s="459">
        <f>IF(CUENTAS!U25/CUENTAS!$AB25&lt;&gt;0,CUENTAS!U25/CUENTAS!$AB25,"")</f>
        <v>0.04795061643</v>
      </c>
      <c r="AN36" s="459">
        <f>IF(CUENTAS!V25/CUENTAS!$AB25&lt;&gt;0,CUENTAS!V25/CUENTAS!$AB25,"")</f>
        <v>0.131235399</v>
      </c>
      <c r="AO36" s="459">
        <f>IF(CUENTAS!W25/CUENTAS!$AB25&lt;&gt;0,CUENTAS!W25/CUENTAS!$AB25,"")</f>
        <v>0.03615328473</v>
      </c>
      <c r="AP36" s="459">
        <f>IF(CUENTAS!X25/CUENTAS!$AB25&lt;&gt;0,CUENTAS!X25/CUENTAS!$AB25,"")</f>
        <v>0.03988537186</v>
      </c>
      <c r="AQ36" s="459">
        <f>IF(CUENTAS!Y25/CUENTAS!$AB25&lt;&gt;0,CUENTAS!Y25/CUENTAS!$AB25,"")</f>
        <v>0.1072076433</v>
      </c>
      <c r="AR36" s="459">
        <f>IF(CUENTAS!AA25/CUENTAS!$AB25&lt;&gt;0,CUENTAS!AA25/CUENTAS!$AB25,"")</f>
        <v>-0.000000007130255821</v>
      </c>
    </row>
    <row r="37">
      <c r="A37" s="460">
        <v>18500.0</v>
      </c>
      <c r="B37" s="461">
        <v>15.0</v>
      </c>
      <c r="C37" s="462">
        <f>IFERROR(__xludf.DUMMYFUNCTION("STDEVP(FILTER(GRAFICO!B:B, GRAFICO!B:B&gt;= A37 ,GRAFICO!B:B &lt; A38))
"),45.69337678790479)</f>
        <v>45.69337679</v>
      </c>
      <c r="D37" s="463">
        <f t="shared" si="1"/>
        <v>631</v>
      </c>
      <c r="F37" s="472"/>
      <c r="G37" s="200"/>
      <c r="J37" s="465">
        <v>45623.0</v>
      </c>
      <c r="K37" s="466">
        <f>SUMIF(GRAFICO!A:A,J37,GRAFICO!B:B)</f>
        <v>14606.64715</v>
      </c>
      <c r="L37" s="467">
        <f t="shared" si="2"/>
        <v>0.3688223771</v>
      </c>
      <c r="M37" s="468">
        <v>45988.0</v>
      </c>
      <c r="N37" s="469">
        <f>IF(SUMIF(GRAFICO!A:A,M37,GRAFICO!B:B)=0,"",SUMIF(GRAFICO!A:A,M37,GRAFICO!B:B))</f>
        <v>20825.37681</v>
      </c>
      <c r="O37" s="467">
        <f t="shared" si="3"/>
        <v>0.4030990071</v>
      </c>
      <c r="P37" s="468">
        <v>46353.0</v>
      </c>
      <c r="Q37" s="463" t="str">
        <f>IF(SUMIF(GRAFICO!A:A,P37,GRAFICO!B:B)=0,"",SUMIF(GRAFICO!A:A,P37,GRAFICO!B:B))</f>
        <v/>
      </c>
      <c r="R37" s="463" t="str">
        <f t="shared" si="4"/>
        <v/>
      </c>
      <c r="S37" s="471">
        <f>CUENTAS!A26</f>
        <v>46076</v>
      </c>
      <c r="Y37" s="459">
        <f>IF(CUENTAS!G26/CUENTAS!$AB26&lt;&gt;0,CUENTAS!G26/CUENTAS!$AB26,"")</f>
        <v>0.1036298483</v>
      </c>
      <c r="Z37" s="459">
        <f>IF(CUENTAS!H26/CUENTAS!$AB26&lt;&gt;0,CUENTAS!H26/CUENTAS!$AB26,"")</f>
        <v>0.02567776257</v>
      </c>
      <c r="AA37" s="459">
        <f>IF(CUENTAS!I26/CUENTAS!$AB26&lt;&gt;0,CUENTAS!I26/CUENTAS!$AB26,"")</f>
        <v>0.01607539393</v>
      </c>
      <c r="AB37" s="459">
        <f>IF(CUENTAS!J26/CUENTAS!$AB26&lt;&gt;0,CUENTAS!J26/CUENTAS!$AB26,"")</f>
        <v>0.1451786687</v>
      </c>
      <c r="AC37" s="459">
        <f>IF(CUENTAS!K26/CUENTAS!$AB26&lt;&gt;0,CUENTAS!K26/CUENTAS!$AB26,"")</f>
        <v>0.06790246396</v>
      </c>
      <c r="AD37" s="459">
        <f>IF(CUENTAS!L26/CUENTAS!$AB26&lt;&gt;0,CUENTAS!L26/CUENTAS!$AB26,"")</f>
        <v>0.005229861492</v>
      </c>
      <c r="AE37" s="459">
        <f>IF(CUENTAS!M26/CUENTAS!$AB26&lt;&gt;0,CUENTAS!M26/CUENTAS!$AB26,"")</f>
        <v>0.03962405988</v>
      </c>
      <c r="AF37" s="459">
        <f>IF(CUENTAS!N26/CUENTAS!$AB26&lt;&gt;0,CUENTAS!N26/CUENTAS!$AB26,"")</f>
        <v>0.08761875599</v>
      </c>
      <c r="AG37" s="459">
        <f>IF(CUENTAS!O26/CUENTAS!$AB26&lt;&gt;0,CUENTAS!O26/CUENTAS!$AB26,"")</f>
        <v>0.02686734172</v>
      </c>
      <c r="AH37" s="459">
        <f>IF(CUENTAS!P26/CUENTAS!$AB26&lt;&gt;0,CUENTAS!P26/CUENTAS!$AB26,"")</f>
        <v>0.04108870688</v>
      </c>
      <c r="AI37" s="459">
        <f>IF(CUENTAS!R26/CUENTAS!$AB26&lt;&gt;0,CUENTAS!R26/CUENTAS!$AB26,"")</f>
        <v>0.06528285348</v>
      </c>
      <c r="AJ37" s="459" t="str">
        <f>IF(CUENTAS!B26/CUENTAS!$AB26&lt;&gt;0,CUENTAS!B26/CUENTAS!$AB26,"")</f>
        <v/>
      </c>
      <c r="AK37" s="459">
        <f>IF(CUENTAS!S26/CUENTAS!$AB26&lt;&gt;0,CUENTAS!S26/CUENTAS!$AB26,"")</f>
        <v>0.02026250499</v>
      </c>
      <c r="AL37" s="459">
        <f>IF(CUENTAS!T26/CUENTAS!$AB26&lt;&gt;0,CUENTAS!T26/CUENTAS!$AB26,"")</f>
        <v>0.1035667971</v>
      </c>
      <c r="AM37" s="459">
        <f>IF(CUENTAS!U26/CUENTAS!$AB26&lt;&gt;0,CUENTAS!U26/CUENTAS!$AB26,"")</f>
        <v>0.04804721167</v>
      </c>
      <c r="AN37" s="459">
        <f>IF(CUENTAS!V26/CUENTAS!$AB26&lt;&gt;0,CUENTAS!V26/CUENTAS!$AB26,"")</f>
        <v>0.1314734745</v>
      </c>
      <c r="AO37" s="459">
        <f>IF(CUENTAS!W26/CUENTAS!$AB26&lt;&gt;0,CUENTAS!W26/CUENTAS!$AB26,"")</f>
        <v>0.03621121803</v>
      </c>
      <c r="AP37" s="459">
        <f>IF(CUENTAS!X26/CUENTAS!$AB26&lt;&gt;0,CUENTAS!X26/CUENTAS!$AB26,"")</f>
        <v>0.03990387096</v>
      </c>
      <c r="AQ37" s="459">
        <f>IF(CUENTAS!Y26/CUENTAS!$AB26&lt;&gt;0,CUENTAS!Y26/CUENTAS!$AB26,"")</f>
        <v>0.1073465995</v>
      </c>
      <c r="AR37" s="459">
        <f>IF(CUENTAS!AA26/CUENTAS!$AB26&lt;&gt;0,CUENTAS!AA26/CUENTAS!$AB26,"")</f>
        <v>-0.000000007144619531</v>
      </c>
    </row>
    <row r="38">
      <c r="A38" s="460">
        <v>18750.0</v>
      </c>
      <c r="B38" s="461">
        <v>3.0</v>
      </c>
      <c r="C38" s="462">
        <f>IFERROR(__xludf.DUMMYFUNCTION("STDEVP(FILTER(GRAFICO!B:B, GRAFICO!B:B&gt;= A38 ,GRAFICO!B:B &lt; A39))
"),65.02955797362124)</f>
        <v>65.02955797</v>
      </c>
      <c r="D38" s="463">
        <f t="shared" si="1"/>
        <v>634</v>
      </c>
      <c r="F38" s="472"/>
      <c r="G38" s="200"/>
      <c r="J38" s="470">
        <v>45622.0</v>
      </c>
      <c r="K38" s="466">
        <f>SUMIF(GRAFICO!A:A,J38,GRAFICO!B:B)</f>
        <v>14568.65035</v>
      </c>
      <c r="L38" s="467">
        <f t="shared" si="2"/>
        <v>0.3662176515</v>
      </c>
      <c r="M38" s="468">
        <v>45987.0</v>
      </c>
      <c r="N38" s="469">
        <f>IF(SUMIF(GRAFICO!A:A,M38,GRAFICO!B:B)=0,"",SUMIF(GRAFICO!A:A,M38,GRAFICO!B:B))</f>
        <v>20824.77447</v>
      </c>
      <c r="O38" s="467">
        <f t="shared" si="3"/>
        <v>0.4030700835</v>
      </c>
      <c r="P38" s="465">
        <v>46352.0</v>
      </c>
      <c r="Q38" s="463" t="str">
        <f>IF(SUMIF(GRAFICO!A:A,P38,GRAFICO!B:B)=0,"",SUMIF(GRAFICO!A:A,P38,GRAFICO!B:B))</f>
        <v/>
      </c>
      <c r="R38" s="463" t="str">
        <f t="shared" si="4"/>
        <v/>
      </c>
      <c r="S38" s="471">
        <f>CUENTAS!A27</f>
        <v>46075</v>
      </c>
      <c r="Y38" s="459">
        <f>IF(CUENTAS!G27/CUENTAS!$AB27&lt;&gt;0,CUENTAS!G27/CUENTAS!$AB27,"")</f>
        <v>0.1030932697</v>
      </c>
      <c r="Z38" s="459">
        <f>IF(CUENTAS!H27/CUENTAS!$AB27&lt;&gt;0,CUENTAS!H27/CUENTAS!$AB27,"")</f>
        <v>0.02759468745</v>
      </c>
      <c r="AA38" s="459">
        <f>IF(CUENTAS!I27/CUENTAS!$AB27&lt;&gt;0,CUENTAS!I27/CUENTAS!$AB27,"")</f>
        <v>0.01582010245</v>
      </c>
      <c r="AB38" s="459">
        <f>IF(CUENTAS!J27/CUENTAS!$AB27&lt;&gt;0,CUENTAS!J27/CUENTAS!$AB27,"")</f>
        <v>0.1497267301</v>
      </c>
      <c r="AC38" s="459">
        <f>IF(CUENTAS!K27/CUENTAS!$AB27&lt;&gt;0,CUENTAS!K27/CUENTAS!$AB27,"")</f>
        <v>0.06417468209</v>
      </c>
      <c r="AD38" s="459">
        <f>IF(CUENTAS!L27/CUENTAS!$AB27&lt;&gt;0,CUENTAS!L27/CUENTAS!$AB27,"")</f>
        <v>0.005145614301</v>
      </c>
      <c r="AE38" s="459">
        <f>IF(CUENTAS!M27/CUENTAS!$AB27&lt;&gt;0,CUENTAS!M27/CUENTAS!$AB27,"")</f>
        <v>0.04019966814</v>
      </c>
      <c r="AF38" s="459">
        <f>IF(CUENTAS!N27/CUENTAS!$AB27&lt;&gt;0,CUENTAS!N27/CUENTAS!$AB27,"")</f>
        <v>0.08615958534</v>
      </c>
      <c r="AG38" s="459">
        <f>IF(CUENTAS!O27/CUENTAS!$AB27&lt;&gt;0,CUENTAS!O27/CUENTAS!$AB27,"")</f>
        <v>0.0273980895</v>
      </c>
      <c r="AH38" s="459">
        <f>IF(CUENTAS!P27/CUENTAS!$AB27&lt;&gt;0,CUENTAS!P27/CUENTAS!$AB27,"")</f>
        <v>0.04302798166</v>
      </c>
      <c r="AI38" s="459">
        <f>IF(CUENTAS!R27/CUENTAS!$AB27&lt;&gt;0,CUENTAS!R27/CUENTAS!$AB27,"")</f>
        <v>0.0653979543</v>
      </c>
      <c r="AJ38" s="459" t="str">
        <f>IF(CUENTAS!B27/CUENTAS!$AB27&lt;&gt;0,CUENTAS!B27/CUENTAS!$AB27,"")</f>
        <v/>
      </c>
      <c r="AK38" s="459">
        <f>IF(CUENTAS!S27/CUENTAS!$AB27&lt;&gt;0,CUENTAS!S27/CUENTAS!$AB27,"")</f>
        <v>0.02009743312</v>
      </c>
      <c r="AL38" s="459">
        <f>IF(CUENTAS!T27/CUENTAS!$AB27&lt;&gt;0,CUENTAS!T27/CUENTAS!$AB27,"")</f>
        <v>0.1027453197</v>
      </c>
      <c r="AM38" s="459">
        <f>IF(CUENTAS!U27/CUENTAS!$AB27&lt;&gt;0,CUENTAS!U27/CUENTAS!$AB27,"")</f>
        <v>0.04772965623</v>
      </c>
      <c r="AN38" s="459">
        <f>IF(CUENTAS!V27/CUENTAS!$AB27&lt;&gt;0,CUENTAS!V27/CUENTAS!$AB27,"")</f>
        <v>0.1335330435</v>
      </c>
      <c r="AO38" s="459">
        <f>IF(CUENTAS!W27/CUENTAS!$AB27&lt;&gt;0,CUENTAS!W27/CUENTAS!$AB27,"")</f>
        <v>0.03595673654</v>
      </c>
      <c r="AP38" s="459">
        <f>IF(CUENTAS!X27/CUENTAS!$AB27&lt;&gt;0,CUENTAS!X27/CUENTAS!$AB27,"")</f>
        <v>0.03957869665</v>
      </c>
      <c r="AQ38" s="459">
        <f>IF(CUENTAS!Y27/CUENTAS!$AB27&lt;&gt;0,CUENTAS!Y27/CUENTAS!$AB27,"")</f>
        <v>0.09009156321</v>
      </c>
      <c r="AR38" s="459">
        <f>IF(CUENTAS!AA27/CUENTAS!$AB27&lt;&gt;0,CUENTAS!AA27/CUENTAS!$AB27,"")</f>
        <v>0.01343976967</v>
      </c>
    </row>
    <row r="39">
      <c r="A39" s="460">
        <v>19000.0</v>
      </c>
      <c r="B39" s="461">
        <v>6.0</v>
      </c>
      <c r="C39" s="462">
        <f>IFERROR(__xludf.DUMMYFUNCTION("STDEVP(FILTER(GRAFICO!B:B, GRAFICO!B:B&gt;= A39 ,GRAFICO!B:B &lt; A40))
"),83.94294170467687)</f>
        <v>83.9429417</v>
      </c>
      <c r="D39" s="463">
        <f t="shared" si="1"/>
        <v>640</v>
      </c>
      <c r="F39" s="472"/>
      <c r="G39" s="200"/>
      <c r="J39" s="470">
        <v>45621.0</v>
      </c>
      <c r="K39" s="466">
        <f>SUMIF(GRAFICO!A:A,J39,GRAFICO!B:B)</f>
        <v>14608.87252</v>
      </c>
      <c r="L39" s="467">
        <f t="shared" si="2"/>
        <v>0.3689747187</v>
      </c>
      <c r="M39" s="468">
        <v>45986.0</v>
      </c>
      <c r="N39" s="469">
        <f>IF(SUMIF(GRAFICO!A:A,M39,GRAFICO!B:B)=0,"",SUMIF(GRAFICO!A:A,M39,GRAFICO!B:B))</f>
        <v>20792.36833</v>
      </c>
      <c r="O39" s="467">
        <f t="shared" si="3"/>
        <v>0.4015127374</v>
      </c>
      <c r="P39" s="468">
        <v>46351.0</v>
      </c>
      <c r="Q39" s="463" t="str">
        <f>IF(SUMIF(GRAFICO!A:A,P39,GRAFICO!B:B)=0,"",SUMIF(GRAFICO!A:A,P39,GRAFICO!B:B))</f>
        <v/>
      </c>
      <c r="R39" s="463" t="str">
        <f t="shared" si="4"/>
        <v/>
      </c>
      <c r="S39" s="471">
        <f>CUENTAS!A28</f>
        <v>46074</v>
      </c>
      <c r="Y39" s="459">
        <f>IF(CUENTAS!G28/CUENTAS!$AB28&lt;&gt;0,CUENTAS!G28/CUENTAS!$AB28,"")</f>
        <v>0.1030752034</v>
      </c>
      <c r="Z39" s="459">
        <f>IF(CUENTAS!H28/CUENTAS!$AB28&lt;&gt;0,CUENTAS!H28/CUENTAS!$AB28,"")</f>
        <v>0.02758985169</v>
      </c>
      <c r="AA39" s="459">
        <f>IF(CUENTAS!I28/CUENTAS!$AB28&lt;&gt;0,CUENTAS!I28/CUENTAS!$AB28,"")</f>
        <v>0.0158173301</v>
      </c>
      <c r="AB39" s="459">
        <f>IF(CUENTAS!J28/CUENTAS!$AB28&lt;&gt;0,CUENTAS!J28/CUENTAS!$AB28,"")</f>
        <v>0.1497004916</v>
      </c>
      <c r="AC39" s="459">
        <f>IF(CUENTAS!K28/CUENTAS!$AB28&lt;&gt;0,CUENTAS!K28/CUENTAS!$AB28,"")</f>
        <v>0.06416343595</v>
      </c>
      <c r="AD39" s="459">
        <f>IF(CUENTAS!L28/CUENTAS!$AB28&lt;&gt;0,CUENTAS!L28/CUENTAS!$AB28,"")</f>
        <v>0.005144712571</v>
      </c>
      <c r="AE39" s="459">
        <f>IF(CUENTAS!M28/CUENTAS!$AB28&lt;&gt;0,CUENTAS!M28/CUENTAS!$AB28,"")</f>
        <v>0.04019262345</v>
      </c>
      <c r="AF39" s="459">
        <f>IF(CUENTAS!N28/CUENTAS!$AB28&lt;&gt;0,CUENTAS!N28/CUENTAS!$AB28,"")</f>
        <v>0.08614448652</v>
      </c>
      <c r="AG39" s="459">
        <f>IF(CUENTAS!O28/CUENTAS!$AB28&lt;&gt;0,CUENTAS!O28/CUENTAS!$AB28,"")</f>
        <v>0.02739328819</v>
      </c>
      <c r="AH39" s="459">
        <f>IF(CUENTAS!P28/CUENTAS!$AB28&lt;&gt;0,CUENTAS!P28/CUENTAS!$AB28,"")</f>
        <v>0.04302044132</v>
      </c>
      <c r="AI39" s="459">
        <f>IF(CUENTAS!R28/CUENTAS!$AB28&lt;&gt;0,CUENTAS!R28/CUENTAS!$AB28,"")</f>
        <v>0.06593296871</v>
      </c>
      <c r="AJ39" s="459" t="str">
        <f>IF(CUENTAS!B28/CUENTAS!$AB28&lt;&gt;0,CUENTAS!B28/CUENTAS!$AB28,"")</f>
        <v/>
      </c>
      <c r="AK39" s="459">
        <f>IF(CUENTAS!S28/CUENTAS!$AB28&lt;&gt;0,CUENTAS!S28/CUENTAS!$AB28,"")</f>
        <v>0.02714827552</v>
      </c>
      <c r="AL39" s="459">
        <f>IF(CUENTAS!T28/CUENTAS!$AB28&lt;&gt;0,CUENTAS!T28/CUENTAS!$AB28,"")</f>
        <v>0.1025903586</v>
      </c>
      <c r="AM39" s="459">
        <f>IF(CUENTAS!U28/CUENTAS!$AB28&lt;&gt;0,CUENTAS!U28/CUENTAS!$AB28,"")</f>
        <v>0.04772129197</v>
      </c>
      <c r="AN39" s="459">
        <f>IF(CUENTAS!V28/CUENTAS!$AB28&lt;&gt;0,CUENTAS!V28/CUENTAS!$AB28,"")</f>
        <v>0.1334829462</v>
      </c>
      <c r="AO39" s="459">
        <f>IF(CUENTAS!W28/CUENTAS!$AB28&lt;&gt;0,CUENTAS!W28/CUENTAS!$AB28,"")</f>
        <v>0.0359352851</v>
      </c>
      <c r="AP39" s="459">
        <f>IF(CUENTAS!X28/CUENTAS!$AB28&lt;&gt;0,CUENTAS!X28/CUENTAS!$AB28,"")</f>
        <v>0.0395103314</v>
      </c>
      <c r="AQ39" s="459">
        <f>IF(CUENTAS!Y28/CUENTAS!$AB28&lt;&gt;0,CUENTAS!Y28/CUENTAS!$AB28,"")</f>
        <v>0.0900284855</v>
      </c>
      <c r="AR39" s="459">
        <f>IF(CUENTAS!AA28/CUENTAS!$AB28&lt;&gt;0,CUENTAS!AA28/CUENTAS!$AB28,"")</f>
        <v>0.006341259176</v>
      </c>
    </row>
    <row r="40">
      <c r="A40" s="460">
        <v>19250.0</v>
      </c>
      <c r="B40" s="461">
        <v>21.0</v>
      </c>
      <c r="C40" s="462">
        <f>IFERROR(__xludf.DUMMYFUNCTION("STDEVP(FILTER(GRAFICO!B:B, GRAFICO!B:B&gt;= A40 ,GRAFICO!B:B &lt; A41))
"),65.16655345293181)</f>
        <v>65.16655345</v>
      </c>
      <c r="D40" s="463">
        <f t="shared" si="1"/>
        <v>661</v>
      </c>
      <c r="F40" s="472"/>
      <c r="G40" s="200"/>
      <c r="J40" s="470">
        <v>45620.0</v>
      </c>
      <c r="K40" s="466">
        <f>SUMIF(GRAFICO!A:A,J40,GRAFICO!B:B)</f>
        <v>14623.61159</v>
      </c>
      <c r="L40" s="467">
        <f t="shared" si="2"/>
        <v>0.369983122</v>
      </c>
      <c r="M40" s="468">
        <v>45985.0</v>
      </c>
      <c r="N40" s="469">
        <f>IF(SUMIF(GRAFICO!A:A,M40,GRAFICO!B:B)=0,"",SUMIF(GRAFICO!A:A,M40,GRAFICO!B:B))</f>
        <v>20540.13075</v>
      </c>
      <c r="O40" s="467">
        <f t="shared" si="3"/>
        <v>0.3893072952</v>
      </c>
      <c r="P40" s="465">
        <v>46350.0</v>
      </c>
      <c r="Q40" s="463" t="str">
        <f>IF(SUMIF(GRAFICO!A:A,P40,GRAFICO!B:B)=0,"",SUMIF(GRAFICO!A:A,P40,GRAFICO!B:B))</f>
        <v/>
      </c>
      <c r="R40" s="463" t="str">
        <f t="shared" si="4"/>
        <v/>
      </c>
      <c r="S40" s="471">
        <f>CUENTAS!A29</f>
        <v>46073</v>
      </c>
      <c r="Y40" s="459">
        <f>IF(CUENTAS!G29/CUENTAS!$AB29&lt;&gt;0,CUENTAS!G29/CUENTAS!$AB29,"")</f>
        <v>0.1030571428</v>
      </c>
      <c r="Z40" s="459">
        <f>IF(CUENTAS!H29/CUENTAS!$AB29&lt;&gt;0,CUENTAS!H29/CUENTAS!$AB29,"")</f>
        <v>0.02758501747</v>
      </c>
      <c r="AA40" s="459">
        <f>IF(CUENTAS!I29/CUENTAS!$AB29&lt;&gt;0,CUENTAS!I29/CUENTAS!$AB29,"")</f>
        <v>0.01581455863</v>
      </c>
      <c r="AB40" s="459">
        <f>IF(CUENTAS!J29/CUENTAS!$AB29&lt;&gt;0,CUENTAS!J29/CUENTAS!$AB29,"")</f>
        <v>0.1496742615</v>
      </c>
      <c r="AC40" s="459">
        <f>IF(CUENTAS!K29/CUENTAS!$AB29&lt;&gt;0,CUENTAS!K29/CUENTAS!$AB29,"")</f>
        <v>0.06415219342</v>
      </c>
      <c r="AD40" s="459">
        <f>IF(CUENTAS!L29/CUENTAS!$AB29&lt;&gt;0,CUENTAS!L29/CUENTAS!$AB29,"")</f>
        <v>0.005143811129</v>
      </c>
      <c r="AE40" s="459">
        <f>IF(CUENTAS!M29/CUENTAS!$AB29&lt;&gt;0,CUENTAS!M29/CUENTAS!$AB29,"")</f>
        <v>0.04018558101</v>
      </c>
      <c r="AF40" s="459">
        <f>IF(CUENTAS!N29/CUENTAS!$AB29&lt;&gt;0,CUENTAS!N29/CUENTAS!$AB29,"")</f>
        <v>0.08612939252</v>
      </c>
      <c r="AG40" s="459">
        <f>IF(CUENTAS!O29/CUENTAS!$AB29&lt;&gt;0,CUENTAS!O29/CUENTAS!$AB29,"")</f>
        <v>0.02738848841</v>
      </c>
      <c r="AH40" s="459">
        <f>IF(CUENTAS!P29/CUENTAS!$AB29&lt;&gt;0,CUENTAS!P29/CUENTAS!$AB29,"")</f>
        <v>0.04301290341</v>
      </c>
      <c r="AI40" s="459">
        <f>IF(CUENTAS!R29/CUENTAS!$AB29&lt;&gt;0,CUENTAS!R29/CUENTAS!$AB29,"")</f>
        <v>0.06646779529</v>
      </c>
      <c r="AJ40" s="459" t="str">
        <f>IF(CUENTAS!B29/CUENTAS!$AB29&lt;&gt;0,CUENTAS!B29/CUENTAS!$AB29,"")</f>
        <v/>
      </c>
      <c r="AK40" s="459">
        <f>IF(CUENTAS!S29/CUENTAS!$AB29&lt;&gt;0,CUENTAS!S29/CUENTAS!$AB29,"")</f>
        <v>0.02710173507</v>
      </c>
      <c r="AL40" s="459">
        <f>IF(CUENTAS!T29/CUENTAS!$AB29&lt;&gt;0,CUENTAS!T29/CUENTAS!$AB29,"")</f>
        <v>0.1024354512</v>
      </c>
      <c r="AM40" s="459">
        <f>IF(CUENTAS!U29/CUENTAS!$AB29&lt;&gt;0,CUENTAS!U29/CUENTAS!$AB29,"")</f>
        <v>0.04771293038</v>
      </c>
      <c r="AN40" s="459">
        <f>IF(CUENTAS!V29/CUENTAS!$AB29&lt;&gt;0,CUENTAS!V29/CUENTAS!$AB29,"")</f>
        <v>0.1334328711</v>
      </c>
      <c r="AO40" s="459">
        <f>IF(CUENTAS!W29/CUENTAS!$AB29&lt;&gt;0,CUENTAS!W29/CUENTAS!$AB29,"")</f>
        <v>0.03591384098</v>
      </c>
      <c r="AP40" s="459">
        <f>IF(CUENTAS!X29/CUENTAS!$AB29&lt;&gt;0,CUENTAS!X29/CUENTAS!$AB29,"")</f>
        <v>0.03944198989</v>
      </c>
      <c r="AQ40" s="459">
        <f>IF(CUENTAS!Y29/CUENTAS!$AB29&lt;&gt;0,CUENTAS!Y29/CUENTAS!$AB29,"")</f>
        <v>0.0899654294</v>
      </c>
      <c r="AR40" s="459">
        <f>IF(CUENTAS!AA29/CUENTAS!$AB29&lt;&gt;0,CUENTAS!AA29/CUENTAS!$AB29,"")</f>
        <v>0.006340148079</v>
      </c>
    </row>
    <row r="41">
      <c r="A41" s="460">
        <v>19500.0</v>
      </c>
      <c r="B41" s="461">
        <v>12.0</v>
      </c>
      <c r="C41" s="462">
        <f>IFERROR(__xludf.DUMMYFUNCTION("STDEVP(FILTER(GRAFICO!B:B, GRAFICO!B:B&gt;= A41 ,GRAFICO!B:B &lt; A42))
"),4.61062664593235)</f>
        <v>4.610626646</v>
      </c>
      <c r="D41" s="463">
        <f t="shared" si="1"/>
        <v>673</v>
      </c>
      <c r="F41" s="472"/>
      <c r="G41" s="200"/>
      <c r="J41" s="465">
        <v>45619.0</v>
      </c>
      <c r="K41" s="466">
        <f>SUMIF(GRAFICO!A:A,J41,GRAFICO!B:B)</f>
        <v>14612.86755</v>
      </c>
      <c r="L41" s="467">
        <f t="shared" si="2"/>
        <v>0.3692481472</v>
      </c>
      <c r="M41" s="468">
        <v>45984.0</v>
      </c>
      <c r="N41" s="469">
        <f>IF(SUMIF(GRAFICO!A:A,M41,GRAFICO!B:B)=0,"",SUMIF(GRAFICO!A:A,M41,GRAFICO!B:B))</f>
        <v>20930.5426</v>
      </c>
      <c r="O41" s="467">
        <f t="shared" si="3"/>
        <v>0.4081361859</v>
      </c>
      <c r="P41" s="468">
        <v>46349.0</v>
      </c>
      <c r="Q41" s="463" t="str">
        <f>IF(SUMIF(GRAFICO!A:A,P41,GRAFICO!B:B)=0,"",SUMIF(GRAFICO!A:A,P41,GRAFICO!B:B))</f>
        <v/>
      </c>
      <c r="R41" s="463" t="str">
        <f t="shared" si="4"/>
        <v/>
      </c>
      <c r="S41" s="471">
        <f>CUENTAS!A30</f>
        <v>46072</v>
      </c>
      <c r="Y41" s="459">
        <f>IF(CUENTAS!G30/CUENTAS!$AB30&lt;&gt;0,CUENTAS!G30/CUENTAS!$AB30,"")</f>
        <v>0.103720252</v>
      </c>
      <c r="Z41" s="459">
        <f>IF(CUENTAS!H30/CUENTAS!$AB30&lt;&gt;0,CUENTAS!H30/CUENTAS!$AB30,"")</f>
        <v>0.02634867853</v>
      </c>
      <c r="AA41" s="459">
        <f>IF(CUENTAS!I30/CUENTAS!$AB30&lt;&gt;0,CUENTAS!I30/CUENTAS!$AB30,"")</f>
        <v>0.01569781433</v>
      </c>
      <c r="AB41" s="459">
        <f>IF(CUENTAS!J30/CUENTAS!$AB30&lt;&gt;0,CUENTAS!J30/CUENTAS!$AB30,"")</f>
        <v>0.1495519575</v>
      </c>
      <c r="AC41" s="459">
        <f>IF(CUENTAS!K30/CUENTAS!$AB30&lt;&gt;0,CUENTAS!K30/CUENTAS!$AB30,"")</f>
        <v>0.06574316618</v>
      </c>
      <c r="AD41" s="459">
        <f>IF(CUENTAS!L30/CUENTAS!$AB30&lt;&gt;0,CUENTAS!L30/CUENTAS!$AB30,"")</f>
        <v>0.005259738917</v>
      </c>
      <c r="AE41" s="459">
        <f>IF(CUENTAS!M30/CUENTAS!$AB30&lt;&gt;0,CUENTAS!M30/CUENTAS!$AB30,"")</f>
        <v>0.04002285722</v>
      </c>
      <c r="AF41" s="459">
        <f>IF(CUENTAS!N30/CUENTAS!$AB30&lt;&gt;0,CUENTAS!N30/CUENTAS!$AB30,"")</f>
        <v>0.08491272237</v>
      </c>
      <c r="AG41" s="459">
        <f>IF(CUENTAS!O30/CUENTAS!$AB30&lt;&gt;0,CUENTAS!O30/CUENTAS!$AB30,"")</f>
        <v>0.02709843767</v>
      </c>
      <c r="AH41" s="459">
        <f>IF(CUENTAS!P30/CUENTAS!$AB30&lt;&gt;0,CUENTAS!P30/CUENTAS!$AB30,"")</f>
        <v>0.04079403805</v>
      </c>
      <c r="AI41" s="459">
        <f>IF(CUENTAS!R30/CUENTAS!$AB30&lt;&gt;0,CUENTAS!R30/CUENTAS!$AB30,"")</f>
        <v>0.06744536936</v>
      </c>
      <c r="AJ41" s="459" t="str">
        <f>IF(CUENTAS!B30/CUENTAS!$AB30&lt;&gt;0,CUENTAS!B30/CUENTAS!$AB30,"")</f>
        <v/>
      </c>
      <c r="AK41" s="459">
        <f>IF(CUENTAS!S30/CUENTAS!$AB30&lt;&gt;0,CUENTAS!S30/CUENTAS!$AB30,"")</f>
        <v>0.02723406556</v>
      </c>
      <c r="AL41" s="459">
        <f>IF(CUENTAS!T30/CUENTAS!$AB30&lt;&gt;0,CUENTAS!T30/CUENTAS!$AB30,"")</f>
        <v>0.1029567473</v>
      </c>
      <c r="AM41" s="459">
        <f>IF(CUENTAS!U30/CUENTAS!$AB30&lt;&gt;0,CUENTAS!U30/CUENTAS!$AB30,"")</f>
        <v>0.04801993367</v>
      </c>
      <c r="AN41" s="459">
        <f>IF(CUENTAS!V30/CUENTAS!$AB30&lt;&gt;0,CUENTAS!V30/CUENTAS!$AB30,"")</f>
        <v>0.1342645765</v>
      </c>
      <c r="AO41" s="459">
        <f>IF(CUENTAS!W30/CUENTAS!$AB30&lt;&gt;0,CUENTAS!W30/CUENTAS!$AB30,"")</f>
        <v>0.0361296793</v>
      </c>
      <c r="AP41" s="459">
        <f>IF(CUENTAS!X30/CUENTAS!$AB30&lt;&gt;0,CUENTAS!X30/CUENTAS!$AB30,"")</f>
        <v>0.03963396098</v>
      </c>
      <c r="AQ41" s="459">
        <f>IF(CUENTAS!Y30/CUENTAS!$AB30&lt;&gt;0,CUENTAS!Y30/CUENTAS!$AB30,"")</f>
        <v>0.0904967157</v>
      </c>
      <c r="AR41" s="459">
        <f>IF(CUENTAS!AA30/CUENTAS!$AB30&lt;&gt;0,CUENTAS!AA30/CUENTAS!$AB30,"")</f>
        <v>0.04695237402</v>
      </c>
    </row>
    <row r="42">
      <c r="A42" s="460">
        <v>19750.0</v>
      </c>
      <c r="B42" s="461">
        <v>5.0</v>
      </c>
      <c r="C42" s="462">
        <f>IFERROR(__xludf.DUMMYFUNCTION("STDEVP(FILTER(GRAFICO!B:B, GRAFICO!B:B&gt;= A42 ,GRAFICO!B:B &lt; A43))
"),58.501191675193695)</f>
        <v>58.50119168</v>
      </c>
      <c r="D42" s="463">
        <f t="shared" si="1"/>
        <v>678</v>
      </c>
      <c r="F42" s="472"/>
      <c r="G42" s="200"/>
      <c r="J42" s="465">
        <v>45618.0</v>
      </c>
      <c r="K42" s="466">
        <f>SUMIF(GRAFICO!A:A,J42,GRAFICO!B:B)</f>
        <v>14602.12351</v>
      </c>
      <c r="L42" s="467">
        <f t="shared" si="2"/>
        <v>0.3685126318</v>
      </c>
      <c r="M42" s="468">
        <v>45983.0</v>
      </c>
      <c r="N42" s="469">
        <f>IF(SUMIF(GRAFICO!A:A,M42,GRAFICO!B:B)=0,"",SUMIF(GRAFICO!A:A,M42,GRAFICO!B:B))</f>
        <v>20938.06435</v>
      </c>
      <c r="O42" s="467">
        <f t="shared" si="3"/>
        <v>0.4084954883</v>
      </c>
      <c r="P42" s="465">
        <v>46348.0</v>
      </c>
      <c r="Q42" s="463" t="str">
        <f>IF(SUMIF(GRAFICO!A:A,P42,GRAFICO!B:B)=0,"",SUMIF(GRAFICO!A:A,P42,GRAFICO!B:B))</f>
        <v/>
      </c>
      <c r="R42" s="463" t="str">
        <f t="shared" si="4"/>
        <v/>
      </c>
      <c r="S42" s="471">
        <f>CUENTAS!A31</f>
        <v>46071</v>
      </c>
      <c r="Y42" s="459">
        <f>IF(CUENTAS!G31/CUENTAS!$AB31&lt;&gt;0,CUENTAS!G31/CUENTAS!$AB31,"")</f>
        <v>0.10444607</v>
      </c>
      <c r="Z42" s="459">
        <f>IF(CUENTAS!H31/CUENTAS!$AB31&lt;&gt;0,CUENTAS!H31/CUENTAS!$AB31,"")</f>
        <v>0.02653306242</v>
      </c>
      <c r="AA42" s="459">
        <f>IF(CUENTAS!I31/CUENTAS!$AB31&lt;&gt;0,CUENTAS!I31/CUENTAS!$AB31,"")</f>
        <v>0.01544094803</v>
      </c>
      <c r="AB42" s="459">
        <f>IF(CUENTAS!J31/CUENTAS!$AB31&lt;&gt;0,CUENTAS!J31/CUENTAS!$AB31,"")</f>
        <v>0.1875887513</v>
      </c>
      <c r="AC42" s="459">
        <f>IF(CUENTAS!K31/CUENTAS!$AB31&lt;&gt;0,CUENTAS!K31/CUENTAS!$AB31,"")</f>
        <v>0.063925266</v>
      </c>
      <c r="AD42" s="459">
        <f>IF(CUENTAS!L31/CUENTAS!$AB31&lt;&gt;0,CUENTAS!L31/CUENTAS!$AB31,"")</f>
        <v>0.005290793315</v>
      </c>
      <c r="AE42" s="459">
        <f>IF(CUENTAS!M31/CUENTAS!$AB31&lt;&gt;0,CUENTAS!M31/CUENTAS!$AB31,"")</f>
        <v>0.03987868948</v>
      </c>
      <c r="AF42" s="459">
        <f>IF(CUENTAS!N31/CUENTAS!$AB31&lt;&gt;0,CUENTAS!N31/CUENTAS!$AB31,"")</f>
        <v>0.08488279005</v>
      </c>
      <c r="AG42" s="459">
        <f>IF(CUENTAS!O31/CUENTAS!$AB31&lt;&gt;0,CUENTAS!O31/CUENTAS!$AB31,"")</f>
        <v>0.02635329913</v>
      </c>
      <c r="AH42" s="459">
        <f>IF(CUENTAS!P31/CUENTAS!$AB31&lt;&gt;0,CUENTAS!P31/CUENTAS!$AB31,"")</f>
        <v>0.0410795083</v>
      </c>
      <c r="AI42" s="459">
        <f>IF(CUENTAS!R31/CUENTAS!$AB31&lt;&gt;0,CUENTAS!R31/CUENTAS!$AB31,"")</f>
        <v>0.06847108427</v>
      </c>
      <c r="AJ42" s="459" t="str">
        <f>IF(CUENTAS!B31/CUENTAS!$AB31&lt;&gt;0,CUENTAS!B31/CUENTAS!$AB31,"")</f>
        <v/>
      </c>
      <c r="AK42" s="459">
        <f>IF(CUENTAS!S31/CUENTAS!$AB31&lt;&gt;0,CUENTAS!S31/CUENTAS!$AB31,"")</f>
        <v>0.02738229851</v>
      </c>
      <c r="AL42" s="459">
        <f>IF(CUENTAS!T31/CUENTAS!$AB31&lt;&gt;0,CUENTAS!T31/CUENTAS!$AB31,"")</f>
        <v>0.1035384451</v>
      </c>
      <c r="AM42" s="459">
        <f>IF(CUENTAS!U31/CUENTAS!$AB31&lt;&gt;0,CUENTAS!U31/CUENTAS!$AB31,"")</f>
        <v>0.04835596959</v>
      </c>
      <c r="AN42" s="459">
        <f>IF(CUENTAS!V31/CUENTAS!$AB31&lt;&gt;0,CUENTAS!V31/CUENTAS!$AB31,"")</f>
        <v>0.1351771034</v>
      </c>
      <c r="AO42" s="459">
        <f>IF(CUENTAS!W31/CUENTAS!$AB31&lt;&gt;0,CUENTAS!W31/CUENTAS!$AB31,"")</f>
        <v>0.03636715732</v>
      </c>
      <c r="AP42" s="459">
        <f>IF(CUENTAS!X31/CUENTAS!$AB31&lt;&gt;0,CUENTAS!X31/CUENTAS!$AB31,"")</f>
        <v>0.03984906682</v>
      </c>
      <c r="AQ42" s="459">
        <f>IF(CUENTAS!Y31/CUENTAS!$AB31&lt;&gt;0,CUENTAS!Y31/CUENTAS!$AB31,"")</f>
        <v>0.09108207866</v>
      </c>
      <c r="AR42" s="459">
        <f>IF(CUENTAS!AA31/CUENTAS!$AB31&lt;&gt;0,CUENTAS!AA31/CUENTAS!$AB31,"")</f>
        <v>0.007748833475</v>
      </c>
    </row>
    <row r="43">
      <c r="A43" s="460">
        <v>20000.0</v>
      </c>
      <c r="B43" s="461">
        <v>2.0</v>
      </c>
      <c r="C43" s="462">
        <f>IFERROR(__xludf.DUMMYFUNCTION("STDEVP(FILTER(GRAFICO!B:B, GRAFICO!B:B&gt;= A43 ,GRAFICO!B:B &lt; A44))
"),3.8795041557887435)</f>
        <v>3.879504156</v>
      </c>
      <c r="D43" s="463">
        <f t="shared" si="1"/>
        <v>680</v>
      </c>
      <c r="F43" s="472"/>
      <c r="G43" s="200"/>
      <c r="J43" s="465">
        <v>45617.0</v>
      </c>
      <c r="K43" s="466">
        <f>SUMIF(GRAFICO!A:A,J43,GRAFICO!B:B)</f>
        <v>14667.82879</v>
      </c>
      <c r="L43" s="467">
        <f t="shared" si="2"/>
        <v>0.3730022451</v>
      </c>
      <c r="M43" s="468">
        <v>45982.0</v>
      </c>
      <c r="N43" s="469">
        <f>IF(SUMIF(GRAFICO!A:A,M43,GRAFICO!B:B)=0,"",SUMIF(GRAFICO!A:A,M43,GRAFICO!B:B))</f>
        <v>20944.50681</v>
      </c>
      <c r="O43" s="467">
        <f t="shared" si="3"/>
        <v>0.4088031324</v>
      </c>
      <c r="P43" s="468">
        <v>46347.0</v>
      </c>
      <c r="Q43" s="463" t="str">
        <f>IF(SUMIF(GRAFICO!A:A,P43,GRAFICO!B:B)=0,"",SUMIF(GRAFICO!A:A,P43,GRAFICO!B:B))</f>
        <v/>
      </c>
      <c r="R43" s="463" t="str">
        <f t="shared" si="4"/>
        <v/>
      </c>
      <c r="S43" s="471">
        <f>CUENTAS!A32</f>
        <v>46070</v>
      </c>
      <c r="Y43" s="459">
        <f>IF(CUENTAS!G32/CUENTAS!$AB32&lt;&gt;0,CUENTAS!G32/CUENTAS!$AB32,"")</f>
        <v>0.103556184</v>
      </c>
      <c r="Z43" s="459">
        <f>IF(CUENTAS!H32/CUENTAS!$AB32&lt;&gt;0,CUENTAS!H32/CUENTAS!$AB32,"")</f>
        <v>0.02661333995</v>
      </c>
      <c r="AA43" s="459">
        <f>IF(CUENTAS!I32/CUENTAS!$AB32&lt;&gt;0,CUENTAS!I32/CUENTAS!$AB32,"")</f>
        <v>0.01542708243</v>
      </c>
      <c r="AB43" s="459">
        <f>IF(CUENTAS!J32/CUENTAS!$AB32&lt;&gt;0,CUENTAS!J32/CUENTAS!$AB32,"")</f>
        <v>0.1881563134</v>
      </c>
      <c r="AC43" s="459">
        <f>IF(CUENTAS!K32/CUENTAS!$AB32&lt;&gt;0,CUENTAS!K32/CUENTAS!$AB32,"")</f>
        <v>0.06511829912</v>
      </c>
      <c r="AD43" s="459">
        <f>IF(CUENTAS!L32/CUENTAS!$AB32&lt;&gt;0,CUENTAS!L32/CUENTAS!$AB32,"")</f>
        <v>0.005308243416</v>
      </c>
      <c r="AE43" s="459">
        <f>IF(CUENTAS!M32/CUENTAS!$AB32&lt;&gt;0,CUENTAS!M32/CUENTAS!$AB32,"")</f>
        <v>0.03940361016</v>
      </c>
      <c r="AF43" s="459">
        <f>IF(CUENTAS!N32/CUENTAS!$AB32&lt;&gt;0,CUENTAS!N32/CUENTAS!$AB32,"")</f>
        <v>0.0849607438</v>
      </c>
      <c r="AG43" s="459">
        <f>IF(CUENTAS!O32/CUENTAS!$AB32&lt;&gt;0,CUENTAS!O32/CUENTAS!$AB32,"")</f>
        <v>0.02643303277</v>
      </c>
      <c r="AH43" s="459">
        <f>IF(CUENTAS!P32/CUENTAS!$AB32&lt;&gt;0,CUENTAS!P32/CUENTAS!$AB32,"")</f>
        <v>0.04120379706</v>
      </c>
      <c r="AI43" s="459">
        <f>IF(CUENTAS!R32/CUENTAS!$AB32&lt;&gt;0,CUENTAS!R32/CUENTAS!$AB32,"")</f>
        <v>0.06706998011</v>
      </c>
      <c r="AJ43" s="459" t="str">
        <f>IF(CUENTAS!B32/CUENTAS!$AB32&lt;&gt;0,CUENTAS!B32/CUENTAS!$AB32,"")</f>
        <v/>
      </c>
      <c r="AK43" s="459">
        <f>IF(CUENTAS!S32/CUENTAS!$AB32&lt;&gt;0,CUENTAS!S32/CUENTAS!$AB32,"")</f>
        <v>0.02742267059</v>
      </c>
      <c r="AL43" s="459">
        <f>IF(CUENTAS!T32/CUENTAS!$AB32&lt;&gt;0,CUENTAS!T32/CUENTAS!$AB32,"")</f>
        <v>0.1037125103</v>
      </c>
      <c r="AM43" s="459">
        <f>IF(CUENTAS!U32/CUENTAS!$AB32&lt;&gt;0,CUENTAS!U32/CUENTAS!$AB32,"")</f>
        <v>0.04850227376</v>
      </c>
      <c r="AN43" s="459">
        <f>IF(CUENTAS!V32/CUENTAS!$AB32&lt;&gt;0,CUENTAS!V32/CUENTAS!$AB32,"")</f>
        <v>0.1355589788</v>
      </c>
      <c r="AO43" s="459">
        <f>IF(CUENTAS!W32/CUENTAS!$AB32&lt;&gt;0,CUENTAS!W32/CUENTAS!$AB32,"")</f>
        <v>0.03646179031</v>
      </c>
      <c r="AP43" s="459">
        <f>IF(CUENTAS!X32/CUENTAS!$AB32&lt;&gt;0,CUENTAS!X32/CUENTAS!$AB32,"")</f>
        <v>0.03990719809</v>
      </c>
      <c r="AQ43" s="459">
        <f>IF(CUENTAS!Y32/CUENTAS!$AB32&lt;&gt;0,CUENTAS!Y32/CUENTAS!$AB32,"")</f>
        <v>0.09130958972</v>
      </c>
      <c r="AR43" s="459">
        <f>IF(CUENTAS!AA32/CUENTAS!$AB32&lt;&gt;0,CUENTAS!AA32/CUENTAS!$AB32,"")</f>
        <v>0.007772278081</v>
      </c>
    </row>
    <row r="44">
      <c r="A44" s="460">
        <v>20250.0</v>
      </c>
      <c r="B44" s="461">
        <v>3.0</v>
      </c>
      <c r="C44" s="462">
        <f>IFERROR(__xludf.DUMMYFUNCTION("STDEVP(FILTER(GRAFICO!B:B, GRAFICO!B:B&gt;= A44 ,GRAFICO!B:B &lt; A45))
"),70.42042090999016)</f>
        <v>70.42042091</v>
      </c>
      <c r="D44" s="463">
        <f t="shared" si="1"/>
        <v>683</v>
      </c>
      <c r="F44" s="472"/>
      <c r="G44" s="200"/>
      <c r="J44" s="470">
        <v>45616.0</v>
      </c>
      <c r="K44" s="466">
        <f>SUMIF(GRAFICO!A:A,J44,GRAFICO!B:B)</f>
        <v>14682.56785</v>
      </c>
      <c r="L44" s="467">
        <f t="shared" si="2"/>
        <v>0.3740065973</v>
      </c>
      <c r="M44" s="468">
        <v>45981.0</v>
      </c>
      <c r="N44" s="469">
        <f>IF(SUMIF(GRAFICO!A:A,M44,GRAFICO!B:B)=0,"",SUMIF(GRAFICO!A:A,M44,GRAFICO!B:B))</f>
        <v>20965.85934</v>
      </c>
      <c r="O44" s="467">
        <f t="shared" si="3"/>
        <v>0.409822094</v>
      </c>
      <c r="P44" s="465">
        <v>46346.0</v>
      </c>
      <c r="Q44" s="463" t="str">
        <f>IF(SUMIF(GRAFICO!A:A,P44,GRAFICO!B:B)=0,"",SUMIF(GRAFICO!A:A,P44,GRAFICO!B:B))</f>
        <v/>
      </c>
      <c r="R44" s="463" t="str">
        <f t="shared" si="4"/>
        <v/>
      </c>
      <c r="S44" s="471">
        <f>CUENTAS!A33</f>
        <v>46069</v>
      </c>
      <c r="Y44" s="459">
        <f>IF(CUENTAS!G33/CUENTAS!$AB33&lt;&gt;0,CUENTAS!G33/CUENTAS!$AB33,"")</f>
        <v>0.1055804072</v>
      </c>
      <c r="Z44" s="459">
        <f>IF(CUENTAS!H33/CUENTAS!$AB33&lt;&gt;0,CUENTAS!H33/CUENTAS!$AB33,"")</f>
        <v>0.02670594746</v>
      </c>
      <c r="AA44" s="459">
        <f>IF(CUENTAS!I33/CUENTAS!$AB33&lt;&gt;0,CUENTAS!I33/CUENTAS!$AB33,"")</f>
        <v>0.01529838259</v>
      </c>
      <c r="AB44" s="459">
        <f>IF(CUENTAS!J33/CUENTAS!$AB33&lt;&gt;0,CUENTAS!J33/CUENTAS!$AB33,"")</f>
        <v>0.1882993655</v>
      </c>
      <c r="AC44" s="459">
        <f>IF(CUENTAS!K33/CUENTAS!$AB33&lt;&gt;0,CUENTAS!K33/CUENTAS!$AB33,"")</f>
        <v>0.06558372756</v>
      </c>
      <c r="AD44" s="459">
        <f>IF(CUENTAS!L33/CUENTAS!$AB33&lt;&gt;0,CUENTAS!L33/CUENTAS!$AB33,"")</f>
        <v>0.005239866114</v>
      </c>
      <c r="AE44" s="459">
        <f>IF(CUENTAS!M33/CUENTAS!$AB33&lt;&gt;0,CUENTAS!M33/CUENTAS!$AB33,"")</f>
        <v>0.03932722165</v>
      </c>
      <c r="AF44" s="459">
        <f>IF(CUENTAS!N33/CUENTAS!$AB33&lt;&gt;0,CUENTAS!N33/CUENTAS!$AB33,"")</f>
        <v>0.08391023167</v>
      </c>
      <c r="AG44" s="459">
        <f>IF(CUENTAS!O33/CUENTAS!$AB33&lt;&gt;0,CUENTAS!O33/CUENTAS!$AB33,"")</f>
        <v>0.02652501286</v>
      </c>
      <c r="AH44" s="459">
        <f>IF(CUENTAS!P33/CUENTAS!$AB33&lt;&gt;0,CUENTAS!P33/CUENTAS!$AB33,"")</f>
        <v>0.04134717557</v>
      </c>
      <c r="AI44" s="459">
        <f>IF(CUENTAS!R33/CUENTAS!$AB33&lt;&gt;0,CUENTAS!R33/CUENTAS!$AB33,"")</f>
        <v>0.06786071717</v>
      </c>
      <c r="AJ44" s="459" t="str">
        <f>IF(CUENTAS!B33/CUENTAS!$AB33&lt;&gt;0,CUENTAS!B33/CUENTAS!$AB33,"")</f>
        <v/>
      </c>
      <c r="AK44" s="459">
        <f>IF(CUENTAS!S33/CUENTAS!$AB33&lt;&gt;0,CUENTAS!S33/CUENTAS!$AB33,"")</f>
        <v>0.0274754717</v>
      </c>
      <c r="AL44" s="459">
        <f>IF(CUENTAS!T33/CUENTAS!$AB33&lt;&gt;0,CUENTAS!T33/CUENTAS!$AB33,"")</f>
        <v>0.1039699083</v>
      </c>
      <c r="AM44" s="459">
        <f>IF(CUENTAS!U33/CUENTAS!$AB33&lt;&gt;0,CUENTAS!U33/CUENTAS!$AB33,"")</f>
        <v>0.04867104908</v>
      </c>
      <c r="AN44" s="459">
        <f>IF(CUENTAS!V33/CUENTAS!$AB33&lt;&gt;0,CUENTAS!V33/CUENTAS!$AB33,"")</f>
        <v>0.1360034882</v>
      </c>
      <c r="AO44" s="459">
        <f>IF(CUENTAS!W33/CUENTAS!$AB33&lt;&gt;0,CUENTAS!W33/CUENTAS!$AB33,"")</f>
        <v>0.03657321606</v>
      </c>
      <c r="AP44" s="459">
        <f>IF(CUENTAS!X33/CUENTAS!$AB33&lt;&gt;0,CUENTAS!X33/CUENTAS!$AB33,"")</f>
        <v>0.03998341282</v>
      </c>
      <c r="AQ44" s="459">
        <f>IF(CUENTAS!Y33/CUENTAS!$AB33&lt;&gt;0,CUENTAS!Y33/CUENTAS!$AB33,"")</f>
        <v>0.09157909236</v>
      </c>
      <c r="AR44" s="459">
        <f>IF(CUENTAS!AA33/CUENTAS!$AB33&lt;&gt;0,CUENTAS!AA33/CUENTAS!$AB33,"")</f>
        <v>0.004542500728</v>
      </c>
    </row>
    <row r="45">
      <c r="A45" s="460">
        <v>20500.0</v>
      </c>
      <c r="B45" s="461">
        <v>4.0</v>
      </c>
      <c r="C45" s="462">
        <f>IFERROR(__xludf.DUMMYFUNCTION("STDEVP(FILTER(GRAFICO!B:B, GRAFICO!B:B&gt;= A45 ,GRAFICO!B:B &lt; A46))
"),88.16643674066613)</f>
        <v>88.16643674</v>
      </c>
      <c r="D45" s="463">
        <f t="shared" si="1"/>
        <v>687</v>
      </c>
      <c r="F45" s="472"/>
      <c r="G45" s="200"/>
      <c r="J45" s="465">
        <v>45615.0</v>
      </c>
      <c r="K45" s="466">
        <f>SUMIF(GRAFICO!A:A,J45,GRAFICO!B:B)</f>
        <v>14580.86329</v>
      </c>
      <c r="L45" s="467">
        <f t="shared" si="2"/>
        <v>0.3670556032</v>
      </c>
      <c r="M45" s="468">
        <v>45980.0</v>
      </c>
      <c r="N45" s="469">
        <f>IF(SUMIF(GRAFICO!A:A,M45,GRAFICO!B:B)=0,"",SUMIF(GRAFICO!A:A,M45,GRAFICO!B:B))</f>
        <v>21234.61442</v>
      </c>
      <c r="O45" s="467">
        <f t="shared" si="3"/>
        <v>0.4225593309</v>
      </c>
      <c r="P45" s="468">
        <v>46345.0</v>
      </c>
      <c r="Q45" s="463" t="str">
        <f>IF(SUMIF(GRAFICO!A:A,P45,GRAFICO!B:B)=0,"",SUMIF(GRAFICO!A:A,P45,GRAFICO!B:B))</f>
        <v/>
      </c>
      <c r="R45" s="463" t="str">
        <f t="shared" si="4"/>
        <v/>
      </c>
      <c r="S45" s="471">
        <f>CUENTAS!A34</f>
        <v>46068</v>
      </c>
      <c r="Y45" s="459">
        <f>IF(CUENTAS!G34/CUENTAS!$AB34&lt;&gt;0,CUENTAS!G34/CUENTAS!$AB34,"")</f>
        <v>0.1060355613</v>
      </c>
      <c r="Z45" s="459">
        <f>IF(CUENTAS!H34/CUENTAS!$AB34&lt;&gt;0,CUENTAS!H34/CUENTAS!$AB34,"")</f>
        <v>0.02685955677</v>
      </c>
      <c r="AA45" s="459" t="str">
        <f>IF(CUENTAS!I34/CUENTAS!$AB34&lt;&gt;0,CUENTAS!I34/CUENTAS!$AB34,"")</f>
        <v/>
      </c>
      <c r="AB45" s="459">
        <f>IF(CUENTAS!J34/CUENTAS!$AB34&lt;&gt;0,CUENTAS!J34/CUENTAS!$AB34,"")</f>
        <v>0.188941332</v>
      </c>
      <c r="AC45" s="459">
        <f>IF(CUENTAS!K34/CUENTAS!$AB34&lt;&gt;0,CUENTAS!K34/CUENTAS!$AB34,"")</f>
        <v>0.06749828453</v>
      </c>
      <c r="AD45" s="459">
        <f>IF(CUENTAS!L34/CUENTAS!$AB34&lt;&gt;0,CUENTAS!L34/CUENTAS!$AB34,"")</f>
        <v>0.005383557774</v>
      </c>
      <c r="AE45" s="459">
        <f>IF(CUENTAS!M34/CUENTAS!$AB34&lt;&gt;0,CUENTAS!M34/CUENTAS!$AB34,"")</f>
        <v>0.03972521167</v>
      </c>
      <c r="AF45" s="459">
        <f>IF(CUENTAS!N34/CUENTAS!$AB34&lt;&gt;0,CUENTAS!N34/CUENTAS!$AB34,"")</f>
        <v>0.08619806809</v>
      </c>
      <c r="AG45" s="459">
        <f>IF(CUENTAS!O34/CUENTAS!$AB34&lt;&gt;0,CUENTAS!O34/CUENTAS!$AB34,"")</f>
        <v>0.02667758145</v>
      </c>
      <c r="AH45" s="459">
        <f>IF(CUENTAS!P34/CUENTAS!$AB34&lt;&gt;0,CUENTAS!P34/CUENTAS!$AB34,"")</f>
        <v>0.04158499941</v>
      </c>
      <c r="AI45" s="459">
        <f>IF(CUENTAS!R34/CUENTAS!$AB34&lt;&gt;0,CUENTAS!R34/CUENTAS!$AB34,"")</f>
        <v>0.06881160039</v>
      </c>
      <c r="AJ45" s="459" t="str">
        <f>IF(CUENTAS!B34/CUENTAS!$AB34&lt;&gt;0,CUENTAS!B34/CUENTAS!$AB34,"")</f>
        <v/>
      </c>
      <c r="AK45" s="459">
        <f>IF(CUENTAS!S34/CUENTAS!$AB34&lt;&gt;0,CUENTAS!S34/CUENTAS!$AB34,"")</f>
        <v>0.02759063939</v>
      </c>
      <c r="AL45" s="459">
        <f>IF(CUENTAS!T34/CUENTAS!$AB34&lt;&gt;0,CUENTAS!T34/CUENTAS!$AB34,"")</f>
        <v>0.1044638405</v>
      </c>
      <c r="AM45" s="459">
        <f>IF(CUENTAS!U34/CUENTAS!$AB34&lt;&gt;0,CUENTAS!U34/CUENTAS!$AB34,"")</f>
        <v>0.04895099893</v>
      </c>
      <c r="AN45" s="459">
        <f>IF(CUENTAS!V34/CUENTAS!$AB34&lt;&gt;0,CUENTAS!V34/CUENTAS!$AB34,"")</f>
        <v>0.1367584117</v>
      </c>
      <c r="AO45" s="459">
        <f>IF(CUENTAS!W34/CUENTAS!$AB34&lt;&gt;0,CUENTAS!W34/CUENTAS!$AB34,"")</f>
        <v>0.03676803998</v>
      </c>
      <c r="AP45" s="459">
        <f>IF(CUENTAS!X34/CUENTAS!$AB34&lt;&gt;0,CUENTAS!X34/CUENTAS!$AB34,"")</f>
        <v>0.04015038014</v>
      </c>
      <c r="AQ45" s="459">
        <f>IF(CUENTAS!Y34/CUENTAS!$AB34&lt;&gt;0,CUENTAS!Y34/CUENTAS!$AB34,"")</f>
        <v>0.09205733554</v>
      </c>
      <c r="AR45" s="459">
        <f>IF(CUENTAS!AA34/CUENTAS!$AB34&lt;&gt;0,CUENTAS!AA34/CUENTAS!$AB34,"")</f>
        <v>0.01095232275</v>
      </c>
    </row>
    <row r="46">
      <c r="A46" s="460">
        <v>20750.0</v>
      </c>
      <c r="B46" s="461">
        <v>16.0</v>
      </c>
      <c r="C46" s="462">
        <f>IFERROR(__xludf.DUMMYFUNCTION("STDEVP(FILTER(GRAFICO!B:B, GRAFICO!B:B&gt;= A46 ,GRAFICO!B:B &lt; A47))
"),64.17956041980058)</f>
        <v>64.17956042</v>
      </c>
      <c r="D46" s="463">
        <f t="shared" si="1"/>
        <v>703</v>
      </c>
      <c r="F46" s="472"/>
      <c r="G46" s="200"/>
      <c r="J46" s="470">
        <v>45614.0</v>
      </c>
      <c r="K46" s="466">
        <f>SUMIF(GRAFICO!A:A,J46,GRAFICO!B:B)</f>
        <v>14501.31488</v>
      </c>
      <c r="L46" s="467">
        <f t="shared" si="2"/>
        <v>0.3615849941</v>
      </c>
      <c r="M46" s="468">
        <v>45979.0</v>
      </c>
      <c r="N46" s="469">
        <f>IF(SUMIF(GRAFICO!A:A,M46,GRAFICO!B:B)=0,"",SUMIF(GRAFICO!A:A,M46,GRAFICO!B:B))</f>
        <v>21363.75504</v>
      </c>
      <c r="O46" s="467">
        <f t="shared" si="3"/>
        <v>0.4286225217</v>
      </c>
      <c r="P46" s="465">
        <v>46344.0</v>
      </c>
      <c r="Q46" s="463" t="str">
        <f>IF(SUMIF(GRAFICO!A:A,P46,GRAFICO!B:B)=0,"",SUMIF(GRAFICO!A:A,P46,GRAFICO!B:B))</f>
        <v/>
      </c>
      <c r="R46" s="463" t="str">
        <f t="shared" si="4"/>
        <v/>
      </c>
      <c r="S46" s="471">
        <f>CUENTAS!A35</f>
        <v>46067</v>
      </c>
      <c r="Y46" s="459">
        <f>IF(CUENTAS!G35/CUENTAS!$AB35&lt;&gt;0,CUENTAS!G35/CUENTAS!$AB35,"")</f>
        <v>0.1056761552</v>
      </c>
      <c r="Z46" s="459">
        <f>IF(CUENTAS!H35/CUENTAS!$AB35&lt;&gt;0,CUENTAS!H35/CUENTAS!$AB35,"")</f>
        <v>0.02676851665</v>
      </c>
      <c r="AA46" s="459" t="str">
        <f>IF(CUENTAS!I35/CUENTAS!$AB35&lt;&gt;0,CUENTAS!I35/CUENTAS!$AB35,"")</f>
        <v/>
      </c>
      <c r="AB46" s="459">
        <f>IF(CUENTAS!J35/CUENTAS!$AB35&lt;&gt;0,CUENTAS!J35/CUENTAS!$AB35,"")</f>
        <v>0.1883009178</v>
      </c>
      <c r="AC46" s="459">
        <f>IF(CUENTAS!K35/CUENTAS!$AB35&lt;&gt;0,CUENTAS!K35/CUENTAS!$AB35,"")</f>
        <v>0.06726949998</v>
      </c>
      <c r="AD46" s="459">
        <f>IF(CUENTAS!L35/CUENTAS!$AB35&lt;&gt;0,CUENTAS!L35/CUENTAS!$AB35,"")</f>
        <v>0.005365310276</v>
      </c>
      <c r="AE46" s="459">
        <f>IF(CUENTAS!M35/CUENTAS!$AB35&lt;&gt;0,CUENTAS!M35/CUENTAS!$AB35,"")</f>
        <v>0.03959056359</v>
      </c>
      <c r="AF46" s="459">
        <f>IF(CUENTAS!N35/CUENTAS!$AB35&lt;&gt;0,CUENTAS!N35/CUENTAS!$AB35,"")</f>
        <v>0.08590590087</v>
      </c>
      <c r="AG46" s="459">
        <f>IF(CUENTAS!O35/CUENTAS!$AB35&lt;&gt;0,CUENTAS!O35/CUENTAS!$AB35,"")</f>
        <v>0.02658715814</v>
      </c>
      <c r="AH46" s="459">
        <f>IF(CUENTAS!P35/CUENTAS!$AB35&lt;&gt;0,CUENTAS!P35/CUENTAS!$AB35,"")</f>
        <v>0.0414440476</v>
      </c>
      <c r="AI46" s="459">
        <f>IF(CUENTAS!R35/CUENTAS!$AB35&lt;&gt;0,CUENTAS!R35/CUENTAS!$AB35,"")</f>
        <v>0.06913702115</v>
      </c>
      <c r="AJ46" s="459" t="str">
        <f>IF(CUENTAS!B35/CUENTAS!$AB35&lt;&gt;0,CUENTAS!B35/CUENTAS!$AB35,"")</f>
        <v/>
      </c>
      <c r="AK46" s="459">
        <f>IF(CUENTAS!S35/CUENTAS!$AB35&lt;&gt;0,CUENTAS!S35/CUENTAS!$AB35,"")</f>
        <v>0.02745439875</v>
      </c>
      <c r="AL46" s="459">
        <f>IF(CUENTAS!T35/CUENTAS!$AB35&lt;&gt;0,CUENTAS!T35/CUENTAS!$AB35,"")</f>
        <v>0.1040060246</v>
      </c>
      <c r="AM46" s="459">
        <f>IF(CUENTAS!U35/CUENTAS!$AB35&lt;&gt;0,CUENTAS!U35/CUENTAS!$AB35,"")</f>
        <v>0.04878508017</v>
      </c>
      <c r="AN46" s="459">
        <f>IF(CUENTAS!V35/CUENTAS!$AB35&lt;&gt;0,CUENTAS!V35/CUENTAS!$AB35,"")</f>
        <v>0.1362676174</v>
      </c>
      <c r="AO46" s="459">
        <f>IF(CUENTAS!W35/CUENTAS!$AB35&lt;&gt;0,CUENTAS!W35/CUENTAS!$AB35,"")</f>
        <v>0.03662792718</v>
      </c>
      <c r="AP46" s="459">
        <f>IF(CUENTAS!X35/CUENTAS!$AB35&lt;&gt;0,CUENTAS!X35/CUENTAS!$AB35,"")</f>
        <v>0.03995149221</v>
      </c>
      <c r="AQ46" s="459">
        <f>IF(CUENTAS!Y35/CUENTAS!$AB35&lt;&gt;0,CUENTAS!Y35/CUENTAS!$AB35,"")</f>
        <v>0.09169696441</v>
      </c>
      <c r="AR46" s="459">
        <f>IF(CUENTAS!AA35/CUENTAS!$AB35&lt;&gt;0,CUENTAS!AA35/CUENTAS!$AB35,"")</f>
        <v>0.01407471921</v>
      </c>
    </row>
    <row r="47">
      <c r="A47" s="460">
        <v>21000.0</v>
      </c>
      <c r="B47" s="461">
        <v>21.0</v>
      </c>
      <c r="C47" s="462">
        <f>IFERROR(__xludf.DUMMYFUNCTION("STDEVP(FILTER(GRAFICO!B:B, GRAFICO!B:B&gt;= A47 ,GRAFICO!B:B &lt; A48))
"),68.7729084397823)</f>
        <v>68.77290844</v>
      </c>
      <c r="D47" s="463">
        <f t="shared" si="1"/>
        <v>724</v>
      </c>
      <c r="F47" s="472"/>
      <c r="G47" s="200"/>
      <c r="J47" s="470">
        <v>45613.0</v>
      </c>
      <c r="K47" s="466">
        <f>SUMIF(GRAFICO!A:A,J47,GRAFICO!B:B)</f>
        <v>14406.4766</v>
      </c>
      <c r="L47" s="467">
        <f t="shared" si="2"/>
        <v>0.3550235369</v>
      </c>
      <c r="M47" s="468">
        <v>45978.0</v>
      </c>
      <c r="N47" s="469">
        <f>IF(SUMIF(GRAFICO!A:A,M47,GRAFICO!B:B)=0,"",SUMIF(GRAFICO!A:A,M47,GRAFICO!B:B))</f>
        <v>21416.85871</v>
      </c>
      <c r="O47" s="467">
        <f t="shared" si="3"/>
        <v>0.4311051271</v>
      </c>
      <c r="P47" s="468">
        <v>46343.0</v>
      </c>
      <c r="Q47" s="463" t="str">
        <f>IF(SUMIF(GRAFICO!A:A,P47,GRAFICO!B:B)=0,"",SUMIF(GRAFICO!A:A,P47,GRAFICO!B:B))</f>
        <v/>
      </c>
      <c r="R47" s="463" t="str">
        <f t="shared" si="4"/>
        <v/>
      </c>
      <c r="S47" s="471">
        <f>CUENTAS!A36</f>
        <v>46066</v>
      </c>
      <c r="Y47" s="459">
        <f>IF(CUENTAS!G36/CUENTAS!$AB36&lt;&gt;0,CUENTAS!G36/CUENTAS!$AB36,"")</f>
        <v>0.1070784543</v>
      </c>
      <c r="Z47" s="459">
        <f>IF(CUENTAS!H36/CUENTAS!$AB36&lt;&gt;0,CUENTAS!H36/CUENTAS!$AB36,"")</f>
        <v>0.02712372892</v>
      </c>
      <c r="AA47" s="459" t="str">
        <f>IF(CUENTAS!I36/CUENTAS!$AB36&lt;&gt;0,CUENTAS!I36/CUENTAS!$AB36,"")</f>
        <v/>
      </c>
      <c r="AB47" s="459">
        <f>IF(CUENTAS!J36/CUENTAS!$AB36&lt;&gt;0,CUENTAS!J36/CUENTAS!$AB36,"")</f>
        <v>0.1907996292</v>
      </c>
      <c r="AC47" s="459">
        <f>IF(CUENTAS!K36/CUENTAS!$AB36&lt;&gt;0,CUENTAS!K36/CUENTAS!$AB36,"")</f>
        <v>0.06816215129</v>
      </c>
      <c r="AD47" s="459">
        <f>IF(CUENTAS!L36/CUENTAS!$AB36&lt;&gt;0,CUENTAS!L36/CUENTAS!$AB36,"")</f>
        <v>0.00543650675</v>
      </c>
      <c r="AE47" s="459">
        <f>IF(CUENTAS!M36/CUENTAS!$AB36&lt;&gt;0,CUENTAS!M36/CUENTAS!$AB36,"")</f>
        <v>0.04011592157</v>
      </c>
      <c r="AF47" s="459">
        <f>IF(CUENTAS!N36/CUENTAS!$AB36&lt;&gt;0,CUENTAS!N36/CUENTAS!$AB36,"")</f>
        <v>0.08704585308</v>
      </c>
      <c r="AG47" s="459">
        <f>IF(CUENTAS!O36/CUENTAS!$AB36&lt;&gt;0,CUENTAS!O36/CUENTAS!$AB36,"")</f>
        <v>0.02693996382</v>
      </c>
      <c r="AH47" s="459">
        <f>IF(CUENTAS!P36/CUENTAS!$AB36&lt;&gt;0,CUENTAS!P36/CUENTAS!$AB36,"")</f>
        <v>0.0419940009</v>
      </c>
      <c r="AI47" s="459">
        <f>IF(CUENTAS!R36/CUENTAS!$AB36&lt;&gt;0,CUENTAS!R36/CUENTAS!$AB36,"")</f>
        <v>0.07062052406</v>
      </c>
      <c r="AJ47" s="459">
        <f>IF(CUENTAS!B36/CUENTAS!$AB36&lt;&gt;0,CUENTAS!B36/CUENTAS!$AB36,"")</f>
        <v>0.01351214497</v>
      </c>
      <c r="AK47" s="459">
        <f>IF(CUENTAS!S36/CUENTAS!$AB36&lt;&gt;0,CUENTAS!S36/CUENTAS!$AB36,"")</f>
        <v>0.02777542307</v>
      </c>
      <c r="AL47" s="459">
        <f>IF(CUENTAS!T36/CUENTAS!$AB36&lt;&gt;0,CUENTAS!T36/CUENTAS!$AB36,"")</f>
        <v>0.1052810478</v>
      </c>
      <c r="AM47" s="459">
        <f>IF(CUENTAS!U36/CUENTAS!$AB36&lt;&gt;0,CUENTAS!U36/CUENTAS!$AB36,"")</f>
        <v>0.04943244734</v>
      </c>
      <c r="AN47" s="459">
        <f>IF(CUENTAS!V36/CUENTAS!$AB36&lt;&gt;0,CUENTAS!V36/CUENTAS!$AB36,"")</f>
        <v>0.1380482487</v>
      </c>
      <c r="AO47" s="459">
        <f>IF(CUENTAS!W36/CUENTAS!$AB36&lt;&gt;0,CUENTAS!W36/CUENTAS!$AB36,"")</f>
        <v>0.03709827809</v>
      </c>
      <c r="AP47" s="459">
        <f>IF(CUENTAS!X36/CUENTAS!$AB36&lt;&gt;0,CUENTAS!X36/CUENTAS!$AB36,"")</f>
        <v>0.04041800756</v>
      </c>
      <c r="AQ47" s="459">
        <f>IF(CUENTAS!Y36/CUENTAS!$AB36&lt;&gt;0,CUENTAS!Y36/CUENTAS!$AB36,"")</f>
        <v>0.09286477721</v>
      </c>
      <c r="AR47" s="459">
        <f>IF(CUENTAS!AA36/CUENTAS!$AB36&lt;&gt;0,CUENTAS!AA36/CUENTAS!$AB36,"")</f>
        <v>0.0007586852457</v>
      </c>
    </row>
    <row r="48">
      <c r="A48" s="460">
        <v>21250.0</v>
      </c>
      <c r="B48" s="461">
        <v>34.0</v>
      </c>
      <c r="C48" s="462">
        <f>IFERROR(__xludf.DUMMYFUNCTION("STDEVP(FILTER(GRAFICO!B:B, GRAFICO!B:B&gt;= A48 ,GRAFICO!B:B &lt; A49))
"),72.6182551520358)</f>
        <v>72.61825515</v>
      </c>
      <c r="D48" s="463">
        <f t="shared" si="1"/>
        <v>758</v>
      </c>
      <c r="F48" s="472"/>
      <c r="G48" s="200"/>
      <c r="J48" s="470">
        <v>45612.0</v>
      </c>
      <c r="K48" s="466">
        <f>SUMIF(GRAFICO!A:A,J48,GRAFICO!B:B)</f>
        <v>14395.73256</v>
      </c>
      <c r="L48" s="467">
        <f t="shared" si="2"/>
        <v>0.3542774804</v>
      </c>
      <c r="M48" s="468">
        <v>45977.0</v>
      </c>
      <c r="N48" s="469">
        <f>IF(SUMIF(GRAFICO!A:A,M48,GRAFICO!B:B)=0,"",SUMIF(GRAFICO!A:A,M48,GRAFICO!B:B))</f>
        <v>21437.05252</v>
      </c>
      <c r="O48" s="467">
        <f t="shared" si="3"/>
        <v>0.4320475761</v>
      </c>
      <c r="P48" s="465">
        <v>46342.0</v>
      </c>
      <c r="Q48" s="463" t="str">
        <f>IF(SUMIF(GRAFICO!A:A,P48,GRAFICO!B:B)=0,"",SUMIF(GRAFICO!A:A,P48,GRAFICO!B:B))</f>
        <v/>
      </c>
      <c r="R48" s="463" t="str">
        <f t="shared" si="4"/>
        <v/>
      </c>
      <c r="S48" s="471">
        <f>CUENTAS!A37</f>
        <v>46065</v>
      </c>
      <c r="Y48" s="459">
        <f>IF(CUENTAS!G37/CUENTAS!$AB37&lt;&gt;0,CUENTAS!G37/CUENTAS!$AB37,"")</f>
        <v>0.1073177126</v>
      </c>
      <c r="Z48" s="459">
        <f>IF(CUENTAS!H37/CUENTAS!$AB37&lt;&gt;0,CUENTAS!H37/CUENTAS!$AB37,"")</f>
        <v>0.02775018612</v>
      </c>
      <c r="AA48" s="459" t="str">
        <f>IF(CUENTAS!I37/CUENTAS!$AB37&lt;&gt;0,CUENTAS!I37/CUENTAS!$AB37,"")</f>
        <v/>
      </c>
      <c r="AB48" s="459">
        <f>IF(CUENTAS!J37/CUENTAS!$AB37&lt;&gt;0,CUENTAS!J37/CUENTAS!$AB37,"")</f>
        <v>0.1846872411</v>
      </c>
      <c r="AC48" s="459">
        <f>IF(CUENTAS!K37/CUENTAS!$AB37&lt;&gt;0,CUENTAS!K37/CUENTAS!$AB37,"")</f>
        <v>0.06851104257</v>
      </c>
      <c r="AD48" s="459">
        <f>IF(CUENTAS!L37/CUENTAS!$AB37&lt;&gt;0,CUENTAS!L37/CUENTAS!$AB37,"")</f>
        <v>0.005422959695</v>
      </c>
      <c r="AE48" s="459">
        <f>IF(CUENTAS!M37/CUENTAS!$AB37&lt;&gt;0,CUENTAS!M37/CUENTAS!$AB37,"")</f>
        <v>0.04032125686</v>
      </c>
      <c r="AF48" s="459">
        <f>IF(CUENTAS!N37/CUENTAS!$AB37&lt;&gt;0,CUENTAS!N37/CUENTAS!$AB37,"")</f>
        <v>0.08895722603</v>
      </c>
      <c r="AG48" s="459">
        <f>IF(CUENTAS!O37/CUENTAS!$AB37&lt;&gt;0,CUENTAS!O37/CUENTAS!$AB37,"")</f>
        <v>0.0269670339</v>
      </c>
      <c r="AH48" s="459">
        <f>IF(CUENTAS!P37/CUENTAS!$AB37&lt;&gt;0,CUENTAS!P37/CUENTAS!$AB37,"")</f>
        <v>0.04245276077</v>
      </c>
      <c r="AI48" s="459">
        <f>IF(CUENTAS!R37/CUENTAS!$AB37&lt;&gt;0,CUENTAS!R37/CUENTAS!$AB37,"")</f>
        <v>0.07155096612</v>
      </c>
      <c r="AJ48" s="459">
        <f>IF(CUENTAS!B37/CUENTAS!$AB37&lt;&gt;0,CUENTAS!B37/CUENTAS!$AB37,"")</f>
        <v>0.01358130754</v>
      </c>
      <c r="AK48" s="459">
        <f>IF(CUENTAS!S37/CUENTAS!$AB37&lt;&gt;0,CUENTAS!S37/CUENTAS!$AB37,"")</f>
        <v>0.0278740819</v>
      </c>
      <c r="AL48" s="459">
        <f>IF(CUENTAS!T37/CUENTAS!$AB37&lt;&gt;0,CUENTAS!T37/CUENTAS!$AB37,"")</f>
        <v>0.1057142823</v>
      </c>
      <c r="AM48" s="459">
        <f>IF(CUENTAS!U37/CUENTAS!$AB37&lt;&gt;0,CUENTAS!U37/CUENTAS!$AB37,"")</f>
        <v>0.04968546972</v>
      </c>
      <c r="AN48" s="459">
        <f>IF(CUENTAS!V37/CUENTAS!$AB37&lt;&gt;0,CUENTAS!V37/CUENTAS!$AB37,"")</f>
        <v>0.13872711</v>
      </c>
      <c r="AO48" s="459">
        <f>IF(CUENTAS!W37/CUENTAS!$AB37&lt;&gt;0,CUENTAS!W37/CUENTAS!$AB37,"")</f>
        <v>0.03727239356</v>
      </c>
      <c r="AP48" s="459">
        <f>IF(CUENTAS!X37/CUENTAS!$AB37&lt;&gt;0,CUENTAS!X37/CUENTAS!$AB37,"")</f>
        <v>0.04056093132</v>
      </c>
      <c r="AQ48" s="459">
        <f>IF(CUENTAS!Y37/CUENTAS!$AB37&lt;&gt;0,CUENTAS!Y37/CUENTAS!$AB37,"")</f>
        <v>0.09329087382</v>
      </c>
      <c r="AR48" s="459">
        <f>IF(CUENTAS!AA37/CUENTAS!$AB37&lt;&gt;0,CUENTAS!AA37/CUENTAS!$AB37,"")</f>
        <v>0.000762568613</v>
      </c>
    </row>
    <row r="49">
      <c r="A49" s="460">
        <v>21500.0</v>
      </c>
      <c r="B49" s="461">
        <v>24.0</v>
      </c>
      <c r="C49" s="462">
        <f>IFERROR(__xludf.DUMMYFUNCTION("STDEVP(FILTER(GRAFICO!B:B, GRAFICO!B:B&gt;= A49 ,GRAFICO!B:B &lt; A50))
"),75.01273636993476)</f>
        <v>75.01273637</v>
      </c>
      <c r="D49" s="463">
        <f t="shared" si="1"/>
        <v>782</v>
      </c>
      <c r="F49" s="472"/>
      <c r="G49" s="200"/>
      <c r="J49" s="465">
        <v>45611.0</v>
      </c>
      <c r="K49" s="466">
        <f>SUMIF(GRAFICO!A:A,J49,GRAFICO!B:B)</f>
        <v>14384.98853</v>
      </c>
      <c r="L49" s="467">
        <f t="shared" si="2"/>
        <v>0.3535308668</v>
      </c>
      <c r="M49" s="468">
        <v>45976.0</v>
      </c>
      <c r="N49" s="469">
        <f>IF(SUMIF(GRAFICO!A:A,M49,GRAFICO!B:B)=0,"",SUMIF(GRAFICO!A:A,M49,GRAFICO!B:B))</f>
        <v>21457.24071</v>
      </c>
      <c r="O49" s="467">
        <f t="shared" si="3"/>
        <v>0.4329888755</v>
      </c>
      <c r="P49" s="468">
        <v>46341.0</v>
      </c>
      <c r="Q49" s="463" t="str">
        <f>IF(SUMIF(GRAFICO!A:A,P49,GRAFICO!B:B)=0,"",SUMIF(GRAFICO!A:A,P49,GRAFICO!B:B))</f>
        <v/>
      </c>
      <c r="R49" s="463" t="str">
        <f t="shared" si="4"/>
        <v/>
      </c>
      <c r="S49" s="471">
        <f>CUENTAS!A38</f>
        <v>46064</v>
      </c>
      <c r="Y49" s="459">
        <f>IF(CUENTAS!G38/CUENTAS!$AB38&lt;&gt;0,CUENTAS!G38/CUENTAS!$AB38,"")</f>
        <v>0.107184326</v>
      </c>
      <c r="Z49" s="459">
        <f>IF(CUENTAS!H38/CUENTAS!$AB38&lt;&gt;0,CUENTAS!H38/CUENTAS!$AB38,"")</f>
        <v>0.02819099427</v>
      </c>
      <c r="AA49" s="459" t="str">
        <f>IF(CUENTAS!I38/CUENTAS!$AB38&lt;&gt;0,CUENTAS!I38/CUENTAS!$AB38,"")</f>
        <v/>
      </c>
      <c r="AB49" s="459">
        <f>IF(CUENTAS!J38/CUENTAS!$AB38&lt;&gt;0,CUENTAS!J38/CUENTAS!$AB38,"")</f>
        <v>0.1833280372</v>
      </c>
      <c r="AC49" s="459">
        <f>IF(CUENTAS!K38/CUENTAS!$AB38&lt;&gt;0,CUENTAS!K38/CUENTAS!$AB38,"")</f>
        <v>0.06803432486</v>
      </c>
      <c r="AD49" s="459">
        <f>IF(CUENTAS!L38/CUENTAS!$AB38&lt;&gt;0,CUENTAS!L38/CUENTAS!$AB38,"")</f>
        <v>0.005355878049</v>
      </c>
      <c r="AE49" s="459">
        <f>IF(CUENTAS!M38/CUENTAS!$AB38&lt;&gt;0,CUENTAS!M38/CUENTAS!$AB38,"")</f>
        <v>0.04181546761</v>
      </c>
      <c r="AF49" s="459">
        <f>IF(CUENTAS!N38/CUENTAS!$AB38&lt;&gt;0,CUENTAS!N38/CUENTAS!$AB38,"")</f>
        <v>0.09070362897</v>
      </c>
      <c r="AG49" s="459">
        <f>IF(CUENTAS!O38/CUENTAS!$AB38&lt;&gt;0,CUENTAS!O38/CUENTAS!$AB38,"")</f>
        <v>0.02746905126</v>
      </c>
      <c r="AH49" s="459">
        <f>IF(CUENTAS!P38/CUENTAS!$AB38&lt;&gt;0,CUENTAS!P38/CUENTAS!$AB38,"")</f>
        <v>0.04290938736</v>
      </c>
      <c r="AI49" s="459">
        <f>IF(CUENTAS!R38/CUENTAS!$AB38&lt;&gt;0,CUENTAS!R38/CUENTAS!$AB38,"")</f>
        <v>0.07161810428</v>
      </c>
      <c r="AJ49" s="459">
        <f>IF(CUENTAS!B38/CUENTAS!$AB38&lt;&gt;0,CUENTAS!B38/CUENTAS!$AB38,"")</f>
        <v>0.01348680526</v>
      </c>
      <c r="AK49" s="459">
        <f>IF(CUENTAS!S38/CUENTAS!$AB38&lt;&gt;0,CUENTAS!S38/CUENTAS!$AB38,"")</f>
        <v>0.0276369185</v>
      </c>
      <c r="AL49" s="459">
        <f>IF(CUENTAS!T38/CUENTAS!$AB38&lt;&gt;0,CUENTAS!T38/CUENTAS!$AB38,"")</f>
        <v>0.1048737782</v>
      </c>
      <c r="AM49" s="459">
        <f>IF(CUENTAS!U38/CUENTAS!$AB38&lt;&gt;0,CUENTAS!U38/CUENTAS!$AB38,"")</f>
        <v>0.04933974526</v>
      </c>
      <c r="AN49" s="459">
        <f>IF(CUENTAS!V38/CUENTAS!$AB38&lt;&gt;0,CUENTAS!V38/CUENTAS!$AB38,"")</f>
        <v>0.1377342637</v>
      </c>
      <c r="AO49" s="459">
        <f>IF(CUENTAS!W38/CUENTAS!$AB38&lt;&gt;0,CUENTAS!W38/CUENTAS!$AB38,"")</f>
        <v>0.03699737841</v>
      </c>
      <c r="AP49" s="459">
        <f>IF(CUENTAS!X38/CUENTAS!$AB38&lt;&gt;0,CUENTAS!X38/CUENTAS!$AB38,"")</f>
        <v>0.04021518504</v>
      </c>
      <c r="AQ49" s="459">
        <f>IF(CUENTAS!Y38/CUENTAS!$AB38&lt;&gt;0,CUENTAS!Y38/CUENTAS!$AB38,"")</f>
        <v>0.09259283791</v>
      </c>
      <c r="AR49" s="459">
        <f>IF(CUENTAS!AA38/CUENTAS!$AB38&lt;&gt;0,CUENTAS!AA38/CUENTAS!$AB38,"")</f>
        <v>0.0007572624616</v>
      </c>
    </row>
    <row r="50">
      <c r="A50" s="460">
        <v>21750.0</v>
      </c>
      <c r="B50" s="461">
        <v>16.0</v>
      </c>
      <c r="C50" s="462">
        <f>IFERROR(__xludf.DUMMYFUNCTION("STDEVP(FILTER(GRAFICO!B:B, GRAFICO!B:B&gt;= A50 ,GRAFICO!B:B &lt; A51))
"),59.08684781048086)</f>
        <v>59.08684781</v>
      </c>
      <c r="D50" s="463">
        <f t="shared" si="1"/>
        <v>798</v>
      </c>
      <c r="F50" s="472"/>
      <c r="G50" s="200"/>
      <c r="J50" s="465">
        <v>45610.0</v>
      </c>
      <c r="K50" s="466">
        <f>SUMIF(GRAFICO!A:A,J50,GRAFICO!B:B)</f>
        <v>14355.84002</v>
      </c>
      <c r="L50" s="467">
        <f t="shared" si="2"/>
        <v>0.3515024973</v>
      </c>
      <c r="M50" s="468">
        <v>45975.0</v>
      </c>
      <c r="N50" s="469">
        <f>IF(SUMIF(GRAFICO!A:A,M50,GRAFICO!B:B)=0,"",SUMIF(GRAFICO!A:A,M50,GRAFICO!B:B))</f>
        <v>21477.42327</v>
      </c>
      <c r="O50" s="467">
        <f t="shared" si="3"/>
        <v>0.4339290281</v>
      </c>
      <c r="P50" s="465">
        <v>46340.0</v>
      </c>
      <c r="Q50" s="463" t="str">
        <f>IF(SUMIF(GRAFICO!A:A,P50,GRAFICO!B:B)=0,"",SUMIF(GRAFICO!A:A,P50,GRAFICO!B:B))</f>
        <v/>
      </c>
      <c r="R50" s="463" t="str">
        <f t="shared" si="4"/>
        <v/>
      </c>
      <c r="S50" s="471">
        <f>CUENTAS!A39</f>
        <v>46063</v>
      </c>
      <c r="Y50" s="459">
        <f>IF(CUENTAS!G39/CUENTAS!$AB39&lt;&gt;0,CUENTAS!G39/CUENTAS!$AB39,"")</f>
        <v>0.1092272695</v>
      </c>
      <c r="Z50" s="459">
        <f>IF(CUENTAS!H39/CUENTAS!$AB39&lt;&gt;0,CUENTAS!H39/CUENTAS!$AB39,"")</f>
        <v>0.02801642284</v>
      </c>
      <c r="AA50" s="459">
        <f>IF(CUENTAS!I39/CUENTAS!$AB39&lt;&gt;0,CUENTAS!I39/CUENTAS!$AB39,"")</f>
        <v>0.01601872993</v>
      </c>
      <c r="AB50" s="459">
        <f>IF(CUENTAS!J39/CUENTAS!$AB39&lt;&gt;0,CUENTAS!J39/CUENTAS!$AB39,"")</f>
        <v>0.1497930785</v>
      </c>
      <c r="AC50" s="459">
        <f>IF(CUENTAS!K39/CUENTAS!$AB39&lt;&gt;0,CUENTAS!K39/CUENTAS!$AB39,"")</f>
        <v>0.06740252412</v>
      </c>
      <c r="AD50" s="459">
        <f>IF(CUENTAS!L39/CUENTAS!$AB39&lt;&gt;0,CUENTAS!L39/CUENTAS!$AB39,"")</f>
        <v>0.00535702149</v>
      </c>
      <c r="AE50" s="459">
        <f>IF(CUENTAS!M39/CUENTAS!$AB39&lt;&gt;0,CUENTAS!M39/CUENTAS!$AB39,"")</f>
        <v>0.04241350895</v>
      </c>
      <c r="AF50" s="459">
        <f>IF(CUENTAS!N39/CUENTAS!$AB39&lt;&gt;0,CUENTAS!N39/CUENTAS!$AB39,"")</f>
        <v>0.08995144144</v>
      </c>
      <c r="AG50" s="459">
        <f>IF(CUENTAS!O39/CUENTAS!$AB39&lt;&gt;0,CUENTAS!O39/CUENTAS!$AB39,"")</f>
        <v>0.02773149035</v>
      </c>
      <c r="AH50" s="459">
        <f>IF(CUENTAS!P39/CUENTAS!$AB39&lt;&gt;0,CUENTAS!P39/CUENTAS!$AB39,"")</f>
        <v>0.04184219024</v>
      </c>
      <c r="AI50" s="459">
        <f>IF(CUENTAS!R39/CUENTAS!$AB39&lt;&gt;0,CUENTAS!R39/CUENTAS!$AB39,"")</f>
        <v>0.07151278426</v>
      </c>
      <c r="AJ50" s="459">
        <f>IF(CUENTAS!B39/CUENTAS!$AB39&lt;&gt;0,CUENTAS!B39/CUENTAS!$AB39,"")</f>
        <v>0.01336156005</v>
      </c>
      <c r="AK50" s="459">
        <f>IF(CUENTAS!S39/CUENTAS!$AB39&lt;&gt;0,CUENTAS!S39/CUENTAS!$AB39,"")</f>
        <v>0.02733746125</v>
      </c>
      <c r="AL50" s="459">
        <f>IF(CUENTAS!T39/CUENTAS!$AB39&lt;&gt;0,CUENTAS!T39/CUENTAS!$AB39,"")</f>
        <v>0.1037959257</v>
      </c>
      <c r="AM50" s="459">
        <f>IF(CUENTAS!U39/CUENTAS!$AB39&lt;&gt;0,CUENTAS!U39/CUENTAS!$AB39,"")</f>
        <v>0.04888155172</v>
      </c>
      <c r="AN50" s="459">
        <f>IF(CUENTAS!V39/CUENTAS!$AB39&lt;&gt;0,CUENTAS!V39/CUENTAS!$AB39,"")</f>
        <v>0.1364279089</v>
      </c>
      <c r="AO50" s="459">
        <f>IF(CUENTAS!W39/CUENTAS!$AB39&lt;&gt;0,CUENTAS!W39/CUENTAS!$AB39,"")</f>
        <v>0.03663828362</v>
      </c>
      <c r="AP50" s="459">
        <f>IF(CUENTAS!X39/CUENTAS!$AB39&lt;&gt;0,CUENTAS!X39/CUENTAS!$AB39,"")</f>
        <v>0.03977880381</v>
      </c>
      <c r="AQ50" s="459">
        <f>IF(CUENTAS!Y39/CUENTAS!$AB39&lt;&gt;0,CUENTAS!Y39/CUENTAS!$AB39,"")</f>
        <v>0.09168453492</v>
      </c>
      <c r="AR50" s="459">
        <f>IF(CUENTAS!AA39/CUENTAS!$AB39&lt;&gt;0,CUENTAS!AA39/CUENTAS!$AB39,"")</f>
        <v>0.02151831942</v>
      </c>
    </row>
    <row r="51">
      <c r="A51" s="460">
        <v>22000.0</v>
      </c>
      <c r="B51" s="461">
        <v>16.0</v>
      </c>
      <c r="C51" s="462" t="str">
        <f>IFERROR(__xludf.DUMMYFUNCTION("STDEVP(FILTER(GRAFICO!B:B, GRAFICO!B:B&gt;= A51 ,GRAFICO!B:B &lt; A52))
"),"#N/A")</f>
        <v>#N/A</v>
      </c>
      <c r="D51" s="463">
        <f t="shared" si="1"/>
        <v>814</v>
      </c>
      <c r="F51" s="472"/>
      <c r="G51" s="200"/>
      <c r="J51" s="465">
        <v>45609.0</v>
      </c>
      <c r="K51" s="466">
        <f>SUMIF(GRAFICO!A:A,J51,GRAFICO!B:B)</f>
        <v>14262.63072</v>
      </c>
      <c r="L51" s="467">
        <f t="shared" si="2"/>
        <v>0.3449885478</v>
      </c>
      <c r="M51" s="468">
        <v>45974.0</v>
      </c>
      <c r="N51" s="469">
        <f>IF(SUMIF(GRAFICO!A:A,M51,GRAFICO!B:B)=0,"",SUMIF(GRAFICO!A:A,M51,GRAFICO!B:B))</f>
        <v>21227.76819</v>
      </c>
      <c r="O51" s="467">
        <f t="shared" si="3"/>
        <v>0.4222368702</v>
      </c>
      <c r="P51" s="468">
        <v>46339.0</v>
      </c>
      <c r="Q51" s="463" t="str">
        <f>IF(SUMIF(GRAFICO!A:A,P51,GRAFICO!B:B)=0,"",SUMIF(GRAFICO!A:A,P51,GRAFICO!B:B))</f>
        <v/>
      </c>
      <c r="R51" s="463" t="str">
        <f t="shared" si="4"/>
        <v/>
      </c>
      <c r="S51" s="471">
        <f>CUENTAS!A40</f>
        <v>46062</v>
      </c>
      <c r="Y51" s="459">
        <f>IF(CUENTAS!G40/CUENTAS!$AB40&lt;&gt;0,CUENTAS!G40/CUENTAS!$AB40,"")</f>
        <v>0.1091173075</v>
      </c>
      <c r="Z51" s="459">
        <f>IF(CUENTAS!H40/CUENTAS!$AB40&lt;&gt;0,CUENTAS!H40/CUENTAS!$AB40,"")</f>
        <v>0.02831514944</v>
      </c>
      <c r="AA51" s="459">
        <f>IF(CUENTAS!I40/CUENTAS!$AB40&lt;&gt;0,CUENTAS!I40/CUENTAS!$AB40,"")</f>
        <v>0.01598998809</v>
      </c>
      <c r="AB51" s="459">
        <f>IF(CUENTAS!J40/CUENTAS!$AB40&lt;&gt;0,CUENTAS!J40/CUENTAS!$AB40,"")</f>
        <v>0.15037424</v>
      </c>
      <c r="AC51" s="459">
        <f>IF(CUENTAS!K40/CUENTAS!$AB40&lt;&gt;0,CUENTAS!K40/CUENTAS!$AB40,"")</f>
        <v>0.06742844909</v>
      </c>
      <c r="AD51" s="459">
        <f>IF(CUENTAS!L40/CUENTAS!$AB40&lt;&gt;0,CUENTAS!L40/CUENTAS!$AB40,"")</f>
        <v>0.005316907363</v>
      </c>
      <c r="AE51" s="459">
        <f>IF(CUENTAS!M40/CUENTAS!$AB40&lt;&gt;0,CUENTAS!M40/CUENTAS!$AB40,"")</f>
        <v>0.04234401893</v>
      </c>
      <c r="AF51" s="459">
        <f>IF(CUENTAS!N40/CUENTAS!$AB40&lt;&gt;0,CUENTAS!N40/CUENTAS!$AB40,"")</f>
        <v>0.08872371017</v>
      </c>
      <c r="AG51" s="459">
        <f>IF(CUENTAS!O40/CUENTAS!$AB40&lt;&gt;0,CUENTAS!O40/CUENTAS!$AB40,"")</f>
        <v>0.02803083451</v>
      </c>
      <c r="AH51" s="459">
        <f>IF(CUENTAS!P40/CUENTAS!$AB40&lt;&gt;0,CUENTAS!P40/CUENTAS!$AB40,"")</f>
        <v>0.04172012581</v>
      </c>
      <c r="AI51" s="459">
        <f>IF(CUENTAS!R40/CUENTAS!$AB40&lt;&gt;0,CUENTAS!R40/CUENTAS!$AB40,"")</f>
        <v>0.07210026696</v>
      </c>
      <c r="AJ51" s="459">
        <f>IF(CUENTAS!B40/CUENTAS!$AB40&lt;&gt;0,CUENTAS!B40/CUENTAS!$AB40,"")</f>
        <v>0.01336669929</v>
      </c>
      <c r="AK51" s="459">
        <f>IF(CUENTAS!S40/CUENTAS!$AB40&lt;&gt;0,CUENTAS!S40/CUENTAS!$AB40,"")</f>
        <v>0.02730515256</v>
      </c>
      <c r="AL51" s="459">
        <f>IF(CUENTAS!T40/CUENTAS!$AB40&lt;&gt;0,CUENTAS!T40/CUENTAS!$AB40,"")</f>
        <v>0.1037318665</v>
      </c>
      <c r="AM51" s="459">
        <f>IF(CUENTAS!U40/CUENTAS!$AB40&lt;&gt;0,CUENTAS!U40/CUENTAS!$AB40,"")</f>
        <v>0.04890035299</v>
      </c>
      <c r="AN51" s="459">
        <f>IF(CUENTAS!V40/CUENTAS!$AB40&lt;&gt;0,CUENTAS!V40/CUENTAS!$AB40,"")</f>
        <v>0.1364530924</v>
      </c>
      <c r="AO51" s="459">
        <f>IF(CUENTAS!W40/CUENTAS!$AB40&lt;&gt;0,CUENTAS!W40/CUENTAS!$AB40,"")</f>
        <v>0.03663685115</v>
      </c>
      <c r="AP51" s="459">
        <f>IF(CUENTAS!X40/CUENTAS!$AB40&lt;&gt;0,CUENTAS!X40/CUENTAS!$AB40,"")</f>
        <v>0.03973115676</v>
      </c>
      <c r="AQ51" s="459">
        <f>IF(CUENTAS!Y40/CUENTAS!$AB40&lt;&gt;0,CUENTAS!Y40/CUENTAS!$AB40,"")</f>
        <v>0.09167134122</v>
      </c>
      <c r="AR51" s="459">
        <f>IF(CUENTAS!AA40/CUENTAS!$AB40&lt;&gt;0,CUENTAS!AA40/CUENTAS!$AB40,"")</f>
        <v>0.021526596</v>
      </c>
    </row>
    <row r="52">
      <c r="A52" s="473"/>
      <c r="B52" s="461">
        <v>2.0</v>
      </c>
      <c r="C52" s="463" t="str">
        <f>D51*#REF!</f>
        <v>#REF!</v>
      </c>
      <c r="D52" s="463">
        <f t="shared" si="1"/>
        <v>816</v>
      </c>
      <c r="F52" s="200"/>
      <c r="G52" s="200"/>
      <c r="J52" s="470">
        <v>45608.0</v>
      </c>
      <c r="K52" s="466">
        <f>SUMIF(GRAFICO!A:A,J52,GRAFICO!B:B)</f>
        <v>14253.57254</v>
      </c>
      <c r="L52" s="467">
        <f t="shared" si="2"/>
        <v>0.3443532476</v>
      </c>
      <c r="M52" s="468">
        <v>45973.0</v>
      </c>
      <c r="N52" s="469">
        <f>IF(SUMIF(GRAFICO!A:A,M52,GRAFICO!B:B)=0,"",SUMIF(GRAFICO!A:A,M52,GRAFICO!B:B))</f>
        <v>21285.44172</v>
      </c>
      <c r="O52" s="467">
        <f t="shared" si="3"/>
        <v>0.4249500769</v>
      </c>
      <c r="P52" s="465">
        <v>46338.0</v>
      </c>
      <c r="Q52" s="463" t="str">
        <f>IF(SUMIF(GRAFICO!A:A,P52,GRAFICO!B:B)=0,"",SUMIF(GRAFICO!A:A,P52,GRAFICO!B:B))</f>
        <v/>
      </c>
      <c r="R52" s="463" t="str">
        <f t="shared" si="4"/>
        <v/>
      </c>
      <c r="S52" s="471">
        <f>CUENTAS!A41</f>
        <v>46061</v>
      </c>
      <c r="Y52" s="459">
        <f>IF(CUENTAS!G41/CUENTAS!$AB41&lt;&gt;0,CUENTAS!G41/CUENTAS!$AB41,"")</f>
        <v>0.1084556052</v>
      </c>
      <c r="Z52" s="459">
        <f>IF(CUENTAS!H41/CUENTAS!$AB41&lt;&gt;0,CUENTAS!H41/CUENTAS!$AB41,"")</f>
        <v>0.02784661068</v>
      </c>
      <c r="AA52" s="459">
        <f>IF(CUENTAS!I41/CUENTAS!$AB41&lt;&gt;0,CUENTAS!I41/CUENTAS!$AB41,"")</f>
        <v>0.01587476073</v>
      </c>
      <c r="AB52" s="459">
        <f>IF(CUENTAS!J41/CUENTAS!$AB41&lt;&gt;0,CUENTAS!J41/CUENTAS!$AB41,"")</f>
        <v>0.1496846684</v>
      </c>
      <c r="AC52" s="459">
        <f>IF(CUENTAS!K41/CUENTAS!$AB41&lt;&gt;0,CUENTAS!K41/CUENTAS!$AB41,"")</f>
        <v>0.06777470363</v>
      </c>
      <c r="AD52" s="459">
        <f>IF(CUENTAS!L41/CUENTAS!$AB41&lt;&gt;0,CUENTAS!L41/CUENTAS!$AB41,"")</f>
        <v>0.005309128083</v>
      </c>
      <c r="AE52" s="459">
        <f>IF(CUENTAS!M41/CUENTAS!$AB41&lt;&gt;0,CUENTAS!M41/CUENTAS!$AB41,"")</f>
        <v>0.04269082755</v>
      </c>
      <c r="AF52" s="459">
        <f>IF(CUENTAS!N41/CUENTAS!$AB41&lt;&gt;0,CUENTAS!N41/CUENTAS!$AB41,"")</f>
        <v>0.08700421352</v>
      </c>
      <c r="AG52" s="459">
        <f>IF(CUENTAS!O41/CUENTAS!$AB41&lt;&gt;0,CUENTAS!O41/CUENTAS!$AB41,"")</f>
        <v>0.02810607385</v>
      </c>
      <c r="AH52" s="459">
        <f>IF(CUENTAS!P41/CUENTAS!$AB41&lt;&gt;0,CUENTAS!P41/CUENTAS!$AB41,"")</f>
        <v>0.04221209973</v>
      </c>
      <c r="AI52" s="459">
        <f>IF(CUENTAS!R41/CUENTAS!$AB41&lt;&gt;0,CUENTAS!R41/CUENTAS!$AB41,"")</f>
        <v>0.0730333643</v>
      </c>
      <c r="AJ52" s="459">
        <f>IF(CUENTAS!B41/CUENTAS!$AB41&lt;&gt;0,CUENTAS!B41/CUENTAS!$AB41,"")</f>
        <v>0.01343533917</v>
      </c>
      <c r="AK52" s="459">
        <f>IF(CUENTAS!S41/CUENTAS!$AB41&lt;&gt;0,CUENTAS!S41/CUENTAS!$AB41,"")</f>
        <v>0.02740232497</v>
      </c>
      <c r="AL52" s="459">
        <f>IF(CUENTAS!T41/CUENTAS!$AB41&lt;&gt;0,CUENTAS!T41/CUENTAS!$AB41,"")</f>
        <v>0.104160028</v>
      </c>
      <c r="AM52" s="459">
        <f>IF(CUENTAS!U41/CUENTAS!$AB41&lt;&gt;0,CUENTAS!U41/CUENTAS!$AB41,"")</f>
        <v>0.04915146316</v>
      </c>
      <c r="AN52" s="459">
        <f>IF(CUENTAS!V41/CUENTAS!$AB41&lt;&gt;0,CUENTAS!V41/CUENTAS!$AB41,"")</f>
        <v>0.1371263729</v>
      </c>
      <c r="AO52" s="459">
        <f>IF(CUENTAS!W41/CUENTAS!$AB41&lt;&gt;0,CUENTAS!W41/CUENTAS!$AB41,"")</f>
        <v>0.03680938219</v>
      </c>
      <c r="AP52" s="459">
        <f>IF(CUENTAS!X41/CUENTAS!$AB41&lt;&gt;0,CUENTAS!X41/CUENTAS!$AB41,"")</f>
        <v>0.03987191145</v>
      </c>
      <c r="AQ52" s="459">
        <f>IF(CUENTAS!Y41/CUENTAS!$AB41&lt;&gt;0,CUENTAS!Y41/CUENTAS!$AB41,"")</f>
        <v>0.09209337933</v>
      </c>
      <c r="AR52" s="459">
        <f>IF(CUENTAS!AA41/CUENTAS!$AB41&lt;&gt;0,CUENTAS!AA41/CUENTAS!$AB41,"")</f>
        <v>0.02163713809</v>
      </c>
    </row>
    <row r="53">
      <c r="A53" s="473"/>
      <c r="B53" s="461"/>
      <c r="C53" s="463"/>
      <c r="D53" s="463"/>
      <c r="F53" s="200"/>
      <c r="G53" s="200"/>
      <c r="J53" s="465">
        <v>45607.0</v>
      </c>
      <c r="K53" s="466">
        <f>SUMIF(GRAFICO!A:A,J53,GRAFICO!B:B)</f>
        <v>14244.21597</v>
      </c>
      <c r="L53" s="467">
        <f t="shared" si="2"/>
        <v>0.3436965952</v>
      </c>
      <c r="M53" s="468">
        <v>45972.0</v>
      </c>
      <c r="N53" s="469">
        <f>IF(SUMIF(GRAFICO!A:A,M53,GRAFICO!B:B)=0,"",SUMIF(GRAFICO!A:A,M53,GRAFICO!B:B))</f>
        <v>21254.355</v>
      </c>
      <c r="O53" s="467">
        <f t="shared" si="3"/>
        <v>0.4234885408</v>
      </c>
      <c r="P53" s="468">
        <v>46337.0</v>
      </c>
      <c r="Q53" s="463" t="str">
        <f>IF(SUMIF(GRAFICO!A:A,P53,GRAFICO!B:B)=0,"",SUMIF(GRAFICO!A:A,P53,GRAFICO!B:B))</f>
        <v/>
      </c>
      <c r="R53" s="463" t="str">
        <f t="shared" si="4"/>
        <v/>
      </c>
      <c r="S53" s="471">
        <f>CUENTAS!A42</f>
        <v>46060</v>
      </c>
      <c r="Y53" s="459">
        <f>IF(CUENTAS!G42/CUENTAS!$AB42&lt;&gt;0,CUENTAS!G42/CUENTAS!$AB42,"")</f>
        <v>0.1084304783</v>
      </c>
      <c r="Z53" s="459">
        <f>IF(CUENTAS!H42/CUENTAS!$AB42&lt;&gt;0,CUENTAS!H42/CUENTAS!$AB42,"")</f>
        <v>0.02784015919</v>
      </c>
      <c r="AA53" s="459">
        <f>IF(CUENTAS!I42/CUENTAS!$AB42&lt;&gt;0,CUENTAS!I42/CUENTAS!$AB42,"")</f>
        <v>0.01587108288</v>
      </c>
      <c r="AB53" s="459">
        <f>IF(CUENTAS!J42/CUENTAS!$AB42&lt;&gt;0,CUENTAS!J42/CUENTAS!$AB42,"")</f>
        <v>0.1496499896</v>
      </c>
      <c r="AC53" s="459">
        <f>IF(CUENTAS!K42/CUENTAS!$AB42&lt;&gt;0,CUENTAS!K42/CUENTAS!$AB42,"")</f>
        <v>0.06775900163</v>
      </c>
      <c r="AD53" s="459">
        <f>IF(CUENTAS!L42/CUENTAS!$AB42&lt;&gt;0,CUENTAS!L42/CUENTAS!$AB42,"")</f>
        <v>0.005307898068</v>
      </c>
      <c r="AE53" s="459">
        <f>IF(CUENTAS!M42/CUENTAS!$AB42&lt;&gt;0,CUENTAS!M42/CUENTAS!$AB42,"")</f>
        <v>0.04268093697</v>
      </c>
      <c r="AF53" s="459">
        <f>IF(CUENTAS!N42/CUENTAS!$AB42&lt;&gt;0,CUENTAS!N42/CUENTAS!$AB42,"")</f>
        <v>0.08698405644</v>
      </c>
      <c r="AG53" s="459">
        <f>IF(CUENTAS!O42/CUENTAS!$AB42&lt;&gt;0,CUENTAS!O42/CUENTAS!$AB42,"")</f>
        <v>0.02809956225</v>
      </c>
      <c r="AH53" s="459">
        <f>IF(CUENTAS!P42/CUENTAS!$AB42&lt;&gt;0,CUENTAS!P42/CUENTAS!$AB42,"")</f>
        <v>0.04220232006</v>
      </c>
      <c r="AI53" s="459">
        <f>IF(CUENTAS!R42/CUENTAS!$AB42&lt;&gt;0,CUENTAS!R42/CUENTAS!$AB42,"")</f>
        <v>0.07357916593</v>
      </c>
      <c r="AJ53" s="459">
        <f>IF(CUENTAS!B42/CUENTAS!$AB42&lt;&gt;0,CUENTAS!B42/CUENTAS!$AB42,"")</f>
        <v>0.01343222648</v>
      </c>
      <c r="AK53" s="459">
        <f>IF(CUENTAS!S42/CUENTAS!$AB42&lt;&gt;0,CUENTAS!S42/CUENTAS!$AB42,"")</f>
        <v>0.02735294301</v>
      </c>
      <c r="AL53" s="459">
        <f>IF(CUENTAS!T42/CUENTAS!$AB42&lt;&gt;0,CUENTAS!T42/CUENTAS!$AB42,"")</f>
        <v>0.1040314043</v>
      </c>
      <c r="AM53" s="459">
        <f>IF(CUENTAS!U42/CUENTAS!$AB42&lt;&gt;0,CUENTAS!U42/CUENTAS!$AB42,"")</f>
        <v>0.04914007578</v>
      </c>
      <c r="AN53" s="459">
        <f>IF(CUENTAS!V42/CUENTAS!$AB42&lt;&gt;0,CUENTAS!V42/CUENTAS!$AB42,"")</f>
        <v>0.1370671901</v>
      </c>
      <c r="AO53" s="459">
        <f>IF(CUENTAS!W42/CUENTAS!$AB42&lt;&gt;0,CUENTAS!W42/CUENTAS!$AB42,"")</f>
        <v>0.03678525349</v>
      </c>
      <c r="AP53" s="459">
        <f>IF(CUENTAS!X42/CUENTAS!$AB42&lt;&gt;0,CUENTAS!X42/CUENTAS!$AB42,"")</f>
        <v>0.03979941824</v>
      </c>
      <c r="AQ53" s="459">
        <f>IF(CUENTAS!Y42/CUENTAS!$AB42&lt;&gt;0,CUENTAS!Y42/CUENTAS!$AB42,"")</f>
        <v>0.09202334739</v>
      </c>
      <c r="AR53" s="459">
        <f>IF(CUENTAS!AA42/CUENTAS!$AB42&lt;&gt;0,CUENTAS!AA42/CUENTAS!$AB42,"")</f>
        <v>0.02163212521</v>
      </c>
    </row>
    <row r="54">
      <c r="A54" s="473"/>
      <c r="B54" s="461"/>
      <c r="C54" s="463"/>
      <c r="D54" s="463"/>
      <c r="F54" s="200"/>
      <c r="G54" s="200"/>
      <c r="J54" s="470">
        <v>45606.0</v>
      </c>
      <c r="K54" s="466">
        <f>SUMIF(GRAFICO!A:A,J54,GRAFICO!B:B)</f>
        <v>14235.1578</v>
      </c>
      <c r="L54" s="467">
        <f t="shared" si="2"/>
        <v>0.3430604734</v>
      </c>
      <c r="M54" s="468">
        <v>45971.0</v>
      </c>
      <c r="N54" s="469">
        <f>IF(SUMIF(GRAFICO!A:A,M54,GRAFICO!B:B)=0,"",SUMIF(GRAFICO!A:A,M54,GRAFICO!B:B))</f>
        <v>21247.14424</v>
      </c>
      <c r="O54" s="467">
        <f t="shared" si="3"/>
        <v>0.4231492229</v>
      </c>
      <c r="P54" s="465">
        <v>46336.0</v>
      </c>
      <c r="Q54" s="463" t="str">
        <f>IF(SUMIF(GRAFICO!A:A,P54,GRAFICO!B:B)=0,"",SUMIF(GRAFICO!A:A,P54,GRAFICO!B:B))</f>
        <v/>
      </c>
      <c r="R54" s="463" t="str">
        <f t="shared" si="4"/>
        <v/>
      </c>
      <c r="S54" s="471">
        <f>CUENTAS!A43</f>
        <v>46059</v>
      </c>
      <c r="Y54" s="459">
        <f>IF(CUENTAS!G43/CUENTAS!$AB43&lt;&gt;0,CUENTAS!G43/CUENTAS!$AB43,"")</f>
        <v>0.1084053624</v>
      </c>
      <c r="Z54" s="459">
        <f>IF(CUENTAS!H43/CUENTAS!$AB43&lt;&gt;0,CUENTAS!H43/CUENTAS!$AB43,"")</f>
        <v>0.02783371055</v>
      </c>
      <c r="AA54" s="459">
        <f>IF(CUENTAS!I43/CUENTAS!$AB43&lt;&gt;0,CUENTAS!I43/CUENTAS!$AB43,"")</f>
        <v>0.01586740664</v>
      </c>
      <c r="AB54" s="459">
        <f>IF(CUENTAS!J43/CUENTAS!$AB43&lt;&gt;0,CUENTAS!J43/CUENTAS!$AB43,"")</f>
        <v>0.149615326</v>
      </c>
      <c r="AC54" s="459">
        <f>IF(CUENTAS!K43/CUENTAS!$AB43&lt;&gt;0,CUENTAS!K43/CUENTAS!$AB43,"")</f>
        <v>0.06774330653</v>
      </c>
      <c r="AD54" s="459">
        <f>IF(CUENTAS!L43/CUENTAS!$AB43&lt;&gt;0,CUENTAS!L43/CUENTAS!$AB43,"")</f>
        <v>0.005306668593</v>
      </c>
      <c r="AE54" s="459">
        <f>IF(CUENTAS!M43/CUENTAS!$AB43&lt;&gt;0,CUENTAS!M43/CUENTAS!$AB43,"")</f>
        <v>0.04267105073</v>
      </c>
      <c r="AF54" s="459">
        <f>IF(CUENTAS!N43/CUENTAS!$AB43&lt;&gt;0,CUENTAS!N43/CUENTAS!$AB43,"")</f>
        <v>0.08696390822</v>
      </c>
      <c r="AG54" s="459">
        <f>IF(CUENTAS!O43/CUENTAS!$AB43&lt;&gt;0,CUENTAS!O43/CUENTAS!$AB43,"")</f>
        <v>0.02809305352</v>
      </c>
      <c r="AH54" s="459">
        <f>IF(CUENTAS!P43/CUENTAS!$AB43&lt;&gt;0,CUENTAS!P43/CUENTAS!$AB43,"")</f>
        <v>0.04219254469</v>
      </c>
      <c r="AI54" s="459">
        <f>IF(CUENTAS!R43/CUENTAS!$AB43&lt;&gt;0,CUENTAS!R43/CUENTAS!$AB43,"")</f>
        <v>0.07412471432</v>
      </c>
      <c r="AJ54" s="459">
        <f>IF(CUENTAS!B43/CUENTAS!$AB43&lt;&gt;0,CUENTAS!B43/CUENTAS!$AB43,"")</f>
        <v>0.01342911515</v>
      </c>
      <c r="AK54" s="459">
        <f>IF(CUENTAS!S43/CUENTAS!$AB43&lt;&gt;0,CUENTAS!S43/CUENTAS!$AB43,"")</f>
        <v>0.02730358377</v>
      </c>
      <c r="AL54" s="459">
        <f>IF(CUENTAS!T43/CUENTAS!$AB43&lt;&gt;0,CUENTAS!T43/CUENTAS!$AB43,"")</f>
        <v>0.1039028397</v>
      </c>
      <c r="AM54" s="459">
        <f>IF(CUENTAS!U43/CUENTAS!$AB43&lt;&gt;0,CUENTAS!U43/CUENTAS!$AB43,"")</f>
        <v>0.0491286934</v>
      </c>
      <c r="AN54" s="459">
        <f>IF(CUENTAS!V43/CUENTAS!$AB43&lt;&gt;0,CUENTAS!V43/CUENTAS!$AB43,"")</f>
        <v>0.1370080395</v>
      </c>
      <c r="AO54" s="459">
        <f>IF(CUENTAS!W43/CUENTAS!$AB43&lt;&gt;0,CUENTAS!W43/CUENTAS!$AB43,"")</f>
        <v>0.03676113578</v>
      </c>
      <c r="AP54" s="459">
        <f>IF(CUENTAS!X43/CUENTAS!$AB43&lt;&gt;0,CUENTAS!X43/CUENTAS!$AB43,"")</f>
        <v>0.03972695839</v>
      </c>
      <c r="AQ54" s="459">
        <f>IF(CUENTAS!Y43/CUENTAS!$AB43&lt;&gt;0,CUENTAS!Y43/CUENTAS!$AB43,"")</f>
        <v>0.0919533474</v>
      </c>
      <c r="AR54" s="459">
        <f>IF(CUENTAS!AA43/CUENTAS!$AB43&lt;&gt;0,CUENTAS!AA43/CUENTAS!$AB43,"")</f>
        <v>0.02162711453</v>
      </c>
    </row>
    <row r="55">
      <c r="A55" s="473"/>
      <c r="B55" s="461"/>
      <c r="C55" s="463"/>
      <c r="D55" s="463"/>
      <c r="F55" s="200"/>
      <c r="G55" s="200"/>
      <c r="J55" s="470">
        <v>45605.0</v>
      </c>
      <c r="K55" s="466">
        <f>SUMIF(GRAFICO!A:A,J55,GRAFICO!B:B)</f>
        <v>14226.09962</v>
      </c>
      <c r="L55" s="467">
        <f t="shared" si="2"/>
        <v>0.3424239467</v>
      </c>
      <c r="M55" s="468">
        <v>45970.0</v>
      </c>
      <c r="N55" s="469">
        <f>IF(SUMIF(GRAFICO!A:A,M55,GRAFICO!B:B)=0,"",SUMIF(GRAFICO!A:A,M55,GRAFICO!B:B))</f>
        <v>21198.97769</v>
      </c>
      <c r="O55" s="467">
        <f t="shared" si="3"/>
        <v>0.4208796837</v>
      </c>
      <c r="P55" s="468">
        <v>46335.0</v>
      </c>
      <c r="Q55" s="463" t="str">
        <f>IF(SUMIF(GRAFICO!A:A,P55,GRAFICO!B:B)=0,"",SUMIF(GRAFICO!A:A,P55,GRAFICO!B:B))</f>
        <v/>
      </c>
      <c r="R55" s="463" t="str">
        <f t="shared" si="4"/>
        <v/>
      </c>
      <c r="S55" s="471">
        <f>CUENTAS!A44</f>
        <v>46058</v>
      </c>
      <c r="Y55" s="459">
        <f>IF(CUENTAS!G44/CUENTAS!$AB44&lt;&gt;0,CUENTAS!G44/CUENTAS!$AB44,"")</f>
        <v>0.1076605446</v>
      </c>
      <c r="Z55" s="459">
        <f>IF(CUENTAS!H44/CUENTAS!$AB44&lt;&gt;0,CUENTAS!H44/CUENTAS!$AB44,"")</f>
        <v>0.02733091337</v>
      </c>
      <c r="AA55" s="459">
        <f>IF(CUENTAS!I44/CUENTAS!$AB44&lt;&gt;0,CUENTAS!I44/CUENTAS!$AB44,"")</f>
        <v>0.01551989669</v>
      </c>
      <c r="AB55" s="459">
        <f>IF(CUENTAS!J44/CUENTAS!$AB44&lt;&gt;0,CUENTAS!J44/CUENTAS!$AB44,"")</f>
        <v>0.147177778</v>
      </c>
      <c r="AC55" s="459">
        <f>IF(CUENTAS!K44/CUENTAS!$AB44&lt;&gt;0,CUENTAS!K44/CUENTAS!$AB44,"")</f>
        <v>0.06823897675</v>
      </c>
      <c r="AD55" s="459">
        <f>IF(CUENTAS!L44/CUENTAS!$AB44&lt;&gt;0,CUENTAS!L44/CUENTAS!$AB44,"")</f>
        <v>0.005246887784</v>
      </c>
      <c r="AE55" s="459">
        <f>IF(CUENTAS!M44/CUENTAS!$AB44&lt;&gt;0,CUENTAS!M44/CUENTAS!$AB44,"")</f>
        <v>0.0426359305</v>
      </c>
      <c r="AF55" s="459">
        <f>IF(CUENTAS!N44/CUENTAS!$AB44&lt;&gt;0,CUENTAS!N44/CUENTAS!$AB44,"")</f>
        <v>0.08358520366</v>
      </c>
      <c r="AG55" s="459">
        <f>IF(CUENTAS!O44/CUENTAS!$AB44&lt;&gt;0,CUENTAS!O44/CUENTAS!$AB44,"")</f>
        <v>0.03145336293</v>
      </c>
      <c r="AH55" s="459">
        <f>IF(CUENTAS!P44/CUENTAS!$AB44&lt;&gt;0,CUENTAS!P44/CUENTAS!$AB44,"")</f>
        <v>0.04249758339</v>
      </c>
      <c r="AI55" s="459">
        <f>IF(CUENTAS!R44/CUENTAS!$AB44&lt;&gt;0,CUENTAS!R44/CUENTAS!$AB44,"")</f>
        <v>0.07523378462</v>
      </c>
      <c r="AJ55" s="459">
        <f>IF(CUENTAS!B44/CUENTAS!$AB44&lt;&gt;0,CUENTAS!B44/CUENTAS!$AB44,"")</f>
        <v>0.01352737449</v>
      </c>
      <c r="AK55" s="459">
        <f>IF(CUENTAS!S44/CUENTAS!$AB44&lt;&gt;0,CUENTAS!S44/CUENTAS!$AB44,"")</f>
        <v>0.02746002281</v>
      </c>
      <c r="AL55" s="459">
        <f>IF(CUENTAS!T44/CUENTAS!$AB44&lt;&gt;0,CUENTAS!T44/CUENTAS!$AB44,"")</f>
        <v>0.104557853</v>
      </c>
      <c r="AM55" s="459">
        <f>IF(CUENTAS!U44/CUENTAS!$AB44&lt;&gt;0,CUENTAS!U44/CUENTAS!$AB44,"")</f>
        <v>0.04948816257</v>
      </c>
      <c r="AN55" s="459">
        <f>IF(CUENTAS!V44/CUENTAS!$AB44&lt;&gt;0,CUENTAS!V44/CUENTAS!$AB44,"")</f>
        <v>0.1379829154</v>
      </c>
      <c r="AO55" s="459">
        <f>IF(CUENTAS!W44/CUENTAS!$AB44&lt;&gt;0,CUENTAS!W44/CUENTAS!$AB44,"")</f>
        <v>0.03701440168</v>
      </c>
      <c r="AP55" s="459">
        <f>IF(CUENTAS!X44/CUENTAS!$AB44&lt;&gt;0,CUENTAS!X44/CUENTAS!$AB44,"")</f>
        <v>0.03995393233</v>
      </c>
      <c r="AQ55" s="459">
        <f>IF(CUENTAS!Y44/CUENTAS!$AB44&lt;&gt;0,CUENTAS!Y44/CUENTAS!$AB44,"")</f>
        <v>0.09257711905</v>
      </c>
      <c r="AR55" s="459">
        <f>IF(CUENTAS!AA44/CUENTAS!$AB44&lt;&gt;0,CUENTAS!AA44/CUENTAS!$AB44,"")</f>
        <v>0.02178535772</v>
      </c>
    </row>
    <row r="56">
      <c r="A56" s="473"/>
      <c r="B56" s="461"/>
      <c r="C56" s="463"/>
      <c r="D56" s="463"/>
      <c r="F56" s="200"/>
      <c r="G56" s="200"/>
      <c r="J56" s="470">
        <v>45604.0</v>
      </c>
      <c r="K56" s="466">
        <f>SUMIF(GRAFICO!A:A,J56,GRAFICO!B:B)</f>
        <v>14217.04145</v>
      </c>
      <c r="L56" s="467">
        <f t="shared" si="2"/>
        <v>0.3417870146</v>
      </c>
      <c r="M56" s="468">
        <v>45969.0</v>
      </c>
      <c r="N56" s="469">
        <f>IF(SUMIF(GRAFICO!A:A,M56,GRAFICO!B:B)=0,"",SUMIF(GRAFICO!A:A,M56,GRAFICO!B:B))</f>
        <v>21192.98411</v>
      </c>
      <c r="O56" s="467">
        <f t="shared" si="3"/>
        <v>0.4205969138</v>
      </c>
      <c r="P56" s="465">
        <v>46334.0</v>
      </c>
      <c r="Q56" s="463" t="str">
        <f>IF(SUMIF(GRAFICO!A:A,P56,GRAFICO!B:B)=0,"",SUMIF(GRAFICO!A:A,P56,GRAFICO!B:B))</f>
        <v/>
      </c>
      <c r="R56" s="463" t="str">
        <f t="shared" si="4"/>
        <v/>
      </c>
      <c r="S56" s="471">
        <f>CUENTAS!A45</f>
        <v>46057</v>
      </c>
      <c r="Y56" s="459">
        <f>IF(CUENTAS!G45/CUENTAS!$AB45&lt;&gt;0,CUENTAS!G45/CUENTAS!$AB45,"")</f>
        <v>0.1088881405</v>
      </c>
      <c r="Z56" s="459">
        <f>IF(CUENTAS!H45/CUENTAS!$AB45&lt;&gt;0,CUENTAS!H45/CUENTAS!$AB45,"")</f>
        <v>0.02721078799</v>
      </c>
      <c r="AA56" s="459">
        <f>IF(CUENTAS!I45/CUENTAS!$AB45&lt;&gt;0,CUENTAS!I45/CUENTAS!$AB45,"")</f>
        <v>0.01556021701</v>
      </c>
      <c r="AB56" s="459">
        <f>IF(CUENTAS!J45/CUENTAS!$AB45&lt;&gt;0,CUENTAS!J45/CUENTAS!$AB45,"")</f>
        <v>0.1508130714</v>
      </c>
      <c r="AC56" s="459">
        <f>IF(CUENTAS!K45/CUENTAS!$AB45&lt;&gt;0,CUENTAS!K45/CUENTAS!$AB45,"")</f>
        <v>0.06728683655</v>
      </c>
      <c r="AD56" s="459">
        <f>IF(CUENTAS!L45/CUENTAS!$AB45&lt;&gt;0,CUENTAS!L45/CUENTAS!$AB45,"")</f>
        <v>0.005297033396</v>
      </c>
      <c r="AE56" s="459">
        <f>IF(CUENTAS!M45/CUENTAS!$AB45&lt;&gt;0,CUENTAS!M45/CUENTAS!$AB45,"")</f>
        <v>0.04216946518</v>
      </c>
      <c r="AF56" s="459">
        <f>IF(CUENTAS!N45/CUENTAS!$AB45&lt;&gt;0,CUENTAS!N45/CUENTAS!$AB45,"")</f>
        <v>0.08547815534</v>
      </c>
      <c r="AG56" s="459">
        <f>IF(CUENTAS!O45/CUENTAS!$AB45&lt;&gt;0,CUENTAS!O45/CUENTAS!$AB45,"")</f>
        <v>0.03210872983</v>
      </c>
      <c r="AH56" s="459">
        <f>IF(CUENTAS!P45/CUENTAS!$AB45&lt;&gt;0,CUENTAS!P45/CUENTAS!$AB45,"")</f>
        <v>0.04253953189</v>
      </c>
      <c r="AI56" s="459">
        <f>IF(CUENTAS!R45/CUENTAS!$AB45&lt;&gt;0,CUENTAS!R45/CUENTAS!$AB45,"")</f>
        <v>0.07013515299</v>
      </c>
      <c r="AJ56" s="459">
        <f>IF(CUENTAS!B45/CUENTAS!$AB45&lt;&gt;0,CUENTAS!B45/CUENTAS!$AB45,"")</f>
        <v>0.01333862669</v>
      </c>
      <c r="AK56" s="459">
        <f>IF(CUENTAS!S45/CUENTAS!$AB45&lt;&gt;0,CUENTAS!S45/CUENTAS!$AB45,"")</f>
        <v>0.02703413887</v>
      </c>
      <c r="AL56" s="459">
        <f>IF(CUENTAS!T45/CUENTAS!$AB45&lt;&gt;0,CUENTAS!T45/CUENTAS!$AB45,"")</f>
        <v>0.1029951908</v>
      </c>
      <c r="AM56" s="459">
        <f>IF(CUENTAS!U45/CUENTAS!$AB45&lt;&gt;0,CUENTAS!U45/CUENTAS!$AB45,"")</f>
        <v>0.04879765296</v>
      </c>
      <c r="AN56" s="459">
        <f>IF(CUENTAS!V45/CUENTAS!$AB45&lt;&gt;0,CUENTAS!V45/CUENTAS!$AB45,"")</f>
        <v>0.1360304302</v>
      </c>
      <c r="AO56" s="459">
        <f>IF(CUENTAS!W45/CUENTAS!$AB45&lt;&gt;0,CUENTAS!W45/CUENTAS!$AB45,"")</f>
        <v>0.03648244677</v>
      </c>
      <c r="AP56" s="459">
        <f>IF(CUENTAS!X45/CUENTAS!$AB45&lt;&gt;0,CUENTAS!X45/CUENTAS!$AB45,"")</f>
        <v>0.03933363915</v>
      </c>
      <c r="AQ56" s="459">
        <f>IF(CUENTAS!Y45/CUENTAS!$AB45&lt;&gt;0,CUENTAS!Y45/CUENTAS!$AB45,"")</f>
        <v>0.09123703164</v>
      </c>
      <c r="AR56" s="459">
        <f>IF(CUENTAS!AA45/CUENTAS!$AB45&lt;&gt;0,CUENTAS!AA45/CUENTAS!$AB45,"")</f>
        <v>0.02583511214</v>
      </c>
    </row>
    <row r="57">
      <c r="A57" s="473"/>
      <c r="B57" s="461"/>
      <c r="C57" s="461"/>
      <c r="D57" s="463"/>
      <c r="F57" s="200"/>
      <c r="G57" s="200"/>
      <c r="J57" s="465">
        <v>45603.0</v>
      </c>
      <c r="K57" s="466">
        <f>SUMIF(GRAFICO!A:A,J57,GRAFICO!B:B)</f>
        <v>14281.38869</v>
      </c>
      <c r="L57" s="467">
        <f t="shared" si="2"/>
        <v>0.3463028671</v>
      </c>
      <c r="M57" s="468">
        <v>45968.0</v>
      </c>
      <c r="N57" s="469">
        <f>IF(SUMIF(GRAFICO!A:A,M57,GRAFICO!B:B)=0,"",SUMIF(GRAFICO!A:A,M57,GRAFICO!B:B))</f>
        <v>21186.99138</v>
      </c>
      <c r="O57" s="467">
        <f t="shared" si="3"/>
        <v>0.4203141044</v>
      </c>
      <c r="P57" s="468">
        <v>46333.0</v>
      </c>
      <c r="Q57" s="463" t="str">
        <f>IF(SUMIF(GRAFICO!A:A,P57,GRAFICO!B:B)=0,"",SUMIF(GRAFICO!A:A,P57,GRAFICO!B:B))</f>
        <v/>
      </c>
      <c r="R57" s="463" t="str">
        <f t="shared" si="4"/>
        <v/>
      </c>
      <c r="S57" s="471">
        <f>CUENTAS!A46</f>
        <v>46056</v>
      </c>
      <c r="Y57" s="459">
        <f>IF(CUENTAS!G46/CUENTAS!$AB46&lt;&gt;0,CUENTAS!G46/CUENTAS!$AB46,"")</f>
        <v>0.1096637268</v>
      </c>
      <c r="Z57" s="459">
        <f>IF(CUENTAS!H46/CUENTAS!$AB46&lt;&gt;0,CUENTAS!H46/CUENTAS!$AB46,"")</f>
        <v>0.02865984876</v>
      </c>
      <c r="AA57" s="459">
        <f>IF(CUENTAS!I46/CUENTAS!$AB46&lt;&gt;0,CUENTAS!I46/CUENTAS!$AB46,"")</f>
        <v>0.01628834738</v>
      </c>
      <c r="AB57" s="459">
        <f>IF(CUENTAS!J46/CUENTAS!$AB46&lt;&gt;0,CUENTAS!J46/CUENTAS!$AB46,"")</f>
        <v>0.1519840464</v>
      </c>
      <c r="AC57" s="459">
        <f>IF(CUENTAS!K46/CUENTAS!$AB46&lt;&gt;0,CUENTAS!K46/CUENTAS!$AB46,"")</f>
        <v>0.06711181251</v>
      </c>
      <c r="AD57" s="459">
        <f>IF(CUENTAS!L46/CUENTAS!$AB46&lt;&gt;0,CUENTAS!L46/CUENTAS!$AB46,"")</f>
        <v>0.00542221179</v>
      </c>
      <c r="AE57" s="459">
        <f>IF(CUENTAS!M46/CUENTAS!$AB46&lt;&gt;0,CUENTAS!M46/CUENTAS!$AB46,"")</f>
        <v>0.04270027972</v>
      </c>
      <c r="AF57" s="459">
        <f>IF(CUENTAS!N46/CUENTAS!$AB46&lt;&gt;0,CUENTAS!N46/CUENTAS!$AB46,"")</f>
        <v>0.08615324233</v>
      </c>
      <c r="AG57" s="459">
        <f>IF(CUENTAS!O46/CUENTAS!$AB46&lt;&gt;0,CUENTAS!O46/CUENTAS!$AB46,"")</f>
        <v>0.03159096965</v>
      </c>
      <c r="AH57" s="459">
        <f>IF(CUENTAS!P46/CUENTAS!$AB46&lt;&gt;0,CUENTAS!P46/CUENTAS!$AB46,"")</f>
        <v>0.03890067856</v>
      </c>
      <c r="AI57" s="459">
        <f>IF(CUENTAS!R46/CUENTAS!$AB46&lt;&gt;0,CUENTAS!R46/CUENTAS!$AB46,"")</f>
        <v>0.06663809271</v>
      </c>
      <c r="AJ57" s="459">
        <f>IF(CUENTAS!B46/CUENTAS!$AB46&lt;&gt;0,CUENTAS!B46/CUENTAS!$AB46,"")</f>
        <v>0.01330393074</v>
      </c>
      <c r="AK57" s="459">
        <f>IF(CUENTAS!S46/CUENTAS!$AB46&lt;&gt;0,CUENTAS!S46/CUENTAS!$AB46,"")</f>
        <v>0.02692119628</v>
      </c>
      <c r="AL57" s="459">
        <f>IF(CUENTAS!T46/CUENTAS!$AB46&lt;&gt;0,CUENTAS!T46/CUENTAS!$AB46,"")</f>
        <v>0.1026237896</v>
      </c>
      <c r="AM57" s="459">
        <f>IF(CUENTAS!U46/CUENTAS!$AB46&lt;&gt;0,CUENTAS!U46/CUENTAS!$AB46,"")</f>
        <v>0.04867072231</v>
      </c>
      <c r="AN57" s="459">
        <f>IF(CUENTAS!V46/CUENTAS!$AB46&lt;&gt;0,CUENTAS!V46/CUENTAS!$AB46,"")</f>
        <v>0.1356494629</v>
      </c>
      <c r="AO57" s="459">
        <f>IF(CUENTAS!W46/CUENTAS!$AB46&lt;&gt;0,CUENTAS!W46/CUENTAS!$AB46,"")</f>
        <v>0.03637209826</v>
      </c>
      <c r="AP57" s="459">
        <f>IF(CUENTAS!X46/CUENTAS!$AB46&lt;&gt;0,CUENTAS!X46/CUENTAS!$AB46,"")</f>
        <v>0.0391686744</v>
      </c>
      <c r="AQ57" s="459">
        <f>IF(CUENTAS!Y46/CUENTAS!$AB46&lt;&gt;0,CUENTAS!Y46/CUENTAS!$AB46,"")</f>
        <v>0.09095147855</v>
      </c>
      <c r="AR57" s="459">
        <f>IF(CUENTAS!AA46/CUENTAS!$AB46&lt;&gt;0,CUENTAS!AA46/CUENTAS!$AB46,"")</f>
        <v>0.02938657857</v>
      </c>
    </row>
    <row r="58">
      <c r="A58" s="473"/>
      <c r="B58" s="461"/>
      <c r="C58" s="461"/>
      <c r="D58" s="463"/>
      <c r="F58" s="200"/>
      <c r="G58" s="200"/>
      <c r="J58" s="465">
        <v>45602.0</v>
      </c>
      <c r="K58" s="466">
        <f>SUMIF(GRAFICO!A:A,J58,GRAFICO!B:B)</f>
        <v>14311.42039</v>
      </c>
      <c r="L58" s="467">
        <f t="shared" si="2"/>
        <v>0.348403515</v>
      </c>
      <c r="M58" s="468">
        <v>45967.0</v>
      </c>
      <c r="N58" s="469">
        <f>IF(SUMIF(GRAFICO!A:A,M58,GRAFICO!B:B)=0,"",SUMIF(GRAFICO!A:A,M58,GRAFICO!B:B))</f>
        <v>21069.17723</v>
      </c>
      <c r="O58" s="467">
        <f t="shared" si="3"/>
        <v>0.4147379028</v>
      </c>
      <c r="P58" s="465">
        <v>46332.0</v>
      </c>
      <c r="Q58" s="463" t="str">
        <f>IF(SUMIF(GRAFICO!A:A,P58,GRAFICO!B:B)=0,"",SUMIF(GRAFICO!A:A,P58,GRAFICO!B:B))</f>
        <v/>
      </c>
      <c r="R58" s="463" t="str">
        <f t="shared" si="4"/>
        <v/>
      </c>
      <c r="S58" s="471">
        <f>CUENTAS!A47</f>
        <v>46055</v>
      </c>
      <c r="Y58" s="459">
        <f>IF(CUENTAS!G47/CUENTAS!$AB47&lt;&gt;0,CUENTAS!G47/CUENTAS!$AB47,"")</f>
        <v>0.110260541</v>
      </c>
      <c r="Z58" s="459">
        <f>IF(CUENTAS!H47/CUENTAS!$AB47&lt;&gt;0,CUENTAS!H47/CUENTAS!$AB47,"")</f>
        <v>0.028518764</v>
      </c>
      <c r="AA58" s="459">
        <f>IF(CUENTAS!I47/CUENTAS!$AB47&lt;&gt;0,CUENTAS!I47/CUENTAS!$AB47,"")</f>
        <v>0.01620897473</v>
      </c>
      <c r="AB58" s="459">
        <f>IF(CUENTAS!J47/CUENTAS!$AB47&lt;&gt;0,CUENTAS!J47/CUENTAS!$AB47,"")</f>
        <v>0.1501779818</v>
      </c>
      <c r="AC58" s="459">
        <f>IF(CUENTAS!K47/CUENTAS!$AB47&lt;&gt;0,CUENTAS!K47/CUENTAS!$AB47,"")</f>
        <v>0.06710680536</v>
      </c>
      <c r="AD58" s="459">
        <f>IF(CUENTAS!L47/CUENTAS!$AB47&lt;&gt;0,CUENTAS!L47/CUENTAS!$AB47,"")</f>
        <v>0.005463780658</v>
      </c>
      <c r="AE58" s="459">
        <f>IF(CUENTAS!M47/CUENTAS!$AB47&lt;&gt;0,CUENTAS!M47/CUENTAS!$AB47,"")</f>
        <v>0.04218472876</v>
      </c>
      <c r="AF58" s="459">
        <f>IF(CUENTAS!N47/CUENTAS!$AB47&lt;&gt;0,CUENTAS!N47/CUENTAS!$AB47,"")</f>
        <v>0.08569813319</v>
      </c>
      <c r="AG58" s="459">
        <f>IF(CUENTAS!O47/CUENTAS!$AB47&lt;&gt;0,CUENTAS!O47/CUENTAS!$AB47,"")</f>
        <v>0.03180571655</v>
      </c>
      <c r="AH58" s="459">
        <f>IF(CUENTAS!P47/CUENTAS!$AB47&lt;&gt;0,CUENTAS!P47/CUENTAS!$AB47,"")</f>
        <v>0.04074315908</v>
      </c>
      <c r="AI58" s="459">
        <f>IF(CUENTAS!R47/CUENTAS!$AB47&lt;&gt;0,CUENTAS!R47/CUENTAS!$AB47,"")</f>
        <v>0.06693713869</v>
      </c>
      <c r="AJ58" s="459">
        <f>IF(CUENTAS!B47/CUENTAS!$AB47&lt;&gt;0,CUENTAS!B47/CUENTAS!$AB47,"")</f>
        <v>0.01330293815</v>
      </c>
      <c r="AK58" s="459">
        <f>IF(CUENTAS!S47/CUENTAS!$AB47&lt;&gt;0,CUENTAS!S47/CUENTAS!$AB47,"")</f>
        <v>0.02687656852</v>
      </c>
      <c r="AL58" s="459">
        <f>IF(CUENTAS!T47/CUENTAS!$AB47&lt;&gt;0,CUENTAS!T47/CUENTAS!$AB47,"")</f>
        <v>0.1025126468</v>
      </c>
      <c r="AM58" s="459">
        <f>IF(CUENTAS!U47/CUENTAS!$AB47&lt;&gt;0,CUENTAS!U47/CUENTAS!$AB47,"")</f>
        <v>0.04866709103</v>
      </c>
      <c r="AN58" s="459">
        <f>IF(CUENTAS!V47/CUENTAS!$AB47&lt;&gt;0,CUENTAS!V47/CUENTAS!$AB47,"")</f>
        <v>0.1356122198</v>
      </c>
      <c r="AO58" s="459">
        <f>IF(CUENTAS!W47/CUENTAS!$AB47&lt;&gt;0,CUENTAS!W47/CUENTAS!$AB47,"")</f>
        <v>0.03635393401</v>
      </c>
      <c r="AP58" s="459">
        <f>IF(CUENTAS!X47/CUENTAS!$AB47&lt;&gt;0,CUENTAS!X47/CUENTAS!$AB47,"")</f>
        <v>0.0391031052</v>
      </c>
      <c r="AQ58" s="459">
        <f>IF(CUENTAS!Y47/CUENTAS!$AB47&lt;&gt;0,CUENTAS!Y47/CUENTAS!$AB47,"")</f>
        <v>0.09089646565</v>
      </c>
      <c r="AR58" s="459">
        <f>IF(CUENTAS!AA47/CUENTAS!$AB47&lt;&gt;0,CUENTAS!AA47/CUENTAS!$AB47,"")</f>
        <v>0.02974622584</v>
      </c>
    </row>
    <row r="59">
      <c r="A59" s="473"/>
      <c r="B59" s="461"/>
      <c r="C59" s="461"/>
      <c r="D59" s="463"/>
      <c r="F59" s="200"/>
      <c r="G59" s="200"/>
      <c r="J59" s="465">
        <v>45601.0</v>
      </c>
      <c r="K59" s="466">
        <f>SUMIF(GRAFICO!A:A,J59,GRAFICO!B:B)</f>
        <v>14316.20779</v>
      </c>
      <c r="L59" s="467">
        <f t="shared" si="2"/>
        <v>0.3487379752</v>
      </c>
      <c r="M59" s="468">
        <v>45966.0</v>
      </c>
      <c r="N59" s="469">
        <f>IF(SUMIF(GRAFICO!A:A,M59,GRAFICO!B:B)=0,"",SUMIF(GRAFICO!A:A,M59,GRAFICO!B:B))</f>
        <v>20971.48413</v>
      </c>
      <c r="O59" s="467">
        <f t="shared" si="3"/>
        <v>0.4100903416</v>
      </c>
      <c r="P59" s="468">
        <v>46331.0</v>
      </c>
      <c r="Q59" s="463" t="str">
        <f>IF(SUMIF(GRAFICO!A:A,P59,GRAFICO!B:B)=0,"",SUMIF(GRAFICO!A:A,P59,GRAFICO!B:B))</f>
        <v/>
      </c>
      <c r="R59" s="463" t="str">
        <f t="shared" si="4"/>
        <v/>
      </c>
      <c r="S59" s="471">
        <f>CUENTAS!A48</f>
        <v>46054</v>
      </c>
      <c r="Y59" s="459">
        <f>IF(CUENTAS!G48/CUENTAS!$AB48&lt;&gt;0,CUENTAS!G48/CUENTAS!$AB48,"")</f>
        <v>0.1094002636</v>
      </c>
      <c r="Z59" s="459">
        <f>IF(CUENTAS!H48/CUENTAS!$AB48&lt;&gt;0,CUENTAS!H48/CUENTAS!$AB48,"")</f>
        <v>0.02821870662</v>
      </c>
      <c r="AA59" s="459">
        <f>IF(CUENTAS!I48/CUENTAS!$AB48&lt;&gt;0,CUENTAS!I48/CUENTAS!$AB48,"")</f>
        <v>0.01626345305</v>
      </c>
      <c r="AB59" s="459">
        <f>IF(CUENTAS!J48/CUENTAS!$AB48&lt;&gt;0,CUENTAS!J48/CUENTAS!$AB48,"")</f>
        <v>0.1496381287</v>
      </c>
      <c r="AC59" s="459">
        <f>IF(CUENTAS!K48/CUENTAS!$AB48&lt;&gt;0,CUENTAS!K48/CUENTAS!$AB48,"")</f>
        <v>0.06658322302</v>
      </c>
      <c r="AD59" s="459">
        <f>IF(CUENTAS!L48/CUENTAS!$AB48&lt;&gt;0,CUENTAS!L48/CUENTAS!$AB48,"")</f>
        <v>0.005490082209</v>
      </c>
      <c r="AE59" s="459">
        <f>IF(CUENTAS!M48/CUENTAS!$AB48&lt;&gt;0,CUENTAS!M48/CUENTAS!$AB48,"")</f>
        <v>0.0427876012</v>
      </c>
      <c r="AF59" s="459">
        <f>IF(CUENTAS!N48/CUENTAS!$AB48&lt;&gt;0,CUENTAS!N48/CUENTAS!$AB48,"")</f>
        <v>0.08832383368</v>
      </c>
      <c r="AG59" s="459">
        <f>IF(CUENTAS!O48/CUENTAS!$AB48&lt;&gt;0,CUENTAS!O48/CUENTAS!$AB48,"")</f>
        <v>0.03195822377</v>
      </c>
      <c r="AH59" s="459">
        <f>IF(CUENTAS!P48/CUENTAS!$AB48&lt;&gt;0,CUENTAS!P48/CUENTAS!$AB48,"")</f>
        <v>0.04246089608</v>
      </c>
      <c r="AI59" s="459">
        <f>IF(CUENTAS!R48/CUENTAS!$AB48&lt;&gt;0,CUENTAS!R48/CUENTAS!$AB48,"")</f>
        <v>0.06492144277</v>
      </c>
      <c r="AJ59" s="459">
        <f>IF(CUENTAS!B48/CUENTAS!$AB48&lt;&gt;0,CUENTAS!B48/CUENTAS!$AB48,"")</f>
        <v>0.01319914564</v>
      </c>
      <c r="AK59" s="459">
        <f>IF(CUENTAS!S48/CUENTAS!$AB48&lt;&gt;0,CUENTAS!S48/CUENTAS!$AB48,"")</f>
        <v>0.02662458483</v>
      </c>
      <c r="AL59" s="459">
        <f>IF(CUENTAS!T48/CUENTAS!$AB48&lt;&gt;0,CUENTAS!T48/CUENTAS!$AB48,"")</f>
        <v>0.1016101414</v>
      </c>
      <c r="AM59" s="459">
        <f>IF(CUENTAS!U48/CUENTAS!$AB48&lt;&gt;0,CUENTAS!U48/CUENTAS!$AB48,"")</f>
        <v>0.04828737948</v>
      </c>
      <c r="AN59" s="459">
        <f>IF(CUENTAS!V48/CUENTAS!$AB48&lt;&gt;0,CUENTAS!V48/CUENTAS!$AB48,"")</f>
        <v>0.1345272374</v>
      </c>
      <c r="AO59" s="459">
        <f>IF(CUENTAS!W48/CUENTAS!$AB48&lt;&gt;0,CUENTAS!W48/CUENTAS!$AB48,"")</f>
        <v>0.03605496246</v>
      </c>
      <c r="AP59" s="459">
        <f>IF(CUENTAS!X48/CUENTAS!$AB48&lt;&gt;0,CUENTAS!X48/CUENTAS!$AB48,"")</f>
        <v>0.04498274518</v>
      </c>
      <c r="AQ59" s="459">
        <f>IF(CUENTAS!Y48/CUENTAS!$AB48&lt;&gt;0,CUENTAS!Y48/CUENTAS!$AB48,"")</f>
        <v>0.09013942024</v>
      </c>
      <c r="AR59" s="459">
        <f>IF(CUENTAS!AA48/CUENTAS!$AB48&lt;&gt;0,CUENTAS!AA48/CUENTAS!$AB48,"")</f>
        <v>0.02542134961</v>
      </c>
    </row>
    <row r="60">
      <c r="A60" s="474"/>
      <c r="B60" s="200"/>
      <c r="C60" s="200"/>
      <c r="F60" s="200"/>
      <c r="G60" s="200"/>
      <c r="J60" s="470">
        <v>45600.0</v>
      </c>
      <c r="K60" s="466">
        <f>SUMIF(GRAFICO!A:A,J60,GRAFICO!B:B)</f>
        <v>14222.70355</v>
      </c>
      <c r="L60" s="467">
        <f t="shared" si="2"/>
        <v>0.3421851968</v>
      </c>
      <c r="M60" s="468">
        <v>45965.0</v>
      </c>
      <c r="N60" s="469">
        <f>IF(SUMIF(GRAFICO!A:A,M60,GRAFICO!B:B)=0,"",SUMIF(GRAFICO!A:A,M60,GRAFICO!B:B))</f>
        <v>20590.19913</v>
      </c>
      <c r="O60" s="467">
        <f t="shared" si="3"/>
        <v>0.3917419172</v>
      </c>
      <c r="P60" s="465">
        <v>46330.0</v>
      </c>
      <c r="Q60" s="463" t="str">
        <f>IF(SUMIF(GRAFICO!A:A,P60,GRAFICO!B:B)=0,"",SUMIF(GRAFICO!A:A,P60,GRAFICO!B:B))</f>
        <v/>
      </c>
      <c r="R60" s="463" t="str">
        <f t="shared" si="4"/>
        <v/>
      </c>
      <c r="S60" s="471">
        <f>CUENTAS!A49</f>
        <v>46053</v>
      </c>
      <c r="Y60" s="459">
        <f>IF(CUENTAS!G49/CUENTAS!$AB49&lt;&gt;0,CUENTAS!G49/CUENTAS!$AB49,"")</f>
        <v>0.1094000977</v>
      </c>
      <c r="Z60" s="459">
        <f>IF(CUENTAS!H49/CUENTAS!$AB49&lt;&gt;0,CUENTAS!H49/CUENTAS!$AB49,"")</f>
        <v>0.02821866383</v>
      </c>
      <c r="AA60" s="459">
        <f>IF(CUENTAS!I49/CUENTAS!$AB49&lt;&gt;0,CUENTAS!I49/CUENTAS!$AB49,"")</f>
        <v>0.01626342839</v>
      </c>
      <c r="AB60" s="459">
        <f>IF(CUENTAS!J49/CUENTAS!$AB49&lt;&gt;0,CUENTAS!J49/CUENTAS!$AB49,"")</f>
        <v>0.1496379018</v>
      </c>
      <c r="AC60" s="459">
        <f>IF(CUENTAS!K49/CUENTAS!$AB49&lt;&gt;0,CUENTAS!K49/CUENTAS!$AB49,"")</f>
        <v>0.06658312205</v>
      </c>
      <c r="AD60" s="459">
        <f>IF(CUENTAS!L49/CUENTAS!$AB49&lt;&gt;0,CUENTAS!L49/CUENTAS!$AB49,"")</f>
        <v>0.005490073883</v>
      </c>
      <c r="AE60" s="459">
        <f>IF(CUENTAS!M49/CUENTAS!$AB49&lt;&gt;0,CUENTAS!M49/CUENTAS!$AB49,"")</f>
        <v>0.04278753632</v>
      </c>
      <c r="AF60" s="459">
        <f>IF(CUENTAS!N49/CUENTAS!$AB49&lt;&gt;0,CUENTAS!N49/CUENTAS!$AB49,"")</f>
        <v>0.08832369975</v>
      </c>
      <c r="AG60" s="459">
        <f>IF(CUENTAS!O49/CUENTAS!$AB49&lt;&gt;0,CUENTAS!O49/CUENTAS!$AB49,"")</f>
        <v>0.03195817531</v>
      </c>
      <c r="AH60" s="459">
        <f>IF(CUENTAS!P49/CUENTAS!$AB49&lt;&gt;0,CUENTAS!P49/CUENTAS!$AB49,"")</f>
        <v>0.04246083169</v>
      </c>
      <c r="AI60" s="459">
        <f>IF(CUENTAS!R49/CUENTAS!$AB49&lt;&gt;0,CUENTAS!R49/CUENTAS!$AB49,"")</f>
        <v>0.06522298964</v>
      </c>
      <c r="AJ60" s="459">
        <f>IF(CUENTAS!B49/CUENTAS!$AB49&lt;&gt;0,CUENTAS!B49/CUENTAS!$AB49,"")</f>
        <v>0.01349081901</v>
      </c>
      <c r="AK60" s="459">
        <f>IF(CUENTAS!S49/CUENTAS!$AB49&lt;&gt;0,CUENTAS!S49/CUENTAS!$AB49,"")</f>
        <v>0.02658225784</v>
      </c>
      <c r="AL60" s="459">
        <f>IF(CUENTAS!T49/CUENTAS!$AB49&lt;&gt;0,CUENTAS!T49/CUENTAS!$AB49,"")</f>
        <v>0.1015073087</v>
      </c>
      <c r="AM60" s="459">
        <f>IF(CUENTAS!U49/CUENTAS!$AB49&lt;&gt;0,CUENTAS!U49/CUENTAS!$AB49,"")</f>
        <v>0.04828730625</v>
      </c>
      <c r="AN60" s="459">
        <f>IF(CUENTAS!V49/CUENTAS!$AB49&lt;&gt;0,CUENTAS!V49/CUENTAS!$AB49,"")</f>
        <v>0.1345001334</v>
      </c>
      <c r="AO60" s="459">
        <f>IF(CUENTAS!W49/CUENTAS!$AB49&lt;&gt;0,CUENTAS!W49/CUENTAS!$AB49,"")</f>
        <v>0.0360395778</v>
      </c>
      <c r="AP60" s="459">
        <f>IF(CUENTAS!X49/CUENTAS!$AB49&lt;&gt;0,CUENTAS!X49/CUENTAS!$AB49,"")</f>
        <v>0.04490974851</v>
      </c>
      <c r="AQ60" s="459">
        <f>IF(CUENTAS!Y49/CUENTAS!$AB49&lt;&gt;0,CUENTAS!Y49/CUENTAS!$AB49,"")</f>
        <v>0.09009143281</v>
      </c>
      <c r="AR60" s="459">
        <f>IF(CUENTAS!AA49/CUENTAS!$AB49&lt;&gt;0,CUENTAS!AA49/CUENTAS!$AB49,"")</f>
        <v>0.02542131106</v>
      </c>
    </row>
    <row r="61">
      <c r="A61" s="474"/>
      <c r="B61" s="200"/>
      <c r="C61" s="200"/>
      <c r="F61" s="200"/>
      <c r="G61" s="200"/>
      <c r="J61" s="465">
        <v>45599.0</v>
      </c>
      <c r="K61" s="466">
        <f>SUMIF(GRAFICO!A:A,J61,GRAFICO!B:B)</f>
        <v>14212.5838</v>
      </c>
      <c r="L61" s="467">
        <f t="shared" si="2"/>
        <v>0.3414734228</v>
      </c>
      <c r="M61" s="468">
        <v>45964.0</v>
      </c>
      <c r="N61" s="469">
        <f>IF(SUMIF(GRAFICO!A:A,M61,GRAFICO!B:B)=0,"",SUMIF(GRAFICO!A:A,M61,GRAFICO!B:B))</f>
        <v>20519.9424</v>
      </c>
      <c r="O61" s="467">
        <f t="shared" si="3"/>
        <v>0.3883239385</v>
      </c>
      <c r="P61" s="468">
        <v>46329.0</v>
      </c>
      <c r="Q61" s="463" t="str">
        <f>IF(SUMIF(GRAFICO!A:A,P61,GRAFICO!B:B)=0,"",SUMIF(GRAFICO!A:A,P61,GRAFICO!B:B))</f>
        <v/>
      </c>
      <c r="R61" s="463" t="str">
        <f t="shared" si="4"/>
        <v/>
      </c>
      <c r="S61" s="471">
        <f>CUENTAS!A50</f>
        <v>46052</v>
      </c>
      <c r="Y61" s="459">
        <f>IF(CUENTAS!G50/CUENTAS!$AB50&lt;&gt;0,CUENTAS!G50/CUENTAS!$AB50,"")</f>
        <v>0.109295164</v>
      </c>
      <c r="Z61" s="459">
        <f>IF(CUENTAS!H50/CUENTAS!$AB50&lt;&gt;0,CUENTAS!H50/CUENTAS!$AB50,"")</f>
        <v>0.02819159722</v>
      </c>
      <c r="AA61" s="459">
        <f>IF(CUENTAS!I50/CUENTAS!$AB50&lt;&gt;0,CUENTAS!I50/CUENTAS!$AB50,"")</f>
        <v>0.01624782893</v>
      </c>
      <c r="AB61" s="459">
        <f>IF(CUENTAS!J50/CUENTAS!$AB50&lt;&gt;0,CUENTAS!J50/CUENTAS!$AB50,"")</f>
        <v>0.1494943731</v>
      </c>
      <c r="AC61" s="459">
        <f>IF(CUENTAS!K50/CUENTAS!$AB50&lt;&gt;0,CUENTAS!K50/CUENTAS!$AB50,"")</f>
        <v>0.06651925727</v>
      </c>
      <c r="AD61" s="459">
        <f>IF(CUENTAS!L50/CUENTAS!$AB50&lt;&gt;0,CUENTAS!L50/CUENTAS!$AB50,"")</f>
        <v>0.005484807949</v>
      </c>
      <c r="AE61" s="459">
        <f>IF(CUENTAS!M50/CUENTAS!$AB50&lt;&gt;0,CUENTAS!M50/CUENTAS!$AB50,"")</f>
        <v>0.04274649564</v>
      </c>
      <c r="AF61" s="459">
        <f>IF(CUENTAS!N50/CUENTAS!$AB50&lt;&gt;0,CUENTAS!N50/CUENTAS!$AB50,"")</f>
        <v>0.08823898197</v>
      </c>
      <c r="AG61" s="459">
        <f>IF(CUENTAS!O50/CUENTAS!$AB50&lt;&gt;0,CUENTAS!O50/CUENTAS!$AB50,"")</f>
        <v>0.03192752186</v>
      </c>
      <c r="AH61" s="459">
        <f>IF(CUENTAS!P50/CUENTAS!$AB50&lt;&gt;0,CUENTAS!P50/CUENTAS!$AB50,"")</f>
        <v>0.04337775787</v>
      </c>
      <c r="AI61" s="459">
        <f>IF(CUENTAS!R50/CUENTAS!$AB50&lt;&gt;0,CUENTAS!R50/CUENTAS!$AB50,"")</f>
        <v>0.06546178543</v>
      </c>
      <c r="AJ61" s="459">
        <f>IF(CUENTAS!B50/CUENTAS!$AB50&lt;&gt;0,CUENTAS!B50/CUENTAS!$AB50,"")</f>
        <v>0.01347787897</v>
      </c>
      <c r="AK61" s="459">
        <f>IF(CUENTAS!S50/CUENTAS!$AB50&lt;&gt;0,CUENTAS!S50/CUENTAS!$AB50,"")</f>
        <v>0.02651451479</v>
      </c>
      <c r="AL61" s="459">
        <f>IF(CUENTAS!T50/CUENTAS!$AB50&lt;&gt;0,CUENTAS!T50/CUENTAS!$AB50,"")</f>
        <v>0.1013073654</v>
      </c>
      <c r="AM61" s="459">
        <f>IF(CUENTAS!U50/CUENTAS!$AB50&lt;&gt;0,CUENTAS!U50/CUENTAS!$AB50,"")</f>
        <v>0.04824099033</v>
      </c>
      <c r="AN61" s="459">
        <f>IF(CUENTAS!V50/CUENTAS!$AB50&lt;&gt;0,CUENTAS!V50/CUENTAS!$AB50,"")</f>
        <v>0.1343442555</v>
      </c>
      <c r="AO61" s="459">
        <f>IF(CUENTAS!W50/CUENTAS!$AB50&lt;&gt;0,CUENTAS!W50/CUENTAS!$AB50,"")</f>
        <v>0.0359896943</v>
      </c>
      <c r="AP61" s="459">
        <f>IF(CUENTAS!X50/CUENTAS!$AB50&lt;&gt;0,CUENTAS!X50/CUENTAS!$AB50,"")</f>
        <v>0.04479381374</v>
      </c>
      <c r="AQ61" s="459">
        <f>IF(CUENTAS!Y50/CUENTAS!$AB50&lt;&gt;0,CUENTAS!Y50/CUENTAS!$AB50,"")</f>
        <v>0.08995721463</v>
      </c>
      <c r="AR61" s="459">
        <f>IF(CUENTAS!AA50/CUENTAS!$AB50&lt;&gt;0,CUENTAS!AA50/CUENTAS!$AB50,"")</f>
        <v>0.02539692761</v>
      </c>
    </row>
    <row r="62">
      <c r="A62" s="474"/>
      <c r="B62" s="200"/>
      <c r="C62" s="200"/>
      <c r="F62" s="200"/>
      <c r="G62" s="200"/>
      <c r="J62" s="470">
        <v>45598.0</v>
      </c>
      <c r="K62" s="466">
        <f>SUMIF(GRAFICO!A:A,J62,GRAFICO!B:B)</f>
        <v>14202.46405</v>
      </c>
      <c r="L62" s="467">
        <f t="shared" si="2"/>
        <v>0.3407611417</v>
      </c>
      <c r="M62" s="468">
        <v>45963.0</v>
      </c>
      <c r="N62" s="469">
        <f>IF(SUMIF(GRAFICO!A:A,M62,GRAFICO!B:B)=0,"",SUMIF(GRAFICO!A:A,M62,GRAFICO!B:B))</f>
        <v>20514.53625</v>
      </c>
      <c r="O62" s="467">
        <f t="shared" si="3"/>
        <v>0.3880604452</v>
      </c>
      <c r="P62" s="465">
        <v>46328.0</v>
      </c>
      <c r="Q62" s="463" t="str">
        <f>IF(SUMIF(GRAFICO!A:A,P62,GRAFICO!B:B)=0,"",SUMIF(GRAFICO!A:A,P62,GRAFICO!B:B))</f>
        <v/>
      </c>
      <c r="R62" s="463" t="str">
        <f t="shared" si="4"/>
        <v/>
      </c>
      <c r="S62" s="471">
        <f>CUENTAS!A51</f>
        <v>46051</v>
      </c>
      <c r="Y62" s="459">
        <f>IF(CUENTAS!G51/CUENTAS!$AB51&lt;&gt;0,CUENTAS!G51/CUENTAS!$AB51,"")</f>
        <v>0.1094267928</v>
      </c>
      <c r="Z62" s="459">
        <f>IF(CUENTAS!H51/CUENTAS!$AB51&lt;&gt;0,CUENTAS!H51/CUENTAS!$AB51,"")</f>
        <v>0.0293200976</v>
      </c>
      <c r="AA62" s="459">
        <f>IF(CUENTAS!I51/CUENTAS!$AB51&lt;&gt;0,CUENTAS!I51/CUENTAS!$AB51,"")</f>
        <v>0.01643976666</v>
      </c>
      <c r="AB62" s="459">
        <f>IF(CUENTAS!J51/CUENTAS!$AB51&lt;&gt;0,CUENTAS!J51/CUENTAS!$AB51,"")</f>
        <v>0.1462270202</v>
      </c>
      <c r="AC62" s="459">
        <f>IF(CUENTAS!K51/CUENTAS!$AB51&lt;&gt;0,CUENTAS!K51/CUENTAS!$AB51,"")</f>
        <v>0.06802141984</v>
      </c>
      <c r="AD62" s="459">
        <f>IF(CUENTAS!L51/CUENTAS!$AB51&lt;&gt;0,CUENTAS!L51/CUENTAS!$AB51,"")</f>
        <v>0.005520141831</v>
      </c>
      <c r="AE62" s="459">
        <f>IF(CUENTAS!M51/CUENTAS!$AB51&lt;&gt;0,CUENTAS!M51/CUENTAS!$AB51,"")</f>
        <v>0.04360308753</v>
      </c>
      <c r="AF62" s="459">
        <f>IF(CUENTAS!N51/CUENTAS!$AB51&lt;&gt;0,CUENTAS!N51/CUENTAS!$AB51,"")</f>
        <v>0.08977017536</v>
      </c>
      <c r="AG62" s="459">
        <f>IF(CUENTAS!O51/CUENTAS!$AB51&lt;&gt;0,CUENTAS!O51/CUENTAS!$AB51,"")</f>
        <v>0.03139284406</v>
      </c>
      <c r="AH62" s="459">
        <f>IF(CUENTAS!P51/CUENTAS!$AB51&lt;&gt;0,CUENTAS!P51/CUENTAS!$AB51,"")</f>
        <v>0.04129692367</v>
      </c>
      <c r="AI62" s="459">
        <f>IF(CUENTAS!R51/CUENTAS!$AB51&lt;&gt;0,CUENTAS!R51/CUENTAS!$AB51,"")</f>
        <v>0.06225130593</v>
      </c>
      <c r="AJ62" s="459">
        <f>IF(CUENTAS!B51/CUENTAS!$AB51&lt;&gt;0,CUENTAS!B51/CUENTAS!$AB51,"")</f>
        <v>0.01349411096</v>
      </c>
      <c r="AK62" s="459">
        <f>IF(CUENTAS!S51/CUENTAS!$AB51&lt;&gt;0,CUENTAS!S51/CUENTAS!$AB51,"")</f>
        <v>0.02650415042</v>
      </c>
      <c r="AL62" s="459">
        <f>IF(CUENTAS!T51/CUENTAS!$AB51&lt;&gt;0,CUENTAS!T51/CUENTAS!$AB51,"")</f>
        <v>0.1013266706</v>
      </c>
      <c r="AM62" s="459">
        <f>IF(CUENTAS!U51/CUENTAS!$AB51&lt;&gt;0,CUENTAS!U51/CUENTAS!$AB51,"")</f>
        <v>0.04829908902</v>
      </c>
      <c r="AN62" s="459">
        <f>IF(CUENTAS!V51/CUENTAS!$AB51&lt;&gt;0,CUENTAS!V51/CUENTAS!$AB51,"")</f>
        <v>0.1344791562</v>
      </c>
      <c r="AO62" s="459">
        <f>IF(CUENTAS!W51/CUENTAS!$AB51&lt;&gt;0,CUENTAS!W51/CUENTAS!$AB51,"")</f>
        <v>0.0360177045</v>
      </c>
      <c r="AP62" s="459">
        <f>IF(CUENTAS!X51/CUENTAS!$AB51&lt;&gt;0,CUENTAS!X51/CUENTAS!$AB51,"")</f>
        <v>0.04477481458</v>
      </c>
      <c r="AQ62" s="459">
        <f>IF(CUENTAS!Y51/CUENTAS!$AB51&lt;&gt;0,CUENTAS!Y51/CUENTAS!$AB51,"")</f>
        <v>0.03437590436</v>
      </c>
      <c r="AR62" s="459">
        <f>IF(CUENTAS!AA51/CUENTAS!$AB51&lt;&gt;0,CUENTAS!AA51/CUENTAS!$AB51,"")</f>
        <v>0.08466033821</v>
      </c>
    </row>
    <row r="63">
      <c r="A63" s="474"/>
      <c r="B63" s="200"/>
      <c r="C63" s="200"/>
      <c r="F63" s="200"/>
      <c r="G63" s="200"/>
      <c r="J63" s="470">
        <v>45597.0</v>
      </c>
      <c r="K63" s="466">
        <f>SUMIF(GRAFICO!A:A,J63,GRAFICO!B:B)</f>
        <v>14058.99683</v>
      </c>
      <c r="L63" s="467">
        <f t="shared" si="2"/>
        <v>0.330608202</v>
      </c>
      <c r="M63" s="468">
        <v>45962.0</v>
      </c>
      <c r="N63" s="469">
        <f>IF(SUMIF(GRAFICO!A:A,M63,GRAFICO!B:B)=0,"",SUMIF(GRAFICO!A:A,M63,GRAFICO!B:B))</f>
        <v>20508.54693</v>
      </c>
      <c r="O63" s="467">
        <f t="shared" si="3"/>
        <v>0.3877684476</v>
      </c>
      <c r="P63" s="468">
        <v>46327.0</v>
      </c>
      <c r="Q63" s="463" t="str">
        <f>IF(SUMIF(GRAFICO!A:A,P63,GRAFICO!B:B)=0,"",SUMIF(GRAFICO!A:A,P63,GRAFICO!B:B))</f>
        <v/>
      </c>
      <c r="R63" s="463" t="str">
        <f t="shared" si="4"/>
        <v/>
      </c>
      <c r="S63" s="471">
        <f>CUENTAS!A52</f>
        <v>46050</v>
      </c>
      <c r="Y63" s="459">
        <f>IF(CUENTAS!G52/CUENTAS!$AB52&lt;&gt;0,CUENTAS!G52/CUENTAS!$AB52,"")</f>
        <v>0.1132993238</v>
      </c>
      <c r="Z63" s="459">
        <f>IF(CUENTAS!H52/CUENTAS!$AB52&lt;&gt;0,CUENTAS!H52/CUENTAS!$AB52,"")</f>
        <v>0.0303015831</v>
      </c>
      <c r="AA63" s="459">
        <f>IF(CUENTAS!I52/CUENTAS!$AB52&lt;&gt;0,CUENTAS!I52/CUENTAS!$AB52,"")</f>
        <v>0.01701639063</v>
      </c>
      <c r="AB63" s="459">
        <f>IF(CUENTAS!J52/CUENTAS!$AB52&lt;&gt;0,CUENTAS!J52/CUENTAS!$AB52,"")</f>
        <v>0.1524975841</v>
      </c>
      <c r="AC63" s="459">
        <f>IF(CUENTAS!K52/CUENTAS!$AB52&lt;&gt;0,CUENTAS!K52/CUENTAS!$AB52,"")</f>
        <v>0.07068006003</v>
      </c>
      <c r="AD63" s="459">
        <f>IF(CUENTAS!L52/CUENTAS!$AB52&lt;&gt;0,CUENTAS!L52/CUENTAS!$AB52,"")</f>
        <v>0.005683947147</v>
      </c>
      <c r="AE63" s="459">
        <f>IF(CUENTAS!M52/CUENTAS!$AB52&lt;&gt;0,CUENTAS!M52/CUENTAS!$AB52,"")</f>
        <v>0.04523080706</v>
      </c>
      <c r="AF63" s="459">
        <f>IF(CUENTAS!N52/CUENTAS!$AB52&lt;&gt;0,CUENTAS!N52/CUENTAS!$AB52,"")</f>
        <v>0.09295498803</v>
      </c>
      <c r="AG63" s="459">
        <f>IF(CUENTAS!O52/CUENTAS!$AB52&lt;&gt;0,CUENTAS!O52/CUENTAS!$AB52,"")</f>
        <v>0.03283853196</v>
      </c>
      <c r="AH63" s="459">
        <f>IF(CUENTAS!P52/CUENTAS!$AB52&lt;&gt;0,CUENTAS!P52/CUENTAS!$AB52,"")</f>
        <v>0.04235633691</v>
      </c>
      <c r="AI63" s="459">
        <f>IF(CUENTAS!R52/CUENTAS!$AB52&lt;&gt;0,CUENTAS!R52/CUENTAS!$AB52,"")</f>
        <v>0.06432553858</v>
      </c>
      <c r="AJ63" s="459">
        <f>IF(CUENTAS!B52/CUENTAS!$AB52&lt;&gt;0,CUENTAS!B52/CUENTAS!$AB52,"")</f>
        <v>0.01387648251</v>
      </c>
      <c r="AK63" s="459">
        <f>IF(CUENTAS!S52/CUENTAS!$AB52&lt;&gt;0,CUENTAS!S52/CUENTAS!$AB52,"")</f>
        <v>0.02721168131</v>
      </c>
      <c r="AL63" s="459">
        <f>IF(CUENTAS!T52/CUENTAS!$AB52&lt;&gt;0,CUENTAS!T52/CUENTAS!$AB52,"")</f>
        <v>0.1040922674</v>
      </c>
      <c r="AM63" s="459">
        <f>IF(CUENTAS!U52/CUENTAS!$AB52&lt;&gt;0,CUENTAS!U52/CUENTAS!$AB52,"")</f>
        <v>0.04966770067</v>
      </c>
      <c r="AN63" s="459">
        <f>IF(CUENTAS!V52/CUENTAS!$AB52&lt;&gt;0,CUENTAS!V52/CUENTAS!$AB52,"")</f>
        <v>0.1382621293</v>
      </c>
      <c r="AO63" s="459">
        <f>IF(CUENTAS!W52/CUENTAS!$AB52&lt;&gt;0,CUENTAS!W52/CUENTAS!$AB52,"")</f>
        <v>0.03702254041</v>
      </c>
      <c r="AP63" s="459">
        <f>IF(CUENTAS!X52/CUENTAS!$AB52&lt;&gt;0,CUENTAS!X52/CUENTAS!$AB52,"")</f>
        <v>0.04596854848</v>
      </c>
      <c r="AQ63" s="459">
        <f>IF(CUENTAS!Y52/CUENTAS!$AB52&lt;&gt;0,CUENTAS!Y52/CUENTAS!$AB52,"")</f>
        <v>0.005998454212</v>
      </c>
      <c r="AR63" s="459">
        <f>IF(CUENTAS!AA52/CUENTAS!$AB52&lt;&gt;0,CUENTAS!AA52/CUENTAS!$AB52,"")</f>
        <v>0.08264640098</v>
      </c>
    </row>
    <row r="64">
      <c r="A64" s="474"/>
      <c r="B64" s="200"/>
      <c r="C64" s="200"/>
      <c r="F64" s="200"/>
      <c r="G64" s="200"/>
      <c r="J64" s="470">
        <v>45596.0</v>
      </c>
      <c r="K64" s="466">
        <f>SUMIF(GRAFICO!A:A,J64,GRAFICO!B:B)</f>
        <v>14157.85248</v>
      </c>
      <c r="L64" s="467">
        <f t="shared" si="2"/>
        <v>0.3376150834</v>
      </c>
      <c r="M64" s="468">
        <v>45961.0</v>
      </c>
      <c r="N64" s="469">
        <f>IF(SUMIF(GRAFICO!A:A,M64,GRAFICO!B:B)=0,"",SUMIF(GRAFICO!A:A,M64,GRAFICO!B:B))</f>
        <v>20502.55837</v>
      </c>
      <c r="O64" s="467">
        <f t="shared" si="3"/>
        <v>0.387476402</v>
      </c>
      <c r="P64" s="465">
        <v>46326.0</v>
      </c>
      <c r="Q64" s="463" t="str">
        <f>IF(SUMIF(GRAFICO!A:A,P64,GRAFICO!B:B)=0,"",SUMIF(GRAFICO!A:A,P64,GRAFICO!B:B))</f>
        <v/>
      </c>
      <c r="R64" s="463" t="str">
        <f t="shared" si="4"/>
        <v/>
      </c>
      <c r="S64" s="471">
        <f>CUENTAS!A53</f>
        <v>46049</v>
      </c>
      <c r="Y64" s="459">
        <f>IF(CUENTAS!G53/CUENTAS!$AB53&lt;&gt;0,CUENTAS!G53/CUENTAS!$AB53,"")</f>
        <v>0.1130252844</v>
      </c>
      <c r="Z64" s="459">
        <f>IF(CUENTAS!H53/CUENTAS!$AB53&lt;&gt;0,CUENTAS!H53/CUENTAS!$AB53,"")</f>
        <v>0.02977687804</v>
      </c>
      <c r="AA64" s="459">
        <f>IF(CUENTAS!I53/CUENTAS!$AB53&lt;&gt;0,CUENTAS!I53/CUENTAS!$AB53,"")</f>
        <v>0.01714062143</v>
      </c>
      <c r="AB64" s="459">
        <f>IF(CUENTAS!J53/CUENTAS!$AB53&lt;&gt;0,CUENTAS!J53/CUENTAS!$AB53,"")</f>
        <v>0.1542403708</v>
      </c>
      <c r="AC64" s="459">
        <f>IF(CUENTAS!K53/CUENTAS!$AB53&lt;&gt;0,CUENTAS!K53/CUENTAS!$AB53,"")</f>
        <v>0.0692790892</v>
      </c>
      <c r="AD64" s="459">
        <f>IF(CUENTAS!L53/CUENTAS!$AB53&lt;&gt;0,CUENTAS!L53/CUENTAS!$AB53,"")</f>
        <v>0.005630456013</v>
      </c>
      <c r="AE64" s="459">
        <f>IF(CUENTAS!M53/CUENTAS!$AB53&lt;&gt;0,CUENTAS!M53/CUENTAS!$AB53,"")</f>
        <v>0.04455552688</v>
      </c>
      <c r="AF64" s="459">
        <f>IF(CUENTAS!N53/CUENTAS!$AB53&lt;&gt;0,CUENTAS!N53/CUENTAS!$AB53,"")</f>
        <v>0.09198636964</v>
      </c>
      <c r="AG64" s="459">
        <f>IF(CUENTAS!O53/CUENTAS!$AB53&lt;&gt;0,CUENTAS!O53/CUENTAS!$AB53,"")</f>
        <v>0.033089871</v>
      </c>
      <c r="AH64" s="459">
        <f>IF(CUENTAS!P53/CUENTAS!$AB53&lt;&gt;0,CUENTAS!P53/CUENTAS!$AB53,"")</f>
        <v>0.04237678521</v>
      </c>
      <c r="AI64" s="459">
        <f>IF(CUENTAS!R53/CUENTAS!$AB53&lt;&gt;0,CUENTAS!R53/CUENTAS!$AB53,"")</f>
        <v>0.06492171713</v>
      </c>
      <c r="AJ64" s="459">
        <f>IF(CUENTAS!B53/CUENTAS!$AB53&lt;&gt;0,CUENTAS!B53/CUENTAS!$AB53,"")</f>
        <v>0.01393786375</v>
      </c>
      <c r="AK64" s="459">
        <f>IF(CUENTAS!S53/CUENTAS!$AB53&lt;&gt;0,CUENTAS!S53/CUENTAS!$AB53,"")</f>
        <v>0.02728836162</v>
      </c>
      <c r="AL64" s="459">
        <f>IF(CUENTAS!T53/CUENTAS!$AB53&lt;&gt;0,CUENTAS!T53/CUENTAS!$AB53,"")</f>
        <v>0.1044466281</v>
      </c>
      <c r="AM64" s="459">
        <f>IF(CUENTAS!U53/CUENTAS!$AB53&lt;&gt;0,CUENTAS!U53/CUENTAS!$AB53,"")</f>
        <v>0.04988740081</v>
      </c>
      <c r="AN64" s="459">
        <f>IF(CUENTAS!V53/CUENTAS!$AB53&lt;&gt;0,CUENTAS!V53/CUENTAS!$AB53,"")</f>
        <v>0.1388459489</v>
      </c>
      <c r="AO64" s="459">
        <f>IF(CUENTAS!W53/CUENTAS!$AB53&lt;&gt;0,CUENTAS!W53/CUENTAS!$AB53,"")</f>
        <v>0.03717046796</v>
      </c>
      <c r="AP64" s="459">
        <f>IF(CUENTAS!X53/CUENTAS!$AB53&lt;&gt;0,CUENTAS!X53/CUENTAS!$AB53,"")</f>
        <v>0.04609654069</v>
      </c>
      <c r="AQ64" s="459">
        <f>IF(CUENTAS!Y53/CUENTAS!$AB53&lt;&gt;0,CUENTAS!Y53/CUENTAS!$AB53,"")</f>
        <v>0.005975551409</v>
      </c>
      <c r="AR64" s="459">
        <f>IF(CUENTAS!AA53/CUENTAS!$AB53&lt;&gt;0,CUENTAS!AA53/CUENTAS!$AB53,"")</f>
        <v>0.08301197913</v>
      </c>
    </row>
    <row r="65">
      <c r="A65" s="474"/>
      <c r="B65" s="200"/>
      <c r="C65" s="200"/>
      <c r="F65" s="200"/>
      <c r="G65" s="200"/>
      <c r="J65" s="465">
        <v>45595.0</v>
      </c>
      <c r="K65" s="466">
        <f>SUMIF(GRAFICO!A:A,J65,GRAFICO!B:B)</f>
        <v>14115.04161</v>
      </c>
      <c r="L65" s="467">
        <f t="shared" si="2"/>
        <v>0.3345866768</v>
      </c>
      <c r="M65" s="468">
        <v>45960.0</v>
      </c>
      <c r="N65" s="469">
        <f>IF(SUMIF(GRAFICO!A:A,M65,GRAFICO!B:B)=0,"",SUMIF(GRAFICO!A:A,M65,GRAFICO!B:B))</f>
        <v>20452.12541</v>
      </c>
      <c r="O65" s="467">
        <f t="shared" si="3"/>
        <v>0.3850135344</v>
      </c>
      <c r="P65" s="468">
        <v>46325.0</v>
      </c>
      <c r="Q65" s="463" t="str">
        <f>IF(SUMIF(GRAFICO!A:A,P65,GRAFICO!B:B)=0,"",SUMIF(GRAFICO!A:A,P65,GRAFICO!B:B))</f>
        <v/>
      </c>
      <c r="R65" s="463" t="str">
        <f t="shared" si="4"/>
        <v/>
      </c>
      <c r="S65" s="471">
        <f>CUENTAS!A54</f>
        <v>46048</v>
      </c>
      <c r="Y65" s="459">
        <f>IF(CUENTAS!G54/CUENTAS!$AB54&lt;&gt;0,CUENTAS!G54/CUENTAS!$AB54,"")</f>
        <v>0.1138654778</v>
      </c>
      <c r="Z65" s="459">
        <f>IF(CUENTAS!H54/CUENTAS!$AB54&lt;&gt;0,CUENTAS!H54/CUENTAS!$AB54,"")</f>
        <v>0.02978003083</v>
      </c>
      <c r="AA65" s="459">
        <f>IF(CUENTAS!I54/CUENTAS!$AB54&lt;&gt;0,CUENTAS!I54/CUENTAS!$AB54,"")</f>
        <v>0.01730052568</v>
      </c>
      <c r="AB65" s="459">
        <f>IF(CUENTAS!J54/CUENTAS!$AB54&lt;&gt;0,CUENTAS!J54/CUENTAS!$AB54,"")</f>
        <v>0.1563125473</v>
      </c>
      <c r="AC65" s="459">
        <f>IF(CUENTAS!K54/CUENTAS!$AB54&lt;&gt;0,CUENTAS!K54/CUENTAS!$AB54,"")</f>
        <v>0.06614226681</v>
      </c>
      <c r="AD65" s="459">
        <f>IF(CUENTAS!L54/CUENTAS!$AB54&lt;&gt;0,CUENTAS!L54/CUENTAS!$AB54,"")</f>
        <v>0.005646761123</v>
      </c>
      <c r="AE65" s="459">
        <f>IF(CUENTAS!M54/CUENTAS!$AB54&lt;&gt;0,CUENTAS!M54/CUENTAS!$AB54,"")</f>
        <v>0.04412671783</v>
      </c>
      <c r="AF65" s="459">
        <f>IF(CUENTAS!N54/CUENTAS!$AB54&lt;&gt;0,CUENTAS!N54/CUENTAS!$AB54,"")</f>
        <v>0.09329238054</v>
      </c>
      <c r="AG65" s="459">
        <f>IF(CUENTAS!O54/CUENTAS!$AB54&lt;&gt;0,CUENTAS!O54/CUENTAS!$AB54,"")</f>
        <v>0.03283467806</v>
      </c>
      <c r="AH65" s="459">
        <f>IF(CUENTAS!P54/CUENTAS!$AB54&lt;&gt;0,CUENTAS!P54/CUENTAS!$AB54,"")</f>
        <v>0.04211351184</v>
      </c>
      <c r="AI65" s="459">
        <f>IF(CUENTAS!R54/CUENTAS!$AB54&lt;&gt;0,CUENTAS!R54/CUENTAS!$AB54,"")</f>
        <v>0.06518180596</v>
      </c>
      <c r="AJ65" s="459">
        <f>IF(CUENTAS!B54/CUENTAS!$AB54&lt;&gt;0,CUENTAS!B54/CUENTAS!$AB54,"")</f>
        <v>0.01392684905</v>
      </c>
      <c r="AK65" s="459">
        <f>IF(CUENTAS!S54/CUENTAS!$AB54&lt;&gt;0,CUENTAS!S54/CUENTAS!$AB54,"")</f>
        <v>0.02722314306</v>
      </c>
      <c r="AL65" s="459">
        <f>IF(CUENTAS!T54/CUENTAS!$AB54&lt;&gt;0,CUENTAS!T54/CUENTAS!$AB54,"")</f>
        <v>0.1042580897</v>
      </c>
      <c r="AM65" s="459">
        <f>IF(CUENTAS!U54/CUENTAS!$AB54&lt;&gt;0,CUENTAS!U54/CUENTAS!$AB54,"")</f>
        <v>0.0498479762</v>
      </c>
      <c r="AN65" s="459">
        <f>IF(CUENTAS!V54/CUENTAS!$AB54&lt;&gt;0,CUENTAS!V54/CUENTAS!$AB54,"")</f>
        <v>0.1387084812</v>
      </c>
      <c r="AO65" s="459">
        <f>IF(CUENTAS!W54/CUENTAS!$AB54&lt;&gt;0,CUENTAS!W54/CUENTAS!$AB54,"")</f>
        <v>0.03712526773</v>
      </c>
      <c r="AP65" s="459">
        <f>IF(CUENTAS!X54/CUENTAS!$AB54&lt;&gt;0,CUENTAS!X54/CUENTAS!$AB54,"")</f>
        <v>0.04598482635</v>
      </c>
      <c r="AQ65" s="459">
        <f>IF(CUENTAS!Y54/CUENTAS!$AB54&lt;&gt;0,CUENTAS!Y54/CUENTAS!$AB54,"")</f>
        <v>0.0059214318</v>
      </c>
      <c r="AR65" s="459">
        <f>IF(CUENTAS!AA54/CUENTAS!$AB54&lt;&gt;0,CUENTAS!AA54/CUENTAS!$AB54,"")</f>
        <v>0.0829463771</v>
      </c>
    </row>
    <row r="66">
      <c r="A66" s="474"/>
      <c r="B66" s="200"/>
      <c r="C66" s="200"/>
      <c r="F66" s="200"/>
      <c r="G66" s="200"/>
      <c r="J66" s="465">
        <v>45594.0</v>
      </c>
      <c r="K66" s="466">
        <f>SUMIF(GRAFICO!A:A,J66,GRAFICO!B:B)</f>
        <v>13901.28329</v>
      </c>
      <c r="L66" s="467">
        <f t="shared" si="2"/>
        <v>0.3193268264</v>
      </c>
      <c r="M66" s="468">
        <v>45959.0</v>
      </c>
      <c r="N66" s="469">
        <f>IF(SUMIF(GRAFICO!A:A,M66,GRAFICO!B:B)=0,"",SUMIF(GRAFICO!A:A,M66,GRAFICO!B:B))</f>
        <v>20484.32602</v>
      </c>
      <c r="O66" s="467">
        <f t="shared" si="3"/>
        <v>0.3865867346</v>
      </c>
      <c r="P66" s="465">
        <v>46324.0</v>
      </c>
      <c r="Q66" s="463" t="str">
        <f>IF(SUMIF(GRAFICO!A:A,P66,GRAFICO!B:B)=0,"",SUMIF(GRAFICO!A:A,P66,GRAFICO!B:B))</f>
        <v/>
      </c>
      <c r="R66" s="463" t="str">
        <f t="shared" si="4"/>
        <v/>
      </c>
      <c r="S66" s="471">
        <f>CUENTAS!A55</f>
        <v>46047</v>
      </c>
      <c r="T66" s="459" t="str">
        <f>IF(CUENTAS!Q55/CUENTAS!$AB55&lt;&gt;0,CUENTAS!Q55/CUENTAS!$AB55,"")</f>
        <v/>
      </c>
      <c r="U66" s="459" t="str">
        <f>IF(CUENTAS!C55/CUENTAS!$AB55&lt;&gt;0,CUENTAS!C55/CUENTAS!$AB55,"")</f>
        <v/>
      </c>
      <c r="V66" s="459" t="str">
        <f>IF(CUENTAS!D55/CUENTAS!$AB55&lt;&gt;0,CUENTAS!D55/CUENTAS!$AB55,"")</f>
        <v/>
      </c>
      <c r="W66" s="459" t="str">
        <f>IF(CUENTAS!E55/CUENTAS!$AB55&lt;&gt;0,CUENTAS!E55/CUENTAS!$AB55,"")</f>
        <v/>
      </c>
      <c r="X66" s="459" t="str">
        <f>IF(CUENTAS!F55/CUENTAS!$AB55&lt;&gt;0,CUENTAS!F55/CUENTAS!$AB55,"")</f>
        <v/>
      </c>
      <c r="Y66" s="459">
        <f>IF(CUENTAS!G55/CUENTAS!$AB55&lt;&gt;0,CUENTAS!G55/CUENTAS!$AB55,"")</f>
        <v>0.1140089957</v>
      </c>
      <c r="Z66" s="459">
        <f>IF(CUENTAS!H55/CUENTAS!$AB55&lt;&gt;0,CUENTAS!H55/CUENTAS!$AB55,"")</f>
        <v>0.02927801804</v>
      </c>
      <c r="AA66" s="459">
        <f>IF(CUENTAS!I55/CUENTAS!$AB55&lt;&gt;0,CUENTAS!I55/CUENTAS!$AB55,"")</f>
        <v>0.01683441325</v>
      </c>
      <c r="AB66" s="459">
        <f>IF(CUENTAS!J55/CUENTAS!$AB55&lt;&gt;0,CUENTAS!J55/CUENTAS!$AB55,"")</f>
        <v>0.1544086067</v>
      </c>
      <c r="AC66" s="459">
        <f>IF(CUENTAS!K55/CUENTAS!$AB55&lt;&gt;0,CUENTAS!K55/CUENTAS!$AB55,"")</f>
        <v>0.06708726065</v>
      </c>
      <c r="AD66" s="459">
        <f>IF(CUENTAS!L55/CUENTAS!$AB55&lt;&gt;0,CUENTAS!L55/CUENTAS!$AB55,"")</f>
        <v>0.005705368207</v>
      </c>
      <c r="AE66" s="459">
        <f>IF(CUENTAS!M55/CUENTAS!$AB55&lt;&gt;0,CUENTAS!M55/CUENTAS!$AB55,"")</f>
        <v>0.04308834767</v>
      </c>
      <c r="AF66" s="459">
        <f>IF(CUENTAS!N55/CUENTAS!$AB55&lt;&gt;0,CUENTAS!N55/CUENTAS!$AB55,"")</f>
        <v>0.09240669511</v>
      </c>
      <c r="AG66" s="459">
        <f>IF(CUENTAS!O55/CUENTAS!$AB55&lt;&gt;0,CUENTAS!O55/CUENTAS!$AB55,"")</f>
        <v>0.03238929185</v>
      </c>
      <c r="AH66" s="459">
        <f>IF(CUENTAS!P55/CUENTAS!$AB55&lt;&gt;0,CUENTAS!P55/CUENTAS!$AB55,"")</f>
        <v>0.04406830577</v>
      </c>
      <c r="AI66" s="459">
        <f>IF(CUENTAS!R55/CUENTAS!$AB55&lt;&gt;0,CUENTAS!R55/CUENTAS!$AB55,"")</f>
        <v>0.06584450238</v>
      </c>
      <c r="AJ66" s="459">
        <f>IF(CUENTAS!B55/CUENTAS!$AB55&lt;&gt;0,CUENTAS!B55/CUENTAS!$AB55,"")</f>
        <v>0.01413399898</v>
      </c>
      <c r="AK66" s="459">
        <f>IF(CUENTAS!S55/CUENTAS!$AB55&lt;&gt;0,CUENTAS!S55/CUENTAS!$AB55,"")</f>
        <v>0.02732527895</v>
      </c>
      <c r="AL66" s="459">
        <f>IF(CUENTAS!T55/CUENTAS!$AB55&lt;&gt;0,CUENTAS!T55/CUENTAS!$AB55,"")</f>
        <v>0.1047107583</v>
      </c>
      <c r="AM66" s="459">
        <f>IF(CUENTAS!U55/CUENTAS!$AB55&lt;&gt;0,CUENTAS!U55/CUENTAS!$AB55,"")</f>
        <v>0.05011535789</v>
      </c>
      <c r="AN66" s="459">
        <f>IF(CUENTAS!V55/CUENTAS!$AB55&lt;&gt;0,CUENTAS!V55/CUENTAS!$AB55,"")</f>
        <v>0.1394246206</v>
      </c>
      <c r="AO66" s="459">
        <f>IF(CUENTAS!W55/CUENTAS!$AB55&lt;&gt;0,CUENTAS!W55/CUENTAS!$AB55,"")</f>
        <v>0.03730849519</v>
      </c>
      <c r="AP66" s="459">
        <f>IF(CUENTAS!X55/CUENTAS!$AB55&lt;&gt;0,CUENTAS!X55/CUENTAS!$AB55,"")</f>
        <v>0.04615579695</v>
      </c>
      <c r="AQ66" s="459">
        <f>IF(CUENTAS!Y55/CUENTAS!$AB55&lt;&gt;0,CUENTAS!Y55/CUENTAS!$AB55,"")</f>
        <v>0.005903531757</v>
      </c>
      <c r="AR66" s="459">
        <f>IF(CUENTAS!AA55/CUENTAS!$AB55&lt;&gt;0,CUENTAS!AA55/CUENTAS!$AB55,"")</f>
        <v>0.08339129672</v>
      </c>
    </row>
    <row r="67">
      <c r="A67" s="474"/>
      <c r="B67" s="200"/>
      <c r="C67" s="200"/>
      <c r="F67" s="200"/>
      <c r="G67" s="200"/>
      <c r="J67" s="465">
        <v>45593.0</v>
      </c>
      <c r="K67" s="466">
        <f>SUMIF(GRAFICO!A:A,J67,GRAFICO!B:B)</f>
        <v>13780.38999</v>
      </c>
      <c r="L67" s="467">
        <f t="shared" si="2"/>
        <v>0.310592234</v>
      </c>
      <c r="M67" s="468">
        <v>45958.0</v>
      </c>
      <c r="N67" s="469">
        <f>IF(SUMIF(GRAFICO!A:A,M67,GRAFICO!B:B)=0,"",SUMIF(GRAFICO!A:A,M67,GRAFICO!B:B))</f>
        <v>20372.46972</v>
      </c>
      <c r="O67" s="467">
        <f t="shared" si="3"/>
        <v>0.3811111909</v>
      </c>
      <c r="P67" s="468">
        <v>46323.0</v>
      </c>
      <c r="Q67" s="463" t="str">
        <f>IF(SUMIF(GRAFICO!A:A,P67,GRAFICO!B:B)=0,"",SUMIF(GRAFICO!A:A,P67,GRAFICO!B:B))</f>
        <v/>
      </c>
      <c r="R67" s="463" t="str">
        <f t="shared" si="4"/>
        <v/>
      </c>
      <c r="S67" s="471">
        <f>CUENTAS!A56</f>
        <v>46046</v>
      </c>
      <c r="T67" s="459" t="str">
        <f>IF(CUENTAS!Q56/CUENTAS!$AB56&lt;&gt;0,CUENTAS!Q56/CUENTAS!$AB56,"")</f>
        <v/>
      </c>
      <c r="U67" s="459" t="str">
        <f>IF(CUENTAS!C56/CUENTAS!$AB56&lt;&gt;0,CUENTAS!C56/CUENTAS!$AB56,"")</f>
        <v/>
      </c>
      <c r="V67" s="459" t="str">
        <f>IF(CUENTAS!D56/CUENTAS!$AB56&lt;&gt;0,CUENTAS!D56/CUENTAS!$AB56,"")</f>
        <v/>
      </c>
      <c r="W67" s="459" t="str">
        <f>IF(CUENTAS!E56/CUENTAS!$AB56&lt;&gt;0,CUENTAS!E56/CUENTAS!$AB56,"")</f>
        <v/>
      </c>
      <c r="X67" s="459" t="str">
        <f>IF(CUENTAS!F56/CUENTAS!$AB56&lt;&gt;0,CUENTAS!F56/CUENTAS!$AB56,"")</f>
        <v/>
      </c>
      <c r="Y67" s="459">
        <f>IF(CUENTAS!G56/CUENTAS!$AB56&lt;&gt;0,CUENTAS!G56/CUENTAS!$AB56,"")</f>
        <v>0.1150159218</v>
      </c>
      <c r="Z67" s="459">
        <f>IF(CUENTAS!H56/CUENTAS!$AB56&lt;&gt;0,CUENTAS!H56/CUENTAS!$AB56,"")</f>
        <v>0.02953660114</v>
      </c>
      <c r="AA67" s="459">
        <f>IF(CUENTAS!I56/CUENTAS!$AB56&lt;&gt;0,CUENTAS!I56/CUENTAS!$AB56,"")</f>
        <v>0.01698309458</v>
      </c>
      <c r="AB67" s="459">
        <f>IF(CUENTAS!J56/CUENTAS!$AB56&lt;&gt;0,CUENTAS!J56/CUENTAS!$AB56,"")</f>
        <v>0.1557723416</v>
      </c>
      <c r="AC67" s="459">
        <f>IF(CUENTAS!K56/CUENTAS!$AB56&lt;&gt;0,CUENTAS!K56/CUENTAS!$AB56,"")</f>
        <v>0.06767977452</v>
      </c>
      <c r="AD67" s="459">
        <f>IF(CUENTAS!L56/CUENTAS!$AB56&lt;&gt;0,CUENTAS!L56/CUENTAS!$AB56,"")</f>
        <v>0.00575575795</v>
      </c>
      <c r="AE67" s="459">
        <f>IF(CUENTAS!M56/CUENTAS!$AB56&lt;&gt;0,CUENTAS!M56/CUENTAS!$AB56,"")</f>
        <v>0.04346890343</v>
      </c>
      <c r="AF67" s="459">
        <f>IF(CUENTAS!N56/CUENTAS!$AB56&lt;&gt;0,CUENTAS!N56/CUENTAS!$AB56,"")</f>
        <v>0.09322282991</v>
      </c>
      <c r="AG67" s="459">
        <f>IF(CUENTAS!O56/CUENTAS!$AB56&lt;&gt;0,CUENTAS!O56/CUENTAS!$AB56,"")</f>
        <v>0.03267535368</v>
      </c>
      <c r="AH67" s="459">
        <f>IF(CUENTAS!P56/CUENTAS!$AB56&lt;&gt;0,CUENTAS!P56/CUENTAS!$AB56,"")</f>
        <v>0.04445751651</v>
      </c>
      <c r="AI67" s="459">
        <f>IF(CUENTAS!R56/CUENTAS!$AB56&lt;&gt;0,CUENTAS!R56/CUENTAS!$AB56,"")</f>
        <v>0.05828415373</v>
      </c>
      <c r="AJ67" s="459">
        <f>IF(CUENTAS!B56/CUENTAS!$AB56&lt;&gt;0,CUENTAS!B56/CUENTAS!$AB56,"")</f>
        <v>0.01425883029</v>
      </c>
      <c r="AK67" s="459">
        <f>IF(CUENTAS!S56/CUENTAS!$AB56&lt;&gt;0,CUENTAS!S56/CUENTAS!$AB56,"")</f>
        <v>0.02752234038</v>
      </c>
      <c r="AL67" s="459">
        <f>IF(CUENTAS!T56/CUENTAS!$AB56&lt;&gt;0,CUENTAS!T56/CUENTAS!$AB56,"")</f>
        <v>0.1055280555</v>
      </c>
      <c r="AM67" s="459">
        <f>IF(CUENTAS!U56/CUENTAS!$AB56&lt;&gt;0,CUENTAS!U56/CUENTAS!$AB56,"")</f>
        <v>0.05055797613</v>
      </c>
      <c r="AN67" s="459">
        <f>IF(CUENTAS!V56/CUENTAS!$AB56&lt;&gt;0,CUENTAS!V56/CUENTAS!$AB56,"")</f>
        <v>0.1406278916</v>
      </c>
      <c r="AO67" s="459">
        <f>IF(CUENTAS!W56/CUENTAS!$AB56&lt;&gt;0,CUENTAS!W56/CUENTAS!$AB56,"")</f>
        <v>0.0376219525</v>
      </c>
      <c r="AP67" s="459">
        <f>IF(CUENTAS!X56/CUENTAS!$AB56&lt;&gt;0,CUENTAS!X56/CUENTAS!$AB56,"")</f>
        <v>0.04648708652</v>
      </c>
      <c r="AQ67" s="459">
        <f>IF(CUENTAS!Y56/CUENTAS!$AB56&lt;&gt;0,CUENTAS!Y56/CUENTAS!$AB56,"")</f>
        <v>0.01342354095</v>
      </c>
      <c r="AR67" s="459">
        <f>IF(CUENTAS!AA56/CUENTAS!$AB56&lt;&gt;0,CUENTAS!AA56/CUENTAS!$AB56,"")</f>
        <v>0.07999292406</v>
      </c>
    </row>
    <row r="68">
      <c r="A68" s="474"/>
      <c r="B68" s="200"/>
      <c r="C68" s="200"/>
      <c r="F68" s="200"/>
      <c r="G68" s="200"/>
      <c r="J68" s="470">
        <v>45592.0</v>
      </c>
      <c r="K68" s="466">
        <f>SUMIF(GRAFICO!A:A,J68,GRAFICO!B:B)</f>
        <v>13845.22673</v>
      </c>
      <c r="L68" s="467">
        <f t="shared" si="2"/>
        <v>0.3152862</v>
      </c>
      <c r="M68" s="468">
        <v>45957.0</v>
      </c>
      <c r="N68" s="469">
        <f>IF(SUMIF(GRAFICO!A:A,M68,GRAFICO!B:B)=0,"",SUMIF(GRAFICO!A:A,M68,GRAFICO!B:B))</f>
        <v>20303.61746</v>
      </c>
      <c r="O68" s="467">
        <f t="shared" si="3"/>
        <v>0.3777257954</v>
      </c>
      <c r="P68" s="465">
        <v>46322.0</v>
      </c>
      <c r="Q68" s="463" t="str">
        <f>IF(SUMIF(GRAFICO!A:A,P68,GRAFICO!B:B)=0,"",SUMIF(GRAFICO!A:A,P68,GRAFICO!B:B))</f>
        <v/>
      </c>
      <c r="R68" s="463" t="str">
        <f t="shared" si="4"/>
        <v/>
      </c>
      <c r="S68" s="471">
        <f>CUENTAS!A57</f>
        <v>46045</v>
      </c>
      <c r="T68" s="459" t="str">
        <f>IF(CUENTAS!Q57/CUENTAS!$AB57&lt;&gt;0,CUENTAS!Q57/CUENTAS!$AB57,"")</f>
        <v/>
      </c>
      <c r="U68" s="459" t="str">
        <f>IF(CUENTAS!C57/CUENTAS!$AB57&lt;&gt;0,CUENTAS!C57/CUENTAS!$AB57,"")</f>
        <v/>
      </c>
      <c r="V68" s="459" t="str">
        <f>IF(CUENTAS!D57/CUENTAS!$AB57&lt;&gt;0,CUENTAS!D57/CUENTAS!$AB57,"")</f>
        <v/>
      </c>
      <c r="W68" s="459" t="str">
        <f>IF(CUENTAS!E57/CUENTAS!$AB57&lt;&gt;0,CUENTAS!E57/CUENTAS!$AB57,"")</f>
        <v/>
      </c>
      <c r="X68" s="459" t="str">
        <f>IF(CUENTAS!F57/CUENTAS!$AB57&lt;&gt;0,CUENTAS!F57/CUENTAS!$AB57,"")</f>
        <v/>
      </c>
      <c r="Y68" s="459">
        <f>IF(CUENTAS!G57/CUENTAS!$AB57&lt;&gt;0,CUENTAS!G57/CUENTAS!$AB57,"")</f>
        <v>0.1150373552</v>
      </c>
      <c r="Z68" s="459">
        <f>IF(CUENTAS!H57/CUENTAS!$AB57&lt;&gt;0,CUENTAS!H57/CUENTAS!$AB57,"")</f>
        <v>0.02954210533</v>
      </c>
      <c r="AA68" s="459">
        <f>IF(CUENTAS!I57/CUENTAS!$AB57&lt;&gt;0,CUENTAS!I57/CUENTAS!$AB57,"")</f>
        <v>0.0169862594</v>
      </c>
      <c r="AB68" s="459">
        <f>IF(CUENTAS!J57/CUENTAS!$AB57&lt;&gt;0,CUENTAS!J57/CUENTAS!$AB57,"")</f>
        <v>0.15580137</v>
      </c>
      <c r="AC68" s="459">
        <f>IF(CUENTAS!K57/CUENTAS!$AB57&lt;&gt;0,CUENTAS!K57/CUENTAS!$AB57,"")</f>
        <v>0.06769238673</v>
      </c>
      <c r="AD68" s="459">
        <f>IF(CUENTAS!L57/CUENTAS!$AB57&lt;&gt;0,CUENTAS!L57/CUENTAS!$AB57,"")</f>
        <v>0.005756830543</v>
      </c>
      <c r="AE68" s="459">
        <f>IF(CUENTAS!M57/CUENTAS!$AB57&lt;&gt;0,CUENTAS!M57/CUENTAS!$AB57,"")</f>
        <v>0.04347700392</v>
      </c>
      <c r="AF68" s="459">
        <f>IF(CUENTAS!N57/CUENTAS!$AB57&lt;&gt;0,CUENTAS!N57/CUENTAS!$AB57,"")</f>
        <v>0.09324020211</v>
      </c>
      <c r="AG68" s="459">
        <f>IF(CUENTAS!O57/CUENTAS!$AB57&lt;&gt;0,CUENTAS!O57/CUENTAS!$AB57,"")</f>
        <v>0.03268144278</v>
      </c>
      <c r="AH68" s="459">
        <f>IF(CUENTAS!P57/CUENTAS!$AB57&lt;&gt;0,CUENTAS!P57/CUENTAS!$AB57,"")</f>
        <v>0.04446580122</v>
      </c>
      <c r="AI68" s="459">
        <f>IF(CUENTAS!R57/CUENTAS!$AB57&lt;&gt;0,CUENTAS!R57/CUENTAS!$AB57,"")</f>
        <v>0.05842291956</v>
      </c>
      <c r="AJ68" s="459">
        <f>IF(CUENTAS!B57/CUENTAS!$AB57&lt;&gt;0,CUENTAS!B57/CUENTAS!$AB57,"")</f>
        <v>0.01426148744</v>
      </c>
      <c r="AK68" s="459">
        <f>IF(CUENTAS!S57/CUENTAS!$AB57&lt;&gt;0,CUENTAS!S57/CUENTAS!$AB57,"")</f>
        <v>0.02748318585</v>
      </c>
      <c r="AL68" s="459">
        <f>IF(CUENTAS!T57/CUENTAS!$AB57&lt;&gt;0,CUENTAS!T57/CUENTAS!$AB57,"")</f>
        <v>0.1054401938</v>
      </c>
      <c r="AM68" s="459">
        <f>IF(CUENTAS!U57/CUENTAS!$AB57&lt;&gt;0,CUENTAS!U57/CUENTAS!$AB57,"")</f>
        <v>0.05056739767</v>
      </c>
      <c r="AN68" s="459">
        <f>IF(CUENTAS!V57/CUENTAS!$AB57&lt;&gt;0,CUENTAS!V57/CUENTAS!$AB57,"")</f>
        <v>0.1406259726</v>
      </c>
      <c r="AO68" s="459">
        <f>IF(CUENTAS!W57/CUENTAS!$AB57&lt;&gt;0,CUENTAS!W57/CUENTAS!$AB57,"")</f>
        <v>0.03761290955</v>
      </c>
      <c r="AP68" s="459">
        <f>IF(CUENTAS!X57/CUENTAS!$AB57&lt;&gt;0,CUENTAS!X57/CUENTAS!$AB57,"")</f>
        <v>0.04641937735</v>
      </c>
      <c r="AQ68" s="459">
        <f>IF(CUENTAS!Y57/CUENTAS!$AB57&lt;&gt;0,CUENTAS!Y57/CUENTAS!$AB57,"")</f>
        <v>0.01337593223</v>
      </c>
      <c r="AR68" s="459">
        <f>IF(CUENTAS!AA57/CUENTAS!$AB57&lt;&gt;0,CUENTAS!AA57/CUENTAS!$AB57,"")</f>
        <v>0.08000783084</v>
      </c>
    </row>
    <row r="69">
      <c r="A69" s="474"/>
      <c r="B69" s="200"/>
      <c r="C69" s="200"/>
      <c r="F69" s="200"/>
      <c r="G69" s="200"/>
      <c r="J69" s="465">
        <v>45591.0</v>
      </c>
      <c r="K69" s="466">
        <f>SUMIF(GRAFICO!A:A,J69,GRAFICO!B:B)</f>
        <v>13820.98885</v>
      </c>
      <c r="L69" s="467">
        <f t="shared" si="2"/>
        <v>0.3135340356</v>
      </c>
      <c r="M69" s="468">
        <v>45956.0</v>
      </c>
      <c r="N69" s="469">
        <f>IF(SUMIF(GRAFICO!A:A,M69,GRAFICO!B:B)=0,"",SUMIF(GRAFICO!A:A,M69,GRAFICO!B:B))</f>
        <v>20113.79742</v>
      </c>
      <c r="O69" s="467">
        <f t="shared" si="3"/>
        <v>0.3683327437</v>
      </c>
      <c r="P69" s="468">
        <v>46321.0</v>
      </c>
      <c r="Q69" s="463" t="str">
        <f>IF(SUMIF(GRAFICO!A:A,P69,GRAFICO!B:B)=0,"",SUMIF(GRAFICO!A:A,P69,GRAFICO!B:B))</f>
        <v/>
      </c>
      <c r="R69" s="463" t="str">
        <f t="shared" si="4"/>
        <v/>
      </c>
      <c r="S69" s="471">
        <f>CUENTAS!A58</f>
        <v>46044</v>
      </c>
      <c r="T69" s="459" t="str">
        <f>IF(CUENTAS!Q58/CUENTAS!$AB58&lt;&gt;0,CUENTAS!Q58/CUENTAS!$AB58,"")</f>
        <v/>
      </c>
      <c r="U69" s="459" t="str">
        <f>IF(CUENTAS!C58/CUENTAS!$AB58&lt;&gt;0,CUENTAS!C58/CUENTAS!$AB58,"")</f>
        <v/>
      </c>
      <c r="V69" s="459" t="str">
        <f>IF(CUENTAS!D58/CUENTAS!$AB58&lt;&gt;0,CUENTAS!D58/CUENTAS!$AB58,"")</f>
        <v/>
      </c>
      <c r="W69" s="459" t="str">
        <f>IF(CUENTAS!E58/CUENTAS!$AB58&lt;&gt;0,CUENTAS!E58/CUENTAS!$AB58,"")</f>
        <v/>
      </c>
      <c r="X69" s="459" t="str">
        <f>IF(CUENTAS!F58/CUENTAS!$AB58&lt;&gt;0,CUENTAS!F58/CUENTAS!$AB58,"")</f>
        <v/>
      </c>
      <c r="Y69" s="459">
        <f>IF(CUENTAS!G58/CUENTAS!$AB58&lt;&gt;0,CUENTAS!G58/CUENTAS!$AB58,"")</f>
        <v>0.115191999</v>
      </c>
      <c r="Z69" s="459">
        <f>IF(CUENTAS!H58/CUENTAS!$AB58&lt;&gt;0,CUENTAS!H58/CUENTAS!$AB58,"")</f>
        <v>0.02929919003</v>
      </c>
      <c r="AA69" s="459">
        <f>IF(CUENTAS!I58/CUENTAS!$AB58&lt;&gt;0,CUENTAS!I58/CUENTAS!$AB58,"")</f>
        <v>0.01612591079</v>
      </c>
      <c r="AB69" s="459">
        <f>IF(CUENTAS!J58/CUENTAS!$AB58&lt;&gt;0,CUENTAS!J58/CUENTAS!$AB58,"")</f>
        <v>0.1541425088</v>
      </c>
      <c r="AC69" s="459">
        <f>IF(CUENTAS!K58/CUENTAS!$AB58&lt;&gt;0,CUENTAS!K58/CUENTAS!$AB58,"")</f>
        <v>0.06750624233</v>
      </c>
      <c r="AD69" s="459">
        <f>IF(CUENTAS!L58/CUENTAS!$AB58&lt;&gt;0,CUENTAS!L58/CUENTAS!$AB58,"")</f>
        <v>0.005829554605</v>
      </c>
      <c r="AE69" s="459">
        <f>IF(CUENTAS!M58/CUENTAS!$AB58&lt;&gt;0,CUENTAS!M58/CUENTAS!$AB58,"")</f>
        <v>0.04355131541</v>
      </c>
      <c r="AF69" s="459">
        <f>IF(CUENTAS!N58/CUENTAS!$AB58&lt;&gt;0,CUENTAS!N58/CUENTAS!$AB58,"")</f>
        <v>0.09378466315</v>
      </c>
      <c r="AG69" s="459">
        <f>IF(CUENTAS!O58/CUENTAS!$AB58&lt;&gt;0,CUENTAS!O58/CUENTAS!$AB58,"")</f>
        <v>0.03187327908</v>
      </c>
      <c r="AH69" s="459">
        <f>IF(CUENTAS!P58/CUENTAS!$AB58&lt;&gt;0,CUENTAS!P58/CUENTAS!$AB58,"")</f>
        <v>0.04485728706</v>
      </c>
      <c r="AI69" s="459">
        <f>IF(CUENTAS!R58/CUENTAS!$AB58&lt;&gt;0,CUENTAS!R58/CUENTAS!$AB58,"")</f>
        <v>0.05895167378</v>
      </c>
      <c r="AJ69" s="459">
        <f>IF(CUENTAS!B58/CUENTAS!$AB58&lt;&gt;0,CUENTAS!B58/CUENTAS!$AB58,"")</f>
        <v>0.01435912421</v>
      </c>
      <c r="AK69" s="459">
        <f>IF(CUENTAS!S58/CUENTAS!$AB58&lt;&gt;0,CUENTAS!S58/CUENTAS!$AB58,"")</f>
        <v>0.02762675427</v>
      </c>
      <c r="AL69" s="459">
        <f>IF(CUENTAS!T58/CUENTAS!$AB58&lt;&gt;0,CUENTAS!T58/CUENTAS!$AB58,"")</f>
        <v>0.1060537936</v>
      </c>
      <c r="AM69" s="459">
        <f>IF(CUENTAS!U58/CUENTAS!$AB58&lt;&gt;0,CUENTAS!U58/CUENTAS!$AB58,"")</f>
        <v>0.05091359138</v>
      </c>
      <c r="AN69" s="459">
        <f>IF(CUENTAS!V58/CUENTAS!$AB58&lt;&gt;0,CUENTAS!V58/CUENTAS!$AB58,"")</f>
        <v>0.1415604118</v>
      </c>
      <c r="AO69" s="459">
        <f>IF(CUENTAS!W58/CUENTAS!$AB58&lt;&gt;0,CUENTAS!W58/CUENTAS!$AB58,"")</f>
        <v>0.03785425068</v>
      </c>
      <c r="AP69" s="459">
        <f>IF(CUENTAS!X58/CUENTAS!$AB58&lt;&gt;0,CUENTAS!X58/CUENTAS!$AB58,"")</f>
        <v>0.046660278</v>
      </c>
      <c r="AQ69" s="459">
        <f>IF(CUENTAS!Y58/CUENTAS!$AB58&lt;&gt;0,CUENTAS!Y58/CUENTAS!$AB58,"")</f>
        <v>0.01341705304</v>
      </c>
      <c r="AR69" s="459">
        <f>IF(CUENTAS!AA58/CUENTAS!$AB58&lt;&gt;0,CUENTAS!AA58/CUENTAS!$AB58,"")</f>
        <v>0.08055557918</v>
      </c>
    </row>
    <row r="70">
      <c r="A70" s="474"/>
      <c r="B70" s="200"/>
      <c r="C70" s="200"/>
      <c r="F70" s="200"/>
      <c r="G70" s="200"/>
      <c r="J70" s="470">
        <v>45590.0</v>
      </c>
      <c r="K70" s="466">
        <f>SUMIF(GRAFICO!A:A,J70,GRAFICO!B:B)</f>
        <v>13806.60604</v>
      </c>
      <c r="L70" s="467">
        <f t="shared" si="2"/>
        <v>0.3124928439</v>
      </c>
      <c r="M70" s="468">
        <v>45955.0</v>
      </c>
      <c r="N70" s="469">
        <f>IF(SUMIF(GRAFICO!A:A,M70,GRAFICO!B:B)=0,"",SUMIF(GRAFICO!A:A,M70,GRAFICO!B:B))</f>
        <v>20109.04567</v>
      </c>
      <c r="O70" s="467">
        <f t="shared" si="3"/>
        <v>0.3680964721</v>
      </c>
      <c r="P70" s="465">
        <v>46320.0</v>
      </c>
      <c r="Q70" s="463" t="str">
        <f>IF(SUMIF(GRAFICO!A:A,P70,GRAFICO!B:B)=0,"",SUMIF(GRAFICO!A:A,P70,GRAFICO!B:B))</f>
        <v/>
      </c>
      <c r="R70" s="463" t="str">
        <f t="shared" si="4"/>
        <v/>
      </c>
      <c r="S70" s="471">
        <f>CUENTAS!A59</f>
        <v>46043</v>
      </c>
      <c r="T70" s="459" t="str">
        <f>IF(CUENTAS!Q59/CUENTAS!$AB59&lt;&gt;0,CUENTAS!Q59/CUENTAS!$AB59,"")</f>
        <v/>
      </c>
      <c r="U70" s="459" t="str">
        <f>IF(CUENTAS!C59/CUENTAS!$AB59&lt;&gt;0,CUENTAS!C59/CUENTAS!$AB59,"")</f>
        <v/>
      </c>
      <c r="V70" s="459" t="str">
        <f>IF(CUENTAS!D59/CUENTAS!$AB59&lt;&gt;0,CUENTAS!D59/CUENTAS!$AB59,"")</f>
        <v/>
      </c>
      <c r="W70" s="459" t="str">
        <f>IF(CUENTAS!E59/CUENTAS!$AB59&lt;&gt;0,CUENTAS!E59/CUENTAS!$AB59,"")</f>
        <v/>
      </c>
      <c r="X70" s="459" t="str">
        <f>IF(CUENTAS!F59/CUENTAS!$AB59&lt;&gt;0,CUENTAS!F59/CUENTAS!$AB59,"")</f>
        <v/>
      </c>
      <c r="Y70" s="459">
        <f>IF(CUENTAS!G59/CUENTAS!$AB59&lt;&gt;0,CUENTAS!G59/CUENTAS!$AB59,"")</f>
        <v>0.1143635252</v>
      </c>
      <c r="Z70" s="459">
        <f>IF(CUENTAS!H59/CUENTAS!$AB59&lt;&gt;0,CUENTAS!H59/CUENTAS!$AB59,"")</f>
        <v>0.02866872796</v>
      </c>
      <c r="AA70" s="459">
        <f>IF(CUENTAS!I59/CUENTAS!$AB59&lt;&gt;0,CUENTAS!I59/CUENTAS!$AB59,"")</f>
        <v>0.01659720726</v>
      </c>
      <c r="AB70" s="459">
        <f>IF(CUENTAS!J59/CUENTAS!$AB59&lt;&gt;0,CUENTAS!J59/CUENTAS!$AB59,"")</f>
        <v>0.1559351458</v>
      </c>
      <c r="AC70" s="459">
        <f>IF(CUENTAS!K59/CUENTAS!$AB59&lt;&gt;0,CUENTAS!K59/CUENTAS!$AB59,"")</f>
        <v>0.06734112783</v>
      </c>
      <c r="AD70" s="459">
        <f>IF(CUENTAS!L59/CUENTAS!$AB59&lt;&gt;0,CUENTAS!L59/CUENTAS!$AB59,"")</f>
        <v>0.005815068884</v>
      </c>
      <c r="AE70" s="459">
        <f>IF(CUENTAS!M59/CUENTAS!$AB59&lt;&gt;0,CUENTAS!M59/CUENTAS!$AB59,"")</f>
        <v>0.04347697395</v>
      </c>
      <c r="AF70" s="459">
        <f>IF(CUENTAS!N59/CUENTAS!$AB59&lt;&gt;0,CUENTAS!N59/CUENTAS!$AB59,"")</f>
        <v>0.09418688385</v>
      </c>
      <c r="AG70" s="459">
        <f>IF(CUENTAS!O59/CUENTAS!$AB59&lt;&gt;0,CUENTAS!O59/CUENTAS!$AB59,"")</f>
        <v>0.03221717459</v>
      </c>
      <c r="AH70" s="459">
        <f>IF(CUENTAS!P59/CUENTAS!$AB59&lt;&gt;0,CUENTAS!P59/CUENTAS!$AB59,"")</f>
        <v>0.04441037791</v>
      </c>
      <c r="AI70" s="459">
        <f>IF(CUENTAS!R59/CUENTAS!$AB59&lt;&gt;0,CUENTAS!R59/CUENTAS!$AB59,"")</f>
        <v>0.05897960446</v>
      </c>
      <c r="AJ70" s="459">
        <f>IF(CUENTAS!B59/CUENTAS!$AB59&lt;&gt;0,CUENTAS!B59/CUENTAS!$AB59,"")</f>
        <v>0.01433461339</v>
      </c>
      <c r="AK70" s="459">
        <f>IF(CUENTAS!S59/CUENTAS!$AB59&lt;&gt;0,CUENTAS!S59/CUENTAS!$AB59,"")</f>
        <v>0.02753508538</v>
      </c>
      <c r="AL70" s="459">
        <f>IF(CUENTAS!T59/CUENTAS!$AB59&lt;&gt;0,CUENTAS!T59/CUENTAS!$AB59,"")</f>
        <v>0.105764683</v>
      </c>
      <c r="AM70" s="459">
        <f>IF(CUENTAS!U59/CUENTAS!$AB59&lt;&gt;0,CUENTAS!U59/CUENTAS!$AB59,"")</f>
        <v>0.05082668262</v>
      </c>
      <c r="AN70" s="459">
        <f>IF(CUENTAS!V59/CUENTAS!$AB59&lt;&gt;0,CUENTAS!V59/CUENTAS!$AB59,"")</f>
        <v>0.1412905121</v>
      </c>
      <c r="AO70" s="459" t="str">
        <f>IF(CUENTAS!W59/CUENTAS!$AB59&lt;&gt;0,CUENTAS!W59/CUENTAS!$AB59,"")</f>
        <v/>
      </c>
      <c r="AP70" s="459">
        <f>IF(CUENTAS!X59/CUENTAS!$AB59&lt;&gt;0,CUENTAS!X59/CUENTAS!$AB59,"")</f>
        <v>0.04650386589</v>
      </c>
      <c r="AQ70" s="459">
        <f>IF(CUENTAS!Y59/CUENTAS!$AB59&lt;&gt;0,CUENTAS!Y59/CUENTAS!$AB59,"")</f>
        <v>0.01334378317</v>
      </c>
      <c r="AR70" s="459">
        <f>IF(CUENTAS!AA59/CUENTAS!$AB59&lt;&gt;0,CUENTAS!AA59/CUENTAS!$AB59,"")</f>
        <v>0.118207706</v>
      </c>
    </row>
    <row r="71">
      <c r="A71" s="474"/>
      <c r="B71" s="200"/>
      <c r="C71" s="200"/>
      <c r="F71" s="200"/>
      <c r="G71" s="200"/>
      <c r="J71" s="470">
        <v>45589.0</v>
      </c>
      <c r="K71" s="466">
        <f>SUMIF(GRAFICO!A:A,J71,GRAFICO!B:B)</f>
        <v>13792.22323</v>
      </c>
      <c r="L71" s="467">
        <f t="shared" si="2"/>
        <v>0.311450567</v>
      </c>
      <c r="M71" s="468">
        <v>45954.0</v>
      </c>
      <c r="N71" s="469">
        <f>IF(SUMIF(GRAFICO!A:A,M71,GRAFICO!B:B)=0,"",SUMIF(GRAFICO!A:A,M71,GRAFICO!B:B))</f>
        <v>20104.29462</v>
      </c>
      <c r="O71" s="467">
        <f t="shared" si="3"/>
        <v>0.36786018</v>
      </c>
      <c r="P71" s="468">
        <v>46319.0</v>
      </c>
      <c r="Q71" s="463" t="str">
        <f>IF(SUMIF(GRAFICO!A:A,P71,GRAFICO!B:B)=0,"",SUMIF(GRAFICO!A:A,P71,GRAFICO!B:B))</f>
        <v/>
      </c>
      <c r="R71" s="463" t="str">
        <f t="shared" si="4"/>
        <v/>
      </c>
      <c r="S71" s="471">
        <f>CUENTAS!A60</f>
        <v>46042</v>
      </c>
      <c r="T71" s="459" t="str">
        <f>IF(CUENTAS!Q60/CUENTAS!$AB60&lt;&gt;0,CUENTAS!Q60/CUENTAS!$AB60,"")</f>
        <v/>
      </c>
      <c r="U71" s="459" t="str">
        <f>IF(CUENTAS!C60/CUENTAS!$AB60&lt;&gt;0,CUENTAS!C60/CUENTAS!$AB60,"")</f>
        <v/>
      </c>
      <c r="V71" s="459" t="str">
        <f>IF(CUENTAS!D60/CUENTAS!$AB60&lt;&gt;0,CUENTAS!D60/CUENTAS!$AB60,"")</f>
        <v/>
      </c>
      <c r="W71" s="459" t="str">
        <f>IF(CUENTAS!E60/CUENTAS!$AB60&lt;&gt;0,CUENTAS!E60/CUENTAS!$AB60,"")</f>
        <v/>
      </c>
      <c r="X71" s="459" t="str">
        <f>IF(CUENTAS!F60/CUENTAS!$AB60&lt;&gt;0,CUENTAS!F60/CUENTAS!$AB60,"")</f>
        <v/>
      </c>
      <c r="Y71" s="459">
        <f>IF(CUENTAS!G60/CUENTAS!$AB60&lt;&gt;0,CUENTAS!G60/CUENTAS!$AB60,"")</f>
        <v>0.113304136</v>
      </c>
      <c r="Z71" s="459">
        <f>IF(CUENTAS!H60/CUENTAS!$AB60&lt;&gt;0,CUENTAS!H60/CUENTAS!$AB60,"")</f>
        <v>0.02848551609</v>
      </c>
      <c r="AA71" s="459">
        <f>IF(CUENTAS!I60/CUENTAS!$AB60&lt;&gt;0,CUENTAS!I60/CUENTAS!$AB60,"")</f>
        <v>0.01614970003</v>
      </c>
      <c r="AB71" s="459">
        <f>IF(CUENTAS!J60/CUENTAS!$AB60&lt;&gt;0,CUENTAS!J60/CUENTAS!$AB60,"")</f>
        <v>0.1538935633</v>
      </c>
      <c r="AC71" s="459">
        <f>IF(CUENTAS!K60/CUENTAS!$AB60&lt;&gt;0,CUENTAS!K60/CUENTAS!$AB60,"")</f>
        <v>0.06769644031</v>
      </c>
      <c r="AD71" s="459">
        <f>IF(CUENTAS!L60/CUENTAS!$AB60&lt;&gt;0,CUENTAS!L60/CUENTAS!$AB60,"")</f>
        <v>0.005854646432</v>
      </c>
      <c r="AE71" s="459">
        <f>IF(CUENTAS!M60/CUENTAS!$AB60&lt;&gt;0,CUENTAS!M60/CUENTAS!$AB60,"")</f>
        <v>0.04369391063</v>
      </c>
      <c r="AF71" s="459">
        <f>IF(CUENTAS!N60/CUENTAS!$AB60&lt;&gt;0,CUENTAS!N60/CUENTAS!$AB60,"")</f>
        <v>0.09522544404</v>
      </c>
      <c r="AG71" s="459">
        <f>IF(CUENTAS!O60/CUENTAS!$AB60&lt;&gt;0,CUENTAS!O60/CUENTAS!$AB60,"")</f>
        <v>0.03232221036</v>
      </c>
      <c r="AH71" s="459">
        <f>IF(CUENTAS!P60/CUENTAS!$AB60&lt;&gt;0,CUENTAS!P60/CUENTAS!$AB60,"")</f>
        <v>0.04416836509</v>
      </c>
      <c r="AI71" s="459">
        <f>IF(CUENTAS!R60/CUENTAS!$AB60&lt;&gt;0,CUENTAS!R60/CUENTAS!$AB60,"")</f>
        <v>0.0594640851</v>
      </c>
      <c r="AJ71" s="459">
        <f>IF(CUENTAS!B60/CUENTAS!$AB60&lt;&gt;0,CUENTAS!B60/CUENTAS!$AB60,"")</f>
        <v>0.01442092938</v>
      </c>
      <c r="AK71" s="459">
        <f>IF(CUENTAS!S60/CUENTAS!$AB60&lt;&gt;0,CUENTAS!S60/CUENTAS!$AB60,"")</f>
        <v>0.02794123857</v>
      </c>
      <c r="AL71" s="459">
        <f>IF(CUENTAS!T60/CUENTAS!$AB60&lt;&gt;0,CUENTAS!T60/CUENTAS!$AB60,"")</f>
        <v>0.1062928167</v>
      </c>
      <c r="AM71" s="459">
        <f>IF(CUENTAS!U60/CUENTAS!$AB60&lt;&gt;0,CUENTAS!U60/CUENTAS!$AB60,"")</f>
        <v>0.05113273591</v>
      </c>
      <c r="AN71" s="459">
        <f>IF(CUENTAS!V60/CUENTAS!$AB60&lt;&gt;0,CUENTAS!V60/CUENTAS!$AB60,"")</f>
        <v>0.1421128715</v>
      </c>
      <c r="AO71" s="459">
        <f>IF(CUENTAS!W60/CUENTAS!$AB60&lt;&gt;0,CUENTAS!W60/CUENTAS!$AB60,"")</f>
        <v>0.01682260419</v>
      </c>
      <c r="AP71" s="459">
        <f>IF(CUENTAS!X60/CUENTAS!$AB60&lt;&gt;0,CUENTAS!X60/CUENTAS!$AB60,"")</f>
        <v>0.04670666338</v>
      </c>
      <c r="AQ71" s="459">
        <f>IF(CUENTAS!Y60/CUENTAS!$AB60&lt;&gt;0,CUENTAS!Y60/CUENTAS!$AB60,"")</f>
        <v>0.01337346242</v>
      </c>
      <c r="AR71" s="459">
        <f>IF(CUENTAS!AA60/CUENTAS!$AB60&lt;&gt;0,CUENTAS!AA60/CUENTAS!$AB60,"")</f>
        <v>0.1018117616</v>
      </c>
    </row>
    <row r="72">
      <c r="A72" s="474"/>
      <c r="B72" s="200"/>
      <c r="C72" s="200"/>
      <c r="F72" s="200"/>
      <c r="G72" s="200"/>
      <c r="J72" s="470">
        <v>45588.0</v>
      </c>
      <c r="K72" s="466">
        <f>SUMIF(GRAFICO!A:A,J72,GRAFICO!B:B)</f>
        <v>13777.84042</v>
      </c>
      <c r="L72" s="467">
        <f t="shared" si="2"/>
        <v>0.3104072025</v>
      </c>
      <c r="M72" s="468">
        <v>45953.0</v>
      </c>
      <c r="N72" s="469">
        <f>IF(SUMIF(GRAFICO!A:A,M72,GRAFICO!B:B)=0,"",SUMIF(GRAFICO!A:A,M72,GRAFICO!B:B))</f>
        <v>19907.61877</v>
      </c>
      <c r="O72" s="467">
        <f t="shared" si="3"/>
        <v>0.3580292364</v>
      </c>
      <c r="P72" s="465">
        <v>46318.0</v>
      </c>
      <c r="Q72" s="463" t="str">
        <f>IF(SUMIF(GRAFICO!A:A,P72,GRAFICO!B:B)=0,"",SUMIF(GRAFICO!A:A,P72,GRAFICO!B:B))</f>
        <v/>
      </c>
      <c r="R72" s="463" t="str">
        <f t="shared" si="4"/>
        <v/>
      </c>
      <c r="S72" s="471">
        <f>CUENTAS!A61</f>
        <v>46041</v>
      </c>
      <c r="T72" s="459" t="str">
        <f>IF(CUENTAS!Q61/CUENTAS!$AB61&lt;&gt;0,CUENTAS!Q61/CUENTAS!$AB61,"")</f>
        <v/>
      </c>
      <c r="U72" s="459" t="str">
        <f>IF(CUENTAS!C61/CUENTAS!$AB61&lt;&gt;0,CUENTAS!C61/CUENTAS!$AB61,"")</f>
        <v/>
      </c>
      <c r="V72" s="459" t="str">
        <f>IF(CUENTAS!D61/CUENTAS!$AB61&lt;&gt;0,CUENTAS!D61/CUENTAS!$AB61,"")</f>
        <v/>
      </c>
      <c r="W72" s="459" t="str">
        <f>IF(CUENTAS!E61/CUENTAS!$AB61&lt;&gt;0,CUENTAS!E61/CUENTAS!$AB61,"")</f>
        <v/>
      </c>
      <c r="X72" s="459" t="str">
        <f>IF(CUENTAS!F61/CUENTAS!$AB61&lt;&gt;0,CUENTAS!F61/CUENTAS!$AB61,"")</f>
        <v/>
      </c>
      <c r="Y72" s="459">
        <f>IF(CUENTAS!G61/CUENTAS!$AB61&lt;&gt;0,CUENTAS!G61/CUENTAS!$AB61,"")</f>
        <v>0.1111062277</v>
      </c>
      <c r="Z72" s="459">
        <f>IF(CUENTAS!H61/CUENTAS!$AB61&lt;&gt;0,CUENTAS!H61/CUENTAS!$AB61,"")</f>
        <v>0.02814237258</v>
      </c>
      <c r="AA72" s="459">
        <f>IF(CUENTAS!I61/CUENTAS!$AB61&lt;&gt;0,CUENTAS!I61/CUENTAS!$AB61,"")</f>
        <v>0.0163980263</v>
      </c>
      <c r="AB72" s="459">
        <f>IF(CUENTAS!J61/CUENTAS!$AB61&lt;&gt;0,CUENTAS!J61/CUENTAS!$AB61,"")</f>
        <v>0.1517570863</v>
      </c>
      <c r="AC72" s="459">
        <f>IF(CUENTAS!K61/CUENTAS!$AB61&lt;&gt;0,CUENTAS!K61/CUENTAS!$AB61,"")</f>
        <v>0.06739575039</v>
      </c>
      <c r="AD72" s="459">
        <f>IF(CUENTAS!L61/CUENTAS!$AB61&lt;&gt;0,CUENTAS!L61/CUENTAS!$AB61,"")</f>
        <v>0.0059631968</v>
      </c>
      <c r="AE72" s="459">
        <f>IF(CUENTAS!M61/CUENTAS!$AB61&lt;&gt;0,CUENTAS!M61/CUENTAS!$AB61,"")</f>
        <v>0.04364010608</v>
      </c>
      <c r="AF72" s="459">
        <f>IF(CUENTAS!N61/CUENTAS!$AB61&lt;&gt;0,CUENTAS!N61/CUENTAS!$AB61,"")</f>
        <v>0.09484817897</v>
      </c>
      <c r="AG72" s="459">
        <f>IF(CUENTAS!O61/CUENTAS!$AB61&lt;&gt;0,CUENTAS!O61/CUENTAS!$AB61,"")</f>
        <v>0.03383785275</v>
      </c>
      <c r="AH72" s="459">
        <f>IF(CUENTAS!P61/CUENTAS!$AB61&lt;&gt;0,CUENTAS!P61/CUENTAS!$AB61,"")</f>
        <v>0.04555007304</v>
      </c>
      <c r="AI72" s="459">
        <f>IF(CUENTAS!R61/CUENTAS!$AB61&lt;&gt;0,CUENTAS!R61/CUENTAS!$AB61,"")</f>
        <v>0.059950895</v>
      </c>
      <c r="AJ72" s="459">
        <f>IF(CUENTAS!B61/CUENTAS!$AB61&lt;&gt;0,CUENTAS!B61/CUENTAS!$AB61,"")</f>
        <v>0.01450743437</v>
      </c>
      <c r="AK72" s="459">
        <f>IF(CUENTAS!S61/CUENTAS!$AB61&lt;&gt;0,CUENTAS!S61/CUENTAS!$AB61,"")</f>
        <v>0.02806379907</v>
      </c>
      <c r="AL72" s="459">
        <f>IF(CUENTAS!T61/CUENTAS!$AB61&lt;&gt;0,CUENTAS!T61/CUENTAS!$AB61,"")</f>
        <v>0.1068325141</v>
      </c>
      <c r="AM72" s="459">
        <f>IF(CUENTAS!U61/CUENTAS!$AB61&lt;&gt;0,CUENTAS!U61/CUENTAS!$AB61,"")</f>
        <v>0.05136159203</v>
      </c>
      <c r="AN72" s="459">
        <f>IF(CUENTAS!V61/CUENTAS!$AB61&lt;&gt;0,CUENTAS!V61/CUENTAS!$AB61,"")</f>
        <v>0.1429367585</v>
      </c>
      <c r="AO72" s="459">
        <f>IF(CUENTAS!W61/CUENTAS!$AB61&lt;&gt;0,CUENTAS!W61/CUENTAS!$AB61,"")</f>
        <v>0.0169235158</v>
      </c>
      <c r="AP72" s="459">
        <f>IF(CUENTAS!X61/CUENTAS!$AB61&lt;&gt;0,CUENTAS!X61/CUENTAS!$AB61,"")</f>
        <v>0.04690914751</v>
      </c>
      <c r="AQ72" s="459">
        <f>IF(CUENTAS!Y61/CUENTAS!$AB61&lt;&gt;0,CUENTAS!Y61/CUENTAS!$AB61,"")</f>
        <v>0.01340270971</v>
      </c>
      <c r="AR72" s="459">
        <f>IF(CUENTAS!AA61/CUENTAS!$AB61&lt;&gt;0,CUENTAS!AA61/CUENTAS!$AB61,"")</f>
        <v>0.1024224868</v>
      </c>
    </row>
    <row r="73">
      <c r="A73" s="474"/>
      <c r="B73" s="200"/>
      <c r="C73" s="200"/>
      <c r="F73" s="200"/>
      <c r="G73" s="200"/>
      <c r="J73" s="465">
        <v>45587.0</v>
      </c>
      <c r="K73" s="466">
        <f>SUMIF(GRAFICO!A:A,J73,GRAFICO!B:B)</f>
        <v>13940.84875</v>
      </c>
      <c r="L73" s="467">
        <f t="shared" si="2"/>
        <v>0.3221689566</v>
      </c>
      <c r="M73" s="468">
        <v>45952.0</v>
      </c>
      <c r="N73" s="469">
        <f>IF(SUMIF(GRAFICO!A:A,M73,GRAFICO!B:B)=0,"",SUMIF(GRAFICO!A:A,M73,GRAFICO!B:B))</f>
        <v>19790.61639</v>
      </c>
      <c r="O73" s="467">
        <f t="shared" si="3"/>
        <v>0.3521346307</v>
      </c>
      <c r="P73" s="468">
        <v>46317.0</v>
      </c>
      <c r="Q73" s="463" t="str">
        <f>IF(SUMIF(GRAFICO!A:A,P73,GRAFICO!B:B)=0,"",SUMIF(GRAFICO!A:A,P73,GRAFICO!B:B))</f>
        <v/>
      </c>
      <c r="R73" s="463" t="str">
        <f t="shared" si="4"/>
        <v/>
      </c>
      <c r="S73" s="471">
        <f>CUENTAS!A62</f>
        <v>46040</v>
      </c>
      <c r="T73" s="459" t="str">
        <f>IF(CUENTAS!Q62/CUENTAS!$AB62&lt;&gt;0,CUENTAS!Q62/CUENTAS!$AB62,"")</f>
        <v/>
      </c>
      <c r="U73" s="459" t="str">
        <f>IF(CUENTAS!C62/CUENTAS!$AB62&lt;&gt;0,CUENTAS!C62/CUENTAS!$AB62,"")</f>
        <v/>
      </c>
      <c r="V73" s="459" t="str">
        <f>IF(CUENTAS!D62/CUENTAS!$AB62&lt;&gt;0,CUENTAS!D62/CUENTAS!$AB62,"")</f>
        <v/>
      </c>
      <c r="W73" s="459" t="str">
        <f>IF(CUENTAS!E62/CUENTAS!$AB62&lt;&gt;0,CUENTAS!E62/CUENTAS!$AB62,"")</f>
        <v/>
      </c>
      <c r="X73" s="459" t="str">
        <f>IF(CUENTAS!F62/CUENTAS!$AB62&lt;&gt;0,CUENTAS!F62/CUENTAS!$AB62,"")</f>
        <v/>
      </c>
      <c r="Y73" s="459">
        <f>IF(CUENTAS!G62/CUENTAS!$AB62&lt;&gt;0,CUENTAS!G62/CUENTAS!$AB62,"")</f>
        <v>0.1111887941</v>
      </c>
      <c r="Z73" s="459">
        <f>IF(CUENTAS!H62/CUENTAS!$AB62&lt;&gt;0,CUENTAS!H62/CUENTAS!$AB62,"")</f>
        <v>0.02836736782</v>
      </c>
      <c r="AA73" s="459">
        <f>IF(CUENTAS!I62/CUENTAS!$AB62&lt;&gt;0,CUENTAS!I62/CUENTAS!$AB62,"")</f>
        <v>0.01618679387</v>
      </c>
      <c r="AB73" s="459">
        <f>IF(CUENTAS!J62/CUENTAS!$AB62&lt;&gt;0,CUENTAS!J62/CUENTAS!$AB62,"")</f>
        <v>0.1486526559</v>
      </c>
      <c r="AC73" s="459">
        <f>IF(CUENTAS!K62/CUENTAS!$AB62&lt;&gt;0,CUENTAS!K62/CUENTAS!$AB62,"")</f>
        <v>0.06691682574</v>
      </c>
      <c r="AD73" s="459">
        <f>IF(CUENTAS!L62/CUENTAS!$AB62&lt;&gt;0,CUENTAS!L62/CUENTAS!$AB62,"")</f>
        <v>0.005996993555</v>
      </c>
      <c r="AE73" s="459">
        <f>IF(CUENTAS!M62/CUENTAS!$AB62&lt;&gt;0,CUENTAS!M62/CUENTAS!$AB62,"")</f>
        <v>0.04385253348</v>
      </c>
      <c r="AF73" s="459">
        <f>IF(CUENTAS!N62/CUENTAS!$AB62&lt;&gt;0,CUENTAS!N62/CUENTAS!$AB62,"")</f>
        <v>0.09503284104</v>
      </c>
      <c r="AG73" s="459">
        <f>IF(CUENTAS!O62/CUENTAS!$AB62&lt;&gt;0,CUENTAS!O62/CUENTAS!$AB62,"")</f>
        <v>0.03397114117</v>
      </c>
      <c r="AH73" s="459">
        <f>IF(CUENTAS!P62/CUENTAS!$AB62&lt;&gt;0,CUENTAS!P62/CUENTAS!$AB62,"")</f>
        <v>0.04550560036</v>
      </c>
      <c r="AI73" s="459">
        <f>IF(CUENTAS!R62/CUENTAS!$AB62&lt;&gt;0,CUENTAS!R62/CUENTAS!$AB62,"")</f>
        <v>0.05593522645</v>
      </c>
      <c r="AJ73" s="459">
        <f>IF(CUENTAS!B62/CUENTAS!$AB62&lt;&gt;0,CUENTAS!B62/CUENTAS!$AB62,"")</f>
        <v>0.01462341974</v>
      </c>
      <c r="AK73" s="459">
        <f>IF(CUENTAS!S62/CUENTAS!$AB62&lt;&gt;0,CUENTAS!S62/CUENTAS!$AB62,"")</f>
        <v>0.02824275893</v>
      </c>
      <c r="AL73" s="459">
        <f>IF(CUENTAS!T62/CUENTAS!$AB62&lt;&gt;0,CUENTAS!T62/CUENTAS!$AB62,"")</f>
        <v>0.107587938</v>
      </c>
      <c r="AM73" s="459">
        <f>IF(CUENTAS!U62/CUENTAS!$AB62&lt;&gt;0,CUENTAS!U62/CUENTAS!$AB62,"")</f>
        <v>0.06229525757</v>
      </c>
      <c r="AN73" s="459">
        <f>IF(CUENTAS!V62/CUENTAS!$AB62&lt;&gt;0,CUENTAS!V62/CUENTAS!$AB62,"")</f>
        <v>0.1440507123</v>
      </c>
      <c r="AO73" s="459">
        <f>IF(CUENTAS!W62/CUENTAS!$AB62&lt;&gt;0,CUENTAS!W62/CUENTAS!$AB62,"")</f>
        <v>0.01705881749</v>
      </c>
      <c r="AP73" s="459">
        <f>IF(CUENTAS!X62/CUENTAS!$AB62&lt;&gt;0,CUENTAS!X62/CUENTAS!$AB62,"")</f>
        <v>0.04720587079</v>
      </c>
      <c r="AQ73" s="459">
        <f>IF(CUENTAS!Y62/CUENTAS!$AB62&lt;&gt;0,CUENTAS!Y62/CUENTAS!$AB62,"")</f>
        <v>0.013458481</v>
      </c>
      <c r="AR73" s="459">
        <f>IF(CUENTAS!AA62/CUENTAS!$AB62&lt;&gt;0,CUENTAS!AA62/CUENTAS!$AB62,"")</f>
        <v>0.09726593856</v>
      </c>
    </row>
    <row r="74">
      <c r="A74" s="474"/>
      <c r="B74" s="200"/>
      <c r="C74" s="200"/>
      <c r="F74" s="200"/>
      <c r="G74" s="200"/>
      <c r="J74" s="465">
        <v>45586.0</v>
      </c>
      <c r="K74" s="466">
        <f>SUMIF(GRAFICO!A:A,J74,GRAFICO!B:B)</f>
        <v>13926.46593</v>
      </c>
      <c r="L74" s="467">
        <f t="shared" si="2"/>
        <v>0.3211367214</v>
      </c>
      <c r="M74" s="468">
        <v>45951.0</v>
      </c>
      <c r="N74" s="469">
        <f>IF(SUMIF(GRAFICO!A:A,M74,GRAFICO!B:B)=0,"",SUMIF(GRAFICO!A:A,M74,GRAFICO!B:B))</f>
        <v>19616.93538</v>
      </c>
      <c r="O74" s="467">
        <f t="shared" si="3"/>
        <v>0.3433199683</v>
      </c>
      <c r="P74" s="465">
        <v>46316.0</v>
      </c>
      <c r="Q74" s="463" t="str">
        <f>IF(SUMIF(GRAFICO!A:A,P74,GRAFICO!B:B)=0,"",SUMIF(GRAFICO!A:A,P74,GRAFICO!B:B))</f>
        <v/>
      </c>
      <c r="R74" s="463" t="str">
        <f t="shared" si="4"/>
        <v/>
      </c>
      <c r="S74" s="471">
        <f>CUENTAS!A63</f>
        <v>46039</v>
      </c>
      <c r="T74" s="459" t="str">
        <f>IF(CUENTAS!Q63/CUENTAS!$AB63&lt;&gt;0,CUENTAS!Q63/CUENTAS!$AB63,"")</f>
        <v/>
      </c>
      <c r="U74" s="459" t="str">
        <f>IF(CUENTAS!C63/CUENTAS!$AB63&lt;&gt;0,CUENTAS!C63/CUENTAS!$AB63,"")</f>
        <v/>
      </c>
      <c r="V74" s="459" t="str">
        <f>IF(CUENTAS!D63/CUENTAS!$AB63&lt;&gt;0,CUENTAS!D63/CUENTAS!$AB63,"")</f>
        <v/>
      </c>
      <c r="W74" s="459" t="str">
        <f>IF(CUENTAS!E63/CUENTAS!$AB63&lt;&gt;0,CUENTAS!E63/CUENTAS!$AB63,"")</f>
        <v/>
      </c>
      <c r="X74" s="459" t="str">
        <f>IF(CUENTAS!F63/CUENTAS!$AB63&lt;&gt;0,CUENTAS!F63/CUENTAS!$AB63,"")</f>
        <v/>
      </c>
      <c r="Y74" s="459">
        <f>IF(CUENTAS!G63/CUENTAS!$AB63&lt;&gt;0,CUENTAS!G63/CUENTAS!$AB63,"")</f>
        <v>0.1120770167</v>
      </c>
      <c r="Z74" s="459">
        <f>IF(CUENTAS!H63/CUENTAS!$AB63&lt;&gt;0,CUENTAS!H63/CUENTAS!$AB63,"")</f>
        <v>0.02859397821</v>
      </c>
      <c r="AA74" s="459">
        <f>IF(CUENTAS!I63/CUENTAS!$AB63&lt;&gt;0,CUENTAS!I63/CUENTAS!$AB63,"")</f>
        <v>0.01631610074</v>
      </c>
      <c r="AB74" s="459">
        <f>IF(CUENTAS!J63/CUENTAS!$AB63&lt;&gt;0,CUENTAS!J63/CUENTAS!$AB63,"")</f>
        <v>0.1498401554</v>
      </c>
      <c r="AC74" s="459">
        <f>IF(CUENTAS!K63/CUENTAS!$AB63&lt;&gt;0,CUENTAS!K63/CUENTAS!$AB63,"")</f>
        <v>0.06745138532</v>
      </c>
      <c r="AD74" s="459">
        <f>IF(CUENTAS!L63/CUENTAS!$AB63&lt;&gt;0,CUENTAS!L63/CUENTAS!$AB63,"")</f>
        <v>0.006044900047</v>
      </c>
      <c r="AE74" s="459">
        <f>IF(CUENTAS!M63/CUENTAS!$AB63&lt;&gt;0,CUENTAS!M63/CUENTAS!$AB63,"")</f>
        <v>0.04420284585</v>
      </c>
      <c r="AF74" s="459">
        <f>IF(CUENTAS!N63/CUENTAS!$AB63&lt;&gt;0,CUENTAS!N63/CUENTAS!$AB63,"")</f>
        <v>0.0957920031</v>
      </c>
      <c r="AG74" s="459">
        <f>IF(CUENTAS!O63/CUENTAS!$AB63&lt;&gt;0,CUENTAS!O63/CUENTAS!$AB63,"")</f>
        <v>0.03424251685</v>
      </c>
      <c r="AH74" s="459">
        <f>IF(CUENTAS!P63/CUENTAS!$AB63&lt;&gt;0,CUENTAS!P63/CUENTAS!$AB63,"")</f>
        <v>0.04586911812</v>
      </c>
      <c r="AI74" s="459">
        <f>IF(CUENTAS!R63/CUENTAS!$AB63&lt;&gt;0,CUENTAS!R63/CUENTAS!$AB63,"")</f>
        <v>0.0565142586</v>
      </c>
      <c r="AJ74" s="459">
        <f>IF(CUENTAS!B63/CUENTAS!$AB63&lt;&gt;0,CUENTAS!B63/CUENTAS!$AB63,"")</f>
        <v>0.01474023773</v>
      </c>
      <c r="AK74" s="459">
        <f>IF(CUENTAS!S63/CUENTAS!$AB63&lt;&gt;0,CUENTAS!S63/CUENTAS!$AB63,"")</f>
        <v>0.02842260397</v>
      </c>
      <c r="AL74" s="459">
        <f>IF(CUENTAS!T63/CUENTAS!$AB63&lt;&gt;0,CUENTAS!T63/CUENTAS!$AB63,"")</f>
        <v>0.1083751177</v>
      </c>
      <c r="AM74" s="459">
        <f>IF(CUENTAS!U63/CUENTAS!$AB63&lt;&gt;0,CUENTAS!U63/CUENTAS!$AB63,"")</f>
        <v>0.06271378129</v>
      </c>
      <c r="AN74" s="459">
        <f>IF(CUENTAS!V63/CUENTAS!$AB63&lt;&gt;0,CUENTAS!V63/CUENTAS!$AB63,"")</f>
        <v>0.1471149747</v>
      </c>
      <c r="AO74" s="459">
        <f>IF(CUENTAS!W63/CUENTAS!$AB63&lt;&gt;0,CUENTAS!W63/CUENTAS!$AB63,"")</f>
        <v>0.01719509045</v>
      </c>
      <c r="AP74" s="459">
        <f>IF(CUENTAS!X63/CUENTAS!$AB63&lt;&gt;0,CUENTAS!X63/CUENTAS!$AB63,"")</f>
        <v>0.04750403516</v>
      </c>
      <c r="AQ74" s="459">
        <f>IF(CUENTAS!Y63/CUENTAS!$AB63&lt;&gt;0,CUENTAS!Y63/CUENTAS!$AB63,"")</f>
        <v>0.01351420058</v>
      </c>
      <c r="AR74" s="459">
        <f>IF(CUENTAS!AA63/CUENTAS!$AB63&lt;&gt;0,CUENTAS!AA63/CUENTAS!$AB63,"")</f>
        <v>0.08832819917</v>
      </c>
    </row>
    <row r="75">
      <c r="A75" s="474"/>
      <c r="B75" s="200"/>
      <c r="C75" s="200"/>
      <c r="F75" s="200"/>
      <c r="G75" s="200"/>
      <c r="J75" s="465">
        <v>45585.0</v>
      </c>
      <c r="K75" s="466">
        <f>SUMIF(GRAFICO!A:A,J75,GRAFICO!B:B)</f>
        <v>13860.04146</v>
      </c>
      <c r="L75" s="467">
        <f t="shared" si="2"/>
        <v>0.316355653</v>
      </c>
      <c r="M75" s="468">
        <v>45950.0</v>
      </c>
      <c r="N75" s="469">
        <f>IF(SUMIF(GRAFICO!A:A,M75,GRAFICO!B:B)=0,"",SUMIF(GRAFICO!A:A,M75,GRAFICO!B:B))</f>
        <v>19615.76235</v>
      </c>
      <c r="O75" s="467">
        <f t="shared" si="3"/>
        <v>0.3432601697</v>
      </c>
      <c r="P75" s="468">
        <v>46315.0</v>
      </c>
      <c r="Q75" s="463" t="str">
        <f>IF(SUMIF(GRAFICO!A:A,P75,GRAFICO!B:B)=0,"",SUMIF(GRAFICO!A:A,P75,GRAFICO!B:B))</f>
        <v/>
      </c>
      <c r="R75" s="463" t="str">
        <f t="shared" si="4"/>
        <v/>
      </c>
      <c r="S75" s="471">
        <f>CUENTAS!A64</f>
        <v>46038</v>
      </c>
      <c r="T75" s="459" t="str">
        <f>IF(CUENTAS!Q64/CUENTAS!$AB64&lt;&gt;0,CUENTAS!Q64/CUENTAS!$AB64,"")</f>
        <v/>
      </c>
      <c r="U75" s="459" t="str">
        <f>IF(CUENTAS!C64/CUENTAS!$AB64&lt;&gt;0,CUENTAS!C64/CUENTAS!$AB64,"")</f>
        <v/>
      </c>
      <c r="V75" s="459" t="str">
        <f>IF(CUENTAS!D64/CUENTAS!$AB64&lt;&gt;0,CUENTAS!D64/CUENTAS!$AB64,"")</f>
        <v/>
      </c>
      <c r="W75" s="459" t="str">
        <f>IF(CUENTAS!E64/CUENTAS!$AB64&lt;&gt;0,CUENTAS!E64/CUENTAS!$AB64,"")</f>
        <v/>
      </c>
      <c r="X75" s="459" t="str">
        <f>IF(CUENTAS!F64/CUENTAS!$AB64&lt;&gt;0,CUENTAS!F64/CUENTAS!$AB64,"")</f>
        <v/>
      </c>
      <c r="Y75" s="459">
        <f>IF(CUENTAS!G64/CUENTAS!$AB64&lt;&gt;0,CUENTAS!G64/CUENTAS!$AB64,"")</f>
        <v>0.1070825066</v>
      </c>
      <c r="Z75" s="459">
        <f>IF(CUENTAS!H64/CUENTAS!$AB64&lt;&gt;0,CUENTAS!H64/CUENTAS!$AB64,"")</f>
        <v>0.02731973914</v>
      </c>
      <c r="AA75" s="459">
        <f>IF(CUENTAS!I64/CUENTAS!$AB64&lt;&gt;0,CUENTAS!I64/CUENTAS!$AB64,"")</f>
        <v>0.01558900314</v>
      </c>
      <c r="AB75" s="459">
        <f>IF(CUENTAS!J64/CUENTAS!$AB64&lt;&gt;0,CUENTAS!J64/CUENTAS!$AB64,"")</f>
        <v>0.1431627991</v>
      </c>
      <c r="AC75" s="459">
        <f>IF(CUENTAS!K64/CUENTAS!$AB64&lt;&gt;0,CUENTAS!K64/CUENTAS!$AB64,"")</f>
        <v>0.06444553598</v>
      </c>
      <c r="AD75" s="459">
        <f>IF(CUENTAS!L64/CUENTAS!$AB64&lt;&gt;0,CUENTAS!L64/CUENTAS!$AB64,"")</f>
        <v>0.005775519978</v>
      </c>
      <c r="AE75" s="459">
        <f>IF(CUENTAS!M64/CUENTAS!$AB64&lt;&gt;0,CUENTAS!M64/CUENTAS!$AB64,"")</f>
        <v>0.04223302575</v>
      </c>
      <c r="AF75" s="459">
        <f>IF(CUENTAS!N64/CUENTAS!$AB64&lt;&gt;0,CUENTAS!N64/CUENTAS!$AB64,"")</f>
        <v>0.09152320524</v>
      </c>
      <c r="AG75" s="459">
        <f>IF(CUENTAS!O64/CUENTAS!$AB64&lt;&gt;0,CUENTAS!O64/CUENTAS!$AB64,"")</f>
        <v>0.03271656084</v>
      </c>
      <c r="AH75" s="459">
        <f>IF(CUENTAS!P64/CUENTAS!$AB64&lt;&gt;0,CUENTAS!P64/CUENTAS!$AB64,"")</f>
        <v>0.0438250436</v>
      </c>
      <c r="AI75" s="459">
        <f>IF(CUENTAS!R64/CUENTAS!$AB64&lt;&gt;0,CUENTAS!R64/CUENTAS!$AB64,"")</f>
        <v>0.0541221096</v>
      </c>
      <c r="AJ75" s="459">
        <f>IF(CUENTAS!B64/CUENTAS!$AB64&lt;&gt;0,CUENTAS!B64/CUENTAS!$AB64,"")</f>
        <v>0.01408336562</v>
      </c>
      <c r="AK75" s="459">
        <f>IF(CUENTAS!S64/CUENTAS!$AB64&lt;&gt;0,CUENTAS!S64/CUENTAS!$AB64,"")</f>
        <v>0.02711227161</v>
      </c>
      <c r="AL75" s="459">
        <f>IF(CUENTAS!T64/CUENTAS!$AB64&lt;&gt;0,CUENTAS!T64/CUENTAS!$AB64,"")</f>
        <v>0.0921281943</v>
      </c>
      <c r="AM75" s="459">
        <f>IF(CUENTAS!U64/CUENTAS!$AB64&lt;&gt;0,CUENTAS!U64/CUENTAS!$AB64,"")</f>
        <v>0.05984346358</v>
      </c>
      <c r="AN75" s="459">
        <f>IF(CUENTAS!V64/CUENTAS!$AB64&lt;&gt;0,CUENTAS!V64/CUENTAS!$AB64,"")</f>
        <v>0.140530955</v>
      </c>
      <c r="AO75" s="459">
        <f>IF(CUENTAS!W64/CUENTAS!$AB64&lt;&gt;0,CUENTAS!W64/CUENTAS!$AB64,"")</f>
        <v>0.01642882226</v>
      </c>
      <c r="AP75" s="459">
        <f>IF(CUENTAS!X64/CUENTAS!$AB64&lt;&gt;0,CUENTAS!X64/CUENTAS!$AB64,"")</f>
        <v>0.04531168528</v>
      </c>
      <c r="AQ75" s="459">
        <f>IF(CUENTAS!Y64/CUENTAS!$AB64&lt;&gt;0,CUENTAS!Y64/CUENTAS!$AB64,"")</f>
        <v>0.01286248025</v>
      </c>
      <c r="AR75" s="459">
        <f>IF(CUENTAS!AA64/CUENTAS!$AB64&lt;&gt;0,CUENTAS!AA64/CUENTAS!$AB64,"")</f>
        <v>0.1404956495</v>
      </c>
    </row>
    <row r="76">
      <c r="A76" s="474"/>
      <c r="B76" s="200"/>
      <c r="C76" s="200"/>
      <c r="F76" s="200"/>
      <c r="G76" s="200"/>
      <c r="J76" s="470">
        <v>45584.0</v>
      </c>
      <c r="K76" s="466">
        <f>SUMIF(GRAFICO!A:A,J76,GRAFICO!B:B)</f>
        <v>13845.27742</v>
      </c>
      <c r="L76" s="467">
        <f t="shared" si="2"/>
        <v>0.3152898615</v>
      </c>
      <c r="M76" s="468">
        <v>45949.0</v>
      </c>
      <c r="N76" s="469">
        <f>IF(SUMIF(GRAFICO!A:A,M76,GRAFICO!B:B)=0,"",SUMIF(GRAFICO!A:A,M76,GRAFICO!B:B))</f>
        <v>19628.15496</v>
      </c>
      <c r="O76" s="467">
        <f t="shared" si="3"/>
        <v>0.3438917379</v>
      </c>
      <c r="P76" s="465">
        <v>46314.0</v>
      </c>
      <c r="Q76" s="463" t="str">
        <f>IF(SUMIF(GRAFICO!A:A,P76,GRAFICO!B:B)=0,"",SUMIF(GRAFICO!A:A,P76,GRAFICO!B:B))</f>
        <v/>
      </c>
      <c r="R76" s="463" t="str">
        <f t="shared" si="4"/>
        <v/>
      </c>
      <c r="S76" s="471">
        <f>CUENTAS!A65</f>
        <v>46037</v>
      </c>
      <c r="T76" s="459" t="str">
        <f>IF(CUENTAS!Q65/CUENTAS!$AB65&lt;&gt;0,CUENTAS!Q65/CUENTAS!$AB65,"")</f>
        <v/>
      </c>
      <c r="U76" s="459" t="str">
        <f>IF(CUENTAS!C65/CUENTAS!$AB65&lt;&gt;0,CUENTAS!C65/CUENTAS!$AB65,"")</f>
        <v/>
      </c>
      <c r="V76" s="459" t="str">
        <f>IF(CUENTAS!D65/CUENTAS!$AB65&lt;&gt;0,CUENTAS!D65/CUENTAS!$AB65,"")</f>
        <v/>
      </c>
      <c r="W76" s="459" t="str">
        <f>IF(CUENTAS!E65/CUENTAS!$AB65&lt;&gt;0,CUENTAS!E65/CUENTAS!$AB65,"")</f>
        <v/>
      </c>
      <c r="X76" s="459" t="str">
        <f>IF(CUENTAS!F65/CUENTAS!$AB65&lt;&gt;0,CUENTAS!F65/CUENTAS!$AB65,"")</f>
        <v/>
      </c>
      <c r="Y76" s="459">
        <f>IF(CUENTAS!G65/CUENTAS!$AB65&lt;&gt;0,CUENTAS!G65/CUENTAS!$AB65,"")</f>
        <v>0.1049959173</v>
      </c>
      <c r="Z76" s="459">
        <f>IF(CUENTAS!H65/CUENTAS!$AB65&lt;&gt;0,CUENTAS!H65/CUENTAS!$AB65,"")</f>
        <v>0.02759220708</v>
      </c>
      <c r="AA76" s="459">
        <f>IF(CUENTAS!I65/CUENTAS!$AB65&lt;&gt;0,CUENTAS!I65/CUENTAS!$AB65,"")</f>
        <v>0.0153865753</v>
      </c>
      <c r="AB76" s="459">
        <f>IF(CUENTAS!J65/CUENTAS!$AB65&lt;&gt;0,CUENTAS!J65/CUENTAS!$AB65,"")</f>
        <v>0.138171296</v>
      </c>
      <c r="AC76" s="459">
        <f>IF(CUENTAS!K65/CUENTAS!$AB65&lt;&gt;0,CUENTAS!K65/CUENTAS!$AB65,"")</f>
        <v>0.06452899898</v>
      </c>
      <c r="AD76" s="459">
        <f>IF(CUENTAS!L65/CUENTAS!$AB65&lt;&gt;0,CUENTAS!L65/CUENTAS!$AB65,"")</f>
        <v>0.005840740982</v>
      </c>
      <c r="AE76" s="459">
        <f>IF(CUENTAS!M65/CUENTAS!$AB65&lt;&gt;0,CUENTAS!M65/CUENTAS!$AB65,"")</f>
        <v>0.04186815549</v>
      </c>
      <c r="AF76" s="459">
        <f>IF(CUENTAS!N65/CUENTAS!$AB65&lt;&gt;0,CUENTAS!N65/CUENTAS!$AB65,"")</f>
        <v>0.09264986145</v>
      </c>
      <c r="AG76" s="459">
        <f>IF(CUENTAS!O65/CUENTAS!$AB65&lt;&gt;0,CUENTAS!O65/CUENTAS!$AB65,"")</f>
        <v>0.03311605519</v>
      </c>
      <c r="AH76" s="459">
        <f>IF(CUENTAS!P65/CUENTAS!$AB65&lt;&gt;0,CUENTAS!P65/CUENTAS!$AB65,"")</f>
        <v>0.04490191656</v>
      </c>
      <c r="AI76" s="459">
        <f>IF(CUENTAS!R65/CUENTAS!$AB65&lt;&gt;0,CUENTAS!R65/CUENTAS!$AB65,"")</f>
        <v>0.05486102573</v>
      </c>
      <c r="AJ76" s="459">
        <f>IF(CUENTAS!B65/CUENTAS!$AB65&lt;&gt;0,CUENTAS!B65/CUENTAS!$AB65,"")</f>
        <v>0.01424240433</v>
      </c>
      <c r="AK76" s="459">
        <f>IF(CUENTAS!S65/CUENTAS!$AB65&lt;&gt;0,CUENTAS!S65/CUENTAS!$AB65,"")</f>
        <v>0.02737421727</v>
      </c>
      <c r="AL76" s="459">
        <f>IF(CUENTAS!T65/CUENTAS!$AB65&lt;&gt;0,CUENTAS!T65/CUENTAS!$AB65,"")</f>
        <v>0.09309985682</v>
      </c>
      <c r="AM76" s="459">
        <f>IF(CUENTAS!U65/CUENTAS!$AB65&lt;&gt;0,CUENTAS!U65/CUENTAS!$AB65,"")</f>
        <v>0.06044281091</v>
      </c>
      <c r="AN76" s="459">
        <f>IF(CUENTAS!V65/CUENTAS!$AB65&lt;&gt;0,CUENTAS!V65/CUENTAS!$AB65,"")</f>
        <v>0.1420895059</v>
      </c>
      <c r="AO76" s="459">
        <f>IF(CUENTAS!W65/CUENTAS!$AB65&lt;&gt;0,CUENTAS!W65/CUENTAS!$AB65,"")</f>
        <v>0.01661434742</v>
      </c>
      <c r="AP76" s="459">
        <f>IF(CUENTAS!X65/CUENTAS!$AB65&lt;&gt;0,CUENTAS!X65/CUENTAS!$AB65,"")</f>
        <v>0.04574710499</v>
      </c>
      <c r="AQ76" s="459">
        <f>IF(CUENTAS!Y65/CUENTAS!$AB65&lt;&gt;0,CUENTAS!Y65/CUENTAS!$AB65,"")</f>
        <v>0.01295768875</v>
      </c>
      <c r="AR76" s="459">
        <f>IF(CUENTAS!AA65/CUENTAS!$AB65&lt;&gt;0,CUENTAS!AA65/CUENTAS!$AB65,"")</f>
        <v>0.1420822196</v>
      </c>
    </row>
    <row r="77">
      <c r="A77" s="474"/>
      <c r="B77" s="200"/>
      <c r="C77" s="200"/>
      <c r="F77" s="200"/>
      <c r="G77" s="200"/>
      <c r="J77" s="465">
        <v>45583.0</v>
      </c>
      <c r="K77" s="466">
        <f>SUMIF(GRAFICO!A:A,J77,GRAFICO!B:B)</f>
        <v>13830.51338</v>
      </c>
      <c r="L77" s="467">
        <f t="shared" si="2"/>
        <v>0.314222933</v>
      </c>
      <c r="M77" s="468">
        <v>45948.0</v>
      </c>
      <c r="N77" s="469">
        <f>IF(SUMIF(GRAFICO!A:A,M77,GRAFICO!B:B)=0,"",SUMIF(GRAFICO!A:A,M77,GRAFICO!B:B))</f>
        <v>19623.15024</v>
      </c>
      <c r="O77" s="467">
        <f t="shared" si="3"/>
        <v>0.343636729</v>
      </c>
      <c r="P77" s="468">
        <v>46313.0</v>
      </c>
      <c r="Q77" s="463" t="str">
        <f>IF(SUMIF(GRAFICO!A:A,P77,GRAFICO!B:B)=0,"",SUMIF(GRAFICO!A:A,P77,GRAFICO!B:B))</f>
        <v/>
      </c>
      <c r="R77" s="463" t="str">
        <f t="shared" si="4"/>
        <v/>
      </c>
      <c r="S77" s="471">
        <f>CUENTAS!A66</f>
        <v>46036</v>
      </c>
      <c r="T77" s="459" t="str">
        <f>IF(CUENTAS!Q66/CUENTAS!$AB66&lt;&gt;0,CUENTAS!Q66/CUENTAS!$AB66,"")</f>
        <v/>
      </c>
      <c r="U77" s="459" t="str">
        <f>IF(CUENTAS!C66/CUENTAS!$AB66&lt;&gt;0,CUENTAS!C66/CUENTAS!$AB66,"")</f>
        <v/>
      </c>
      <c r="V77" s="459" t="str">
        <f>IF(CUENTAS!D66/CUENTAS!$AB66&lt;&gt;0,CUENTAS!D66/CUENTAS!$AB66,"")</f>
        <v/>
      </c>
      <c r="W77" s="459" t="str">
        <f>IF(CUENTAS!E66/CUENTAS!$AB66&lt;&gt;0,CUENTAS!E66/CUENTAS!$AB66,"")</f>
        <v/>
      </c>
      <c r="X77" s="459" t="str">
        <f>IF(CUENTAS!F66/CUENTAS!$AB66&lt;&gt;0,CUENTAS!F66/CUENTAS!$AB66,"")</f>
        <v/>
      </c>
      <c r="Y77" s="459">
        <f>IF(CUENTAS!G66/CUENTAS!$AB66&lt;&gt;0,CUENTAS!G66/CUENTAS!$AB66,"")</f>
        <v>0.1046474252</v>
      </c>
      <c r="Z77" s="459">
        <f>IF(CUENTAS!H66/CUENTAS!$AB66&lt;&gt;0,CUENTAS!H66/CUENTAS!$AB66,"")</f>
        <v>0.02778914879</v>
      </c>
      <c r="AA77" s="459">
        <f>IF(CUENTAS!I66/CUENTAS!$AB66&lt;&gt;0,CUENTAS!I66/CUENTAS!$AB66,"")</f>
        <v>0.01529715273</v>
      </c>
      <c r="AB77" s="459">
        <f>IF(CUENTAS!J66/CUENTAS!$AB66&lt;&gt;0,CUENTAS!J66/CUENTAS!$AB66,"")</f>
        <v>0.1365779504</v>
      </c>
      <c r="AC77" s="459">
        <f>IF(CUENTAS!K66/CUENTAS!$AB66&lt;&gt;0,CUENTAS!K66/CUENTAS!$AB66,"")</f>
        <v>0.06514750138</v>
      </c>
      <c r="AD77" s="459">
        <f>IF(CUENTAS!L66/CUENTAS!$AB66&lt;&gt;0,CUENTAS!L66/CUENTAS!$AB66,"")</f>
        <v>0.005875747514</v>
      </c>
      <c r="AE77" s="459">
        <f>IF(CUENTAS!M66/CUENTAS!$AB66&lt;&gt;0,CUENTAS!M66/CUENTAS!$AB66,"")</f>
        <v>0.04222137822</v>
      </c>
      <c r="AF77" s="459">
        <f>IF(CUENTAS!N66/CUENTAS!$AB66&lt;&gt;0,CUENTAS!N66/CUENTAS!$AB66,"")</f>
        <v>0.09163511781</v>
      </c>
      <c r="AG77" s="459">
        <f>IF(CUENTAS!O66/CUENTAS!$AB66&lt;&gt;0,CUENTAS!O66/CUENTAS!$AB66,"")</f>
        <v>0.03283993894</v>
      </c>
      <c r="AH77" s="459">
        <f>IF(CUENTAS!P66/CUENTAS!$AB66&lt;&gt;0,CUENTAS!P66/CUENTAS!$AB66,"")</f>
        <v>0.04541035874</v>
      </c>
      <c r="AI77" s="459">
        <f>IF(CUENTAS!R66/CUENTAS!$AB66&lt;&gt;0,CUENTAS!R66/CUENTAS!$AB66,"")</f>
        <v>0.05521894345</v>
      </c>
      <c r="AJ77" s="459">
        <f>IF(CUENTAS!B66/CUENTAS!$AB66&lt;&gt;0,CUENTAS!B66/CUENTAS!$AB66,"")</f>
        <v>0.0143020234</v>
      </c>
      <c r="AK77" s="459">
        <f>IF(CUENTAS!S66/CUENTAS!$AB66&lt;&gt;0,CUENTAS!S66/CUENTAS!$AB66,"")</f>
        <v>0.02744439723</v>
      </c>
      <c r="AL77" s="459">
        <f>IF(CUENTAS!T66/CUENTAS!$AB66&lt;&gt;0,CUENTAS!T66/CUENTAS!$AB66,"")</f>
        <v>0.0934205774</v>
      </c>
      <c r="AM77" s="459">
        <f>IF(CUENTAS!U66/CUENTAS!$AB66&lt;&gt;0,CUENTAS!U66/CUENTAS!$AB66,"")</f>
        <v>0.06061906129</v>
      </c>
      <c r="AN77" s="459">
        <f>IF(CUENTAS!V66/CUENTAS!$AB66&lt;&gt;0,CUENTAS!V66/CUENTAS!$AB66,"")</f>
        <v>0.142655765</v>
      </c>
      <c r="AO77" s="459">
        <f>IF(CUENTAS!W66/CUENTAS!$AB66&lt;&gt;0,CUENTAS!W66/CUENTAS!$AB66,"")</f>
        <v>0.0166838955</v>
      </c>
      <c r="AP77" s="459">
        <f>IF(CUENTAS!X66/CUENTAS!$AB66&lt;&gt;0,CUENTAS!X66/CUENTAS!$AB66,"")</f>
        <v>0.04586201438</v>
      </c>
      <c r="AQ77" s="459">
        <f>IF(CUENTAS!Y66/CUENTAS!$AB66&lt;&gt;0,CUENTAS!Y66/CUENTAS!$AB66,"")</f>
        <v>0.01296167732</v>
      </c>
      <c r="AR77" s="459">
        <f>IF(CUENTAS!AA66/CUENTAS!$AB66&lt;&gt;0,CUENTAS!AA66/CUENTAS!$AB66,"")</f>
        <v>0.1426769794</v>
      </c>
    </row>
    <row r="78">
      <c r="A78" s="474"/>
      <c r="B78" s="200"/>
      <c r="C78" s="200"/>
      <c r="F78" s="200"/>
      <c r="G78" s="200"/>
      <c r="J78" s="470">
        <v>45582.0</v>
      </c>
      <c r="K78" s="466">
        <f>SUMIF(GRAFICO!A:A,J78,GRAFICO!B:B)</f>
        <v>13761.66612</v>
      </c>
      <c r="L78" s="467">
        <f t="shared" si="2"/>
        <v>0.3092325773</v>
      </c>
      <c r="M78" s="468">
        <v>45947.0</v>
      </c>
      <c r="N78" s="469">
        <f>IF(SUMIF(GRAFICO!A:A,M78,GRAFICO!B:B)=0,"",SUMIF(GRAFICO!A:A,M78,GRAFICO!B:B))</f>
        <v>19618.14627</v>
      </c>
      <c r="O78" s="467">
        <f t="shared" si="3"/>
        <v>0.3433816932</v>
      </c>
      <c r="P78" s="465">
        <v>46312.0</v>
      </c>
      <c r="Q78" s="463" t="str">
        <f>IF(SUMIF(GRAFICO!A:A,P78,GRAFICO!B:B)=0,"",SUMIF(GRAFICO!A:A,P78,GRAFICO!B:B))</f>
        <v/>
      </c>
      <c r="R78" s="463" t="str">
        <f t="shared" si="4"/>
        <v/>
      </c>
      <c r="S78" s="471">
        <f>CUENTAS!A67</f>
        <v>46035</v>
      </c>
      <c r="T78" s="459" t="str">
        <f>IF(CUENTAS!Q67/CUENTAS!$AB67&lt;&gt;0,CUENTAS!Q67/CUENTAS!$AB67,"")</f>
        <v/>
      </c>
      <c r="U78" s="459" t="str">
        <f>IF(CUENTAS!C67/CUENTAS!$AB67&lt;&gt;0,CUENTAS!C67/CUENTAS!$AB67,"")</f>
        <v/>
      </c>
      <c r="V78" s="459" t="str">
        <f>IF(CUENTAS!D67/CUENTAS!$AB67&lt;&gt;0,CUENTAS!D67/CUENTAS!$AB67,"")</f>
        <v/>
      </c>
      <c r="W78" s="459" t="str">
        <f>IF(CUENTAS!E67/CUENTAS!$AB67&lt;&gt;0,CUENTAS!E67/CUENTAS!$AB67,"")</f>
        <v/>
      </c>
      <c r="X78" s="459" t="str">
        <f>IF(CUENTAS!F67/CUENTAS!$AB67&lt;&gt;0,CUENTAS!F67/CUENTAS!$AB67,"")</f>
        <v/>
      </c>
      <c r="Y78" s="459">
        <f>IF(CUENTAS!G67/CUENTAS!$AB67&lt;&gt;0,CUENTAS!G67/CUENTAS!$AB67,"")</f>
        <v>0.1056464264</v>
      </c>
      <c r="Z78" s="459">
        <f>IF(CUENTAS!H67/CUENTAS!$AB67&lt;&gt;0,CUENTAS!H67/CUENTAS!$AB67,"")</f>
        <v>0.02737768706</v>
      </c>
      <c r="AA78" s="459">
        <f>IF(CUENTAS!I67/CUENTAS!$AB67&lt;&gt;0,CUENTAS!I67/CUENTAS!$AB67,"")</f>
        <v>0.01505591719</v>
      </c>
      <c r="AB78" s="459">
        <f>IF(CUENTAS!J67/CUENTAS!$AB67&lt;&gt;0,CUENTAS!J67/CUENTAS!$AB67,"")</f>
        <v>0.1370091482</v>
      </c>
      <c r="AC78" s="459">
        <f>IF(CUENTAS!K67/CUENTAS!$AB67&lt;&gt;0,CUENTAS!K67/CUENTAS!$AB67,"")</f>
        <v>0.06542941283</v>
      </c>
      <c r="AD78" s="459">
        <f>IF(CUENTAS!L67/CUENTAS!$AB67&lt;&gt;0,CUENTAS!L67/CUENTAS!$AB67,"")</f>
        <v>0.0059028611</v>
      </c>
      <c r="AE78" s="459">
        <f>IF(CUENTAS!M67/CUENTAS!$AB67&lt;&gt;0,CUENTAS!M67/CUENTAS!$AB67,"")</f>
        <v>0.04242077851</v>
      </c>
      <c r="AF78" s="459">
        <f>IF(CUENTAS!N67/CUENTAS!$AB67&lt;&gt;0,CUENTAS!N67/CUENTAS!$AB67,"")</f>
        <v>0.08981040201</v>
      </c>
      <c r="AG78" s="459">
        <f>IF(CUENTAS!O67/CUENTAS!$AB67&lt;&gt;0,CUENTAS!O67/CUENTAS!$AB67,"")</f>
        <v>0.03330846302</v>
      </c>
      <c r="AH78" s="459">
        <f>IF(CUENTAS!P67/CUENTAS!$AB67&lt;&gt;0,CUENTAS!P67/CUENTAS!$AB67,"")</f>
        <v>0.04545595364</v>
      </c>
      <c r="AI78" s="459">
        <f>IF(CUENTAS!R67/CUENTAS!$AB67&lt;&gt;0,CUENTAS!R67/CUENTAS!$AB67,"")</f>
        <v>0.05537519718</v>
      </c>
      <c r="AJ78" s="459">
        <f>IF(CUENTAS!B67/CUENTAS!$AB67&lt;&gt;0,CUENTAS!B67/CUENTAS!$AB67,"")</f>
        <v>0.01430925506</v>
      </c>
      <c r="AK78" s="459">
        <f>IF(CUENTAS!S67/CUENTAS!$AB67&lt;&gt;0,CUENTAS!S67/CUENTAS!$AB67,"")</f>
        <v>0.02741384249</v>
      </c>
      <c r="AL78" s="459">
        <f>IF(CUENTAS!T67/CUENTAS!$AB67&lt;&gt;0,CUENTAS!T67/CUENTAS!$AB67,"")</f>
        <v>0.09339878175</v>
      </c>
      <c r="AM78" s="459">
        <f>IF(CUENTAS!U67/CUENTAS!$AB67&lt;&gt;0,CUENTAS!U67/CUENTAS!$AB67,"")</f>
        <v>0.06057290904</v>
      </c>
      <c r="AN78" s="459">
        <f>IF(CUENTAS!V67/CUENTAS!$AB67&lt;&gt;0,CUENTAS!V67/CUENTAS!$AB67,"")</f>
        <v>0.1426993574</v>
      </c>
      <c r="AO78" s="459">
        <f>IF(CUENTAS!W67/CUENTAS!$AB67&lt;&gt;0,CUENTAS!W67/CUENTAS!$AB67,"")</f>
        <v>0.01669233152</v>
      </c>
      <c r="AP78" s="459">
        <f>IF(CUENTAS!X67/CUENTAS!$AB67&lt;&gt;0,CUENTAS!X67/CUENTAS!$AB67,"")</f>
        <v>0.04580857608</v>
      </c>
      <c r="AQ78" s="459">
        <f>IF(CUENTAS!Y67/CUENTAS!$AB67&lt;&gt;0,CUENTAS!Y67/CUENTAS!$AB67,"")</f>
        <v>0.01291795318</v>
      </c>
      <c r="AR78" s="459">
        <f>IF(CUENTAS!AA67/CUENTAS!$AB67&lt;&gt;0,CUENTAS!AA67/CUENTAS!$AB67,"")</f>
        <v>0.1427491223</v>
      </c>
    </row>
    <row r="79">
      <c r="A79" s="474"/>
      <c r="B79" s="200"/>
      <c r="C79" s="200"/>
      <c r="F79" s="200"/>
      <c r="G79" s="200"/>
      <c r="J79" s="470">
        <v>45581.0</v>
      </c>
      <c r="K79" s="466">
        <f>SUMIF(GRAFICO!A:A,J79,GRAFICO!B:B)</f>
        <v>13633.31926</v>
      </c>
      <c r="L79" s="467">
        <f t="shared" si="2"/>
        <v>0.2998624099</v>
      </c>
      <c r="M79" s="468">
        <v>45946.0</v>
      </c>
      <c r="N79" s="469">
        <f>IF(SUMIF(GRAFICO!A:A,M79,GRAFICO!B:B)=0,"",SUMIF(GRAFICO!A:A,M79,GRAFICO!B:B))</f>
        <v>19474.1536</v>
      </c>
      <c r="O79" s="467">
        <f t="shared" si="3"/>
        <v>0.3360148553</v>
      </c>
      <c r="P79" s="468">
        <v>46311.0</v>
      </c>
      <c r="Q79" s="463" t="str">
        <f>IF(SUMIF(GRAFICO!A:A,P79,GRAFICO!B:B)=0,"",SUMIF(GRAFICO!A:A,P79,GRAFICO!B:B))</f>
        <v/>
      </c>
      <c r="R79" s="463" t="str">
        <f t="shared" si="4"/>
        <v/>
      </c>
      <c r="S79" s="471">
        <f>CUENTAS!A68</f>
        <v>46034</v>
      </c>
      <c r="T79" s="459" t="str">
        <f>IF(CUENTAS!Q68/CUENTAS!$AB68&lt;&gt;0,CUENTAS!Q68/CUENTAS!$AB68,"")</f>
        <v/>
      </c>
      <c r="U79" s="459" t="str">
        <f>IF(CUENTAS!C68/CUENTAS!$AB68&lt;&gt;0,CUENTAS!C68/CUENTAS!$AB68,"")</f>
        <v/>
      </c>
      <c r="V79" s="459" t="str">
        <f>IF(CUENTAS!D68/CUENTAS!$AB68&lt;&gt;0,CUENTAS!D68/CUENTAS!$AB68,"")</f>
        <v/>
      </c>
      <c r="W79" s="459" t="str">
        <f>IF(CUENTAS!E68/CUENTAS!$AB68&lt;&gt;0,CUENTAS!E68/CUENTAS!$AB68,"")</f>
        <v/>
      </c>
      <c r="X79" s="459" t="str">
        <f>IF(CUENTAS!F68/CUENTAS!$AB68&lt;&gt;0,CUENTAS!F68/CUENTAS!$AB68,"")</f>
        <v/>
      </c>
      <c r="Y79" s="459">
        <f>IF(CUENTAS!G68/CUENTAS!$AB68&lt;&gt;0,CUENTAS!G68/CUENTAS!$AB68,"")</f>
        <v>0.1054664811</v>
      </c>
      <c r="Z79" s="459">
        <f>IF(CUENTAS!H68/CUENTAS!$AB68&lt;&gt;0,CUENTAS!H68/CUENTAS!$AB68,"")</f>
        <v>0.02948997323</v>
      </c>
      <c r="AA79" s="459">
        <f>IF(CUENTAS!I68/CUENTAS!$AB68&lt;&gt;0,CUENTAS!I68/CUENTAS!$AB68,"")</f>
        <v>0.01488981153</v>
      </c>
      <c r="AB79" s="459">
        <f>IF(CUENTAS!J68/CUENTAS!$AB68&lt;&gt;0,CUENTAS!J68/CUENTAS!$AB68,"")</f>
        <v>0.133963046</v>
      </c>
      <c r="AC79" s="459">
        <f>IF(CUENTAS!K68/CUENTAS!$AB68&lt;&gt;0,CUENTAS!K68/CUENTAS!$AB68,"")</f>
        <v>0.06501733508</v>
      </c>
      <c r="AD79" s="459">
        <f>IF(CUENTAS!L68/CUENTAS!$AB68&lt;&gt;0,CUENTAS!L68/CUENTAS!$AB68,"")</f>
        <v>0.005958941797</v>
      </c>
      <c r="AE79" s="459">
        <f>IF(CUENTAS!M68/CUENTAS!$AB68&lt;&gt;0,CUENTAS!M68/CUENTAS!$AB68,"")</f>
        <v>0.04192228698</v>
      </c>
      <c r="AF79" s="459">
        <f>IF(CUENTAS!N68/CUENTAS!$AB68&lt;&gt;0,CUENTAS!N68/CUENTAS!$AB68,"")</f>
        <v>0.09222329871</v>
      </c>
      <c r="AG79" s="459">
        <f>IF(CUENTAS!O68/CUENTAS!$AB68&lt;&gt;0,CUENTAS!O68/CUENTAS!$AB68,"")</f>
        <v>0.03464483503</v>
      </c>
      <c r="AH79" s="459">
        <f>IF(CUENTAS!P68/CUENTAS!$AB68&lt;&gt;0,CUENTAS!P68/CUENTAS!$AB68,"")</f>
        <v>0.04601208223</v>
      </c>
      <c r="AI79" s="459">
        <f>IF(CUENTAS!R68/CUENTAS!$AB68&lt;&gt;0,CUENTAS!R68/CUENTAS!$AB68,"")</f>
        <v>0.05549181576</v>
      </c>
      <c r="AJ79" s="459">
        <f>IF(CUENTAS!B68/CUENTAS!$AB68&lt;&gt;0,CUENTAS!B68/CUENTAS!$AB68,"")</f>
        <v>0.01430623501</v>
      </c>
      <c r="AK79" s="459">
        <f>IF(CUENTAS!S68/CUENTAS!$AB68&lt;&gt;0,CUENTAS!S68/CUENTAS!$AB68,"")</f>
        <v>0.02736363435</v>
      </c>
      <c r="AL79" s="459">
        <f>IF(CUENTAS!T68/CUENTAS!$AB68&lt;&gt;0,CUENTAS!T68/CUENTAS!$AB68,"")</f>
        <v>0.09331005129</v>
      </c>
      <c r="AM79" s="459">
        <f>IF(CUENTAS!U68/CUENTAS!$AB68&lt;&gt;0,CUENTAS!U68/CUENTAS!$AB68,"")</f>
        <v>0.06048333741</v>
      </c>
      <c r="AN79" s="459">
        <f>IF(CUENTAS!V68/CUENTAS!$AB68&lt;&gt;0,CUENTAS!V68/CUENTAS!$AB68,"")</f>
        <v>0.1426407118</v>
      </c>
      <c r="AO79" s="459">
        <f>IF(CUENTAS!W68/CUENTAS!$AB68&lt;&gt;0,CUENTAS!W68/CUENTAS!$AB68,"")</f>
        <v>0.01668880851</v>
      </c>
      <c r="AP79" s="459">
        <f>IF(CUENTAS!X68/CUENTAS!$AB68&lt;&gt;0,CUENTAS!X68/CUENTAS!$AB68,"")</f>
        <v>0.0457222962</v>
      </c>
      <c r="AQ79" s="459">
        <f>IF(CUENTAS!Y68/CUENTAS!$AB68&lt;&gt;0,CUENTAS!Y68/CUENTAS!$AB68,"")</f>
        <v>0.01286495933</v>
      </c>
      <c r="AR79" s="459">
        <f>IF(CUENTAS!AA68/CUENTAS!$AB68&lt;&gt;0,CUENTAS!AA68/CUENTAS!$AB68,"")</f>
        <v>0.1408332533</v>
      </c>
    </row>
    <row r="80">
      <c r="A80" s="474"/>
      <c r="B80" s="200"/>
      <c r="C80" s="200"/>
      <c r="F80" s="200"/>
      <c r="G80" s="200"/>
      <c r="J80" s="470">
        <v>45580.0</v>
      </c>
      <c r="K80" s="466">
        <f>SUMIF(GRAFICO!A:A,J80,GRAFICO!B:B)</f>
        <v>13592.34405</v>
      </c>
      <c r="L80" s="467">
        <f t="shared" si="2"/>
        <v>0.2968523643</v>
      </c>
      <c r="M80" s="468">
        <v>45945.0</v>
      </c>
      <c r="N80" s="469">
        <f>IF(SUMIF(GRAFICO!A:A,M80,GRAFICO!B:B)=0,"",SUMIF(GRAFICO!A:A,M80,GRAFICO!B:B))</f>
        <v>19403.05277</v>
      </c>
      <c r="O80" s="467">
        <f t="shared" si="3"/>
        <v>0.3323571379</v>
      </c>
      <c r="P80" s="465">
        <v>46310.0</v>
      </c>
      <c r="Q80" s="463" t="str">
        <f>IF(SUMIF(GRAFICO!A:A,P80,GRAFICO!B:B)=0,"",SUMIF(GRAFICO!A:A,P80,GRAFICO!B:B))</f>
        <v/>
      </c>
      <c r="R80" s="463" t="str">
        <f t="shared" si="4"/>
        <v/>
      </c>
      <c r="S80" s="471">
        <f>CUENTAS!A69</f>
        <v>46033</v>
      </c>
      <c r="T80" s="459" t="str">
        <f>IF(CUENTAS!Q69/CUENTAS!$AB69&lt;&gt;0,CUENTAS!Q69/CUENTAS!$AB69,"")</f>
        <v/>
      </c>
      <c r="U80" s="459" t="str">
        <f>IF(CUENTAS!C69/CUENTAS!$AB69&lt;&gt;0,CUENTAS!C69/CUENTAS!$AB69,"")</f>
        <v/>
      </c>
      <c r="V80" s="459" t="str">
        <f>IF(CUENTAS!D69/CUENTAS!$AB69&lt;&gt;0,CUENTAS!D69/CUENTAS!$AB69,"")</f>
        <v/>
      </c>
      <c r="W80" s="459" t="str">
        <f>IF(CUENTAS!E69/CUENTAS!$AB69&lt;&gt;0,CUENTAS!E69/CUENTAS!$AB69,"")</f>
        <v/>
      </c>
      <c r="X80" s="459" t="str">
        <f>IF(CUENTAS!F69/CUENTAS!$AB69&lt;&gt;0,CUENTAS!F69/CUENTAS!$AB69,"")</f>
        <v/>
      </c>
      <c r="Y80" s="459">
        <f>IF(CUENTAS!G69/CUENTAS!$AB69&lt;&gt;0,CUENTAS!G69/CUENTAS!$AB69,"")</f>
        <v>0.1054869452</v>
      </c>
      <c r="Z80" s="459">
        <f>IF(CUENTAS!H69/CUENTAS!$AB69&lt;&gt;0,CUENTAS!H69/CUENTAS!$AB69,"")</f>
        <v>0.02949569527</v>
      </c>
      <c r="AA80" s="459">
        <f>IF(CUENTAS!I69/CUENTAS!$AB69&lt;&gt;0,CUENTAS!I69/CUENTAS!$AB69,"")</f>
        <v>0.01489270065</v>
      </c>
      <c r="AB80" s="459">
        <f>IF(CUENTAS!J69/CUENTAS!$AB69&lt;&gt;0,CUENTAS!J69/CUENTAS!$AB69,"")</f>
        <v>0.1339890393</v>
      </c>
      <c r="AC80" s="459">
        <f>IF(CUENTAS!K69/CUENTAS!$AB69&lt;&gt;0,CUENTAS!K69/CUENTAS!$AB69,"")</f>
        <v>0.06502995062</v>
      </c>
      <c r="AD80" s="459">
        <f>IF(CUENTAS!L69/CUENTAS!$AB69&lt;&gt;0,CUENTAS!L69/CUENTAS!$AB69,"")</f>
        <v>0.005960098031</v>
      </c>
      <c r="AE80" s="459">
        <f>IF(CUENTAS!M69/CUENTAS!$AB69&lt;&gt;0,CUENTAS!M69/CUENTAS!$AB69,"")</f>
        <v>0.04193042132</v>
      </c>
      <c r="AF80" s="459">
        <f>IF(CUENTAS!N69/CUENTAS!$AB69&lt;&gt;0,CUENTAS!N69/CUENTAS!$AB69,"")</f>
        <v>0.09224119313</v>
      </c>
      <c r="AG80" s="459">
        <f>IF(CUENTAS!O69/CUENTAS!$AB69&lt;&gt;0,CUENTAS!O69/CUENTAS!$AB69,"")</f>
        <v>0.03465155729</v>
      </c>
      <c r="AH80" s="459">
        <f>IF(CUENTAS!P69/CUENTAS!$AB69&lt;&gt;0,CUENTAS!P69/CUENTAS!$AB69,"")</f>
        <v>0.04602101012</v>
      </c>
      <c r="AI80" s="459">
        <f>IF(CUENTAS!R69/CUENTAS!$AB69&lt;&gt;0,CUENTAS!R69/CUENTAS!$AB69,"")</f>
        <v>0.05563091375</v>
      </c>
      <c r="AJ80" s="459">
        <f>IF(CUENTAS!B69/CUENTAS!$AB69&lt;&gt;0,CUENTAS!B69/CUENTAS!$AB69,"")</f>
        <v>0.0143090109</v>
      </c>
      <c r="AK80" s="459">
        <f>IF(CUENTAS!S69/CUENTAS!$AB69&lt;&gt;0,CUENTAS!S69/CUENTAS!$AB69,"")</f>
        <v>0.02732451289</v>
      </c>
      <c r="AL80" s="459">
        <f>IF(CUENTAS!T69/CUENTAS!$AB69&lt;&gt;0,CUENTAS!T69/CUENTAS!$AB69,"")</f>
        <v>0.09325912506</v>
      </c>
      <c r="AM80" s="459">
        <f>IF(CUENTAS!U69/CUENTAS!$AB69&lt;&gt;0,CUENTAS!U69/CUENTAS!$AB69,"")</f>
        <v>0.06041827093</v>
      </c>
      <c r="AN80" s="459">
        <f>IF(CUENTAS!V69/CUENTAS!$AB69&lt;&gt;0,CUENTAS!V69/CUENTAS!$AB69,"")</f>
        <v>0.1426398609</v>
      </c>
      <c r="AO80" s="459">
        <f>IF(CUENTAS!W69/CUENTAS!$AB69&lt;&gt;0,CUENTAS!W69/CUENTAS!$AB69,"")</f>
        <v>0.0166920467</v>
      </c>
      <c r="AP80" s="459">
        <f>IF(CUENTAS!X69/CUENTAS!$AB69&lt;&gt;0,CUENTAS!X69/CUENTAS!$AB69,"")</f>
        <v>0.04565454127</v>
      </c>
      <c r="AQ80" s="459">
        <f>IF(CUENTAS!Y69/CUENTAS!$AB69&lt;&gt;0,CUENTAS!Y69/CUENTAS!$AB69,"")</f>
        <v>0.01281717837</v>
      </c>
      <c r="AR80" s="459">
        <f>IF(CUENTAS!AA69/CUENTAS!$AB69&lt;&gt;0,CUENTAS!AA69/CUENTAS!$AB69,"")</f>
        <v>0.1408605797</v>
      </c>
    </row>
    <row r="81">
      <c r="A81" s="474"/>
      <c r="B81" s="200"/>
      <c r="C81" s="200"/>
      <c r="F81" s="200"/>
      <c r="G81" s="200"/>
      <c r="J81" s="465">
        <v>45579.0</v>
      </c>
      <c r="K81" s="466">
        <f>SUMIF(GRAFICO!A:A,J81,GRAFICO!B:B)</f>
        <v>13627.09869</v>
      </c>
      <c r="L81" s="467">
        <f t="shared" si="2"/>
        <v>0.2994060287</v>
      </c>
      <c r="M81" s="468">
        <v>45944.0</v>
      </c>
      <c r="N81" s="469">
        <f>IF(SUMIF(GRAFICO!A:A,M81,GRAFICO!B:B)=0,"",SUMIF(GRAFICO!A:A,M81,GRAFICO!B:B))</f>
        <v>19354.80034</v>
      </c>
      <c r="O81" s="467">
        <f t="shared" si="3"/>
        <v>0.3298671932</v>
      </c>
      <c r="P81" s="468">
        <v>46309.0</v>
      </c>
      <c r="Q81" s="463" t="str">
        <f>IF(SUMIF(GRAFICO!A:A,P81,GRAFICO!B:B)=0,"",SUMIF(GRAFICO!A:A,P81,GRAFICO!B:B))</f>
        <v/>
      </c>
      <c r="R81" s="463" t="str">
        <f t="shared" si="4"/>
        <v/>
      </c>
      <c r="S81" s="471">
        <f>CUENTAS!A70</f>
        <v>46032</v>
      </c>
      <c r="T81" s="459" t="str">
        <f>IF(CUENTAS!Q70/CUENTAS!$AB70&lt;&gt;0,CUENTAS!Q70/CUENTAS!$AB70,"")</f>
        <v/>
      </c>
      <c r="U81" s="459" t="str">
        <f>IF(CUENTAS!C70/CUENTAS!$AB70&lt;&gt;0,CUENTAS!C70/CUENTAS!$AB70,"")</f>
        <v/>
      </c>
      <c r="V81" s="459" t="str">
        <f>IF(CUENTAS!D70/CUENTAS!$AB70&lt;&gt;0,CUENTAS!D70/CUENTAS!$AB70,"")</f>
        <v/>
      </c>
      <c r="W81" s="459" t="str">
        <f>IF(CUENTAS!E70/CUENTAS!$AB70&lt;&gt;0,CUENTAS!E70/CUENTAS!$AB70,"")</f>
        <v/>
      </c>
      <c r="X81" s="459" t="str">
        <f>IF(CUENTAS!F70/CUENTAS!$AB70&lt;&gt;0,CUENTAS!F70/CUENTAS!$AB70,"")</f>
        <v/>
      </c>
      <c r="Y81" s="459">
        <f>IF(CUENTAS!G70/CUENTAS!$AB70&lt;&gt;0,CUENTAS!G70/CUENTAS!$AB70,"")</f>
        <v>0.1055074165</v>
      </c>
      <c r="Z81" s="459">
        <f>IF(CUENTAS!H70/CUENTAS!$AB70&lt;&gt;0,CUENTAS!H70/CUENTAS!$AB70,"")</f>
        <v>0.02950141937</v>
      </c>
      <c r="AA81" s="459">
        <f>IF(CUENTAS!I70/CUENTAS!$AB70&lt;&gt;0,CUENTAS!I70/CUENTAS!$AB70,"")</f>
        <v>0.01489559081</v>
      </c>
      <c r="AB81" s="459">
        <f>IF(CUENTAS!J70/CUENTAS!$AB70&lt;&gt;0,CUENTAS!J70/CUENTAS!$AB70,"")</f>
        <v>0.1340150419</v>
      </c>
      <c r="AC81" s="459">
        <f>IF(CUENTAS!K70/CUENTAS!$AB70&lt;&gt;0,CUENTAS!K70/CUENTAS!$AB70,"")</f>
        <v>0.06504257069</v>
      </c>
      <c r="AD81" s="459">
        <f>IF(CUENTAS!L70/CUENTAS!$AB70&lt;&gt;0,CUENTAS!L70/CUENTAS!$AB70,"")</f>
        <v>0.005961254681</v>
      </c>
      <c r="AE81" s="459">
        <f>IF(CUENTAS!M70/CUENTAS!$AB70&lt;&gt;0,CUENTAS!M70/CUENTAS!$AB70,"")</f>
        <v>0.04193855856</v>
      </c>
      <c r="AF81" s="459">
        <f>IF(CUENTAS!N70/CUENTAS!$AB70&lt;&gt;0,CUENTAS!N70/CUENTAS!$AB70,"")</f>
        <v>0.09225909396</v>
      </c>
      <c r="AG81" s="459">
        <f>IF(CUENTAS!O70/CUENTAS!$AB70&lt;&gt;0,CUENTAS!O70/CUENTAS!$AB70,"")</f>
        <v>0.03465828196</v>
      </c>
      <c r="AH81" s="459">
        <f>IF(CUENTAS!P70/CUENTAS!$AB70&lt;&gt;0,CUENTAS!P70/CUENTAS!$AB70,"")</f>
        <v>0.04602994121</v>
      </c>
      <c r="AI81" s="459">
        <f>IF(CUENTAS!R70/CUENTAS!$AB70&lt;&gt;0,CUENTAS!R70/CUENTAS!$AB70,"")</f>
        <v>0.05577006541</v>
      </c>
      <c r="AJ81" s="459">
        <f>IF(CUENTAS!B70/CUENTAS!$AB70&lt;&gt;0,CUENTAS!B70/CUENTAS!$AB70,"")</f>
        <v>0.01431178778</v>
      </c>
      <c r="AK81" s="459">
        <f>IF(CUENTAS!S70/CUENTAS!$AB70&lt;&gt;0,CUENTAS!S70/CUENTAS!$AB70,"")</f>
        <v>0.02728537609</v>
      </c>
      <c r="AL81" s="459">
        <f>IF(CUENTAS!T70/CUENTAS!$AB70&lt;&gt;0,CUENTAS!T70/CUENTAS!$AB70,"")</f>
        <v>0.09320817853</v>
      </c>
      <c r="AM81" s="459">
        <f>IF(CUENTAS!U70/CUENTAS!$AB70&lt;&gt;0,CUENTAS!U70/CUENTAS!$AB70,"")</f>
        <v>0.06035317886</v>
      </c>
      <c r="AN81" s="459">
        <f>IF(CUENTAS!V70/CUENTAS!$AB70&lt;&gt;0,CUENTAS!V70/CUENTAS!$AB70,"")</f>
        <v>0.1426390146</v>
      </c>
      <c r="AO81" s="459">
        <f>IF(CUENTAS!W70/CUENTAS!$AB70&lt;&gt;0,CUENTAS!W70/CUENTAS!$AB70,"")</f>
        <v>0.01669528605</v>
      </c>
      <c r="AP81" s="459">
        <f>IF(CUENTAS!X70/CUENTAS!$AB70&lt;&gt;0,CUENTAS!X70/CUENTAS!$AB70,"")</f>
        <v>0.04558675979</v>
      </c>
      <c r="AQ81" s="459">
        <f>IF(CUENTAS!Y70/CUENTAS!$AB70&lt;&gt;0,CUENTAS!Y70/CUENTAS!$AB70,"")</f>
        <v>0.01276937878</v>
      </c>
      <c r="AR81" s="459">
        <f>IF(CUENTAS!AA70/CUENTAS!$AB70&lt;&gt;0,CUENTAS!AA70/CUENTAS!$AB70,"")</f>
        <v>0.1408879158</v>
      </c>
    </row>
    <row r="82">
      <c r="A82" s="474"/>
      <c r="B82" s="200"/>
      <c r="C82" s="200"/>
      <c r="F82" s="200"/>
      <c r="G82" s="200"/>
      <c r="J82" s="465">
        <v>45578.0</v>
      </c>
      <c r="K82" s="466">
        <f>SUMIF(GRAFICO!A:A,J82,GRAFICO!B:B)</f>
        <v>13614.57419</v>
      </c>
      <c r="L82" s="467">
        <f t="shared" si="2"/>
        <v>0.2984865184</v>
      </c>
      <c r="M82" s="468">
        <v>45943.0</v>
      </c>
      <c r="N82" s="469">
        <f>IF(SUMIF(GRAFICO!A:A,M82,GRAFICO!B:B)=0,"",SUMIF(GRAFICO!A:A,M82,GRAFICO!B:B))</f>
        <v>19299.32433</v>
      </c>
      <c r="O82" s="467">
        <f t="shared" si="3"/>
        <v>0.3269968117</v>
      </c>
      <c r="P82" s="465">
        <v>46308.0</v>
      </c>
      <c r="Q82" s="463" t="str">
        <f>IF(SUMIF(GRAFICO!A:A,P82,GRAFICO!B:B)=0,"",SUMIF(GRAFICO!A:A,P82,GRAFICO!B:B))</f>
        <v/>
      </c>
      <c r="R82" s="463" t="str">
        <f t="shared" si="4"/>
        <v/>
      </c>
      <c r="S82" s="471">
        <f>CUENTAS!A71</f>
        <v>46031</v>
      </c>
      <c r="T82" s="459" t="str">
        <f>IF(CUENTAS!Q71/CUENTAS!$AB71&lt;&gt;0,CUENTAS!Q71/CUENTAS!$AB71,"")</f>
        <v/>
      </c>
      <c r="U82" s="459" t="str">
        <f>IF(CUENTAS!C71/CUENTAS!$AB71&lt;&gt;0,CUENTAS!C71/CUENTAS!$AB71,"")</f>
        <v/>
      </c>
      <c r="V82" s="459" t="str">
        <f>IF(CUENTAS!D71/CUENTAS!$AB71&lt;&gt;0,CUENTAS!D71/CUENTAS!$AB71,"")</f>
        <v/>
      </c>
      <c r="W82" s="459" t="str">
        <f>IF(CUENTAS!E71/CUENTAS!$AB71&lt;&gt;0,CUENTAS!E71/CUENTAS!$AB71,"")</f>
        <v/>
      </c>
      <c r="X82" s="459" t="str">
        <f>IF(CUENTAS!F71/CUENTAS!$AB71&lt;&gt;0,CUENTAS!F71/CUENTAS!$AB71,"")</f>
        <v/>
      </c>
      <c r="Y82" s="459">
        <f>IF(CUENTAS!G71/CUENTAS!$AB71&lt;&gt;0,CUENTAS!G71/CUENTAS!$AB71,"")</f>
        <v>0.1055278953</v>
      </c>
      <c r="Z82" s="459">
        <f>IF(CUENTAS!H71/CUENTAS!$AB71&lt;&gt;0,CUENTAS!H71/CUENTAS!$AB71,"")</f>
        <v>0.02950714552</v>
      </c>
      <c r="AA82" s="459">
        <f>IF(CUENTAS!I71/CUENTAS!$AB71&lt;&gt;0,CUENTAS!I71/CUENTAS!$AB71,"")</f>
        <v>0.01489848201</v>
      </c>
      <c r="AB82" s="459">
        <f>IF(CUENTAS!J71/CUENTAS!$AB71&lt;&gt;0,CUENTAS!J71/CUENTAS!$AB71,"")</f>
        <v>0.1340410539</v>
      </c>
      <c r="AC82" s="459">
        <f>IF(CUENTAS!K71/CUENTAS!$AB71&lt;&gt;0,CUENTAS!K71/CUENTAS!$AB71,"")</f>
        <v>0.06505519529</v>
      </c>
      <c r="AD82" s="459">
        <f>IF(CUENTAS!L71/CUENTAS!$AB71&lt;&gt;0,CUENTAS!L71/CUENTAS!$AB71,"")</f>
        <v>0.005962411745</v>
      </c>
      <c r="AE82" s="459">
        <f>IF(CUENTAS!M71/CUENTAS!$AB71&lt;&gt;0,CUENTAS!M71/CUENTAS!$AB71,"")</f>
        <v>0.04194669873</v>
      </c>
      <c r="AF82" s="459">
        <f>IF(CUENTAS!N71/CUENTAS!$AB71&lt;&gt;0,CUENTAS!N71/CUENTAS!$AB71,"")</f>
        <v>0.09227700122</v>
      </c>
      <c r="AG82" s="459">
        <f>IF(CUENTAS!O71/CUENTAS!$AB71&lt;&gt;0,CUENTAS!O71/CUENTAS!$AB71,"")</f>
        <v>0.03466500905</v>
      </c>
      <c r="AH82" s="459">
        <f>IF(CUENTAS!P71/CUENTAS!$AB71&lt;&gt;0,CUENTAS!P71/CUENTAS!$AB71,"")</f>
        <v>0.0460388755</v>
      </c>
      <c r="AI82" s="459">
        <f>IF(CUENTAS!R71/CUENTAS!$AB71&lt;&gt;0,CUENTAS!R71/CUENTAS!$AB71,"")</f>
        <v>0.05590927078</v>
      </c>
      <c r="AJ82" s="459">
        <f>IF(CUENTAS!B71/CUENTAS!$AB71&lt;&gt;0,CUENTAS!B71/CUENTAS!$AB71,"")</f>
        <v>0.01431456567</v>
      </c>
      <c r="AK82" s="459">
        <f>IF(CUENTAS!S71/CUENTAS!$AB71&lt;&gt;0,CUENTAS!S71/CUENTAS!$AB71,"")</f>
        <v>0.02724622395</v>
      </c>
      <c r="AL82" s="459">
        <f>IF(CUENTAS!T71/CUENTAS!$AB71&lt;&gt;0,CUENTAS!T71/CUENTAS!$AB71,"")</f>
        <v>0.09315721169</v>
      </c>
      <c r="AM82" s="459">
        <f>IF(CUENTAS!U71/CUENTAS!$AB71&lt;&gt;0,CUENTAS!U71/CUENTAS!$AB71,"")</f>
        <v>0.06028806116</v>
      </c>
      <c r="AN82" s="459">
        <f>IF(CUENTAS!V71/CUENTAS!$AB71&lt;&gt;0,CUENTAS!V71/CUENTAS!$AB71,"")</f>
        <v>0.1426381728</v>
      </c>
      <c r="AO82" s="459">
        <f>IF(CUENTAS!W71/CUENTAS!$AB71&lt;&gt;0,CUENTAS!W71/CUENTAS!$AB71,"")</f>
        <v>0.01669852657</v>
      </c>
      <c r="AP82" s="459">
        <f>IF(CUENTAS!X71/CUENTAS!$AB71&lt;&gt;0,CUENTAS!X71/CUENTAS!$AB71,"")</f>
        <v>0.04717937019</v>
      </c>
      <c r="AQ82" s="459">
        <f>IF(CUENTAS!Y71/CUENTAS!$AB71&lt;&gt;0,CUENTAS!Y71/CUENTAS!$AB71,"")</f>
        <v>0.01272156057</v>
      </c>
      <c r="AR82" s="459">
        <f>IF(CUENTAS!AA71/CUENTAS!$AB71&lt;&gt;0,CUENTAS!AA71/CUENTAS!$AB71,"")</f>
        <v>0.1392548434</v>
      </c>
    </row>
    <row r="83">
      <c r="A83" s="474"/>
      <c r="B83" s="200"/>
      <c r="C83" s="200"/>
      <c r="F83" s="200"/>
      <c r="G83" s="200"/>
      <c r="J83" s="465">
        <v>45577.0</v>
      </c>
      <c r="K83" s="466">
        <f>SUMIF(GRAFICO!A:A,J83,GRAFICO!B:B)</f>
        <v>13602.05356</v>
      </c>
      <c r="L83" s="467">
        <f t="shared" si="2"/>
        <v>0.2975664461</v>
      </c>
      <c r="M83" s="468">
        <v>45942.0</v>
      </c>
      <c r="N83" s="469">
        <f>IF(SUMIF(GRAFICO!A:A,M83,GRAFICO!B:B)=0,"",SUMIF(GRAFICO!A:A,M83,GRAFICO!B:B))</f>
        <v>19294.54127</v>
      </c>
      <c r="O83" s="467">
        <f t="shared" si="3"/>
        <v>0.326748945</v>
      </c>
      <c r="P83" s="468">
        <v>46307.0</v>
      </c>
      <c r="Q83" s="463" t="str">
        <f>IF(SUMIF(GRAFICO!A:A,P83,GRAFICO!B:B)=0,"",SUMIF(GRAFICO!A:A,P83,GRAFICO!B:B))</f>
        <v/>
      </c>
      <c r="R83" s="463" t="str">
        <f t="shared" si="4"/>
        <v/>
      </c>
      <c r="S83" s="471">
        <f>CUENTAS!A72</f>
        <v>46030</v>
      </c>
      <c r="T83" s="459" t="str">
        <f>IF(CUENTAS!Q72/CUENTAS!$AB72&lt;&gt;0,CUENTAS!Q72/CUENTAS!$AB72,"")</f>
        <v/>
      </c>
      <c r="U83" s="459" t="str">
        <f>IF(CUENTAS!C72/CUENTAS!$AB72&lt;&gt;0,CUENTAS!C72/CUENTAS!$AB72,"")</f>
        <v/>
      </c>
      <c r="V83" s="459" t="str">
        <f>IF(CUENTAS!D72/CUENTAS!$AB72&lt;&gt;0,CUENTAS!D72/CUENTAS!$AB72,"")</f>
        <v/>
      </c>
      <c r="W83" s="459" t="str">
        <f>IF(CUENTAS!E72/CUENTAS!$AB72&lt;&gt;0,CUENTAS!E72/CUENTAS!$AB72,"")</f>
        <v/>
      </c>
      <c r="X83" s="459" t="str">
        <f>IF(CUENTAS!F72/CUENTAS!$AB72&lt;&gt;0,CUENTAS!F72/CUENTAS!$AB72,"")</f>
        <v/>
      </c>
      <c r="Y83" s="459">
        <f>IF(CUENTAS!G72/CUENTAS!$AB72&lt;&gt;0,CUENTAS!G72/CUENTAS!$AB72,"")</f>
        <v>0.1047546949</v>
      </c>
      <c r="Z83" s="459">
        <f>IF(CUENTAS!H72/CUENTAS!$AB72&lt;&gt;0,CUENTAS!H72/CUENTAS!$AB72,"")</f>
        <v>0.02950159283</v>
      </c>
      <c r="AA83" s="459">
        <f>IF(CUENTAS!I72/CUENTAS!$AB72&lt;&gt;0,CUENTAS!I72/CUENTAS!$AB72,"")</f>
        <v>0.01475533233</v>
      </c>
      <c r="AB83" s="459">
        <f>IF(CUENTAS!J72/CUENTAS!$AB72&lt;&gt;0,CUENTAS!J72/CUENTAS!$AB72,"")</f>
        <v>0.1360169788</v>
      </c>
      <c r="AC83" s="459">
        <f>IF(CUENTAS!K72/CUENTAS!$AB72&lt;&gt;0,CUENTAS!K72/CUENTAS!$AB72,"")</f>
        <v>0.06466400789</v>
      </c>
      <c r="AD83" s="459">
        <f>IF(CUENTAS!L72/CUENTAS!$AB72&lt;&gt;0,CUENTAS!L72/CUENTAS!$AB72,"")</f>
        <v>0.005994967997</v>
      </c>
      <c r="AE83" s="459">
        <f>IF(CUENTAS!M72/CUENTAS!$AB72&lt;&gt;0,CUENTAS!M72/CUENTAS!$AB72,"")</f>
        <v>0.04210538935</v>
      </c>
      <c r="AF83" s="459">
        <f>IF(CUENTAS!N72/CUENTAS!$AB72&lt;&gt;0,CUENTAS!N72/CUENTAS!$AB72,"")</f>
        <v>0.09139869241</v>
      </c>
      <c r="AG83" s="459">
        <f>IF(CUENTAS!O72/CUENTAS!$AB72&lt;&gt;0,CUENTAS!O72/CUENTAS!$AB72,"")</f>
        <v>0.03449185559</v>
      </c>
      <c r="AH83" s="459">
        <f>IF(CUENTAS!P72/CUENTAS!$AB72&lt;&gt;0,CUENTAS!P72/CUENTAS!$AB72,"")</f>
        <v>0.04571824585</v>
      </c>
      <c r="AI83" s="459">
        <f>IF(CUENTAS!R72/CUENTAS!$AB72&lt;&gt;0,CUENTAS!R72/CUENTAS!$AB72,"")</f>
        <v>0.05386251949</v>
      </c>
      <c r="AJ83" s="459">
        <f>IF(CUENTAS!B72/CUENTAS!$AB72&lt;&gt;0,CUENTAS!B72/CUENTAS!$AB72,"")</f>
        <v>0.0143344387</v>
      </c>
      <c r="AK83" s="459">
        <f>IF(CUENTAS!S72/CUENTAS!$AB72&lt;&gt;0,CUENTAS!S72/CUENTAS!$AB72,"")</f>
        <v>0.02724683525</v>
      </c>
      <c r="AL83" s="459">
        <f>IF(CUENTAS!T72/CUENTAS!$AB72&lt;&gt;0,CUENTAS!T72/CUENTAS!$AB72,"")</f>
        <v>0.09324235297</v>
      </c>
      <c r="AM83" s="459">
        <f>IF(CUENTAS!U72/CUENTAS!$AB72&lt;&gt;0,CUENTAS!U72/CUENTAS!$AB72,"")</f>
        <v>0.06031096837</v>
      </c>
      <c r="AN83" s="459">
        <f>IF(CUENTAS!V72/CUENTAS!$AB72&lt;&gt;0,CUENTAS!V72/CUENTAS!$AB72,"")</f>
        <v>0.1428458823</v>
      </c>
      <c r="AO83" s="459">
        <f>IF(CUENTAS!W72/CUENTAS!$AB72&lt;&gt;0,CUENTAS!W72/CUENTAS!$AB72,"")</f>
        <v>0.01672618751</v>
      </c>
      <c r="AP83" s="459">
        <f>IF(CUENTAS!X72/CUENTAS!$AB72&lt;&gt;0,CUENTAS!X72/CUENTAS!$AB72,"")</f>
        <v>0.04718073903</v>
      </c>
      <c r="AQ83" s="459">
        <f>IF(CUENTAS!Y72/CUENTAS!$AB72&lt;&gt;0,CUENTAS!Y72/CUENTAS!$AB72,"")</f>
        <v>0.01269225368</v>
      </c>
      <c r="AR83" s="459">
        <f>IF(CUENTAS!AA72/CUENTAS!$AB72&lt;&gt;0,CUENTAS!AA72/CUENTAS!$AB72,"")</f>
        <v>0.1417534752</v>
      </c>
    </row>
    <row r="84">
      <c r="A84" s="474"/>
      <c r="B84" s="200"/>
      <c r="C84" s="200"/>
      <c r="F84" s="200"/>
      <c r="G84" s="200"/>
      <c r="J84" s="470">
        <v>45576.0</v>
      </c>
      <c r="K84" s="466">
        <f>SUMIF(GRAFICO!A:A,J84,GRAFICO!B:B)</f>
        <v>13589.53679</v>
      </c>
      <c r="L84" s="467">
        <f t="shared" si="2"/>
        <v>0.2966458105</v>
      </c>
      <c r="M84" s="468">
        <v>45941.0</v>
      </c>
      <c r="N84" s="469">
        <f>IF(SUMIF(GRAFICO!A:A,M84,GRAFICO!B:B)=0,"",SUMIF(GRAFICO!A:A,M84,GRAFICO!B:B))</f>
        <v>19289.75884</v>
      </c>
      <c r="O84" s="467">
        <f t="shared" si="3"/>
        <v>0.3265010502</v>
      </c>
      <c r="P84" s="465">
        <v>46306.0</v>
      </c>
      <c r="Q84" s="463" t="str">
        <f>IF(SUMIF(GRAFICO!A:A,P84,GRAFICO!B:B)=0,"",SUMIF(GRAFICO!A:A,P84,GRAFICO!B:B))</f>
        <v/>
      </c>
      <c r="R84" s="463" t="str">
        <f t="shared" si="4"/>
        <v/>
      </c>
      <c r="S84" s="471">
        <f>CUENTAS!A73</f>
        <v>46029</v>
      </c>
      <c r="T84" s="459" t="str">
        <f>IF(CUENTAS!Q73/CUENTAS!$AB73&lt;&gt;0,CUENTAS!Q73/CUENTAS!$AB73,"")</f>
        <v/>
      </c>
      <c r="U84" s="459" t="str">
        <f>IF(CUENTAS!C73/CUENTAS!$AB73&lt;&gt;0,CUENTAS!C73/CUENTAS!$AB73,"")</f>
        <v/>
      </c>
      <c r="V84" s="459" t="str">
        <f>IF(CUENTAS!D73/CUENTAS!$AB73&lt;&gt;0,CUENTAS!D73/CUENTAS!$AB73,"")</f>
        <v/>
      </c>
      <c r="W84" s="459" t="str">
        <f>IF(CUENTAS!E73/CUENTAS!$AB73&lt;&gt;0,CUENTAS!E73/CUENTAS!$AB73,"")</f>
        <v/>
      </c>
      <c r="X84" s="459" t="str">
        <f>IF(CUENTAS!F73/CUENTAS!$AB73&lt;&gt;0,CUENTAS!F73/CUENTAS!$AB73,"")</f>
        <v/>
      </c>
      <c r="Y84" s="459">
        <f>IF(CUENTAS!G73/CUENTAS!$AB73&lt;&gt;0,CUENTAS!G73/CUENTAS!$AB73,"")</f>
        <v>0.1042469064</v>
      </c>
      <c r="Z84" s="459">
        <f>IF(CUENTAS!H73/CUENTAS!$AB73&lt;&gt;0,CUENTAS!H73/CUENTAS!$AB73,"")</f>
        <v>0.03019982114</v>
      </c>
      <c r="AA84" s="459">
        <f>IF(CUENTAS!I73/CUENTAS!$AB73&lt;&gt;0,CUENTAS!I73/CUENTAS!$AB73,"")</f>
        <v>0.01453224476</v>
      </c>
      <c r="AB84" s="459">
        <f>IF(CUENTAS!J73/CUENTAS!$AB73&lt;&gt;0,CUENTAS!J73/CUENTAS!$AB73,"")</f>
        <v>0.1369664068</v>
      </c>
      <c r="AC84" s="459">
        <f>IF(CUENTAS!K73/CUENTAS!$AB73&lt;&gt;0,CUENTAS!K73/CUENTAS!$AB73,"")</f>
        <v>0.06394187694</v>
      </c>
      <c r="AD84" s="459">
        <f>IF(CUENTAS!L73/CUENTAS!$AB73&lt;&gt;0,CUENTAS!L73/CUENTAS!$AB73,"")</f>
        <v>0.006055101983</v>
      </c>
      <c r="AE84" s="459">
        <f>IF(CUENTAS!M73/CUENTAS!$AB73&lt;&gt;0,CUENTAS!M73/CUENTAS!$AB73,"")</f>
        <v>0.04224493276</v>
      </c>
      <c r="AF84" s="459">
        <f>IF(CUENTAS!N73/CUENTAS!$AB73&lt;&gt;0,CUENTAS!N73/CUENTAS!$AB73,"")</f>
        <v>0.09103845831</v>
      </c>
      <c r="AG84" s="459">
        <f>IF(CUENTAS!O73/CUENTAS!$AB73&lt;&gt;0,CUENTAS!O73/CUENTAS!$AB73,"")</f>
        <v>0.03454587059</v>
      </c>
      <c r="AH84" s="459">
        <f>IF(CUENTAS!P73/CUENTAS!$AB73&lt;&gt;0,CUENTAS!P73/CUENTAS!$AB73,"")</f>
        <v>0.04531108502</v>
      </c>
      <c r="AI84" s="459">
        <f>IF(CUENTAS!R73/CUENTAS!$AB73&lt;&gt;0,CUENTAS!R73/CUENTAS!$AB73,"")</f>
        <v>0.05027108397</v>
      </c>
      <c r="AJ84" s="459">
        <f>IF(CUENTAS!B73/CUENTAS!$AB73&lt;&gt;0,CUENTAS!B73/CUENTAS!$AB73,"")</f>
        <v>0.01433616542</v>
      </c>
      <c r="AK84" s="459">
        <f>IF(CUENTAS!S73/CUENTAS!$AB73&lt;&gt;0,CUENTAS!S73/CUENTAS!$AB73,"")</f>
        <v>0.02723476512</v>
      </c>
      <c r="AL84" s="459">
        <f>IF(CUENTAS!T73/CUENTAS!$AB73&lt;&gt;0,CUENTAS!T73/CUENTAS!$AB73,"")</f>
        <v>0.09328433348</v>
      </c>
      <c r="AM84" s="459">
        <f>IF(CUENTAS!U73/CUENTAS!$AB73&lt;&gt;0,CUENTAS!U73/CUENTAS!$AB73,"")</f>
        <v>0.06030586664</v>
      </c>
      <c r="AN84" s="459">
        <f>IF(CUENTAS!V73/CUENTAS!$AB73&lt;&gt;0,CUENTAS!V73/CUENTAS!$AB73,"")</f>
        <v>0.1429876963</v>
      </c>
      <c r="AO84" s="459">
        <f>IF(CUENTAS!W73/CUENTAS!$AB73&lt;&gt;0,CUENTAS!W73/CUENTAS!$AB73,"")</f>
        <v>0.01674614142</v>
      </c>
      <c r="AP84" s="459">
        <f>IF(CUENTAS!X73/CUENTAS!$AB73&lt;&gt;0,CUENTAS!X73/CUENTAS!$AB73,"")</f>
        <v>0.04716014952</v>
      </c>
      <c r="AQ84" s="459">
        <f>IF(CUENTAS!Y73/CUENTAS!$AB73&lt;&gt;0,CUENTAS!Y73/CUENTAS!$AB73,"")</f>
        <v>0.01265695508</v>
      </c>
      <c r="AR84" s="459">
        <f>IF(CUENTAS!AA73/CUENTAS!$AB73&lt;&gt;0,CUENTAS!AA73/CUENTAS!$AB73,"")</f>
        <v>0.1457070223</v>
      </c>
    </row>
    <row r="85">
      <c r="A85" s="474"/>
      <c r="B85" s="200"/>
      <c r="C85" s="200"/>
      <c r="F85" s="200"/>
      <c r="G85" s="200"/>
      <c r="J85" s="465">
        <v>45575.0</v>
      </c>
      <c r="K85" s="466">
        <f>SUMIF(GRAFICO!A:A,J85,GRAFICO!B:B)</f>
        <v>13522.59009</v>
      </c>
      <c r="L85" s="467">
        <f t="shared" si="2"/>
        <v>0.2917072944</v>
      </c>
      <c r="M85" s="468">
        <v>45940.0</v>
      </c>
      <c r="N85" s="469">
        <f>IF(SUMIF(GRAFICO!A:A,M85,GRAFICO!B:B)=0,"",SUMIF(GRAFICO!A:A,M85,GRAFICO!B:B))</f>
        <v>19284.97699</v>
      </c>
      <c r="O85" s="467">
        <f t="shared" si="3"/>
        <v>0.3262531236</v>
      </c>
      <c r="P85" s="468">
        <v>46305.0</v>
      </c>
      <c r="Q85" s="463" t="str">
        <f>IF(SUMIF(GRAFICO!A:A,P85,GRAFICO!B:B)=0,"",SUMIF(GRAFICO!A:A,P85,GRAFICO!B:B))</f>
        <v/>
      </c>
      <c r="R85" s="463" t="str">
        <f t="shared" si="4"/>
        <v/>
      </c>
      <c r="S85" s="471">
        <f>CUENTAS!A74</f>
        <v>46028</v>
      </c>
      <c r="T85" s="459" t="str">
        <f>IF(CUENTAS!Q74/CUENTAS!$AB74&lt;&gt;0,CUENTAS!Q74/CUENTAS!$AB74,"")</f>
        <v/>
      </c>
      <c r="U85" s="459" t="str">
        <f>IF(CUENTAS!C74/CUENTAS!$AB74&lt;&gt;0,CUENTAS!C74/CUENTAS!$AB74,"")</f>
        <v/>
      </c>
      <c r="V85" s="459" t="str">
        <f>IF(CUENTAS!D74/CUENTAS!$AB74&lt;&gt;0,CUENTAS!D74/CUENTAS!$AB74,"")</f>
        <v/>
      </c>
      <c r="W85" s="459" t="str">
        <f>IF(CUENTAS!E74/CUENTAS!$AB74&lt;&gt;0,CUENTAS!E74/CUENTAS!$AB74,"")</f>
        <v/>
      </c>
      <c r="X85" s="459" t="str">
        <f>IF(CUENTAS!F74/CUENTAS!$AB74&lt;&gt;0,CUENTAS!F74/CUENTAS!$AB74,"")</f>
        <v/>
      </c>
      <c r="Y85" s="459">
        <f>IF(CUENTAS!G74/CUENTAS!$AB74&lt;&gt;0,CUENTAS!G74/CUENTAS!$AB74,"")</f>
        <v>0.1055693857</v>
      </c>
      <c r="Z85" s="459">
        <f>IF(CUENTAS!H74/CUENTAS!$AB74&lt;&gt;0,CUENTAS!H74/CUENTAS!$AB74,"")</f>
        <v>0.03018903929</v>
      </c>
      <c r="AA85" s="459">
        <f>IF(CUENTAS!I74/CUENTAS!$AB74&lt;&gt;0,CUENTAS!I74/CUENTAS!$AB74,"")</f>
        <v>0.01433684463</v>
      </c>
      <c r="AB85" s="459">
        <f>IF(CUENTAS!J74/CUENTAS!$AB74&lt;&gt;0,CUENTAS!J74/CUENTAS!$AB74,"")</f>
        <v>0.1364117495</v>
      </c>
      <c r="AC85" s="459">
        <f>IF(CUENTAS!K74/CUENTAS!$AB74&lt;&gt;0,CUENTAS!K74/CUENTAS!$AB74,"")</f>
        <v>0.0170817152</v>
      </c>
      <c r="AD85" s="459">
        <f>IF(CUENTAS!L74/CUENTAS!$AB74&lt;&gt;0,CUENTAS!L74/CUENTAS!$AB74,"")</f>
        <v>0.006071986411</v>
      </c>
      <c r="AE85" s="459">
        <f>IF(CUENTAS!M74/CUENTAS!$AB74&lt;&gt;0,CUENTAS!M74/CUENTAS!$AB74,"")</f>
        <v>0.04238291885</v>
      </c>
      <c r="AF85" s="459">
        <f>IF(CUENTAS!N74/CUENTAS!$AB74&lt;&gt;0,CUENTAS!N74/CUENTAS!$AB74,"")</f>
        <v>0.09142006938</v>
      </c>
      <c r="AG85" s="459">
        <f>IF(CUENTAS!O74/CUENTAS!$AB74&lt;&gt;0,CUENTAS!O74/CUENTAS!$AB74,"")</f>
        <v>0.03383071881</v>
      </c>
      <c r="AH85" s="459">
        <f>IF(CUENTAS!P74/CUENTAS!$AB74&lt;&gt;0,CUENTAS!P74/CUENTAS!$AB74,"")</f>
        <v>0.0459368835</v>
      </c>
      <c r="AI85" s="459">
        <f>IF(CUENTAS!R74/CUENTAS!$AB74&lt;&gt;0,CUENTAS!R74/CUENTAS!$AB74,"")</f>
        <v>0.04732689956</v>
      </c>
      <c r="AJ85" s="459">
        <f>IF(CUENTAS!B74/CUENTAS!$AB74&lt;&gt;0,CUENTAS!B74/CUENTAS!$AB74,"")</f>
        <v>0.0143685097</v>
      </c>
      <c r="AK85" s="459">
        <f>IF(CUENTAS!S74/CUENTAS!$AB74&lt;&gt;0,CUENTAS!S74/CUENTAS!$AB74,"")</f>
        <v>0.02716414351</v>
      </c>
      <c r="AL85" s="459">
        <f>IF(CUENTAS!T74/CUENTAS!$AB74&lt;&gt;0,CUENTAS!T74/CUENTAS!$AB74,"")</f>
        <v>0.09312578337</v>
      </c>
      <c r="AM85" s="459">
        <f>IF(CUENTAS!U74/CUENTAS!$AB74&lt;&gt;0,CUENTAS!U74/CUENTAS!$AB74,"")</f>
        <v>0.0601711196</v>
      </c>
      <c r="AN85" s="459">
        <f>IF(CUENTAS!V74/CUENTAS!$AB74&lt;&gt;0,CUENTAS!V74/CUENTAS!$AB74,"")</f>
        <v>0.1428221576</v>
      </c>
      <c r="AO85" s="459">
        <f>IF(CUENTAS!W74/CUENTAS!$AB74&lt;&gt;0,CUENTAS!W74/CUENTAS!$AB74,"")</f>
        <v>0.01673009954</v>
      </c>
      <c r="AP85" s="459">
        <f>IF(CUENTAS!X74/CUENTAS!$AB74&lt;&gt;0,CUENTAS!X74/CUENTAS!$AB74,"")</f>
        <v>0.04703817144</v>
      </c>
      <c r="AQ85" s="459">
        <f>IF(CUENTAS!Y74/CUENTAS!$AB74&lt;&gt;0,CUENTAS!Y74/CUENTAS!$AB74,"")</f>
        <v>0.0125944386</v>
      </c>
      <c r="AR85" s="459">
        <f>IF(CUENTAS!AA74/CUENTAS!$AB74&lt;&gt;0,CUENTAS!AA74/CUENTAS!$AB74,"")</f>
        <v>0.1950507295</v>
      </c>
    </row>
    <row r="86">
      <c r="A86" s="474"/>
      <c r="B86" s="200"/>
      <c r="C86" s="200"/>
      <c r="F86" s="200"/>
      <c r="G86" s="200"/>
      <c r="J86" s="470">
        <v>45574.0</v>
      </c>
      <c r="K86" s="466">
        <f>SUMIF(GRAFICO!A:A,J86,GRAFICO!B:B)</f>
        <v>13491.86917</v>
      </c>
      <c r="L86" s="467">
        <f t="shared" si="2"/>
        <v>0.2894328876</v>
      </c>
      <c r="M86" s="468">
        <v>45939.0</v>
      </c>
      <c r="N86" s="469">
        <f>IF(SUMIF(GRAFICO!A:A,M86,GRAFICO!B:B)=0,"",SUMIF(GRAFICO!A:A,M86,GRAFICO!B:B))</f>
        <v>19349.34625</v>
      </c>
      <c r="O86" s="467">
        <f t="shared" si="3"/>
        <v>0.3295853585</v>
      </c>
      <c r="P86" s="465">
        <v>46304.0</v>
      </c>
      <c r="Q86" s="463" t="str">
        <f>IF(SUMIF(GRAFICO!A:A,P86,GRAFICO!B:B)=0,"",SUMIF(GRAFICO!A:A,P86,GRAFICO!B:B))</f>
        <v/>
      </c>
      <c r="R86" s="463" t="str">
        <f t="shared" si="4"/>
        <v/>
      </c>
      <c r="S86" s="471">
        <f>CUENTAS!A75</f>
        <v>46027</v>
      </c>
      <c r="T86" s="459" t="str">
        <f>IF(CUENTAS!Q75/CUENTAS!$AB75&lt;&gt;0,CUENTAS!Q75/CUENTAS!$AB75,"")</f>
        <v/>
      </c>
      <c r="U86" s="459" t="str">
        <f>IF(CUENTAS!C75/CUENTAS!$AB75&lt;&gt;0,CUENTAS!C75/CUENTAS!$AB75,"")</f>
        <v/>
      </c>
      <c r="V86" s="459" t="str">
        <f>IF(CUENTAS!D75/CUENTAS!$AB75&lt;&gt;0,CUENTAS!D75/CUENTAS!$AB75,"")</f>
        <v/>
      </c>
      <c r="W86" s="459" t="str">
        <f>IF(CUENTAS!E75/CUENTAS!$AB75&lt;&gt;0,CUENTAS!E75/CUENTAS!$AB75,"")</f>
        <v/>
      </c>
      <c r="X86" s="459" t="str">
        <f>IF(CUENTAS!F75/CUENTAS!$AB75&lt;&gt;0,CUENTAS!F75/CUENTAS!$AB75,"")</f>
        <v/>
      </c>
      <c r="Y86" s="459">
        <f>IF(CUENTAS!G75/CUENTAS!$AB75&lt;&gt;0,CUENTAS!G75/CUENTAS!$AB75,"")</f>
        <v>0.103602288</v>
      </c>
      <c r="Z86" s="459">
        <f>IF(CUENTAS!H75/CUENTAS!$AB75&lt;&gt;0,CUENTAS!H75/CUENTAS!$AB75,"")</f>
        <v>0.03009378336</v>
      </c>
      <c r="AA86" s="459">
        <f>IF(CUENTAS!I75/CUENTAS!$AB75&lt;&gt;0,CUENTAS!I75/CUENTAS!$AB75,"")</f>
        <v>0.01396535409</v>
      </c>
      <c r="AB86" s="459">
        <f>IF(CUENTAS!J75/CUENTAS!$AB75&lt;&gt;0,CUENTAS!J75/CUENTAS!$AB75,"")</f>
        <v>0.1321879273</v>
      </c>
      <c r="AC86" s="459">
        <f>IF(CUENTAS!K75/CUENTAS!$AB75&lt;&gt;0,CUENTAS!K75/CUENTAS!$AB75,"")</f>
        <v>0.0168990248</v>
      </c>
      <c r="AD86" s="459">
        <f>IF(CUENTAS!L75/CUENTAS!$AB75&lt;&gt;0,CUENTAS!L75/CUENTAS!$AB75,"")</f>
        <v>0.00607613825</v>
      </c>
      <c r="AE86" s="459">
        <f>IF(CUENTAS!M75/CUENTAS!$AB75&lt;&gt;0,CUENTAS!M75/CUENTAS!$AB75,"")</f>
        <v>0.04169853146</v>
      </c>
      <c r="AF86" s="459">
        <f>IF(CUENTAS!N75/CUENTAS!$AB75&lt;&gt;0,CUENTAS!N75/CUENTAS!$AB75,"")</f>
        <v>0.0894071072</v>
      </c>
      <c r="AG86" s="459">
        <f>IF(CUENTAS!O75/CUENTAS!$AB75&lt;&gt;0,CUENTAS!O75/CUENTAS!$AB75,"")</f>
        <v>0.03247166392</v>
      </c>
      <c r="AH86" s="459">
        <f>IF(CUENTAS!P75/CUENTAS!$AB75&lt;&gt;0,CUENTAS!P75/CUENTAS!$AB75,"")</f>
        <v>0.04553348348</v>
      </c>
      <c r="AI86" s="459">
        <f>IF(CUENTAS!R75/CUENTAS!$AB75&lt;&gt;0,CUENTAS!R75/CUENTAS!$AB75,"")</f>
        <v>0.04713577391</v>
      </c>
      <c r="AJ86" s="459">
        <f>IF(CUENTAS!B75/CUENTAS!$AB75&lt;&gt;0,CUENTAS!B75/CUENTAS!$AB75,"")</f>
        <v>0.01427169661</v>
      </c>
      <c r="AK86" s="459">
        <f>IF(CUENTAS!S75/CUENTAS!$AB75&lt;&gt;0,CUENTAS!S75/CUENTAS!$AB75,"")</f>
        <v>0.02693688301</v>
      </c>
      <c r="AL86" s="459">
        <f>IF(CUENTAS!T75/CUENTAS!$AB75&lt;&gt;0,CUENTAS!T75/CUENTAS!$AB75,"")</f>
        <v>0.09242959167</v>
      </c>
      <c r="AM86" s="459">
        <f>IF(CUENTAS!U75/CUENTAS!$AB75&lt;&gt;0,CUENTAS!U75/CUENTAS!$AB75,"")</f>
        <v>0.05968923599</v>
      </c>
      <c r="AN86" s="459">
        <f>IF(CUENTAS!V75/CUENTAS!$AB75&lt;&gt;0,CUENTAS!V75/CUENTAS!$AB75,"")</f>
        <v>0.130567711</v>
      </c>
      <c r="AO86" s="459">
        <f>IF(CUENTAS!W75/CUENTAS!$AB75&lt;&gt;0,CUENTAS!W75/CUENTAS!$AB75,"")</f>
        <v>0.01661737438</v>
      </c>
      <c r="AP86" s="459">
        <f>IF(CUENTAS!X75/CUENTAS!$AB75&lt;&gt;0,CUENTAS!X75/CUENTAS!$AB75,"")</f>
        <v>0.04664495077</v>
      </c>
      <c r="AQ86" s="459">
        <f>IF(CUENTAS!Y75/CUENTAS!$AB75&lt;&gt;0,CUENTAS!Y75/CUENTAS!$AB75,"")</f>
        <v>0.01245952668</v>
      </c>
      <c r="AR86" s="459">
        <f>IF(CUENTAS!AA75/CUENTAS!$AB75&lt;&gt;0,CUENTAS!AA75/CUENTAS!$AB75,"")</f>
        <v>0.2125131982</v>
      </c>
    </row>
    <row r="87">
      <c r="A87" s="474"/>
      <c r="B87" s="200"/>
      <c r="C87" s="200"/>
      <c r="F87" s="200"/>
      <c r="G87" s="200"/>
      <c r="J87" s="470">
        <v>45573.0</v>
      </c>
      <c r="K87" s="466">
        <f>SUMIF(GRAFICO!A:A,J87,GRAFICO!B:B)</f>
        <v>13435.82638</v>
      </c>
      <c r="L87" s="467">
        <f t="shared" si="2"/>
        <v>0.2852704175</v>
      </c>
      <c r="M87" s="468">
        <v>45938.0</v>
      </c>
      <c r="N87" s="469">
        <f>IF(SUMIF(GRAFICO!A:A,M87,GRAFICO!B:B)=0,"",SUMIF(GRAFICO!A:A,M87,GRAFICO!B:B))</f>
        <v>19266.29491</v>
      </c>
      <c r="O87" s="467">
        <f t="shared" si="3"/>
        <v>0.3252839168</v>
      </c>
      <c r="P87" s="468">
        <v>46303.0</v>
      </c>
      <c r="Q87" s="463" t="str">
        <f>IF(SUMIF(GRAFICO!A:A,P87,GRAFICO!B:B)=0,"",SUMIF(GRAFICO!A:A,P87,GRAFICO!B:B))</f>
        <v/>
      </c>
      <c r="R87" s="463" t="str">
        <f t="shared" si="4"/>
        <v/>
      </c>
      <c r="S87" s="471">
        <f>CUENTAS!A76</f>
        <v>46026</v>
      </c>
      <c r="T87" s="459" t="str">
        <f>IF(CUENTAS!Q76/CUENTAS!$AB76&lt;&gt;0,CUENTAS!Q76/CUENTAS!$AB76,"")</f>
        <v/>
      </c>
      <c r="U87" s="459" t="str">
        <f>IF(CUENTAS!C76/CUENTAS!$AB76&lt;&gt;0,CUENTAS!C76/CUENTAS!$AB76,"")</f>
        <v/>
      </c>
      <c r="V87" s="459" t="str">
        <f>IF(CUENTAS!D76/CUENTAS!$AB76&lt;&gt;0,CUENTAS!D76/CUENTAS!$AB76,"")</f>
        <v/>
      </c>
      <c r="W87" s="459" t="str">
        <f>IF(CUENTAS!E76/CUENTAS!$AB76&lt;&gt;0,CUENTAS!E76/CUENTAS!$AB76,"")</f>
        <v/>
      </c>
      <c r="X87" s="459" t="str">
        <f>IF(CUENTAS!F76/CUENTAS!$AB76&lt;&gt;0,CUENTAS!F76/CUENTAS!$AB76,"")</f>
        <v/>
      </c>
      <c r="Y87" s="459">
        <f>IF(CUENTAS!G76/CUENTAS!$AB76&lt;&gt;0,CUENTAS!G76/CUENTAS!$AB76,"")</f>
        <v>0.103215638</v>
      </c>
      <c r="Z87" s="459">
        <f>IF(CUENTAS!H76/CUENTAS!$AB76&lt;&gt;0,CUENTAS!H76/CUENTAS!$AB76,"")</f>
        <v>0.02926602899</v>
      </c>
      <c r="AA87" s="459">
        <f>IF(CUENTAS!I76/CUENTAS!$AB76&lt;&gt;0,CUENTAS!I76/CUENTAS!$AB76,"")</f>
        <v>0.01358747305</v>
      </c>
      <c r="AB87" s="459">
        <f>IF(CUENTAS!J76/CUENTAS!$AB76&lt;&gt;0,CUENTAS!J76/CUENTAS!$AB76,"")</f>
        <v>0.1305785381</v>
      </c>
      <c r="AC87" s="459">
        <f>IF(CUENTAS!K76/CUENTAS!$AB76&lt;&gt;0,CUENTAS!K76/CUENTAS!$AB76,"")</f>
        <v>0.01699803837</v>
      </c>
      <c r="AD87" s="459">
        <f>IF(CUENTAS!L76/CUENTAS!$AB76&lt;&gt;0,CUENTAS!L76/CUENTAS!$AB76,"")</f>
        <v>0.006084533745</v>
      </c>
      <c r="AE87" s="459">
        <f>IF(CUENTAS!M76/CUENTAS!$AB76&lt;&gt;0,CUENTAS!M76/CUENTAS!$AB76,"")</f>
        <v>0.04098994237</v>
      </c>
      <c r="AF87" s="459">
        <f>IF(CUENTAS!N76/CUENTAS!$AB76&lt;&gt;0,CUENTAS!N76/CUENTAS!$AB76,"")</f>
        <v>0.0882242174</v>
      </c>
      <c r="AG87" s="459">
        <f>IF(CUENTAS!O76/CUENTAS!$AB76&lt;&gt;0,CUENTAS!O76/CUENTAS!$AB76,"")</f>
        <v>0.03291096604</v>
      </c>
      <c r="AH87" s="459">
        <f>IF(CUENTAS!P76/CUENTAS!$AB76&lt;&gt;0,CUENTAS!P76/CUENTAS!$AB76,"")</f>
        <v>0.04375446352</v>
      </c>
      <c r="AI87" s="459">
        <f>IF(CUENTAS!R76/CUENTAS!$AB76&lt;&gt;0,CUENTAS!R76/CUENTAS!$AB76,"")</f>
        <v>0.0478852273</v>
      </c>
      <c r="AJ87" s="459">
        <f>IF(CUENTAS!B76/CUENTAS!$AB76&lt;&gt;0,CUENTAS!B76/CUENTAS!$AB76,"")</f>
        <v>0.01445942418</v>
      </c>
      <c r="AK87" s="459">
        <f>IF(CUENTAS!S76/CUENTAS!$AB76&lt;&gt;0,CUENTAS!S76/CUENTAS!$AB76,"")</f>
        <v>0.02724639239</v>
      </c>
      <c r="AL87" s="459">
        <f>IF(CUENTAS!T76/CUENTAS!$AB76&lt;&gt;0,CUENTAS!T76/CUENTAS!$AB76,"")</f>
        <v>0.09357576876</v>
      </c>
      <c r="AM87" s="459">
        <f>IF(CUENTAS!U76/CUENTAS!$AB76&lt;&gt;0,CUENTAS!U76/CUENTAS!$AB76,"")</f>
        <v>0.06039691404</v>
      </c>
      <c r="AN87" s="459">
        <f>IF(CUENTAS!V76/CUENTAS!$AB76&lt;&gt;0,CUENTAS!V76/CUENTAS!$AB76,"")</f>
        <v>0.1322587256</v>
      </c>
      <c r="AO87" s="459">
        <f>IF(CUENTAS!W76/CUENTAS!$AB76&lt;&gt;0,CUENTAS!W76/CUENTAS!$AB76,"")</f>
        <v>0.01683595662</v>
      </c>
      <c r="AP87" s="459">
        <f>IF(CUENTAS!X76/CUENTAS!$AB76&lt;&gt;0,CUENTAS!X76/CUENTAS!$AB76,"")</f>
        <v>0.05208933301</v>
      </c>
      <c r="AQ87" s="459">
        <f>IF(CUENTAS!Y76/CUENTAS!$AB76&lt;&gt;0,CUENTAS!Y76/CUENTAS!$AB76,"")</f>
        <v>0.0125727066</v>
      </c>
      <c r="AR87" s="459">
        <f>IF(CUENTAS!AA76/CUENTAS!$AB76&lt;&gt;0,CUENTAS!AA76/CUENTAS!$AB76,"")</f>
        <v>0.2104004527</v>
      </c>
    </row>
    <row r="88">
      <c r="A88" s="474"/>
      <c r="B88" s="200"/>
      <c r="C88" s="200"/>
      <c r="F88" s="200"/>
      <c r="G88" s="200"/>
      <c r="J88" s="470">
        <v>45572.0</v>
      </c>
      <c r="K88" s="466">
        <f>SUMIF(GRAFICO!A:A,J88,GRAFICO!B:B)</f>
        <v>13452.69553</v>
      </c>
      <c r="L88" s="467">
        <f t="shared" si="2"/>
        <v>0.286525165</v>
      </c>
      <c r="M88" s="468">
        <v>45937.0</v>
      </c>
      <c r="N88" s="469">
        <f>IF(SUMIF(GRAFICO!A:A,M88,GRAFICO!B:B)=0,"",SUMIF(GRAFICO!A:A,M88,GRAFICO!B:B))</f>
        <v>19259.00785</v>
      </c>
      <c r="O88" s="467">
        <f t="shared" si="3"/>
        <v>0.3249056168</v>
      </c>
      <c r="P88" s="465">
        <v>46302.0</v>
      </c>
      <c r="Q88" s="463" t="str">
        <f>IF(SUMIF(GRAFICO!A:A,P88,GRAFICO!B:B)=0,"",SUMIF(GRAFICO!A:A,P88,GRAFICO!B:B))</f>
        <v/>
      </c>
      <c r="R88" s="463" t="str">
        <f t="shared" si="4"/>
        <v/>
      </c>
      <c r="S88" s="471">
        <f>CUENTAS!A77</f>
        <v>46025</v>
      </c>
      <c r="T88" s="459" t="str">
        <f>IF(CUENTAS!Q77/CUENTAS!$AB77&lt;&gt;0,CUENTAS!Q77/CUENTAS!$AB77,"")</f>
        <v/>
      </c>
      <c r="U88" s="459" t="str">
        <f>IF(CUENTAS!C77/CUENTAS!$AB77&lt;&gt;0,CUENTAS!C77/CUENTAS!$AB77,"")</f>
        <v/>
      </c>
      <c r="V88" s="459" t="str">
        <f>IF(CUENTAS!D77/CUENTAS!$AB77&lt;&gt;0,CUENTAS!D77/CUENTAS!$AB77,"")</f>
        <v/>
      </c>
      <c r="W88" s="459" t="str">
        <f>IF(CUENTAS!E77/CUENTAS!$AB77&lt;&gt;0,CUENTAS!E77/CUENTAS!$AB77,"")</f>
        <v/>
      </c>
      <c r="X88" s="459" t="str">
        <f>IF(CUENTAS!F77/CUENTAS!$AB77&lt;&gt;0,CUENTAS!F77/CUENTAS!$AB77,"")</f>
        <v/>
      </c>
      <c r="Y88" s="459">
        <f>IF(CUENTAS!G77/CUENTAS!$AB77&lt;&gt;0,CUENTAS!G77/CUENTAS!$AB77,"")</f>
        <v>0.1032253883</v>
      </c>
      <c r="Z88" s="459">
        <f>IF(CUENTAS!H77/CUENTAS!$AB77&lt;&gt;0,CUENTAS!H77/CUENTAS!$AB77,"")</f>
        <v>0.0292687936</v>
      </c>
      <c r="AA88" s="459">
        <f>IF(CUENTAS!I77/CUENTAS!$AB77&lt;&gt;0,CUENTAS!I77/CUENTAS!$AB77,"")</f>
        <v>0.01358875659</v>
      </c>
      <c r="AB88" s="459">
        <f>IF(CUENTAS!J77/CUENTAS!$AB77&lt;&gt;0,CUENTAS!J77/CUENTAS!$AB77,"")</f>
        <v>0.1305908732</v>
      </c>
      <c r="AC88" s="459">
        <f>IF(CUENTAS!K77/CUENTAS!$AB77&lt;&gt;0,CUENTAS!K77/CUENTAS!$AB77,"")</f>
        <v>0.01699964408</v>
      </c>
      <c r="AD88" s="459">
        <f>IF(CUENTAS!L77/CUENTAS!$AB77&lt;&gt;0,CUENTAS!L77/CUENTAS!$AB77,"")</f>
        <v>0.006085108518</v>
      </c>
      <c r="AE88" s="459">
        <f>IF(CUENTAS!M77/CUENTAS!$AB77&lt;&gt;0,CUENTAS!M77/CUENTAS!$AB77,"")</f>
        <v>0.04099381448</v>
      </c>
      <c r="AF88" s="459">
        <f>IF(CUENTAS!N77/CUENTAS!$AB77&lt;&gt;0,CUENTAS!N77/CUENTAS!$AB77,"")</f>
        <v>0.08823255148</v>
      </c>
      <c r="AG88" s="459">
        <f>IF(CUENTAS!O77/CUENTAS!$AB77&lt;&gt;0,CUENTAS!O77/CUENTAS!$AB77,"")</f>
        <v>0.03291407497</v>
      </c>
      <c r="AH88" s="459">
        <f>IF(CUENTAS!P77/CUENTAS!$AB77&lt;&gt;0,CUENTAS!P77/CUENTAS!$AB77,"")</f>
        <v>0.04375859677</v>
      </c>
      <c r="AI88" s="459">
        <f>IF(CUENTAS!R77/CUENTAS!$AB77&lt;&gt;0,CUENTAS!R77/CUENTAS!$AB77,"")</f>
        <v>0.04801920011</v>
      </c>
      <c r="AJ88" s="459">
        <f>IF(CUENTAS!B77/CUENTAS!$AB77&lt;&gt;0,CUENTAS!B77/CUENTAS!$AB77,"")</f>
        <v>0.01446079008</v>
      </c>
      <c r="AK88" s="459">
        <f>IF(CUENTAS!S77/CUENTAS!$AB77&lt;&gt;0,CUENTAS!S77/CUENTAS!$AB77,"")</f>
        <v>0.027204148</v>
      </c>
      <c r="AL88" s="459">
        <f>IF(CUENTAS!T77/CUENTAS!$AB77&lt;&gt;0,CUENTAS!T77/CUENTAS!$AB77,"")</f>
        <v>0.09351497513</v>
      </c>
      <c r="AM88" s="459">
        <f>IF(CUENTAS!U77/CUENTAS!$AB77&lt;&gt;0,CUENTAS!U77/CUENTAS!$AB77,"")</f>
        <v>0.06032514767</v>
      </c>
      <c r="AN88" s="459">
        <f>IF(CUENTAS!V77/CUENTAS!$AB77&lt;&gt;0,CUENTAS!V77/CUENTAS!$AB77,"")</f>
        <v>0.1322447704</v>
      </c>
      <c r="AO88" s="459">
        <f>IF(CUENTAS!W77/CUENTAS!$AB77&lt;&gt;0,CUENTAS!W77/CUENTAS!$AB77,"")</f>
        <v>0.01683754702</v>
      </c>
      <c r="AP88" s="459">
        <f>IF(CUENTAS!X77/CUENTAS!$AB77&lt;&gt;0,CUENTAS!X77/CUENTAS!$AB77,"")</f>
        <v>0.05201695909</v>
      </c>
      <c r="AQ88" s="459">
        <f>IF(CUENTAS!Y77/CUENTAS!$AB77&lt;&gt;0,CUENTAS!Y77/CUENTAS!$AB77,"")</f>
        <v>0.01252317883</v>
      </c>
      <c r="AR88" s="459">
        <f>IF(CUENTAS!AA77/CUENTAS!$AB77&lt;&gt;0,CUENTAS!AA77/CUENTAS!$AB77,"")</f>
        <v>0.2104203281</v>
      </c>
    </row>
    <row r="89">
      <c r="A89" s="474"/>
      <c r="B89" s="200"/>
      <c r="C89" s="200"/>
      <c r="F89" s="200"/>
      <c r="G89" s="200"/>
      <c r="J89" s="465">
        <v>45571.0</v>
      </c>
      <c r="K89" s="466">
        <f>SUMIF(GRAFICO!A:A,J89,GRAFICO!B:B)</f>
        <v>13446.90767</v>
      </c>
      <c r="L89" s="467">
        <f t="shared" si="2"/>
        <v>0.2860948344</v>
      </c>
      <c r="M89" s="468">
        <v>45936.0</v>
      </c>
      <c r="N89" s="469">
        <f>IF(SUMIF(GRAFICO!A:A,M89,GRAFICO!B:B)=0,"",SUMIF(GRAFICO!A:A,M89,GRAFICO!B:B))</f>
        <v>19206.29279</v>
      </c>
      <c r="O89" s="467">
        <f t="shared" si="3"/>
        <v>0.3221647001</v>
      </c>
      <c r="P89" s="468">
        <v>46301.0</v>
      </c>
      <c r="Q89" s="463" t="str">
        <f>IF(SUMIF(GRAFICO!A:A,P89,GRAFICO!B:B)=0,"",SUMIF(GRAFICO!A:A,P89,GRAFICO!B:B))</f>
        <v/>
      </c>
      <c r="R89" s="463" t="str">
        <f t="shared" si="4"/>
        <v/>
      </c>
      <c r="S89" s="471">
        <f>CUENTAS!A78</f>
        <v>46024</v>
      </c>
      <c r="T89" s="459" t="str">
        <f>IF(CUENTAS!Q78/CUENTAS!$AB78&lt;&gt;0,CUENTAS!Q78/CUENTAS!$AB78,"")</f>
        <v/>
      </c>
      <c r="U89" s="459" t="str">
        <f>IF(CUENTAS!C78/CUENTAS!$AB78&lt;&gt;0,CUENTAS!C78/CUENTAS!$AB78,"")</f>
        <v/>
      </c>
      <c r="V89" s="459" t="str">
        <f>IF(CUENTAS!D78/CUENTAS!$AB78&lt;&gt;0,CUENTAS!D78/CUENTAS!$AB78,"")</f>
        <v/>
      </c>
      <c r="W89" s="459" t="str">
        <f>IF(CUENTAS!E78/CUENTAS!$AB78&lt;&gt;0,CUENTAS!E78/CUENTAS!$AB78,"")</f>
        <v/>
      </c>
      <c r="X89" s="459" t="str">
        <f>IF(CUENTAS!F78/CUENTAS!$AB78&lt;&gt;0,CUENTAS!F78/CUENTAS!$AB78,"")</f>
        <v/>
      </c>
      <c r="Y89" s="459">
        <f>IF(CUENTAS!G78/CUENTAS!$AB78&lt;&gt;0,CUENTAS!G78/CUENTAS!$AB78,"")</f>
        <v>0.1032351398</v>
      </c>
      <c r="Z89" s="459">
        <f>IF(CUENTAS!H78/CUENTAS!$AB78&lt;&gt;0,CUENTAS!H78/CUENTAS!$AB78,"")</f>
        <v>0.02927155857</v>
      </c>
      <c r="AA89" s="459">
        <f>IF(CUENTAS!I78/CUENTAS!$AB78&lt;&gt;0,CUENTAS!I78/CUENTAS!$AB78,"")</f>
        <v>0.0135900403</v>
      </c>
      <c r="AB89" s="459">
        <f>IF(CUENTAS!J78/CUENTAS!$AB78&lt;&gt;0,CUENTAS!J78/CUENTAS!$AB78,"")</f>
        <v>0.1306032099</v>
      </c>
      <c r="AC89" s="459">
        <f>IF(CUENTAS!K78/CUENTAS!$AB78&lt;&gt;0,CUENTAS!K78/CUENTAS!$AB78,"")</f>
        <v>0.01700125001</v>
      </c>
      <c r="AD89" s="459">
        <f>IF(CUENTAS!L78/CUENTAS!$AB78&lt;&gt;0,CUENTAS!L78/CUENTAS!$AB78,"")</f>
        <v>0.006085683369</v>
      </c>
      <c r="AE89" s="459">
        <f>IF(CUENTAS!M78/CUENTAS!$AB78&lt;&gt;0,CUENTAS!M78/CUENTAS!$AB78,"")</f>
        <v>0.0409976871</v>
      </c>
      <c r="AF89" s="459">
        <f>IF(CUENTAS!N78/CUENTAS!$AB78&lt;&gt;0,CUENTAS!N78/CUENTAS!$AB78,"")</f>
        <v>0.08824088666</v>
      </c>
      <c r="AG89" s="459">
        <f>IF(CUENTAS!O78/CUENTAS!$AB78&lt;&gt;0,CUENTAS!O78/CUENTAS!$AB78,"")</f>
        <v>0.0329171843</v>
      </c>
      <c r="AH89" s="459">
        <f>IF(CUENTAS!P78/CUENTAS!$AB78&lt;&gt;0,CUENTAS!P78/CUENTAS!$AB78,"")</f>
        <v>0.04376273058</v>
      </c>
      <c r="AI89" s="459">
        <f>IF(CUENTAS!R78/CUENTAS!$AB78&lt;&gt;0,CUENTAS!R78/CUENTAS!$AB78,"")</f>
        <v>0.04815319798</v>
      </c>
      <c r="AJ89" s="459">
        <f>IF(CUENTAS!B78/CUENTAS!$AB78&lt;&gt;0,CUENTAS!B78/CUENTAS!$AB78,"")</f>
        <v>0.01446215617</v>
      </c>
      <c r="AK89" s="459">
        <f>IF(CUENTAS!S78/CUENTAS!$AB78&lt;&gt;0,CUENTAS!S78/CUENTAS!$AB78,"")</f>
        <v>0.02716189549</v>
      </c>
      <c r="AL89" s="459">
        <f>IF(CUENTAS!T78/CUENTAS!$AB78&lt;&gt;0,CUENTAS!T78/CUENTAS!$AB78,"")</f>
        <v>0.09345416951</v>
      </c>
      <c r="AM89" s="459">
        <f>IF(CUENTAS!U78/CUENTAS!$AB78&lt;&gt;0,CUENTAS!U78/CUENTAS!$AB78,"")</f>
        <v>0.06025336743</v>
      </c>
      <c r="AN89" s="459">
        <f>IF(CUENTAS!V78/CUENTAS!$AB78&lt;&gt;0,CUENTAS!V78/CUENTAS!$AB78,"")</f>
        <v>0.1322308172</v>
      </c>
      <c r="AO89" s="459">
        <f>IF(CUENTAS!W78/CUENTAS!$AB78&lt;&gt;0,CUENTAS!W78/CUENTAS!$AB78,"")</f>
        <v>0.01683913764</v>
      </c>
      <c r="AP89" s="459">
        <f>IF(CUENTAS!X78/CUENTAS!$AB78&lt;&gt;0,CUENTAS!X78/CUENTAS!$AB78,"")</f>
        <v>0.05194457122</v>
      </c>
      <c r="AQ89" s="459">
        <f>IF(CUENTAS!Y78/CUENTAS!$AB78&lt;&gt;0,CUENTAS!Y78/CUENTAS!$AB78,"")</f>
        <v>0.01247364163</v>
      </c>
      <c r="AR89" s="459">
        <f>IF(CUENTAS!AA78/CUENTAS!$AB78&lt;&gt;0,CUENTAS!AA78/CUENTAS!$AB78,"")</f>
        <v>0.2104402062</v>
      </c>
    </row>
    <row r="90">
      <c r="A90" s="474"/>
      <c r="B90" s="200"/>
      <c r="C90" s="200"/>
      <c r="F90" s="200"/>
      <c r="G90" s="200"/>
      <c r="J90" s="465">
        <v>45570.0</v>
      </c>
      <c r="K90" s="466">
        <f>SUMIF(GRAFICO!A:A,J90,GRAFICO!B:B)</f>
        <v>13434.3675</v>
      </c>
      <c r="L90" s="467">
        <f t="shared" si="2"/>
        <v>0.2851618297</v>
      </c>
      <c r="M90" s="468">
        <v>45935.0</v>
      </c>
      <c r="N90" s="469">
        <f>IF(SUMIF(GRAFICO!A:A,M90,GRAFICO!B:B)=0,"",SUMIF(GRAFICO!A:A,M90,GRAFICO!B:B))</f>
        <v>19223.66284</v>
      </c>
      <c r="O90" s="467">
        <f t="shared" si="3"/>
        <v>0.323068685</v>
      </c>
      <c r="P90" s="465">
        <v>46300.0</v>
      </c>
      <c r="Q90" s="463" t="str">
        <f>IF(SUMIF(GRAFICO!A:A,P90,GRAFICO!B:B)=0,"",SUMIF(GRAFICO!A:A,P90,GRAFICO!B:B))</f>
        <v/>
      </c>
      <c r="R90" s="463" t="str">
        <f t="shared" si="4"/>
        <v/>
      </c>
      <c r="S90" s="471">
        <f>CUENTAS!A79</f>
        <v>46023</v>
      </c>
      <c r="T90" s="459" t="str">
        <f>IF(CUENTAS!Q79/CUENTAS!$AB79&lt;&gt;0,CUENTAS!Q79/CUENTAS!$AB79,"")</f>
        <v/>
      </c>
      <c r="U90" s="459" t="str">
        <f>IF(CUENTAS!C79/CUENTAS!$AB79&lt;&gt;0,CUENTAS!C79/CUENTAS!$AB79,"")</f>
        <v/>
      </c>
      <c r="V90" s="459" t="str">
        <f>IF(CUENTAS!D79/CUENTAS!$AB79&lt;&gt;0,CUENTAS!D79/CUENTAS!$AB79,"")</f>
        <v/>
      </c>
      <c r="W90" s="459" t="str">
        <f>IF(CUENTAS!E79/CUENTAS!$AB79&lt;&gt;0,CUENTAS!E79/CUENTAS!$AB79,"")</f>
        <v/>
      </c>
      <c r="X90" s="459" t="str">
        <f>IF(CUENTAS!F79/CUENTAS!$AB79&lt;&gt;0,CUENTAS!F79/CUENTAS!$AB79,"")</f>
        <v/>
      </c>
      <c r="Y90" s="459">
        <f>IF(CUENTAS!G79/CUENTAS!$AB79&lt;&gt;0,CUENTAS!G79/CUENTAS!$AB79,"")</f>
        <v>0.1031200086</v>
      </c>
      <c r="Z90" s="459">
        <f>IF(CUENTAS!H79/CUENTAS!$AB79&lt;&gt;0,CUENTAS!H79/CUENTAS!$AB79,"")</f>
        <v>0.0289429075</v>
      </c>
      <c r="AA90" s="459" t="str">
        <f>IF(CUENTAS!I79/CUENTAS!$AB79&lt;&gt;0,CUENTAS!I79/CUENTAS!$AB79,"")</f>
        <v/>
      </c>
      <c r="AB90" s="459">
        <f>IF(CUENTAS!J79/CUENTAS!$AB79&lt;&gt;0,CUENTAS!J79/CUENTAS!$AB79,"")</f>
        <v>0.1315725788</v>
      </c>
      <c r="AC90" s="459">
        <f>IF(CUENTAS!K79/CUENTAS!$AB79&lt;&gt;0,CUENTAS!K79/CUENTAS!$AB79,"")</f>
        <v>0.01701876007</v>
      </c>
      <c r="AD90" s="459">
        <f>IF(CUENTAS!L79/CUENTAS!$AB79&lt;&gt;0,CUENTAS!L79/CUENTAS!$AB79,"")</f>
        <v>0.006116594999</v>
      </c>
      <c r="AE90" s="459">
        <f>IF(CUENTAS!M79/CUENTAS!$AB79&lt;&gt;0,CUENTAS!M79/CUENTAS!$AB79,"")</f>
        <v>0.04120593082</v>
      </c>
      <c r="AF90" s="459">
        <f>IF(CUENTAS!N79/CUENTAS!$AB79&lt;&gt;0,CUENTAS!N79/CUENTAS!$AB79,"")</f>
        <v>0.04577501811</v>
      </c>
      <c r="AG90" s="459" t="str">
        <f>IF(CUENTAS!O79/CUENTAS!$AB79&lt;&gt;0,CUENTAS!O79/CUENTAS!$AB79,"")</f>
        <v/>
      </c>
      <c r="AH90" s="459">
        <f>IF(CUENTAS!P79/CUENTAS!$AB79&lt;&gt;0,CUENTAS!P79/CUENTAS!$AB79,"")</f>
        <v>0.04398501907</v>
      </c>
      <c r="AI90" s="459">
        <f>IF(CUENTAS!R79/CUENTAS!$AB79&lt;&gt;0,CUENTAS!R79/CUENTAS!$AB79,"")</f>
        <v>0.04852790658</v>
      </c>
      <c r="AJ90" s="459">
        <f>IF(CUENTAS!B79/CUENTAS!$AB79&lt;&gt;0,CUENTAS!B79/CUENTAS!$AB79,"")</f>
        <v>0.01453561527</v>
      </c>
      <c r="AK90" s="459">
        <f>IF(CUENTAS!S79/CUENTAS!$AB79&lt;&gt;0,CUENTAS!S79/CUENTAS!$AB79,"")</f>
        <v>0.03298433838</v>
      </c>
      <c r="AL90" s="459">
        <f>IF(CUENTAS!T79/CUENTAS!$AB79&lt;&gt;0,CUENTAS!T79/CUENTAS!$AB79,"")</f>
        <v>0.09385886723</v>
      </c>
      <c r="AM90" s="459">
        <f>IF(CUENTAS!U79/CUENTAS!$AB79&lt;&gt;0,CUENTAS!U79/CUENTAS!$AB79,"")</f>
        <v>0.06048154588</v>
      </c>
      <c r="AN90" s="459">
        <f>IF(CUENTAS!V79/CUENTAS!$AB79&lt;&gt;0,CUENTAS!V79/CUENTAS!$AB79,"")</f>
        <v>0.1328758955</v>
      </c>
      <c r="AO90" s="459">
        <f>IF(CUENTAS!W79/CUENTAS!$AB79&lt;&gt;0,CUENTAS!W79/CUENTAS!$AB79,"")</f>
        <v>0.01692467038</v>
      </c>
      <c r="AP90" s="459">
        <f>IF(CUENTAS!X79/CUENTAS!$AB79&lt;&gt;0,CUENTAS!X79/CUENTAS!$AB79,"")</f>
        <v>0.05213072409</v>
      </c>
      <c r="AQ90" s="459">
        <f>IF(CUENTAS!Y79/CUENTAS!$AB79&lt;&gt;0,CUENTAS!Y79/CUENTAS!$AB79,"")</f>
        <v>0.01248602239</v>
      </c>
      <c r="AR90" s="459">
        <f>IF(CUENTAS!AA79/CUENTAS!$AB79&lt;&gt;0,CUENTAS!AA79/CUENTAS!$AB79,"")</f>
        <v>0.2932447563</v>
      </c>
    </row>
    <row r="91">
      <c r="A91" s="474"/>
      <c r="B91" s="200"/>
      <c r="C91" s="200"/>
      <c r="F91" s="200"/>
      <c r="G91" s="200"/>
      <c r="J91" s="465">
        <v>45569.0</v>
      </c>
      <c r="K91" s="466">
        <f>SUMIF(GRAFICO!A:A,J91,GRAFICO!B:B)</f>
        <v>13421.83098</v>
      </c>
      <c r="L91" s="467">
        <f t="shared" si="2"/>
        <v>0.2842282262</v>
      </c>
      <c r="M91" s="468">
        <v>45934.0</v>
      </c>
      <c r="N91" s="469">
        <f>IF(SUMIF(GRAFICO!A:A,M91,GRAFICO!B:B)=0,"",SUMIF(GRAFICO!A:A,M91,GRAFICO!B:B))</f>
        <v>19215.75431</v>
      </c>
      <c r="O91" s="467">
        <f t="shared" si="3"/>
        <v>0.3226572046</v>
      </c>
      <c r="P91" s="468">
        <v>46299.0</v>
      </c>
      <c r="Q91" s="463" t="str">
        <f>IF(SUMIF(GRAFICO!A:A,P91,GRAFICO!B:B)=0,"",SUMIF(GRAFICO!A:A,P91,GRAFICO!B:B))</f>
        <v/>
      </c>
      <c r="R91" s="463" t="str">
        <f t="shared" si="4"/>
        <v/>
      </c>
      <c r="S91" s="471">
        <f>CUENTAS!A80</f>
        <v>46022</v>
      </c>
      <c r="T91" s="459" t="str">
        <f>IF(CUENTAS!Q80/CUENTAS!$AB80&lt;&gt;0,CUENTAS!Q80/CUENTAS!$AB80,"")</f>
        <v/>
      </c>
      <c r="U91" s="459" t="str">
        <f>IF(CUENTAS!C80/CUENTAS!$AB80&lt;&gt;0,CUENTAS!C80/CUENTAS!$AB80,"")</f>
        <v/>
      </c>
      <c r="V91" s="459" t="str">
        <f>IF(CUENTAS!D80/CUENTAS!$AB80&lt;&gt;0,CUENTAS!D80/CUENTAS!$AB80,"")</f>
        <v/>
      </c>
      <c r="W91" s="459" t="str">
        <f>IF(CUENTAS!E80/CUENTAS!$AB80&lt;&gt;0,CUENTAS!E80/CUENTAS!$AB80,"")</f>
        <v/>
      </c>
      <c r="X91" s="459" t="str">
        <f>IF(CUENTAS!F80/CUENTAS!$AB80&lt;&gt;0,CUENTAS!F80/CUENTAS!$AB80,"")</f>
        <v/>
      </c>
      <c r="Y91" s="459">
        <f>IF(CUENTAS!G80/CUENTAS!$AB80&lt;&gt;0,CUENTAS!G80/CUENTAS!$AB80,"")</f>
        <v>0.1180294542</v>
      </c>
      <c r="Z91" s="459">
        <f>IF(CUENTAS!H80/CUENTAS!$AB80&lt;&gt;0,CUENTAS!H80/CUENTAS!$AB80,"")</f>
        <v>0.03312757265</v>
      </c>
      <c r="AA91" s="459" t="str">
        <f>IF(CUENTAS!I80/CUENTAS!$AB80&lt;&gt;0,CUENTAS!I80/CUENTAS!$AB80,"")</f>
        <v/>
      </c>
      <c r="AB91" s="459">
        <f>IF(CUENTAS!J80/CUENTAS!$AB80&lt;&gt;0,CUENTAS!J80/CUENTAS!$AB80,"")</f>
        <v>0.1505957949</v>
      </c>
      <c r="AC91" s="459">
        <f>IF(CUENTAS!K80/CUENTAS!$AB80&lt;&gt;0,CUENTAS!K80/CUENTAS!$AB80,"")</f>
        <v>0.01947939096</v>
      </c>
      <c r="AD91" s="459">
        <f>IF(CUENTAS!L80/CUENTAS!$AB80&lt;&gt;0,CUENTAS!L80/CUENTAS!$AB80,"")</f>
        <v>0.007000953348</v>
      </c>
      <c r="AE91" s="459">
        <f>IF(CUENTAS!M80/CUENTAS!$AB80&lt;&gt;0,CUENTAS!M80/CUENTAS!$AB80,"")</f>
        <v>0.04716362606</v>
      </c>
      <c r="AF91" s="459">
        <f>IF(CUENTAS!N80/CUENTAS!$AB80&lt;&gt;0,CUENTAS!N80/CUENTAS!$AB80,"")</f>
        <v>0.05239332771</v>
      </c>
      <c r="AG91" s="459" t="str">
        <f>IF(CUENTAS!O80/CUENTAS!$AB80&lt;&gt;0,CUENTAS!O80/CUENTAS!$AB80,"")</f>
        <v/>
      </c>
      <c r="AH91" s="459">
        <f>IF(CUENTAS!P80/CUENTAS!$AB80&lt;&gt;0,CUENTAS!P80/CUENTAS!$AB80,"")</f>
        <v>0.05034452445</v>
      </c>
      <c r="AI91" s="459">
        <f>IF(CUENTAS!R80/CUENTAS!$AB80&lt;&gt;0,CUENTAS!R80/CUENTAS!$AB80,"")</f>
        <v>0.05569317051</v>
      </c>
      <c r="AJ91" s="459">
        <f>IF(CUENTAS!B80/CUENTAS!$AB80&lt;&gt;0,CUENTAS!B80/CUENTAS!$AB80,"")</f>
        <v>0.01663722454</v>
      </c>
      <c r="AK91" s="459">
        <f>IF(CUENTAS!S80/CUENTAS!$AB80&lt;&gt;0,CUENTAS!S80/CUENTAS!$AB80,"")</f>
        <v>0.03769300831</v>
      </c>
      <c r="AL91" s="459">
        <f>IF(CUENTAS!T80/CUENTAS!$AB80&lt;&gt;0,CUENTAS!T80/CUENTAS!$AB80,"")</f>
        <v>0.1073491917</v>
      </c>
      <c r="AM91" s="459">
        <f>IF(CUENTAS!U80/CUENTAS!$AB80&lt;&gt;0,CUENTAS!U80/CUENTAS!$AB80,"")</f>
        <v>0.06913704417</v>
      </c>
      <c r="AN91" s="459">
        <f>IF(CUENTAS!V80/CUENTAS!$AB80&lt;&gt;0,CUENTAS!V80/CUENTAS!$AB80,"")</f>
        <v>0.1476802288</v>
      </c>
      <c r="AO91" s="459">
        <f>IF(CUENTAS!W80/CUENTAS!$AB80&lt;&gt;0,CUENTAS!W80/CUENTAS!$AB80,"")</f>
        <v>0.01937169745</v>
      </c>
      <c r="AP91" s="459">
        <f>IF(CUENTAS!X80/CUENTAS!$AB80&lt;&gt;0,CUENTAS!X80/CUENTAS!$AB80,"")</f>
        <v>0.05957903573</v>
      </c>
      <c r="AQ91" s="459">
        <f>IF(CUENTAS!Y80/CUENTAS!$AB80&lt;&gt;0,CUENTAS!Y80/CUENTAS!$AB80,"")</f>
        <v>0.01423294604</v>
      </c>
      <c r="AR91" s="459">
        <f>IF(CUENTAS!AA80/CUENTAS!$AB80&lt;&gt;0,CUENTAS!AA80/CUENTAS!$AB80,"")</f>
        <v>0.1955539806</v>
      </c>
    </row>
    <row r="92">
      <c r="A92" s="474"/>
      <c r="B92" s="200"/>
      <c r="C92" s="200"/>
      <c r="F92" s="200"/>
      <c r="G92" s="200"/>
      <c r="J92" s="470">
        <v>45568.0</v>
      </c>
      <c r="K92" s="466">
        <f>SUMIF(GRAFICO!A:A,J92,GRAFICO!B:B)</f>
        <v>13386.49669</v>
      </c>
      <c r="L92" s="467">
        <f t="shared" si="2"/>
        <v>0.2815921565</v>
      </c>
      <c r="M92" s="468">
        <v>45933.0</v>
      </c>
      <c r="N92" s="469">
        <f>IF(SUMIF(GRAFICO!A:A,M92,GRAFICO!B:B)=0,"",SUMIF(GRAFICO!A:A,M92,GRAFICO!B:B))</f>
        <v>19208.04355</v>
      </c>
      <c r="O92" s="467">
        <f t="shared" si="3"/>
        <v>0.3222558514</v>
      </c>
      <c r="P92" s="465">
        <v>46298.0</v>
      </c>
      <c r="Q92" s="463" t="str">
        <f>IF(SUMIF(GRAFICO!A:A,P92,GRAFICO!B:B)=0,"",SUMIF(GRAFICO!A:A,P92,GRAFICO!B:B))</f>
        <v/>
      </c>
      <c r="R92" s="463" t="str">
        <f t="shared" si="4"/>
        <v/>
      </c>
      <c r="S92" s="471">
        <f>CUENTAS!A81</f>
        <v>46021</v>
      </c>
      <c r="T92" s="459" t="str">
        <f>IF(CUENTAS!Q81/CUENTAS!$AB81&lt;&gt;0,CUENTAS!Q81/CUENTAS!$AB81,"")</f>
        <v/>
      </c>
      <c r="U92" s="459" t="str">
        <f>IF(CUENTAS!C81/CUENTAS!$AB81&lt;&gt;0,CUENTAS!C81/CUENTAS!$AB81,"")</f>
        <v/>
      </c>
      <c r="V92" s="459" t="str">
        <f>IF(CUENTAS!D81/CUENTAS!$AB81&lt;&gt;0,CUENTAS!D81/CUENTAS!$AB81,"")</f>
        <v/>
      </c>
      <c r="W92" s="459" t="str">
        <f>IF(CUENTAS!E81/CUENTAS!$AB81&lt;&gt;0,CUENTAS!E81/CUENTAS!$AB81,"")</f>
        <v/>
      </c>
      <c r="X92" s="459" t="str">
        <f>IF(CUENTAS!F81/CUENTAS!$AB81&lt;&gt;0,CUENTAS!F81/CUENTAS!$AB81,"")</f>
        <v/>
      </c>
      <c r="Y92" s="459">
        <f>IF(CUENTAS!G81/CUENTAS!$AB81&lt;&gt;0,CUENTAS!G81/CUENTAS!$AB81,"")</f>
        <v>0.1180432108</v>
      </c>
      <c r="Z92" s="459">
        <f>IF(CUENTAS!H81/CUENTAS!$AB81&lt;&gt;0,CUENTAS!H81/CUENTAS!$AB81,"")</f>
        <v>0.03313143373</v>
      </c>
      <c r="AA92" s="459" t="str">
        <f>IF(CUENTAS!I81/CUENTAS!$AB81&lt;&gt;0,CUENTAS!I81/CUENTAS!$AB81,"")</f>
        <v/>
      </c>
      <c r="AB92" s="459" t="str">
        <f>IF(CUENTAS!J81/CUENTAS!$AB81&lt;&gt;0,CUENTAS!J81/CUENTAS!$AB81,"")</f>
        <v/>
      </c>
      <c r="AC92" s="459">
        <f>IF(CUENTAS!K81/CUENTAS!$AB81&lt;&gt;0,CUENTAS!K81/CUENTAS!$AB81,"")</f>
        <v>0.01948166132</v>
      </c>
      <c r="AD92" s="459">
        <f>IF(CUENTAS!L81/CUENTAS!$AB81&lt;&gt;0,CUENTAS!L81/CUENTAS!$AB81,"")</f>
        <v>0.007001769322</v>
      </c>
      <c r="AE92" s="459">
        <f>IF(CUENTAS!M81/CUENTAS!$AB81&lt;&gt;0,CUENTAS!M81/CUENTAS!$AB81,"")</f>
        <v>0.04716912307</v>
      </c>
      <c r="AF92" s="459">
        <f>IF(CUENTAS!N81/CUENTAS!$AB81&lt;&gt;0,CUENTAS!N81/CUENTAS!$AB81,"")</f>
        <v>0.05239943425</v>
      </c>
      <c r="AG92" s="459" t="str">
        <f>IF(CUENTAS!O81/CUENTAS!$AB81&lt;&gt;0,CUENTAS!O81/CUENTAS!$AB81,"")</f>
        <v/>
      </c>
      <c r="AH92" s="459">
        <f>IF(CUENTAS!P81/CUENTAS!$AB81&lt;&gt;0,CUENTAS!P81/CUENTAS!$AB81,"")</f>
        <v>0.0503503922</v>
      </c>
      <c r="AI92" s="459">
        <f>IF(CUENTAS!R81/CUENTAS!$AB81&lt;&gt;0,CUENTAS!R81/CUENTAS!$AB81,"")</f>
        <v>0.05584861125</v>
      </c>
      <c r="AJ92" s="459">
        <f>IF(CUENTAS!B81/CUENTAS!$AB81&lt;&gt;0,CUENTAS!B81/CUENTAS!$AB81,"")</f>
        <v>0.01663916364</v>
      </c>
      <c r="AK92" s="459">
        <f>IF(CUENTAS!S81/CUENTAS!$AB81&lt;&gt;0,CUENTAS!S81/CUENTAS!$AB81,"")</f>
        <v>0.03763707528</v>
      </c>
      <c r="AL92" s="459">
        <f>IF(CUENTAS!T81/CUENTAS!$AB81&lt;&gt;0,CUENTAS!T81/CUENTAS!$AB81,"")</f>
        <v>0.1072815807</v>
      </c>
      <c r="AM92" s="459">
        <f>IF(CUENTAS!U81/CUENTAS!$AB81&lt;&gt;0,CUENTAS!U81/CUENTAS!$AB81,"")</f>
        <v>0.06905596014</v>
      </c>
      <c r="AN92" s="459">
        <f>IF(CUENTAS!V81/CUENTAS!$AB81&lt;&gt;0,CUENTAS!V81/CUENTAS!$AB81,"")</f>
        <v>0.1476679077</v>
      </c>
      <c r="AO92" s="459">
        <f>IF(CUENTAS!W81/CUENTAS!$AB81&lt;&gt;0,CUENTAS!W81/CUENTAS!$AB81,"")</f>
        <v>0.01937395526</v>
      </c>
      <c r="AP92" s="459">
        <f>IF(CUENTAS!X81/CUENTAS!$AB81&lt;&gt;0,CUENTAS!X81/CUENTAS!$AB81,"")</f>
        <v>0.05949704161</v>
      </c>
      <c r="AQ92" s="459">
        <f>IF(CUENTAS!Y81/CUENTAS!$AB81&lt;&gt;0,CUENTAS!Y81/CUENTAS!$AB81,"")</f>
        <v>0.01417624968</v>
      </c>
      <c r="AR92" s="459">
        <f>IF(CUENTAS!AA81/CUENTAS!$AB81&lt;&gt;0,CUENTAS!AA81/CUENTAS!$AB81,"")</f>
        <v>0.3461901198</v>
      </c>
    </row>
    <row r="93">
      <c r="A93" s="474"/>
      <c r="B93" s="200"/>
      <c r="C93" s="200"/>
      <c r="F93" s="200"/>
      <c r="G93" s="200"/>
      <c r="J93" s="465">
        <v>45567.0</v>
      </c>
      <c r="K93" s="466">
        <f>SUMIF(GRAFICO!A:A,J93,GRAFICO!B:B)</f>
        <v>13396.7689</v>
      </c>
      <c r="L93" s="467">
        <f t="shared" si="2"/>
        <v>0.2823592186</v>
      </c>
      <c r="M93" s="468">
        <v>45932.0</v>
      </c>
      <c r="N93" s="469">
        <f>IF(SUMIF(GRAFICO!A:A,M93,GRAFICO!B:B)=0,"",SUMIF(GRAFICO!A:A,M93,GRAFICO!B:B))</f>
        <v>19150.62766</v>
      </c>
      <c r="O93" s="467">
        <f t="shared" si="3"/>
        <v>0.3192622159</v>
      </c>
      <c r="P93" s="468">
        <v>46297.0</v>
      </c>
      <c r="Q93" s="463" t="str">
        <f>IF(SUMIF(GRAFICO!A:A,P93,GRAFICO!B:B)=0,"",SUMIF(GRAFICO!A:A,P93,GRAFICO!B:B))</f>
        <v/>
      </c>
      <c r="R93" s="463" t="str">
        <f t="shared" si="4"/>
        <v/>
      </c>
      <c r="S93" s="471">
        <f>CUENTAS!A82</f>
        <v>46020</v>
      </c>
      <c r="T93" s="459">
        <f>IF(CUENTAS!Q82/CUENTAS!$AB82&lt;&gt;0,CUENTAS!Q82/CUENTAS!$AB82,"")</f>
        <v>0.0482178793</v>
      </c>
      <c r="U93" s="459" t="str">
        <f>IF(CUENTAS!C82/CUENTAS!$AB82&lt;&gt;0,CUENTAS!C82/CUENTAS!$AB82,"")</f>
        <v/>
      </c>
      <c r="V93" s="459" t="str">
        <f>IF(CUENTAS!D82/CUENTAS!$AB82&lt;&gt;0,CUENTAS!D82/CUENTAS!$AB82,"")</f>
        <v/>
      </c>
      <c r="W93" s="459" t="str">
        <f>IF(CUENTAS!E82/CUENTAS!$AB82&lt;&gt;0,CUENTAS!E82/CUENTAS!$AB82,"")</f>
        <v/>
      </c>
      <c r="X93" s="459" t="str">
        <f>IF(CUENTAS!F82/CUENTAS!$AB82&lt;&gt;0,CUENTAS!F82/CUENTAS!$AB82,"")</f>
        <v/>
      </c>
      <c r="Y93" s="459">
        <f>IF(CUENTAS!G82/CUENTAS!$AB82&lt;&gt;0,CUENTAS!G82/CUENTAS!$AB82,"")</f>
        <v>0.07934526794</v>
      </c>
      <c r="Z93" s="459">
        <f>IF(CUENTAS!H82/CUENTAS!$AB82&lt;&gt;0,CUENTAS!H82/CUENTAS!$AB82,"")</f>
        <v>0.03202145857</v>
      </c>
      <c r="AA93" s="459">
        <f>IF(CUENTAS!I82/CUENTAS!$AB82&lt;&gt;0,CUENTAS!I82/CUENTAS!$AB82,"")</f>
        <v>0.07125909313</v>
      </c>
      <c r="AB93" s="459">
        <f>IF(CUENTAS!J82/CUENTAS!$AB82&lt;&gt;0,CUENTAS!J82/CUENTAS!$AB82,"")</f>
        <v>0.1719520001</v>
      </c>
      <c r="AC93" s="459">
        <f>IF(CUENTAS!K82/CUENTAS!$AB82&lt;&gt;0,CUENTAS!K82/CUENTAS!$AB82,"")</f>
        <v>0.05077629481</v>
      </c>
      <c r="AD93" s="459">
        <f>IF(CUENTAS!L82/CUENTAS!$AB82&lt;&gt;0,CUENTAS!L82/CUENTAS!$AB82,"")</f>
        <v>0.006772579752</v>
      </c>
      <c r="AE93" s="459">
        <f>IF(CUENTAS!M82/CUENTAS!$AB82&lt;&gt;0,CUENTAS!M82/CUENTAS!$AB82,"")</f>
        <v>0.04833737519</v>
      </c>
      <c r="AF93" s="459">
        <f>IF(CUENTAS!N82/CUENTAS!$AB82&lt;&gt;0,CUENTAS!N82/CUENTAS!$AB82,"")</f>
        <v>0.05336909762</v>
      </c>
      <c r="AG93" s="459" t="str">
        <f>IF(CUENTAS!O82/CUENTAS!$AB82&lt;&gt;0,CUENTAS!O82/CUENTAS!$AB82,"")</f>
        <v/>
      </c>
      <c r="AH93" s="459" t="str">
        <f>IF(CUENTAS!P82/CUENTAS!$AB82&lt;&gt;0,CUENTAS!P82/CUENTAS!$AB82,"")</f>
        <v/>
      </c>
      <c r="AI93" s="459">
        <f>IF(CUENTAS!R82/CUENTAS!$AB82&lt;&gt;0,CUENTAS!R82/CUENTAS!$AB82,"")</f>
        <v>0.05497588743</v>
      </c>
      <c r="AJ93" s="459" t="str">
        <f>IF(CUENTAS!B82/CUENTAS!$AB82&lt;&gt;0,CUENTAS!B82/CUENTAS!$AB82,"")</f>
        <v/>
      </c>
      <c r="AK93" s="459">
        <f>IF(CUENTAS!S82/CUENTAS!$AB82&lt;&gt;0,CUENTAS!S82/CUENTAS!$AB82,"")</f>
        <v>0.03689116268</v>
      </c>
      <c r="AL93" s="459">
        <f>IF(CUENTAS!T82/CUENTAS!$AB82&lt;&gt;0,CUENTAS!T82/CUENTAS!$AB82,"")</f>
        <v>0.1052455713</v>
      </c>
      <c r="AM93" s="459">
        <f>IF(CUENTAS!U82/CUENTAS!$AB82&lt;&gt;0,CUENTAS!U82/CUENTAS!$AB82,"")</f>
        <v>0.06770852103</v>
      </c>
      <c r="AN93" s="459">
        <f>IF(CUENTAS!V82/CUENTAS!$AB82&lt;&gt;0,CUENTAS!V82/CUENTAS!$AB82,"")</f>
        <v>0.1449447233</v>
      </c>
      <c r="AO93" s="459">
        <f>IF(CUENTAS!W82/CUENTAS!$AB82&lt;&gt;0,CUENTAS!W82/CUENTAS!$AB82,"")</f>
        <v>0.01902047817</v>
      </c>
      <c r="AP93" s="459">
        <f>IF(CUENTAS!X82/CUENTAS!$AB82&lt;&gt;0,CUENTAS!X82/CUENTAS!$AB82,"")</f>
        <v>0.05832420481</v>
      </c>
      <c r="AQ93" s="459">
        <f>IF(CUENTAS!Y82/CUENTAS!$AB82&lt;&gt;0,CUENTAS!Y82/CUENTAS!$AB82,"")</f>
        <v>0.013860314</v>
      </c>
      <c r="AR93" s="459">
        <f>IF(CUENTAS!AA82/CUENTAS!$AB82&lt;&gt;0,CUENTAS!AA82/CUENTAS!$AB82,"")</f>
        <v>0.1177826239</v>
      </c>
    </row>
    <row r="94">
      <c r="A94" s="474"/>
      <c r="B94" s="200"/>
      <c r="C94" s="200"/>
      <c r="F94" s="200"/>
      <c r="G94" s="200"/>
      <c r="J94" s="470">
        <v>45566.0</v>
      </c>
      <c r="K94" s="466">
        <f>SUMIF(GRAFICO!A:A,J94,GRAFICO!B:B)</f>
        <v>13400.14934</v>
      </c>
      <c r="L94" s="467">
        <f t="shared" si="2"/>
        <v>0.2826115191</v>
      </c>
      <c r="M94" s="468">
        <v>45931.0</v>
      </c>
      <c r="N94" s="469">
        <f>IF(SUMIF(GRAFICO!A:A,M94,GRAFICO!B:B)=0,"",SUMIF(GRAFICO!A:A,M94,GRAFICO!B:B))</f>
        <v>19192.12466</v>
      </c>
      <c r="O94" s="467">
        <f t="shared" si="3"/>
        <v>0.321426746</v>
      </c>
      <c r="P94" s="465">
        <v>46296.0</v>
      </c>
      <c r="Q94" s="463" t="str">
        <f>IF(SUMIF(GRAFICO!A:A,P94,GRAFICO!B:B)=0,"",SUMIF(GRAFICO!A:A,P94,GRAFICO!B:B))</f>
        <v/>
      </c>
      <c r="R94" s="463" t="str">
        <f t="shared" si="4"/>
        <v/>
      </c>
      <c r="S94" s="471">
        <f>CUENTAS!A83</f>
        <v>46019</v>
      </c>
      <c r="T94" s="459">
        <f>IF(CUENTAS!Q83/CUENTAS!$AB83&lt;&gt;0,CUENTAS!Q83/CUENTAS!$AB83,"")</f>
        <v>0.04725401336</v>
      </c>
      <c r="U94" s="459" t="str">
        <f>IF(CUENTAS!C83/CUENTAS!$AB83&lt;&gt;0,CUENTAS!C83/CUENTAS!$AB83,"")</f>
        <v/>
      </c>
      <c r="V94" s="459" t="str">
        <f>IF(CUENTAS!D83/CUENTAS!$AB83&lt;&gt;0,CUENTAS!D83/CUENTAS!$AB83,"")</f>
        <v/>
      </c>
      <c r="W94" s="459" t="str">
        <f>IF(CUENTAS!E83/CUENTAS!$AB83&lt;&gt;0,CUENTAS!E83/CUENTAS!$AB83,"")</f>
        <v/>
      </c>
      <c r="X94" s="459" t="str">
        <f>IF(CUENTAS!F83/CUENTAS!$AB83&lt;&gt;0,CUENTAS!F83/CUENTAS!$AB83,"")</f>
        <v/>
      </c>
      <c r="Y94" s="459">
        <f>IF(CUENTAS!G83/CUENTAS!$AB83&lt;&gt;0,CUENTAS!G83/CUENTAS!$AB83,"")</f>
        <v>0.07790262791</v>
      </c>
      <c r="Z94" s="459">
        <f>IF(CUENTAS!H83/CUENTAS!$AB83&lt;&gt;0,CUENTAS!H83/CUENTAS!$AB83,"")</f>
        <v>0.03215552707</v>
      </c>
      <c r="AA94" s="459">
        <f>IF(CUENTAS!I83/CUENTAS!$AB83&lt;&gt;0,CUENTAS!I83/CUENTAS!$AB83,"")</f>
        <v>0.07013490404</v>
      </c>
      <c r="AB94" s="459">
        <f>IF(CUENTAS!J83/CUENTAS!$AB83&lt;&gt;0,CUENTAS!J83/CUENTAS!$AB83,"")</f>
        <v>0.1728847492</v>
      </c>
      <c r="AC94" s="459">
        <f>IF(CUENTAS!K83/CUENTAS!$AB83&lt;&gt;0,CUENTAS!K83/CUENTAS!$AB83,"")</f>
        <v>0.0510053188</v>
      </c>
      <c r="AD94" s="459">
        <f>IF(CUENTAS!L83/CUENTAS!$AB83&lt;&gt;0,CUENTAS!L83/CUENTAS!$AB83,"")</f>
        <v>0.006785855939</v>
      </c>
      <c r="AE94" s="459">
        <f>IF(CUENTAS!M83/CUENTAS!$AB83&lt;&gt;0,CUENTAS!M83/CUENTAS!$AB83,"")</f>
        <v>0.04840254841</v>
      </c>
      <c r="AF94" s="459">
        <f>IF(CUENTAS!N83/CUENTAS!$AB83&lt;&gt;0,CUENTAS!N83/CUENTAS!$AB83,"")</f>
        <v>0.05366508418</v>
      </c>
      <c r="AG94" s="459" t="str">
        <f>IF(CUENTAS!O83/CUENTAS!$AB83&lt;&gt;0,CUENTAS!O83/CUENTAS!$AB83,"")</f>
        <v/>
      </c>
      <c r="AH94" s="459" t="str">
        <f>IF(CUENTAS!P83/CUENTAS!$AB83&lt;&gt;0,CUENTAS!P83/CUENTAS!$AB83,"")</f>
        <v/>
      </c>
      <c r="AI94" s="459">
        <f>IF(CUENTAS!R83/CUENTAS!$AB83&lt;&gt;0,CUENTAS!R83/CUENTAS!$AB83,"")</f>
        <v>0.05537074508</v>
      </c>
      <c r="AJ94" s="459" t="str">
        <f>IF(CUENTAS!B83/CUENTAS!$AB83&lt;&gt;0,CUENTAS!B83/CUENTAS!$AB83,"")</f>
        <v/>
      </c>
      <c r="AK94" s="459">
        <f>IF(CUENTAS!S83/CUENTAS!$AB83&lt;&gt;0,CUENTAS!S83/CUENTAS!$AB83,"")</f>
        <v>0.03699806577</v>
      </c>
      <c r="AL94" s="459">
        <f>IF(CUENTAS!T83/CUENTAS!$AB83&lt;&gt;0,CUENTAS!T83/CUENTAS!$AB83,"")</f>
        <v>0.1056412605</v>
      </c>
      <c r="AM94" s="459">
        <f>IF(CUENTAS!U83/CUENTAS!$AB83&lt;&gt;0,CUENTAS!U83/CUENTAS!$AB83,"")</f>
        <v>0.06792600658</v>
      </c>
      <c r="AN94" s="459">
        <f>IF(CUENTAS!V83/CUENTAS!$AB83&lt;&gt;0,CUENTAS!V83/CUENTAS!$AB83,"")</f>
        <v>0.1455693755</v>
      </c>
      <c r="AO94" s="459">
        <f>IF(CUENTAS!W83/CUENTAS!$AB83&lt;&gt;0,CUENTAS!W83/CUENTAS!$AB83,"")</f>
        <v>0.01910626911</v>
      </c>
      <c r="AP94" s="459">
        <f>IF(CUENTAS!X83/CUENTAS!$AB83&lt;&gt;0,CUENTAS!X83/CUENTAS!$AB83,"")</f>
        <v>0.05849956396</v>
      </c>
      <c r="AQ94" s="459">
        <f>IF(CUENTAS!Y83/CUENTAS!$AB83&lt;&gt;0,CUENTAS!Y83/CUENTAS!$AB83,"")</f>
        <v>0.01386528132</v>
      </c>
      <c r="AR94" s="459">
        <f>IF(CUENTAS!AA83/CUENTAS!$AB83&lt;&gt;0,CUENTAS!AA83/CUENTAS!$AB83,"")</f>
        <v>0.1183138767</v>
      </c>
    </row>
    <row r="95">
      <c r="A95" s="474"/>
      <c r="B95" s="200"/>
      <c r="C95" s="200"/>
      <c r="F95" s="200"/>
      <c r="G95" s="200"/>
      <c r="J95" s="470">
        <v>45565.0</v>
      </c>
      <c r="K95" s="466">
        <f>SUMIF(GRAFICO!A:A,J95,GRAFICO!B:B)</f>
        <v>13317.30105</v>
      </c>
      <c r="L95" s="467">
        <f t="shared" si="2"/>
        <v>0.2764096885</v>
      </c>
      <c r="M95" s="468">
        <v>45930.0</v>
      </c>
      <c r="N95" s="469">
        <f>IF(SUMIF(GRAFICO!A:A,M95,GRAFICO!B:B)=0,"",SUMIF(GRAFICO!A:A,M95,GRAFICO!B:B))</f>
        <v>19239.94438</v>
      </c>
      <c r="O95" s="467">
        <f t="shared" si="3"/>
        <v>0.3239152793</v>
      </c>
      <c r="P95" s="468">
        <v>46295.0</v>
      </c>
      <c r="Q95" s="463" t="str">
        <f>IF(SUMIF(GRAFICO!A:A,P95,GRAFICO!B:B)=0,"",SUMIF(GRAFICO!A:A,P95,GRAFICO!B:B))</f>
        <v/>
      </c>
      <c r="R95" s="463" t="str">
        <f t="shared" si="4"/>
        <v/>
      </c>
      <c r="S95" s="471">
        <f>CUENTAS!A84</f>
        <v>46018</v>
      </c>
      <c r="T95" s="459">
        <f>IF(CUENTAS!Q84/CUENTAS!$AB84&lt;&gt;0,CUENTAS!Q84/CUENTAS!$AB84,"")</f>
        <v>0.0472594446</v>
      </c>
      <c r="U95" s="459" t="str">
        <f>IF(CUENTAS!C84/CUENTAS!$AB84&lt;&gt;0,CUENTAS!C84/CUENTAS!$AB84,"")</f>
        <v/>
      </c>
      <c r="V95" s="459" t="str">
        <f>IF(CUENTAS!D84/CUENTAS!$AB84&lt;&gt;0,CUENTAS!D84/CUENTAS!$AB84,"")</f>
        <v/>
      </c>
      <c r="W95" s="459" t="str">
        <f>IF(CUENTAS!E84/CUENTAS!$AB84&lt;&gt;0,CUENTAS!E84/CUENTAS!$AB84,"")</f>
        <v/>
      </c>
      <c r="X95" s="459" t="str">
        <f>IF(CUENTAS!F84/CUENTAS!$AB84&lt;&gt;0,CUENTAS!F84/CUENTAS!$AB84,"")</f>
        <v/>
      </c>
      <c r="Y95" s="459">
        <f>IF(CUENTAS!G84/CUENTAS!$AB84&lt;&gt;0,CUENTAS!G84/CUENTAS!$AB84,"")</f>
        <v>0.07791158182</v>
      </c>
      <c r="Z95" s="459">
        <f>IF(CUENTAS!H84/CUENTAS!$AB84&lt;&gt;0,CUENTAS!H84/CUENTAS!$AB84,"")</f>
        <v>0.03215922294</v>
      </c>
      <c r="AA95" s="459">
        <f>IF(CUENTAS!I84/CUENTAS!$AB84&lt;&gt;0,CUENTAS!I84/CUENTAS!$AB84,"")</f>
        <v>0.07014296515</v>
      </c>
      <c r="AB95" s="459">
        <f>IF(CUENTAS!J84/CUENTAS!$AB84&lt;&gt;0,CUENTAS!J84/CUENTAS!$AB84,"")</f>
        <v>0.1729046201</v>
      </c>
      <c r="AC95" s="459">
        <f>IF(CUENTAS!K84/CUENTAS!$AB84&lt;&gt;0,CUENTAS!K84/CUENTAS!$AB84,"")</f>
        <v>0.05101118121</v>
      </c>
      <c r="AD95" s="459">
        <f>IF(CUENTAS!L84/CUENTAS!$AB84&lt;&gt;0,CUENTAS!L84/CUENTAS!$AB84,"")</f>
        <v>0.006786635886</v>
      </c>
      <c r="AE95" s="459">
        <f>IF(CUENTAS!M84/CUENTAS!$AB84&lt;&gt;0,CUENTAS!M84/CUENTAS!$AB84,"")</f>
        <v>0.04840811166</v>
      </c>
      <c r="AF95" s="459">
        <f>IF(CUENTAS!N84/CUENTAS!$AB84&lt;&gt;0,CUENTAS!N84/CUENTAS!$AB84,"")</f>
        <v>0.05367125229</v>
      </c>
      <c r="AG95" s="459" t="str">
        <f>IF(CUENTAS!O84/CUENTAS!$AB84&lt;&gt;0,CUENTAS!O84/CUENTAS!$AB84,"")</f>
        <v/>
      </c>
      <c r="AH95" s="459" t="str">
        <f>IF(CUENTAS!P84/CUENTAS!$AB84&lt;&gt;0,CUENTAS!P84/CUENTAS!$AB84,"")</f>
        <v/>
      </c>
      <c r="AI95" s="459">
        <f>IF(CUENTAS!R84/CUENTAS!$AB84&lt;&gt;0,CUENTAS!R84/CUENTAS!$AB84,"")</f>
        <v>0.05552401771</v>
      </c>
      <c r="AJ95" s="459" t="str">
        <f>IF(CUENTAS!B84/CUENTAS!$AB84&lt;&gt;0,CUENTAS!B84/CUENTAS!$AB84,"")</f>
        <v/>
      </c>
      <c r="AK95" s="459">
        <f>IF(CUENTAS!S84/CUENTAS!$AB84&lt;&gt;0,CUENTAS!S84/CUENTAS!$AB84,"")</f>
        <v>0.03694281868</v>
      </c>
      <c r="AL95" s="459">
        <f>IF(CUENTAS!T84/CUENTAS!$AB84&lt;&gt;0,CUENTAS!T84/CUENTAS!$AB84,"")</f>
        <v>0.1055743778</v>
      </c>
      <c r="AM95" s="459">
        <f>IF(CUENTAS!U84/CUENTAS!$AB84&lt;&gt;0,CUENTAS!U84/CUENTAS!$AB84,"")</f>
        <v>0.06784589328</v>
      </c>
      <c r="AN95" s="459">
        <f>IF(CUENTAS!V84/CUENTAS!$AB84&lt;&gt;0,CUENTAS!V84/CUENTAS!$AB84,"")</f>
        <v>0.1455569954</v>
      </c>
      <c r="AO95" s="459">
        <f>IF(CUENTAS!W84/CUENTAS!$AB84&lt;&gt;0,CUENTAS!W84/CUENTAS!$AB84,"")</f>
        <v>0.01910846513</v>
      </c>
      <c r="AP95" s="459">
        <f>IF(CUENTAS!X84/CUENTAS!$AB84&lt;&gt;0,CUENTAS!X84/CUENTAS!$AB84,"")</f>
        <v>0.05841856832</v>
      </c>
      <c r="AQ95" s="459">
        <f>IF(CUENTAS!Y84/CUENTAS!$AB84&lt;&gt;0,CUENTAS!Y84/CUENTAS!$AB84,"")</f>
        <v>0.0138093194</v>
      </c>
      <c r="AR95" s="459">
        <f>IF(CUENTAS!AA84/CUENTAS!$AB84&lt;&gt;0,CUENTAS!AA84/CUENTAS!$AB84,"")</f>
        <v>0.1183274754</v>
      </c>
    </row>
    <row r="96">
      <c r="A96" s="474"/>
      <c r="B96" s="200"/>
      <c r="C96" s="200"/>
      <c r="F96" s="200"/>
      <c r="G96" s="200"/>
      <c r="J96" s="470">
        <v>45564.0</v>
      </c>
      <c r="K96" s="466">
        <f>SUMIF(GRAFICO!A:A,J96,GRAFICO!B:B)</f>
        <v>13416.68033</v>
      </c>
      <c r="L96" s="467">
        <f t="shared" si="2"/>
        <v>0.2838444013</v>
      </c>
      <c r="M96" s="468">
        <v>45929.0</v>
      </c>
      <c r="N96" s="469">
        <f>IF(SUMIF(GRAFICO!A:A,M96,GRAFICO!B:B)=0,"",SUMIF(GRAFICO!A:A,M96,GRAFICO!B:B))</f>
        <v>19251.82769</v>
      </c>
      <c r="O96" s="467">
        <f t="shared" si="3"/>
        <v>0.3245327265</v>
      </c>
      <c r="P96" s="465">
        <v>46294.0</v>
      </c>
      <c r="Q96" s="463" t="str">
        <f>IF(SUMIF(GRAFICO!A:A,P96,GRAFICO!B:B)=0,"",SUMIF(GRAFICO!A:A,P96,GRAFICO!B:B))</f>
        <v/>
      </c>
      <c r="R96" s="463" t="str">
        <f t="shared" si="4"/>
        <v/>
      </c>
      <c r="S96" s="471">
        <f>CUENTAS!A85</f>
        <v>46017</v>
      </c>
      <c r="T96" s="459">
        <f>IF(CUENTAS!Q85/CUENTAS!$AB85&lt;&gt;0,CUENTAS!Q85/CUENTAS!$AB85,"")</f>
        <v>0.04726487682</v>
      </c>
      <c r="U96" s="459" t="str">
        <f>IF(CUENTAS!C85/CUENTAS!$AB85&lt;&gt;0,CUENTAS!C85/CUENTAS!$AB85,"")</f>
        <v/>
      </c>
      <c r="V96" s="459" t="str">
        <f>IF(CUENTAS!D85/CUENTAS!$AB85&lt;&gt;0,CUENTAS!D85/CUENTAS!$AB85,"")</f>
        <v/>
      </c>
      <c r="W96" s="459" t="str">
        <f>IF(CUENTAS!E85/CUENTAS!$AB85&lt;&gt;0,CUENTAS!E85/CUENTAS!$AB85,"")</f>
        <v/>
      </c>
      <c r="X96" s="459" t="str">
        <f>IF(CUENTAS!F85/CUENTAS!$AB85&lt;&gt;0,CUENTAS!F85/CUENTAS!$AB85,"")</f>
        <v/>
      </c>
      <c r="Y96" s="459">
        <f>IF(CUENTAS!G85/CUENTAS!$AB85&lt;&gt;0,CUENTAS!G85/CUENTAS!$AB85,"")</f>
        <v>0.07792053733</v>
      </c>
      <c r="Z96" s="459">
        <f>IF(CUENTAS!H85/CUENTAS!$AB85&lt;&gt;0,CUENTAS!H85/CUENTAS!$AB85,"")</f>
        <v>0.03216291947</v>
      </c>
      <c r="AA96" s="459">
        <f>IF(CUENTAS!I85/CUENTAS!$AB85&lt;&gt;0,CUENTAS!I85/CUENTAS!$AB85,"")</f>
        <v>0.0701510277</v>
      </c>
      <c r="AB96" s="459">
        <f>IF(CUENTAS!J85/CUENTAS!$AB85&lt;&gt;0,CUENTAS!J85/CUENTAS!$AB85,"")</f>
        <v>0.1729244945</v>
      </c>
      <c r="AC96" s="459">
        <f>IF(CUENTAS!K85/CUENTAS!$AB85&lt;&gt;0,CUENTAS!K85/CUENTAS!$AB85,"")</f>
        <v>0.05101704467</v>
      </c>
      <c r="AD96" s="459">
        <f>IF(CUENTAS!L85/CUENTAS!$AB85&lt;&gt;0,CUENTAS!L85/CUENTAS!$AB85,"")</f>
        <v>0.006787415973</v>
      </c>
      <c r="AE96" s="459">
        <f>IF(CUENTAS!M85/CUENTAS!$AB85&lt;&gt;0,CUENTAS!M85/CUENTAS!$AB85,"")</f>
        <v>0.04841367591</v>
      </c>
      <c r="AF96" s="459">
        <f>IF(CUENTAS!N85/CUENTAS!$AB85&lt;&gt;0,CUENTAS!N85/CUENTAS!$AB85,"")</f>
        <v>0.05367742151</v>
      </c>
      <c r="AG96" s="459" t="str">
        <f>IF(CUENTAS!O85/CUENTAS!$AB85&lt;&gt;0,CUENTAS!O85/CUENTAS!$AB85,"")</f>
        <v/>
      </c>
      <c r="AH96" s="459" t="str">
        <f>IF(CUENTAS!P85/CUENTAS!$AB85&lt;&gt;0,CUENTAS!P85/CUENTAS!$AB85,"")</f>
        <v/>
      </c>
      <c r="AI96" s="459">
        <f>IF(CUENTAS!R85/CUENTAS!$AB85&lt;&gt;0,CUENTAS!R85/CUENTAS!$AB85,"")</f>
        <v>0.05946382751</v>
      </c>
      <c r="AJ96" s="459" t="str">
        <f>IF(CUENTAS!B85/CUENTAS!$AB85&lt;&gt;0,CUENTAS!B85/CUENTAS!$AB85,"")</f>
        <v/>
      </c>
      <c r="AK96" s="459">
        <f>IF(CUENTAS!S85/CUENTAS!$AB85&lt;&gt;0,CUENTAS!S85/CUENTAS!$AB85,"")</f>
        <v>0.03688755868</v>
      </c>
      <c r="AL96" s="459">
        <f>IF(CUENTAS!T85/CUENTAS!$AB85&lt;&gt;0,CUENTAS!T85/CUENTAS!$AB85,"")</f>
        <v>0.05853304112</v>
      </c>
      <c r="AM96" s="459">
        <f>IF(CUENTAS!U85/CUENTAS!$AB85&lt;&gt;0,CUENTAS!U85/CUENTAS!$AB85,"")</f>
        <v>0.06776576116</v>
      </c>
      <c r="AN96" s="459">
        <f>IF(CUENTAS!V85/CUENTAS!$AB85&lt;&gt;0,CUENTAS!V85/CUENTAS!$AB85,"")</f>
        <v>0.1455446175</v>
      </c>
      <c r="AO96" s="459">
        <f>IF(CUENTAS!W85/CUENTAS!$AB85&lt;&gt;0,CUENTAS!W85/CUENTAS!$AB85,"")</f>
        <v>0.01911066154</v>
      </c>
      <c r="AP96" s="459">
        <f>IF(CUENTAS!X85/CUENTAS!$AB85&lt;&gt;0,CUENTAS!X85/CUENTAS!$AB85,"")</f>
        <v>0.05833755373</v>
      </c>
      <c r="AQ96" s="459">
        <f>IF(CUENTAS!Y85/CUENTAS!$AB85&lt;&gt;0,CUENTAS!Y85/CUENTAS!$AB85,"")</f>
        <v>0.01375334453</v>
      </c>
      <c r="AR96" s="459">
        <f>IF(CUENTAS!AA85/CUENTAS!$AB85&lt;&gt;0,CUENTAS!AA85/CUENTAS!$AB85,"")</f>
        <v>0.1615290122</v>
      </c>
    </row>
    <row r="97">
      <c r="A97" s="474"/>
      <c r="B97" s="200"/>
      <c r="C97" s="200"/>
      <c r="F97" s="200"/>
      <c r="G97" s="200"/>
      <c r="J97" s="465">
        <v>45563.0</v>
      </c>
      <c r="K97" s="466">
        <f>SUMIF(GRAFICO!A:A,J97,GRAFICO!B:B)</f>
        <v>13403.97988</v>
      </c>
      <c r="L97" s="467">
        <f t="shared" si="2"/>
        <v>0.2828973365</v>
      </c>
      <c r="M97" s="468">
        <v>45928.0</v>
      </c>
      <c r="N97" s="469">
        <f>IF(SUMIF(GRAFICO!A:A,M97,GRAFICO!B:B)=0,"",SUMIF(GRAFICO!A:A,M97,GRAFICO!B:B))</f>
        <v>19236.27126</v>
      </c>
      <c r="O97" s="467">
        <f t="shared" si="3"/>
        <v>0.3237243503</v>
      </c>
      <c r="P97" s="468">
        <v>46293.0</v>
      </c>
      <c r="Q97" s="463" t="str">
        <f>IF(SUMIF(GRAFICO!A:A,P97,GRAFICO!B:B)=0,"",SUMIF(GRAFICO!A:A,P97,GRAFICO!B:B))</f>
        <v/>
      </c>
      <c r="R97" s="463" t="str">
        <f t="shared" si="4"/>
        <v/>
      </c>
      <c r="S97" s="471">
        <f>CUENTAS!A86</f>
        <v>46016</v>
      </c>
      <c r="T97" s="459">
        <f>IF(CUENTAS!Q86/CUENTAS!$AB86&lt;&gt;0,CUENTAS!Q86/CUENTAS!$AB86,"")</f>
        <v>0.04729821667</v>
      </c>
      <c r="U97" s="459" t="str">
        <f>IF(CUENTAS!C86/CUENTAS!$AB86&lt;&gt;0,CUENTAS!C86/CUENTAS!$AB86,"")</f>
        <v/>
      </c>
      <c r="V97" s="459" t="str">
        <f>IF(CUENTAS!D86/CUENTAS!$AB86&lt;&gt;0,CUENTAS!D86/CUENTAS!$AB86,"")</f>
        <v/>
      </c>
      <c r="W97" s="459" t="str">
        <f>IF(CUENTAS!E86/CUENTAS!$AB86&lt;&gt;0,CUENTAS!E86/CUENTAS!$AB86,"")</f>
        <v/>
      </c>
      <c r="X97" s="459" t="str">
        <f>IF(CUENTAS!F86/CUENTAS!$AB86&lt;&gt;0,CUENTAS!F86/CUENTAS!$AB86,"")</f>
        <v/>
      </c>
      <c r="Y97" s="459">
        <f>IF(CUENTAS!G86/CUENTAS!$AB86&lt;&gt;0,CUENTAS!G86/CUENTAS!$AB86,"")</f>
        <v>0.07797550117</v>
      </c>
      <c r="Z97" s="459">
        <f>IF(CUENTAS!H86/CUENTAS!$AB86&lt;&gt;0,CUENTAS!H86/CUENTAS!$AB86,"")</f>
        <v>0.03281832402</v>
      </c>
      <c r="AA97" s="459">
        <f>IF(CUENTAS!I86/CUENTAS!$AB86&lt;&gt;0,CUENTAS!I86/CUENTAS!$AB86,"")</f>
        <v>0.07020051106</v>
      </c>
      <c r="AB97" s="459">
        <f>IF(CUENTAS!J86/CUENTAS!$AB86&lt;&gt;0,CUENTAS!J86/CUENTAS!$AB86,"")</f>
        <v>0.1730464725</v>
      </c>
      <c r="AC97" s="459">
        <f>IF(CUENTAS!K86/CUENTAS!$AB86&lt;&gt;0,CUENTAS!K86/CUENTAS!$AB86,"")</f>
        <v>0.0501385299</v>
      </c>
      <c r="AD97" s="459">
        <f>IF(CUENTAS!L86/CUENTAS!$AB86&lt;&gt;0,CUENTAS!L86/CUENTAS!$AB86,"")</f>
        <v>0.006793932439</v>
      </c>
      <c r="AE97" s="459">
        <f>IF(CUENTAS!M86/CUENTAS!$AB86&lt;&gt;0,CUENTAS!M86/CUENTAS!$AB86,"")</f>
        <v>0.04819283755</v>
      </c>
      <c r="AF97" s="459">
        <f>IF(CUENTAS!N86/CUENTAS!$AB86&lt;&gt;0,CUENTAS!N86/CUENTAS!$AB86,"")</f>
        <v>0.05365996511</v>
      </c>
      <c r="AG97" s="459" t="str">
        <f>IF(CUENTAS!O86/CUENTAS!$AB86&lt;&gt;0,CUENTAS!O86/CUENTAS!$AB86,"")</f>
        <v/>
      </c>
      <c r="AH97" s="459" t="str">
        <f>IF(CUENTAS!P86/CUENTAS!$AB86&lt;&gt;0,CUENTAS!P86/CUENTAS!$AB86,"")</f>
        <v/>
      </c>
      <c r="AI97" s="459">
        <f>IF(CUENTAS!R86/CUENTAS!$AB86&lt;&gt;0,CUENTAS!R86/CUENTAS!$AB86,"")</f>
        <v>0.05446659333</v>
      </c>
      <c r="AJ97" s="459" t="str">
        <f>IF(CUENTAS!B86/CUENTAS!$AB86&lt;&gt;0,CUENTAS!B86/CUENTAS!$AB86,"")</f>
        <v/>
      </c>
      <c r="AK97" s="459">
        <f>IF(CUENTAS!S86/CUENTAS!$AB86&lt;&gt;0,CUENTAS!S86/CUENTAS!$AB86,"")</f>
        <v>0.03685403019</v>
      </c>
      <c r="AL97" s="459">
        <f>IF(CUENTAS!T86/CUENTAS!$AB86&lt;&gt;0,CUENTAS!T86/CUENTAS!$AB86,"")</f>
        <v>0.05849523968</v>
      </c>
      <c r="AM97" s="459">
        <f>IF(CUENTAS!U86/CUENTAS!$AB86&lt;&gt;0,CUENTAS!U86/CUENTAS!$AB86,"")</f>
        <v>0.06772556933</v>
      </c>
      <c r="AN97" s="459">
        <f>IF(CUENTAS!V86/CUENTAS!$AB86&lt;&gt;0,CUENTAS!V86/CUENTAS!$AB86,"")</f>
        <v>0.1456181586</v>
      </c>
      <c r="AO97" s="459">
        <f>IF(CUENTAS!W86/CUENTAS!$AB86&lt;&gt;0,CUENTAS!W86/CUENTAS!$AB86,"")</f>
        <v>0.01912414188</v>
      </c>
      <c r="AP97" s="459">
        <f>IF(CUENTAS!X86/CUENTAS!$AB86&lt;&gt;0,CUENTAS!X86/CUENTAS!$AB86,"")</f>
        <v>0.05829091268</v>
      </c>
      <c r="AQ97" s="459">
        <f>IF(CUENTAS!Y86/CUENTAS!$AB86&lt;&gt;0,CUENTAS!Y86/CUENTAS!$AB86,"")</f>
        <v>0.02234912307</v>
      </c>
      <c r="AR97" s="459">
        <f>IF(CUENTAS!AA86/CUENTAS!$AB86&lt;&gt;0,CUENTAS!AA86/CUENTAS!$AB86,"")</f>
        <v>0.15818548</v>
      </c>
    </row>
    <row r="98">
      <c r="A98" s="474"/>
      <c r="B98" s="200"/>
      <c r="C98" s="200"/>
      <c r="F98" s="200"/>
      <c r="G98" s="200"/>
      <c r="J98" s="465">
        <v>45562.0</v>
      </c>
      <c r="K98" s="466">
        <f>SUMIF(GRAFICO!A:A,J98,GRAFICO!B:B)</f>
        <v>13391.28325</v>
      </c>
      <c r="L98" s="467">
        <f t="shared" si="2"/>
        <v>0.281949659</v>
      </c>
      <c r="M98" s="468">
        <v>45927.0</v>
      </c>
      <c r="N98" s="469">
        <f>IF(SUMIF(GRAFICO!A:A,M98,GRAFICO!B:B)=0,"",SUMIF(GRAFICO!A:A,M98,GRAFICO!B:B))</f>
        <v>19226.53443</v>
      </c>
      <c r="O98" s="467">
        <f t="shared" si="3"/>
        <v>0.3232180516</v>
      </c>
      <c r="P98" s="465">
        <v>46292.0</v>
      </c>
      <c r="Q98" s="463" t="str">
        <f>IF(SUMIF(GRAFICO!A:A,P98,GRAFICO!B:B)=0,"",SUMIF(GRAFICO!A:A,P98,GRAFICO!B:B))</f>
        <v/>
      </c>
      <c r="R98" s="463" t="str">
        <f t="shared" si="4"/>
        <v/>
      </c>
      <c r="S98" s="471">
        <f>CUENTAS!A87</f>
        <v>46015</v>
      </c>
      <c r="T98" s="459">
        <f>IF(CUENTAS!Q87/CUENTAS!$AB87&lt;&gt;0,CUENTAS!Q87/CUENTAS!$AB87,"")</f>
        <v>0.05369624916</v>
      </c>
      <c r="U98" s="459" t="str">
        <f>IF(CUENTAS!C87/CUENTAS!$AB87&lt;&gt;0,CUENTAS!C87/CUENTAS!$AB87,"")</f>
        <v/>
      </c>
      <c r="V98" s="459" t="str">
        <f>IF(CUENTAS!D87/CUENTAS!$AB87&lt;&gt;0,CUENTAS!D87/CUENTAS!$AB87,"")</f>
        <v/>
      </c>
      <c r="W98" s="459" t="str">
        <f>IF(CUENTAS!E87/CUENTAS!$AB87&lt;&gt;0,CUENTAS!E87/CUENTAS!$AB87,"")</f>
        <v/>
      </c>
      <c r="X98" s="459" t="str">
        <f>IF(CUENTAS!F87/CUENTAS!$AB87&lt;&gt;0,CUENTAS!F87/CUENTAS!$AB87,"")</f>
        <v/>
      </c>
      <c r="Y98" s="459">
        <f>IF(CUENTAS!G87/CUENTAS!$AB87&lt;&gt;0,CUENTAS!G87/CUENTAS!$AB87,"")</f>
        <v>0.0885232517</v>
      </c>
      <c r="Z98" s="459">
        <f>IF(CUENTAS!H87/CUENTAS!$AB87&lt;&gt;0,CUENTAS!H87/CUENTAS!$AB87,"")</f>
        <v>0.0372576606</v>
      </c>
      <c r="AA98" s="459">
        <f>IF(CUENTAS!I87/CUENTAS!$AB87&lt;&gt;0,CUENTAS!I87/CUENTAS!$AB87,"")</f>
        <v>0.07948457935</v>
      </c>
      <c r="AB98" s="459">
        <f>IF(CUENTAS!J87/CUENTAS!$AB87&lt;&gt;0,CUENTAS!J87/CUENTAS!$AB87,"")</f>
        <v>0.1964544788</v>
      </c>
      <c r="AC98" s="459">
        <f>IF(CUENTAS!K87/CUENTAS!$AB87&lt;&gt;0,CUENTAS!K87/CUENTAS!$AB87,"")</f>
        <v>0.05692077173</v>
      </c>
      <c r="AD98" s="459">
        <f>IF(CUENTAS!L87/CUENTAS!$AB87&lt;&gt;0,CUENTAS!L87/CUENTAS!$AB87,"")</f>
        <v>0.00771294807</v>
      </c>
      <c r="AE98" s="459">
        <f>IF(CUENTAS!M87/CUENTAS!$AB87&lt;&gt;0,CUENTAS!M87/CUENTAS!$AB87,"")</f>
        <v>0.05471188545</v>
      </c>
      <c r="AF98" s="459">
        <f>IF(CUENTAS!N87/CUENTAS!$AB87&lt;&gt;0,CUENTAS!N87/CUENTAS!$AB87,"")</f>
        <v>0.06091855168</v>
      </c>
      <c r="AG98" s="459" t="str">
        <f>IF(CUENTAS!O87/CUENTAS!$AB87&lt;&gt;0,CUENTAS!O87/CUENTAS!$AB87,"")</f>
        <v/>
      </c>
      <c r="AH98" s="459" t="str">
        <f>IF(CUENTAS!P87/CUENTAS!$AB87&lt;&gt;0,CUENTAS!P87/CUENTAS!$AB87,"")</f>
        <v/>
      </c>
      <c r="AI98" s="459">
        <f>IF(CUENTAS!R87/CUENTAS!$AB87&lt;&gt;0,CUENTAS!R87/CUENTAS!$AB87,"")</f>
        <v>0.06200121016</v>
      </c>
      <c r="AJ98" s="459" t="str">
        <f>IF(CUENTAS!B87/CUENTAS!$AB87&lt;&gt;0,CUENTAS!B87/CUENTAS!$AB87,"")</f>
        <v/>
      </c>
      <c r="AK98" s="459">
        <f>IF(CUENTAS!S87/CUENTAS!$AB87&lt;&gt;0,CUENTAS!S87/CUENTAS!$AB87,"")</f>
        <v>0.0417716735</v>
      </c>
      <c r="AL98" s="459">
        <f>IF(CUENTAS!T87/CUENTAS!$AB87&lt;&gt;0,CUENTAS!T87/CUENTAS!$AB87,"")</f>
        <v>0.06631810598</v>
      </c>
      <c r="AM98" s="459">
        <f>IF(CUENTAS!U87/CUENTAS!$AB87&lt;&gt;0,CUENTAS!U87/CUENTAS!$AB87,"")</f>
        <v>0.07678691555</v>
      </c>
      <c r="AN98" s="459">
        <f>IF(CUENTAS!V87/CUENTAS!$AB87&lt;&gt;0,CUENTAS!V87/CUENTAS!$AB87,"")</f>
        <v>0.1652828787</v>
      </c>
      <c r="AO98" s="459">
        <f>IF(CUENTAS!W87/CUENTAS!$AB87&lt;&gt;0,CUENTAS!W87/CUENTAS!$AB87,"")</f>
        <v>0.02171106566</v>
      </c>
      <c r="AP98" s="459">
        <f>IF(CUENTAS!X87/CUENTAS!$AB87&lt;&gt;0,CUENTAS!X87/CUENTAS!$AB87,"")</f>
        <v>0.06607626088</v>
      </c>
      <c r="AQ98" s="459">
        <f>IF(CUENTAS!Y87/CUENTAS!$AB87&lt;&gt;0,CUENTAS!Y87/CUENTAS!$AB87,"")</f>
        <v>0.02530689553</v>
      </c>
      <c r="AR98" s="459">
        <f>IF(CUENTAS!AA87/CUENTAS!$AB87&lt;&gt;0,CUENTAS!AA87/CUENTAS!$AB87,"")</f>
        <v>0.04465571236</v>
      </c>
    </row>
    <row r="99">
      <c r="A99" s="474"/>
      <c r="B99" s="200"/>
      <c r="C99" s="200"/>
      <c r="F99" s="200"/>
      <c r="G99" s="200"/>
      <c r="J99" s="465">
        <v>45561.0</v>
      </c>
      <c r="K99" s="466">
        <f>SUMIF(GRAFICO!A:A,J99,GRAFICO!B:B)</f>
        <v>13390.46031</v>
      </c>
      <c r="L99" s="467">
        <f t="shared" si="2"/>
        <v>0.2818882036</v>
      </c>
      <c r="M99" s="468">
        <v>45926.0</v>
      </c>
      <c r="N99" s="469">
        <f>IF(SUMIF(GRAFICO!A:A,M99,GRAFICO!B:B)=0,"",SUMIF(GRAFICO!A:A,M99,GRAFICO!B:B))</f>
        <v>19216.79846</v>
      </c>
      <c r="O99" s="467">
        <f t="shared" si="3"/>
        <v>0.3227115415</v>
      </c>
      <c r="P99" s="468">
        <v>46291.0</v>
      </c>
      <c r="Q99" s="463" t="str">
        <f>IF(SUMIF(GRAFICO!A:A,P99,GRAFICO!B:B)=0,"",SUMIF(GRAFICO!A:A,P99,GRAFICO!B:B))</f>
        <v/>
      </c>
      <c r="R99" s="463" t="str">
        <f t="shared" si="4"/>
        <v/>
      </c>
      <c r="S99" s="471">
        <f>CUENTAS!A88</f>
        <v>46014</v>
      </c>
      <c r="T99" s="459">
        <f>IF(CUENTAS!Q88/CUENTAS!$AB88&lt;&gt;0,CUENTAS!Q88/CUENTAS!$AB88,"")</f>
        <v>0.05368134444</v>
      </c>
      <c r="U99" s="459" t="str">
        <f>IF(CUENTAS!C88/CUENTAS!$AB88&lt;&gt;0,CUENTAS!C88/CUENTAS!$AB88,"")</f>
        <v/>
      </c>
      <c r="V99" s="459" t="str">
        <f>IF(CUENTAS!D88/CUENTAS!$AB88&lt;&gt;0,CUENTAS!D88/CUENTAS!$AB88,"")</f>
        <v/>
      </c>
      <c r="W99" s="459" t="str">
        <f>IF(CUENTAS!E88/CUENTAS!$AB88&lt;&gt;0,CUENTAS!E88/CUENTAS!$AB88,"")</f>
        <v/>
      </c>
      <c r="X99" s="459" t="str">
        <f>IF(CUENTAS!F88/CUENTAS!$AB88&lt;&gt;0,CUENTAS!F88/CUENTAS!$AB88,"")</f>
        <v/>
      </c>
      <c r="Y99" s="459">
        <f>IF(CUENTAS!G88/CUENTAS!$AB88&lt;&gt;0,CUENTAS!G88/CUENTAS!$AB88,"")</f>
        <v>0.08727142547</v>
      </c>
      <c r="Z99" s="459">
        <f>IF(CUENTAS!H88/CUENTAS!$AB88&lt;&gt;0,CUENTAS!H88/CUENTAS!$AB88,"")</f>
        <v>0.03724731882</v>
      </c>
      <c r="AA99" s="459">
        <f>IF(CUENTAS!I88/CUENTAS!$AB88&lt;&gt;0,CUENTAS!I88/CUENTAS!$AB88,"")</f>
        <v>0.08012470409</v>
      </c>
      <c r="AB99" s="459">
        <f>IF(CUENTAS!J88/CUENTAS!$AB88&lt;&gt;0,CUENTAS!J88/CUENTAS!$AB88,"")</f>
        <v>0.1963999481</v>
      </c>
      <c r="AC99" s="459">
        <f>IF(CUENTAS!K88/CUENTAS!$AB88&lt;&gt;0,CUENTAS!K88/CUENTAS!$AB88,"")</f>
        <v>0.0568598451</v>
      </c>
      <c r="AD99" s="459">
        <f>IF(CUENTAS!L88/CUENTAS!$AB88&lt;&gt;0,CUENTAS!L88/CUENTAS!$AB88,"")</f>
        <v>0.00768137659</v>
      </c>
      <c r="AE99" s="459">
        <f>IF(CUENTAS!M88/CUENTAS!$AB88&lt;&gt;0,CUENTAS!M88/CUENTAS!$AB88,"")</f>
        <v>0.05492821924</v>
      </c>
      <c r="AF99" s="459">
        <f>IF(CUENTAS!N88/CUENTAS!$AB88&lt;&gt;0,CUENTAS!N88/CUENTAS!$AB88,"")</f>
        <v>0.06171784981</v>
      </c>
      <c r="AG99" s="459" t="str">
        <f>IF(CUENTAS!O88/CUENTAS!$AB88&lt;&gt;0,CUENTAS!O88/CUENTAS!$AB88,"")</f>
        <v/>
      </c>
      <c r="AH99" s="459" t="str">
        <f>IF(CUENTAS!P88/CUENTAS!$AB88&lt;&gt;0,CUENTAS!P88/CUENTAS!$AB88,"")</f>
        <v/>
      </c>
      <c r="AI99" s="459">
        <f>IF(CUENTAS!R88/CUENTAS!$AB88&lt;&gt;0,CUENTAS!R88/CUENTAS!$AB88,"")</f>
        <v>0.06215087148</v>
      </c>
      <c r="AJ99" s="459" t="str">
        <f>IF(CUENTAS!B88/CUENTAS!$AB88&lt;&gt;0,CUENTAS!B88/CUENTAS!$AB88,"")</f>
        <v/>
      </c>
      <c r="AK99" s="459">
        <f>IF(CUENTAS!S88/CUENTAS!$AB88&lt;&gt;0,CUENTAS!S88/CUENTAS!$AB88,"")</f>
        <v>0.04169249405</v>
      </c>
      <c r="AL99" s="459">
        <f>IF(CUENTAS!T88/CUENTAS!$AB88&lt;&gt;0,CUENTAS!T88/CUENTAS!$AB88,"")</f>
        <v>0.06620993454</v>
      </c>
      <c r="AM99" s="459">
        <f>IF(CUENTAS!U88/CUENTAS!$AB88&lt;&gt;0,CUENTAS!U88/CUENTAS!$AB88,"")</f>
        <v>0.07666573375</v>
      </c>
      <c r="AN99" s="459">
        <f>IF(CUENTAS!V88/CUENTAS!$AB88&lt;&gt;0,CUENTAS!V88/CUENTAS!$AB88,"")</f>
        <v>0.1652039596</v>
      </c>
      <c r="AO99" s="459">
        <f>IF(CUENTAS!W88/CUENTAS!$AB88&lt;&gt;0,CUENTAS!W88/CUENTAS!$AB88,"")</f>
        <v>0.02170503922</v>
      </c>
      <c r="AP99" s="459">
        <f>IF(CUENTAS!X88/CUENTAS!$AB88&lt;&gt;0,CUENTAS!X88/CUENTAS!$AB88,"")</f>
        <v>0.06595828052</v>
      </c>
      <c r="AQ99" s="459">
        <f>IF(CUENTAS!Y88/CUENTAS!$AB88&lt;&gt;0,CUENTAS!Y88/CUENTAS!$AB88,"")</f>
        <v>0.02523449442</v>
      </c>
      <c r="AR99" s="459">
        <f>IF(CUENTAS!AA88/CUENTAS!$AB88&lt;&gt;0,CUENTAS!AA88/CUENTAS!$AB88,"")</f>
        <v>0.04464331706</v>
      </c>
    </row>
    <row r="100">
      <c r="A100" s="474"/>
      <c r="B100" s="200"/>
      <c r="C100" s="200"/>
      <c r="F100" s="200"/>
      <c r="G100" s="200"/>
      <c r="J100" s="470">
        <v>45560.0</v>
      </c>
      <c r="K100" s="466">
        <f>SUMIF(GRAFICO!A:A,J100,GRAFICO!B:B)</f>
        <v>13310.53993</v>
      </c>
      <c r="L100" s="467">
        <f t="shared" si="2"/>
        <v>0.2759018651</v>
      </c>
      <c r="M100" s="468">
        <v>45925.0</v>
      </c>
      <c r="N100" s="469">
        <f>IF(SUMIF(GRAFICO!A:A,M100,GRAFICO!B:B)=0,"",SUMIF(GRAFICO!A:A,M100,GRAFICO!B:B))</f>
        <v>19234.57009</v>
      </c>
      <c r="O100" s="467">
        <f t="shared" si="3"/>
        <v>0.3236359109</v>
      </c>
      <c r="P100" s="465">
        <v>46290.0</v>
      </c>
      <c r="Q100" s="463" t="str">
        <f>IF(SUMIF(GRAFICO!A:A,P100,GRAFICO!B:B)=0,"",SUMIF(GRAFICO!A:A,P100,GRAFICO!B:B))</f>
        <v/>
      </c>
      <c r="R100" s="463" t="str">
        <f t="shared" si="4"/>
        <v/>
      </c>
      <c r="S100" s="471">
        <f>CUENTAS!A89</f>
        <v>46013</v>
      </c>
      <c r="T100" s="459">
        <f>IF(CUENTAS!Q89/CUENTAS!$AB89&lt;&gt;0,CUENTAS!Q89/CUENTAS!$AB89,"")</f>
        <v>0.05304115796</v>
      </c>
      <c r="U100" s="459" t="str">
        <f>IF(CUENTAS!C89/CUENTAS!$AB89&lt;&gt;0,CUENTAS!C89/CUENTAS!$AB89,"")</f>
        <v/>
      </c>
      <c r="V100" s="459" t="str">
        <f>IF(CUENTAS!D89/CUENTAS!$AB89&lt;&gt;0,CUENTAS!D89/CUENTAS!$AB89,"")</f>
        <v/>
      </c>
      <c r="W100" s="459" t="str">
        <f>IF(CUENTAS!E89/CUENTAS!$AB89&lt;&gt;0,CUENTAS!E89/CUENTAS!$AB89,"")</f>
        <v/>
      </c>
      <c r="X100" s="459" t="str">
        <f>IF(CUENTAS!F89/CUENTAS!$AB89&lt;&gt;0,CUENTAS!F89/CUENTAS!$AB89,"")</f>
        <v/>
      </c>
      <c r="Y100" s="459">
        <f>IF(CUENTAS!G89/CUENTAS!$AB89&lt;&gt;0,CUENTAS!G89/CUENTAS!$AB89,"")</f>
        <v>0.0868700767</v>
      </c>
      <c r="Z100" s="459">
        <f>IF(CUENTAS!H89/CUENTAS!$AB89&lt;&gt;0,CUENTAS!H89/CUENTAS!$AB89,"")</f>
        <v>0.03700105756</v>
      </c>
      <c r="AA100" s="459">
        <f>IF(CUENTAS!I89/CUENTAS!$AB89&lt;&gt;0,CUENTAS!I89/CUENTAS!$AB89,"")</f>
        <v>0.07883425452</v>
      </c>
      <c r="AB100" s="459">
        <f>IF(CUENTAS!J89/CUENTAS!$AB89&lt;&gt;0,CUENTAS!J89/CUENTAS!$AB89,"")</f>
        <v>0.1973468597</v>
      </c>
      <c r="AC100" s="459">
        <f>IF(CUENTAS!K89/CUENTAS!$AB89&lt;&gt;0,CUENTAS!K89/CUENTAS!$AB89,"")</f>
        <v>0.05695260821</v>
      </c>
      <c r="AD100" s="459">
        <f>IF(CUENTAS!L89/CUENTAS!$AB89&lt;&gt;0,CUENTAS!L89/CUENTAS!$AB89,"")</f>
        <v>0.007824871988</v>
      </c>
      <c r="AE100" s="459">
        <f>IF(CUENTAS!M89/CUENTAS!$AB89&lt;&gt;0,CUENTAS!M89/CUENTAS!$AB89,"")</f>
        <v>0.05496041039</v>
      </c>
      <c r="AF100" s="459">
        <f>IF(CUENTAS!N89/CUENTAS!$AB89&lt;&gt;0,CUENTAS!N89/CUENTAS!$AB89,"")</f>
        <v>0.06182614904</v>
      </c>
      <c r="AG100" s="459" t="str">
        <f>IF(CUENTAS!O89/CUENTAS!$AB89&lt;&gt;0,CUENTAS!O89/CUENTAS!$AB89,"")</f>
        <v/>
      </c>
      <c r="AH100" s="459" t="str">
        <f>IF(CUENTAS!P89/CUENTAS!$AB89&lt;&gt;0,CUENTAS!P89/CUENTAS!$AB89,"")</f>
        <v/>
      </c>
      <c r="AI100" s="459">
        <f>IF(CUENTAS!R89/CUENTAS!$AB89&lt;&gt;0,CUENTAS!R89/CUENTAS!$AB89,"")</f>
        <v>0.062618198</v>
      </c>
      <c r="AJ100" s="459" t="str">
        <f>IF(CUENTAS!B89/CUENTAS!$AB89&lt;&gt;0,CUENTAS!B89/CUENTAS!$AB89,"")</f>
        <v/>
      </c>
      <c r="AK100" s="459">
        <f>IF(CUENTAS!S89/CUENTAS!$AB89&lt;&gt;0,CUENTAS!S89/CUENTAS!$AB89,"")</f>
        <v>0.04182559733</v>
      </c>
      <c r="AL100" s="459">
        <f>IF(CUENTAS!T89/CUENTAS!$AB89&lt;&gt;0,CUENTAS!T89/CUENTAS!$AB89,"")</f>
        <v>0.06643895938</v>
      </c>
      <c r="AM100" s="459">
        <f>IF(CUENTAS!U89/CUENTAS!$AB89&lt;&gt;0,CUENTAS!U89/CUENTAS!$AB89,"")</f>
        <v>0.07693501637</v>
      </c>
      <c r="AN100" s="459">
        <f>IF(CUENTAS!V89/CUENTAS!$AB89&lt;&gt;0,CUENTAS!V89/CUENTAS!$AB89,"")</f>
        <v>0.1659672711</v>
      </c>
      <c r="AO100" s="459">
        <f>IF(CUENTAS!W89/CUENTAS!$AB89&lt;&gt;0,CUENTAS!W89/CUENTAS!$AB89,"")</f>
        <v>0.02144003096</v>
      </c>
      <c r="AP100" s="459">
        <f>IF(CUENTAS!X89/CUENTAS!$AB89&lt;&gt;0,CUENTAS!X89/CUENTAS!$AB89,"")</f>
        <v>0.0661761684</v>
      </c>
      <c r="AQ100" s="459">
        <f>IF(CUENTAS!Y89/CUENTAS!$AB89&lt;&gt;0,CUENTAS!Y89/CUENTAS!$AB89,"")</f>
        <v>0.02529046682</v>
      </c>
      <c r="AR100" s="459">
        <f>IF(CUENTAS!AA89/CUENTAS!$AB89&lt;&gt;0,CUENTAS!AA89/CUENTAS!$AB89,"")</f>
        <v>0.04485855783</v>
      </c>
    </row>
    <row r="101">
      <c r="A101" s="474"/>
      <c r="B101" s="200"/>
      <c r="C101" s="200"/>
      <c r="F101" s="200"/>
      <c r="G101" s="200"/>
      <c r="J101" s="465">
        <v>45559.0</v>
      </c>
      <c r="K101" s="466">
        <f>SUMIF(GRAFICO!A:A,J101,GRAFICO!B:B)</f>
        <v>13372.48866</v>
      </c>
      <c r="L101" s="467">
        <f t="shared" si="2"/>
        <v>0.2805451789</v>
      </c>
      <c r="M101" s="468">
        <v>45924.0</v>
      </c>
      <c r="N101" s="469">
        <f>IF(SUMIF(GRAFICO!A:A,M101,GRAFICO!B:B)=0,"",SUMIF(GRAFICO!A:A,M101,GRAFICO!B:B))</f>
        <v>19256.5744</v>
      </c>
      <c r="O101" s="467">
        <f t="shared" si="3"/>
        <v>0.3247792546</v>
      </c>
      <c r="P101" s="468">
        <v>46289.0</v>
      </c>
      <c r="Q101" s="463" t="str">
        <f>IF(SUMIF(GRAFICO!A:A,P101,GRAFICO!B:B)=0,"",SUMIF(GRAFICO!A:A,P101,GRAFICO!B:B))</f>
        <v/>
      </c>
      <c r="R101" s="463" t="str">
        <f t="shared" si="4"/>
        <v/>
      </c>
      <c r="S101" s="471">
        <f>CUENTAS!A90</f>
        <v>46012</v>
      </c>
      <c r="T101" s="459">
        <f>IF(CUENTAS!Q90/CUENTAS!$AB90&lt;&gt;0,CUENTAS!Q90/CUENTAS!$AB90,"")</f>
        <v>0.05305004917</v>
      </c>
      <c r="U101" s="459" t="str">
        <f>IF(CUENTAS!C90/CUENTAS!$AB90&lt;&gt;0,CUENTAS!C90/CUENTAS!$AB90,"")</f>
        <v/>
      </c>
      <c r="V101" s="459" t="str">
        <f>IF(CUENTAS!D90/CUENTAS!$AB90&lt;&gt;0,CUENTAS!D90/CUENTAS!$AB90,"")</f>
        <v/>
      </c>
      <c r="W101" s="459" t="str">
        <f>IF(CUENTAS!E90/CUENTAS!$AB90&lt;&gt;0,CUENTAS!E90/CUENTAS!$AB90,"")</f>
        <v/>
      </c>
      <c r="X101" s="459" t="str">
        <f>IF(CUENTAS!F90/CUENTAS!$AB90&lt;&gt;0,CUENTAS!F90/CUENTAS!$AB90,"")</f>
        <v/>
      </c>
      <c r="Y101" s="459">
        <f>IF(CUENTAS!G90/CUENTAS!$AB90&lt;&gt;0,CUENTAS!G90/CUENTAS!$AB90,"")</f>
        <v>0.0849318869</v>
      </c>
      <c r="Z101" s="459">
        <f>IF(CUENTAS!H90/CUENTAS!$AB90&lt;&gt;0,CUENTAS!H90/CUENTAS!$AB90,"")</f>
        <v>0.03719514779</v>
      </c>
      <c r="AA101" s="459">
        <f>IF(CUENTAS!I90/CUENTAS!$AB90&lt;&gt;0,CUENTAS!I90/CUENTAS!$AB90,"")</f>
        <v>0.07944456446</v>
      </c>
      <c r="AB101" s="459">
        <f>IF(CUENTAS!J90/CUENTAS!$AB90&lt;&gt;0,CUENTAS!J90/CUENTAS!$AB90,"")</f>
        <v>0.1965895059</v>
      </c>
      <c r="AC101" s="459">
        <f>IF(CUENTAS!K90/CUENTAS!$AB90&lt;&gt;0,CUENTAS!K90/CUENTAS!$AB90,"")</f>
        <v>0.05712352096</v>
      </c>
      <c r="AD101" s="459">
        <f>IF(CUENTAS!L90/CUENTAS!$AB90&lt;&gt;0,CUENTAS!L90/CUENTAS!$AB90,"")</f>
        <v>0.007810783294</v>
      </c>
      <c r="AE101" s="459">
        <f>IF(CUENTAS!M90/CUENTAS!$AB90&lt;&gt;0,CUENTAS!M90/CUENTAS!$AB90,"")</f>
        <v>0.05570868161</v>
      </c>
      <c r="AF101" s="459">
        <f>IF(CUENTAS!N90/CUENTAS!$AB90&lt;&gt;0,CUENTAS!N90/CUENTAS!$AB90,"")</f>
        <v>0.06232807327</v>
      </c>
      <c r="AG101" s="459" t="str">
        <f>IF(CUENTAS!O90/CUENTAS!$AB90&lt;&gt;0,CUENTAS!O90/CUENTAS!$AB90,"")</f>
        <v/>
      </c>
      <c r="AH101" s="459" t="str">
        <f>IF(CUENTAS!P90/CUENTAS!$AB90&lt;&gt;0,CUENTAS!P90/CUENTAS!$AB90,"")</f>
        <v/>
      </c>
      <c r="AI101" s="459">
        <f>IF(CUENTAS!R90/CUENTAS!$AB90&lt;&gt;0,CUENTAS!R90/CUENTAS!$AB90,"")</f>
        <v>0.05803075827</v>
      </c>
      <c r="AJ101" s="459" t="str">
        <f>IF(CUENTAS!B90/CUENTAS!$AB90&lt;&gt;0,CUENTAS!B90/CUENTAS!$AB90,"")</f>
        <v/>
      </c>
      <c r="AK101" s="459">
        <f>IF(CUENTAS!S90/CUENTAS!$AB90&lt;&gt;0,CUENTAS!S90/CUENTAS!$AB90,"")</f>
        <v>0.04188300011</v>
      </c>
      <c r="AL101" s="459">
        <f>IF(CUENTAS!T90/CUENTAS!$AB90&lt;&gt;0,CUENTAS!T90/CUENTAS!$AB90,"")</f>
        <v>0.06654787366</v>
      </c>
      <c r="AM101" s="459">
        <f>IF(CUENTAS!U90/CUENTAS!$AB90&lt;&gt;0,CUENTAS!U90/CUENTAS!$AB90,"")</f>
        <v>0.07706524527</v>
      </c>
      <c r="AN101" s="459">
        <f>IF(CUENTAS!V90/CUENTAS!$AB90&lt;&gt;0,CUENTAS!V90/CUENTAS!$AB90,"")</f>
        <v>0.1427078295</v>
      </c>
      <c r="AO101" s="459">
        <f>IF(CUENTAS!W90/CUENTAS!$AB90&lt;&gt;0,CUENTAS!W90/CUENTAS!$AB90,"")</f>
        <v>0.02101001835</v>
      </c>
      <c r="AP101" s="459">
        <f>IF(CUENTAS!X90/CUENTAS!$AB90&lt;&gt;0,CUENTAS!X90/CUENTAS!$AB90,"")</f>
        <v>0.06627434062</v>
      </c>
      <c r="AQ101" s="459">
        <f>IF(CUENTAS!Y90/CUENTAS!$AB90&lt;&gt;0,CUENTAS!Y90/CUENTAS!$AB90,"")</f>
        <v>0.02530047371</v>
      </c>
      <c r="AR101" s="459">
        <f>IF(CUENTAS!AA90/CUENTAS!$AB90&lt;&gt;0,CUENTAS!AA90/CUENTAS!$AB90,"")</f>
        <v>0.0736656724</v>
      </c>
    </row>
    <row r="102">
      <c r="A102" s="474"/>
      <c r="B102" s="200"/>
      <c r="C102" s="200"/>
      <c r="F102" s="200"/>
      <c r="G102" s="200"/>
      <c r="J102" s="470">
        <v>45558.0</v>
      </c>
      <c r="K102" s="466">
        <f>SUMIF(GRAFICO!A:A,J102,GRAFICO!B:B)</f>
        <v>13311.96358</v>
      </c>
      <c r="L102" s="467">
        <f t="shared" si="2"/>
        <v>0.2760088158</v>
      </c>
      <c r="M102" s="468">
        <v>45923.0</v>
      </c>
      <c r="N102" s="469">
        <f>IF(SUMIF(GRAFICO!A:A,M102,GRAFICO!B:B)=0,"",SUMIF(GRAFICO!A:A,M102,GRAFICO!B:B))</f>
        <v>19199.87789</v>
      </c>
      <c r="O102" s="467">
        <f t="shared" si="3"/>
        <v>0.3218306444</v>
      </c>
      <c r="P102" s="465">
        <v>46288.0</v>
      </c>
      <c r="Q102" s="463" t="str">
        <f>IF(SUMIF(GRAFICO!A:A,P102,GRAFICO!B:B)=0,"",SUMIF(GRAFICO!A:A,P102,GRAFICO!B:B))</f>
        <v/>
      </c>
      <c r="R102" s="463" t="str">
        <f t="shared" si="4"/>
        <v/>
      </c>
      <c r="S102" s="471">
        <f>CUENTAS!A91</f>
        <v>46011</v>
      </c>
      <c r="T102" s="459">
        <f>IF(CUENTAS!Q91/CUENTAS!$AB91&lt;&gt;0,CUENTAS!Q91/CUENTAS!$AB91,"")</f>
        <v>0.05308302124</v>
      </c>
      <c r="U102" s="459" t="str">
        <f>IF(CUENTAS!C91/CUENTAS!$AB91&lt;&gt;0,CUENTAS!C91/CUENTAS!$AB91,"")</f>
        <v/>
      </c>
      <c r="V102" s="459" t="str">
        <f>IF(CUENTAS!D91/CUENTAS!$AB91&lt;&gt;0,CUENTAS!D91/CUENTAS!$AB91,"")</f>
        <v/>
      </c>
      <c r="W102" s="459" t="str">
        <f>IF(CUENTAS!E91/CUENTAS!$AB91&lt;&gt;0,CUENTAS!E91/CUENTAS!$AB91,"")</f>
        <v/>
      </c>
      <c r="X102" s="459" t="str">
        <f>IF(CUENTAS!F91/CUENTAS!$AB91&lt;&gt;0,CUENTAS!F91/CUENTAS!$AB91,"")</f>
        <v/>
      </c>
      <c r="Y102" s="459">
        <f>IF(CUENTAS!G91/CUENTAS!$AB91&lt;&gt;0,CUENTAS!G91/CUENTAS!$AB91,"")</f>
        <v>0.08498467442</v>
      </c>
      <c r="Z102" s="459">
        <f>IF(CUENTAS!H91/CUENTAS!$AB91&lt;&gt;0,CUENTAS!H91/CUENTAS!$AB91,"")</f>
        <v>0.0372182656</v>
      </c>
      <c r="AA102" s="459">
        <f>IF(CUENTAS!I91/CUENTAS!$AB91&lt;&gt;0,CUENTAS!I91/CUENTAS!$AB91,"")</f>
        <v>0.07949394145</v>
      </c>
      <c r="AB102" s="459">
        <f>IF(CUENTAS!J91/CUENTAS!$AB91&lt;&gt;0,CUENTAS!J91/CUENTAS!$AB91,"")</f>
        <v>0.1967116917</v>
      </c>
      <c r="AC102" s="459">
        <f>IF(CUENTAS!K91/CUENTAS!$AB91&lt;&gt;0,CUENTAS!K91/CUENTAS!$AB91,"")</f>
        <v>0.05715902481</v>
      </c>
      <c r="AD102" s="459">
        <f>IF(CUENTAS!L91/CUENTAS!$AB91&lt;&gt;0,CUENTAS!L91/CUENTAS!$AB91,"")</f>
        <v>0.007815637912</v>
      </c>
      <c r="AE102" s="459">
        <f>IF(CUENTAS!M91/CUENTAS!$AB91&lt;&gt;0,CUENTAS!M91/CUENTAS!$AB91,"")</f>
        <v>0.05574330609</v>
      </c>
      <c r="AF102" s="459">
        <f>IF(CUENTAS!N91/CUENTAS!$AB91&lt;&gt;0,CUENTAS!N91/CUENTAS!$AB91,"")</f>
        <v>0.06236681189</v>
      </c>
      <c r="AG102" s="459" t="str">
        <f>IF(CUENTAS!O91/CUENTAS!$AB91&lt;&gt;0,CUENTAS!O91/CUENTAS!$AB91,"")</f>
        <v/>
      </c>
      <c r="AH102" s="459" t="str">
        <f>IF(CUENTAS!P91/CUENTAS!$AB91&lt;&gt;0,CUENTAS!P91/CUENTAS!$AB91,"")</f>
        <v/>
      </c>
      <c r="AI102" s="459">
        <f>IF(CUENTAS!R91/CUENTAS!$AB91&lt;&gt;0,CUENTAS!R91/CUENTAS!$AB91,"")</f>
        <v>0.05823510954</v>
      </c>
      <c r="AJ102" s="459" t="str">
        <f>IF(CUENTAS!B91/CUENTAS!$AB91&lt;&gt;0,CUENTAS!B91/CUENTAS!$AB91,"")</f>
        <v/>
      </c>
      <c r="AK102" s="459">
        <f>IF(CUENTAS!S91/CUENTAS!$AB91&lt;&gt;0,CUENTAS!S91/CUENTAS!$AB91,"")</f>
        <v>0.04184087487</v>
      </c>
      <c r="AL102" s="459">
        <f>IF(CUENTAS!T91/CUENTAS!$AB91&lt;&gt;0,CUENTAS!T91/CUENTAS!$AB91,"")</f>
        <v>0.06649871211</v>
      </c>
      <c r="AM102" s="459">
        <f>IF(CUENTAS!U91/CUENTAS!$AB91&lt;&gt;0,CUENTAS!U91/CUENTAS!$AB91,"")</f>
        <v>0.07701243055</v>
      </c>
      <c r="AN102" s="459">
        <f>IF(CUENTAS!V91/CUENTAS!$AB91&lt;&gt;0,CUENTAS!V91/CUENTAS!$AB91,"")</f>
        <v>0.1427679728</v>
      </c>
      <c r="AO102" s="459">
        <f>IF(CUENTAS!W91/CUENTAS!$AB91&lt;&gt;0,CUENTAS!W91/CUENTAS!$AB91,"")</f>
        <v>0.02052841603</v>
      </c>
      <c r="AP102" s="459">
        <f>IF(CUENTAS!X91/CUENTAS!$AB91&lt;&gt;0,CUENTAS!X91/CUENTAS!$AB91,"")</f>
        <v>0.06621504943</v>
      </c>
      <c r="AQ102" s="459">
        <f>IF(CUENTAS!Y91/CUENTAS!$AB91&lt;&gt;0,CUENTAS!Y91/CUENTAS!$AB91,"")</f>
        <v>0.0252502688</v>
      </c>
      <c r="AR102" s="459">
        <f>IF(CUENTAS!AA91/CUENTAS!$AB91&lt;&gt;0,CUENTAS!AA91/CUENTAS!$AB91,"")</f>
        <v>0.07371145765</v>
      </c>
    </row>
    <row r="103">
      <c r="A103" s="474"/>
      <c r="B103" s="200"/>
      <c r="C103" s="200"/>
      <c r="F103" s="200"/>
      <c r="G103" s="200"/>
      <c r="J103" s="470">
        <v>45557.0</v>
      </c>
      <c r="K103" s="466">
        <f>SUMIF(GRAFICO!A:A,J103,GRAFICO!B:B)</f>
        <v>13242.36375</v>
      </c>
      <c r="L103" s="467">
        <f t="shared" si="2"/>
        <v>0.270766733</v>
      </c>
      <c r="M103" s="468">
        <v>45922.0</v>
      </c>
      <c r="N103" s="469">
        <f>IF(SUMIF(GRAFICO!A:A,M103,GRAFICO!B:B)=0,"",SUMIF(GRAFICO!A:A,M103,GRAFICO!B:B))</f>
        <v>19199.02513</v>
      </c>
      <c r="O103" s="467">
        <f t="shared" si="3"/>
        <v>0.3217862284</v>
      </c>
      <c r="P103" s="468">
        <v>46287.0</v>
      </c>
      <c r="Q103" s="463" t="str">
        <f>IF(SUMIF(GRAFICO!A:A,P103,GRAFICO!B:B)=0,"",SUMIF(GRAFICO!A:A,P103,GRAFICO!B:B))</f>
        <v/>
      </c>
      <c r="R103" s="463" t="str">
        <f t="shared" si="4"/>
        <v/>
      </c>
      <c r="S103" s="471">
        <f>CUENTAS!A92</f>
        <v>46010</v>
      </c>
      <c r="T103" s="459">
        <f>IF(CUENTAS!Q92/CUENTAS!$AB92&lt;&gt;0,CUENTAS!Q92/CUENTAS!$AB92,"")</f>
        <v>0.05311603402</v>
      </c>
      <c r="U103" s="459" t="str">
        <f>IF(CUENTAS!C92/CUENTAS!$AB92&lt;&gt;0,CUENTAS!C92/CUENTAS!$AB92,"")</f>
        <v/>
      </c>
      <c r="V103" s="459" t="str">
        <f>IF(CUENTAS!D92/CUENTAS!$AB92&lt;&gt;0,CUENTAS!D92/CUENTAS!$AB92,"")</f>
        <v/>
      </c>
      <c r="W103" s="459" t="str">
        <f>IF(CUENTAS!E92/CUENTAS!$AB92&lt;&gt;0,CUENTAS!E92/CUENTAS!$AB92,"")</f>
        <v/>
      </c>
      <c r="X103" s="459" t="str">
        <f>IF(CUENTAS!F92/CUENTAS!$AB92&lt;&gt;0,CUENTAS!F92/CUENTAS!$AB92,"")</f>
        <v/>
      </c>
      <c r="Y103" s="459">
        <f>IF(CUENTAS!G92/CUENTAS!$AB92&lt;&gt;0,CUENTAS!G92/CUENTAS!$AB92,"")</f>
        <v>0.0850375271</v>
      </c>
      <c r="Z103" s="459">
        <f>IF(CUENTAS!H92/CUENTAS!$AB92&lt;&gt;0,CUENTAS!H92/CUENTAS!$AB92,"")</f>
        <v>0.03724141195</v>
      </c>
      <c r="AA103" s="459">
        <f>IF(CUENTAS!I92/CUENTAS!$AB92&lt;&gt;0,CUENTAS!I92/CUENTAS!$AB92,"")</f>
        <v>0.07954337941</v>
      </c>
      <c r="AB103" s="459">
        <f>IF(CUENTAS!J92/CUENTAS!$AB92&lt;&gt;0,CUENTAS!J92/CUENTAS!$AB92,"")</f>
        <v>0.1968340283</v>
      </c>
      <c r="AC103" s="459">
        <f>IF(CUENTAS!K92/CUENTAS!$AB92&lt;&gt;0,CUENTAS!K92/CUENTAS!$AB92,"")</f>
        <v>0.05719457249</v>
      </c>
      <c r="AD103" s="459">
        <f>IF(CUENTAS!L92/CUENTAS!$AB92&lt;&gt;0,CUENTAS!L92/CUENTAS!$AB92,"")</f>
        <v>0.007820498523</v>
      </c>
      <c r="AE103" s="459">
        <f>IF(CUENTAS!M92/CUENTAS!$AB92&lt;&gt;0,CUENTAS!M92/CUENTAS!$AB92,"")</f>
        <v>0.05577797333</v>
      </c>
      <c r="AF103" s="459">
        <f>IF(CUENTAS!N92/CUENTAS!$AB92&lt;&gt;0,CUENTAS!N92/CUENTAS!$AB92,"")</f>
        <v>0.06240559834</v>
      </c>
      <c r="AG103" s="459" t="str">
        <f>IF(CUENTAS!O92/CUENTAS!$AB92&lt;&gt;0,CUENTAS!O92/CUENTAS!$AB92,"")</f>
        <v/>
      </c>
      <c r="AH103" s="459" t="str">
        <f>IF(CUENTAS!P92/CUENTAS!$AB92&lt;&gt;0,CUENTAS!P92/CUENTAS!$AB92,"")</f>
        <v/>
      </c>
      <c r="AI103" s="459">
        <f>IF(CUENTAS!R92/CUENTAS!$AB92&lt;&gt;0,CUENTAS!R92/CUENTAS!$AB92,"")</f>
        <v>0.05843971465</v>
      </c>
      <c r="AJ103" s="459" t="str">
        <f>IF(CUENTAS!B92/CUENTAS!$AB92&lt;&gt;0,CUENTAS!B92/CUENTAS!$AB92,"")</f>
        <v/>
      </c>
      <c r="AK103" s="459">
        <f>IF(CUENTAS!S92/CUENTAS!$AB92&lt;&gt;0,CUENTAS!S92/CUENTAS!$AB92,"")</f>
        <v>0.041798697</v>
      </c>
      <c r="AL103" s="459">
        <f>IF(CUENTAS!T92/CUENTAS!$AB92&lt;&gt;0,CUENTAS!T92/CUENTAS!$AB92,"")</f>
        <v>0.06644948903</v>
      </c>
      <c r="AM103" s="459">
        <f>IF(CUENTAS!U92/CUENTAS!$AB92&lt;&gt;0,CUENTAS!U92/CUENTAS!$AB92,"")</f>
        <v>0.07695954969</v>
      </c>
      <c r="AN103" s="459">
        <f>IF(CUENTAS!V92/CUENTAS!$AB92&lt;&gt;0,CUENTAS!V92/CUENTAS!$AB92,"")</f>
        <v>0.1428281958</v>
      </c>
      <c r="AO103" s="459">
        <f>IF(CUENTAS!W92/CUENTAS!$AB92&lt;&gt;0,CUENTAS!W92/CUENTAS!$AB92,"")</f>
        <v>0.02004621457</v>
      </c>
      <c r="AP103" s="459">
        <f>IF(CUENTAS!X92/CUENTAS!$AB92&lt;&gt;0,CUENTAS!X92/CUENTAS!$AB92,"")</f>
        <v>0.06615568412</v>
      </c>
      <c r="AQ103" s="459">
        <f>IF(CUENTAS!Y92/CUENTAS!$AB92&lt;&gt;0,CUENTAS!Y92/CUENTAS!$AB92,"")</f>
        <v>0.0252000013</v>
      </c>
      <c r="AR103" s="459">
        <f>IF(CUENTAS!AA92/CUENTAS!$AB92&lt;&gt;0,CUENTAS!AA92/CUENTAS!$AB92,"")</f>
        <v>0.07375729943</v>
      </c>
    </row>
    <row r="104">
      <c r="A104" s="474"/>
      <c r="B104" s="200"/>
      <c r="C104" s="200"/>
      <c r="F104" s="200"/>
      <c r="G104" s="200"/>
      <c r="J104" s="470">
        <v>45556.0</v>
      </c>
      <c r="K104" s="466">
        <f>SUMIF(GRAFICO!A:A,J104,GRAFICO!B:B)</f>
        <v>13229.51741</v>
      </c>
      <c r="L104" s="467">
        <f t="shared" si="2"/>
        <v>0.2697961683</v>
      </c>
      <c r="M104" s="468">
        <v>45921.0</v>
      </c>
      <c r="N104" s="469">
        <f>IF(SUMIF(GRAFICO!A:A,M104,GRAFICO!B:B)=0,"",SUMIF(GRAFICO!A:A,M104,GRAFICO!B:B))</f>
        <v>19097.19005</v>
      </c>
      <c r="O104" s="467">
        <f t="shared" si="3"/>
        <v>0.3164679313</v>
      </c>
      <c r="P104" s="465">
        <v>46286.0</v>
      </c>
      <c r="Q104" s="463" t="str">
        <f>IF(SUMIF(GRAFICO!A:A,P104,GRAFICO!B:B)=0,"",SUMIF(GRAFICO!A:A,P104,GRAFICO!B:B))</f>
        <v/>
      </c>
      <c r="R104" s="463" t="str">
        <f t="shared" si="4"/>
        <v/>
      </c>
      <c r="S104" s="471">
        <f>CUENTAS!A93</f>
        <v>46009</v>
      </c>
      <c r="T104" s="459">
        <f>IF(CUENTAS!Q93/CUENTAS!$AB93&lt;&gt;0,CUENTAS!Q93/CUENTAS!$AB93,"")</f>
        <v>0.05342740398</v>
      </c>
      <c r="U104" s="459" t="str">
        <f>IF(CUENTAS!C93/CUENTAS!$AB93&lt;&gt;0,CUENTAS!C93/CUENTAS!$AB93,"")</f>
        <v/>
      </c>
      <c r="V104" s="459" t="str">
        <f>IF(CUENTAS!D93/CUENTAS!$AB93&lt;&gt;0,CUENTAS!D93/CUENTAS!$AB93,"")</f>
        <v/>
      </c>
      <c r="W104" s="459" t="str">
        <f>IF(CUENTAS!E93/CUENTAS!$AB93&lt;&gt;0,CUENTAS!E93/CUENTAS!$AB93,"")</f>
        <v/>
      </c>
      <c r="X104" s="459" t="str">
        <f>IF(CUENTAS!F93/CUENTAS!$AB93&lt;&gt;0,CUENTAS!F93/CUENTAS!$AB93,"")</f>
        <v/>
      </c>
      <c r="Y104" s="459">
        <f>IF(CUENTAS!G93/CUENTAS!$AB93&lt;&gt;0,CUENTAS!G93/CUENTAS!$AB93,"")</f>
        <v>0.08621992051</v>
      </c>
      <c r="Z104" s="459">
        <f>IF(CUENTAS!H93/CUENTAS!$AB93&lt;&gt;0,CUENTAS!H93/CUENTAS!$AB93,"")</f>
        <v>0.03708726694</v>
      </c>
      <c r="AA104" s="459">
        <f>IF(CUENTAS!I93/CUENTAS!$AB93&lt;&gt;0,CUENTAS!I93/CUENTAS!$AB93,"")</f>
        <v>0.07882078037</v>
      </c>
      <c r="AB104" s="459">
        <f>IF(CUENTAS!J93/CUENTAS!$AB93&lt;&gt;0,CUENTAS!J93/CUENTAS!$AB93,"")</f>
        <v>0.2006077719</v>
      </c>
      <c r="AC104" s="459">
        <f>IF(CUENTAS!K93/CUENTAS!$AB93&lt;&gt;0,CUENTAS!K93/CUENTAS!$AB93,"")</f>
        <v>0.05733816708</v>
      </c>
      <c r="AD104" s="459">
        <f>IF(CUENTAS!L93/CUENTAS!$AB93&lt;&gt;0,CUENTAS!L93/CUENTAS!$AB93,"")</f>
        <v>0.007728975403</v>
      </c>
      <c r="AE104" s="459">
        <f>IF(CUENTAS!M93/CUENTAS!$AB93&lt;&gt;0,CUENTAS!M93/CUENTAS!$AB93,"")</f>
        <v>0.05489541702</v>
      </c>
      <c r="AF104" s="459">
        <f>IF(CUENTAS!N93/CUENTAS!$AB93&lt;&gt;0,CUENTAS!N93/CUENTAS!$AB93,"")</f>
        <v>0.06143797008</v>
      </c>
      <c r="AG104" s="459" t="str">
        <f>IF(CUENTAS!O93/CUENTAS!$AB93&lt;&gt;0,CUENTAS!O93/CUENTAS!$AB93,"")</f>
        <v/>
      </c>
      <c r="AH104" s="459" t="str">
        <f>IF(CUENTAS!P93/CUENTAS!$AB93&lt;&gt;0,CUENTAS!P93/CUENTAS!$AB93,"")</f>
        <v/>
      </c>
      <c r="AI104" s="459">
        <f>IF(CUENTAS!R93/CUENTAS!$AB93&lt;&gt;0,CUENTAS!R93/CUENTAS!$AB93,"")</f>
        <v>0.05829114482</v>
      </c>
      <c r="AJ104" s="459" t="str">
        <f>IF(CUENTAS!B93/CUENTAS!$AB93&lt;&gt;0,CUENTAS!B93/CUENTAS!$AB93,"")</f>
        <v/>
      </c>
      <c r="AK104" s="459">
        <f>IF(CUENTAS!S93/CUENTAS!$AB93&lt;&gt;0,CUENTAS!S93/CUENTAS!$AB93,"")</f>
        <v>0.04150481555</v>
      </c>
      <c r="AL104" s="459">
        <f>IF(CUENTAS!T93/CUENTAS!$AB93&lt;&gt;0,CUENTAS!T93/CUENTAS!$AB93,"")</f>
        <v>0.06600003474</v>
      </c>
      <c r="AM104" s="459">
        <f>IF(CUENTAS!U93/CUENTAS!$AB93&lt;&gt;0,CUENTAS!U93/CUENTAS!$AB93,"")</f>
        <v>0.07644311482</v>
      </c>
      <c r="AN104" s="459">
        <f>IF(CUENTAS!V93/CUENTAS!$AB93&lt;&gt;0,CUENTAS!V93/CUENTAS!$AB93,"")</f>
        <v>0.1420273622</v>
      </c>
      <c r="AO104" s="459">
        <f>IF(CUENTAS!W93/CUENTAS!$AB93&lt;&gt;0,CUENTAS!W93/CUENTAS!$AB93,"")</f>
        <v>0.01944551136</v>
      </c>
      <c r="AP104" s="459">
        <f>IF(CUENTAS!X93/CUENTAS!$AB93&lt;&gt;0,CUENTAS!X93/CUENTAS!$AB93,"")</f>
        <v>0.06569790682</v>
      </c>
      <c r="AQ104" s="459">
        <f>IF(CUENTAS!Y93/CUENTAS!$AB93&lt;&gt;0,CUENTAS!Y93/CUENTAS!$AB93,"")</f>
        <v>0.02499810329</v>
      </c>
      <c r="AR104" s="459">
        <f>IF(CUENTAS!AA93/CUENTAS!$AB93&lt;&gt;0,CUENTAS!AA93/CUENTAS!$AB93,"")</f>
        <v>0.07335841315</v>
      </c>
    </row>
    <row r="105">
      <c r="A105" s="474"/>
      <c r="B105" s="200"/>
      <c r="C105" s="200"/>
      <c r="F105" s="200"/>
      <c r="G105" s="200"/>
      <c r="J105" s="465">
        <v>45555.0</v>
      </c>
      <c r="K105" s="466">
        <f>SUMIF(GRAFICO!A:A,J105,GRAFICO!B:B)</f>
        <v>13216.67433</v>
      </c>
      <c r="L105" s="467">
        <f t="shared" si="2"/>
        <v>0.2688249066</v>
      </c>
      <c r="M105" s="468">
        <v>45920.0</v>
      </c>
      <c r="N105" s="469">
        <f>IF(SUMIF(GRAFICO!A:A,M105,GRAFICO!B:B)=0,"",SUMIF(GRAFICO!A:A,M105,GRAFICO!B:B))</f>
        <v>19089.3118</v>
      </c>
      <c r="O105" s="467">
        <f t="shared" si="3"/>
        <v>0.3160553118</v>
      </c>
      <c r="P105" s="468">
        <v>46285.0</v>
      </c>
      <c r="Q105" s="463" t="str">
        <f>IF(SUMIF(GRAFICO!A:A,P105,GRAFICO!B:B)=0,"",SUMIF(GRAFICO!A:A,P105,GRAFICO!B:B))</f>
        <v/>
      </c>
      <c r="R105" s="463" t="str">
        <f t="shared" si="4"/>
        <v/>
      </c>
      <c r="S105" s="471">
        <f>CUENTAS!A94</f>
        <v>46008</v>
      </c>
      <c r="T105" s="459">
        <f>IF(CUENTAS!Q94/CUENTAS!$AB94&lt;&gt;0,CUENTAS!Q94/CUENTAS!$AB94,"")</f>
        <v>0.05386417375</v>
      </c>
      <c r="U105" s="459" t="str">
        <f>IF(CUENTAS!C94/CUENTAS!$AB94&lt;&gt;0,CUENTAS!C94/CUENTAS!$AB94,"")</f>
        <v/>
      </c>
      <c r="V105" s="459" t="str">
        <f>IF(CUENTAS!D94/CUENTAS!$AB94&lt;&gt;0,CUENTAS!D94/CUENTAS!$AB94,"")</f>
        <v/>
      </c>
      <c r="W105" s="459" t="str">
        <f>IF(CUENTAS!E94/CUENTAS!$AB94&lt;&gt;0,CUENTAS!E94/CUENTAS!$AB94,"")</f>
        <v/>
      </c>
      <c r="X105" s="459" t="str">
        <f>IF(CUENTAS!F94/CUENTAS!$AB94&lt;&gt;0,CUENTAS!F94/CUENTAS!$AB94,"")</f>
        <v/>
      </c>
      <c r="Y105" s="459">
        <f>IF(CUENTAS!G94/CUENTAS!$AB94&lt;&gt;0,CUENTAS!G94/CUENTAS!$AB94,"")</f>
        <v>0.08616647266</v>
      </c>
      <c r="Z105" s="459">
        <f>IF(CUENTAS!H94/CUENTAS!$AB94&lt;&gt;0,CUENTAS!H94/CUENTAS!$AB94,"")</f>
        <v>0.0361164088</v>
      </c>
      <c r="AA105" s="459">
        <f>IF(CUENTAS!I94/CUENTAS!$AB94&lt;&gt;0,CUENTAS!I94/CUENTAS!$AB94,"")</f>
        <v>0.07823074212</v>
      </c>
      <c r="AB105" s="459">
        <f>IF(CUENTAS!J94/CUENTAS!$AB94&lt;&gt;0,CUENTAS!J94/CUENTAS!$AB94,"")</f>
        <v>0.1698630968</v>
      </c>
      <c r="AC105" s="459">
        <f>IF(CUENTAS!K94/CUENTAS!$AB94&lt;&gt;0,CUENTAS!K94/CUENTAS!$AB94,"")</f>
        <v>0.05725557833</v>
      </c>
      <c r="AD105" s="459">
        <f>IF(CUENTAS!L94/CUENTAS!$AB94&lt;&gt;0,CUENTAS!L94/CUENTAS!$AB94,"")</f>
        <v>0.007550121788</v>
      </c>
      <c r="AE105" s="459">
        <f>IF(CUENTAS!M94/CUENTAS!$AB94&lt;&gt;0,CUENTAS!M94/CUENTAS!$AB94,"")</f>
        <v>0.05391103253</v>
      </c>
      <c r="AF105" s="459">
        <f>IF(CUENTAS!N94/CUENTAS!$AB94&lt;&gt;0,CUENTAS!N94/CUENTAS!$AB94,"")</f>
        <v>0.06085394256</v>
      </c>
      <c r="AG105" s="459" t="str">
        <f>IF(CUENTAS!O94/CUENTAS!$AB94&lt;&gt;0,CUENTAS!O94/CUENTAS!$AB94,"")</f>
        <v/>
      </c>
      <c r="AH105" s="459" t="str">
        <f>IF(CUENTAS!P94/CUENTAS!$AB94&lt;&gt;0,CUENTAS!P94/CUENTAS!$AB94,"")</f>
        <v/>
      </c>
      <c r="AI105" s="459">
        <f>IF(CUENTAS!R94/CUENTAS!$AB94&lt;&gt;0,CUENTAS!R94/CUENTAS!$AB94,"")</f>
        <v>0.05796236501</v>
      </c>
      <c r="AJ105" s="459" t="str">
        <f>IF(CUENTAS!B94/CUENTAS!$AB94&lt;&gt;0,CUENTAS!B94/CUENTAS!$AB94,"")</f>
        <v/>
      </c>
      <c r="AK105" s="459">
        <f>IF(CUENTAS!S94/CUENTAS!$AB94&lt;&gt;0,CUENTAS!S94/CUENTAS!$AB94,"")</f>
        <v>0.04108522525</v>
      </c>
      <c r="AL105" s="459">
        <f>IF(CUENTAS!T94/CUENTAS!$AB94&lt;&gt;0,CUENTAS!T94/CUENTAS!$AB94,"")</f>
        <v>0.0653504335</v>
      </c>
      <c r="AM105" s="459">
        <f>IF(CUENTAS!U94/CUENTAS!$AB94&lt;&gt;0,CUENTAS!U94/CUENTAS!$AB94,"")</f>
        <v>0.07569480679</v>
      </c>
      <c r="AN105" s="459">
        <f>IF(CUENTAS!V94/CUENTAS!$AB94&lt;&gt;0,CUENTAS!V94/CUENTAS!$AB94,"")</f>
        <v>0.1407935281</v>
      </c>
      <c r="AO105" s="459">
        <f>IF(CUENTAS!W94/CUENTAS!$AB94&lt;&gt;0,CUENTAS!W94/CUENTAS!$AB94,"")</f>
        <v>0.01879232537</v>
      </c>
      <c r="AP105" s="459">
        <f>IF(CUENTAS!X94/CUENTAS!$AB94&lt;&gt;0,CUENTAS!X94/CUENTAS!$AB94,"")</f>
        <v>0.06504104258</v>
      </c>
      <c r="AQ105" s="459">
        <f>IF(CUENTAS!Y94/CUENTAS!$AB94&lt;&gt;0,CUENTAS!Y94/CUENTAS!$AB94,"")</f>
        <v>0.02472083641</v>
      </c>
      <c r="AR105" s="459">
        <f>IF(CUENTAS!AA94/CUENTAS!$AB94&lt;&gt;0,CUENTAS!AA94/CUENTAS!$AB94,"")</f>
        <v>0.1101777929</v>
      </c>
    </row>
    <row r="106">
      <c r="A106" s="474"/>
      <c r="B106" s="200"/>
      <c r="C106" s="200"/>
      <c r="F106" s="200"/>
      <c r="G106" s="200"/>
      <c r="J106" s="465">
        <v>45554.0</v>
      </c>
      <c r="K106" s="466">
        <f>SUMIF(GRAFICO!A:A,J106,GRAFICO!B:B)</f>
        <v>13159.20517</v>
      </c>
      <c r="L106" s="467">
        <f t="shared" si="2"/>
        <v>0.2644671938</v>
      </c>
      <c r="M106" s="468">
        <v>45919.0</v>
      </c>
      <c r="N106" s="469">
        <f>IF(SUMIF(GRAFICO!A:A,M106,GRAFICO!B:B)=0,"",SUMIF(GRAFICO!A:A,M106,GRAFICO!B:B))</f>
        <v>19058.70442</v>
      </c>
      <c r="O106" s="467">
        <f t="shared" si="3"/>
        <v>0.3144506474</v>
      </c>
      <c r="P106" s="465">
        <v>46284.0</v>
      </c>
      <c r="Q106" s="463" t="str">
        <f>IF(SUMIF(GRAFICO!A:A,P106,GRAFICO!B:B)=0,"",SUMIF(GRAFICO!A:A,P106,GRAFICO!B:B))</f>
        <v/>
      </c>
      <c r="R106" s="463" t="str">
        <f t="shared" si="4"/>
        <v/>
      </c>
      <c r="S106" s="471">
        <f>CUENTAS!A95</f>
        <v>46007</v>
      </c>
      <c r="T106" s="459">
        <f>IF(CUENTAS!Q95/CUENTAS!$AB95&lt;&gt;0,CUENTAS!Q95/CUENTAS!$AB95,"")</f>
        <v>0.05363117327</v>
      </c>
      <c r="U106" s="459" t="str">
        <f>IF(CUENTAS!C95/CUENTAS!$AB95&lt;&gt;0,CUENTAS!C95/CUENTAS!$AB95,"")</f>
        <v/>
      </c>
      <c r="V106" s="459" t="str">
        <f>IF(CUENTAS!D95/CUENTAS!$AB95&lt;&gt;0,CUENTAS!D95/CUENTAS!$AB95,"")</f>
        <v/>
      </c>
      <c r="W106" s="459" t="str">
        <f>IF(CUENTAS!E95/CUENTAS!$AB95&lt;&gt;0,CUENTAS!E95/CUENTAS!$AB95,"")</f>
        <v/>
      </c>
      <c r="X106" s="459" t="str">
        <f>IF(CUENTAS!F95/CUENTAS!$AB95&lt;&gt;0,CUENTAS!F95/CUENTAS!$AB95,"")</f>
        <v/>
      </c>
      <c r="Y106" s="459">
        <f>IF(CUENTAS!G95/CUENTAS!$AB95&lt;&gt;0,CUENTAS!G95/CUENTAS!$AB95,"")</f>
        <v>0.08787103143</v>
      </c>
      <c r="Z106" s="459">
        <f>IF(CUENTAS!H95/CUENTAS!$AB95&lt;&gt;0,CUENTAS!H95/CUENTAS!$AB95,"")</f>
        <v>0.03653035618</v>
      </c>
      <c r="AA106" s="459">
        <f>IF(CUENTAS!I95/CUENTAS!$AB95&lt;&gt;0,CUENTAS!I95/CUENTAS!$AB95,"")</f>
        <v>0.08004981866</v>
      </c>
      <c r="AB106" s="459">
        <f>IF(CUENTAS!J95/CUENTAS!$AB95&lt;&gt;0,CUENTAS!J95/CUENTAS!$AB95,"")</f>
        <v>0.1764967413</v>
      </c>
      <c r="AC106" s="459">
        <f>IF(CUENTAS!K95/CUENTAS!$AB95&lt;&gt;0,CUENTAS!K95/CUENTAS!$AB95,"")</f>
        <v>0.05865517536</v>
      </c>
      <c r="AD106" s="459">
        <f>IF(CUENTAS!L95/CUENTAS!$AB95&lt;&gt;0,CUENTAS!L95/CUENTAS!$AB95,"")</f>
        <v>0.00759382914</v>
      </c>
      <c r="AE106" s="459">
        <f>IF(CUENTAS!M95/CUENTAS!$AB95&lt;&gt;0,CUENTAS!M95/CUENTAS!$AB95,"")</f>
        <v>0.05539731681</v>
      </c>
      <c r="AF106" s="459">
        <f>IF(CUENTAS!N95/CUENTAS!$AB95&lt;&gt;0,CUENTAS!N95/CUENTAS!$AB95,"")</f>
        <v>0.05959019253</v>
      </c>
      <c r="AG106" s="459" t="str">
        <f>IF(CUENTAS!O95/CUENTAS!$AB95&lt;&gt;0,CUENTAS!O95/CUENTAS!$AB95,"")</f>
        <v/>
      </c>
      <c r="AH106" s="459" t="str">
        <f>IF(CUENTAS!P95/CUENTAS!$AB95&lt;&gt;0,CUENTAS!P95/CUENTAS!$AB95,"")</f>
        <v/>
      </c>
      <c r="AI106" s="459">
        <f>IF(CUENTAS!R95/CUENTAS!$AB95&lt;&gt;0,CUENTAS!R95/CUENTAS!$AB95,"")</f>
        <v>0.05835928261</v>
      </c>
      <c r="AJ106" s="459" t="str">
        <f>IF(CUENTAS!B95/CUENTAS!$AB95&lt;&gt;0,CUENTAS!B95/CUENTAS!$AB95,"")</f>
        <v/>
      </c>
      <c r="AK106" s="459">
        <f>IF(CUENTAS!S95/CUENTAS!$AB95&lt;&gt;0,CUENTAS!S95/CUENTAS!$AB95,"")</f>
        <v>0.04118087705</v>
      </c>
      <c r="AL106" s="459">
        <f>IF(CUENTAS!T95/CUENTAS!$AB95&lt;&gt;0,CUENTAS!T95/CUENTAS!$AB95,"")</f>
        <v>0.06552029877</v>
      </c>
      <c r="AM106" s="459">
        <f>IF(CUENTAS!U95/CUENTAS!$AB95&lt;&gt;0,CUENTAS!U95/CUENTAS!$AB95,"")</f>
        <v>0.07589566053</v>
      </c>
      <c r="AN106" s="459">
        <f>IF(CUENTAS!V95/CUENTAS!$AB95&lt;&gt;0,CUENTAS!V95/CUENTAS!$AB95,"")</f>
        <v>0.1413244363</v>
      </c>
      <c r="AO106" s="459">
        <f>IF(CUENTAS!W95/CUENTAS!$AB95&lt;&gt;0,CUENTAS!W95/CUENTAS!$AB95,"")</f>
        <v>0.005415062725</v>
      </c>
      <c r="AP106" s="459">
        <f>IF(CUENTAS!X95/CUENTAS!$AB95&lt;&gt;0,CUENTAS!X95/CUENTAS!$AB95,"")</f>
        <v>0.06519981227</v>
      </c>
      <c r="AQ106" s="459">
        <f>IF(CUENTAS!Y95/CUENTAS!$AB95&lt;&gt;0,CUENTAS!Y95/CUENTAS!$AB95,"")</f>
        <v>0.02475370178</v>
      </c>
      <c r="AR106" s="459">
        <f>IF(CUENTAS!AA95/CUENTAS!$AB95&lt;&gt;0,CUENTAS!AA95/CUENTAS!$AB95,"")</f>
        <v>0.110615373</v>
      </c>
    </row>
    <row r="107">
      <c r="A107" s="474"/>
      <c r="B107" s="200"/>
      <c r="C107" s="200"/>
      <c r="F107" s="200"/>
      <c r="G107" s="200"/>
      <c r="J107" s="465">
        <v>45553.0</v>
      </c>
      <c r="K107" s="466">
        <f>SUMIF(GRAFICO!A:A,J107,GRAFICO!B:B)</f>
        <v>13064.4129</v>
      </c>
      <c r="L107" s="467">
        <f t="shared" si="2"/>
        <v>0.2572376289</v>
      </c>
      <c r="M107" s="468">
        <v>45918.0</v>
      </c>
      <c r="N107" s="469">
        <f>IF(SUMIF(GRAFICO!A:A,M107,GRAFICO!B:B)=0,"",SUMIF(GRAFICO!A:A,M107,GRAFICO!B:B))</f>
        <v>19022.91034</v>
      </c>
      <c r="O107" s="467">
        <f t="shared" si="3"/>
        <v>0.312570785</v>
      </c>
      <c r="P107" s="468">
        <v>46283.0</v>
      </c>
      <c r="Q107" s="463" t="str">
        <f>IF(SUMIF(GRAFICO!A:A,P107,GRAFICO!B:B)=0,"",SUMIF(GRAFICO!A:A,P107,GRAFICO!B:B))</f>
        <v/>
      </c>
      <c r="R107" s="463" t="str">
        <f t="shared" si="4"/>
        <v/>
      </c>
      <c r="S107" s="471">
        <f>CUENTAS!A96</f>
        <v>46006</v>
      </c>
      <c r="T107" s="459">
        <f>IF(CUENTAS!Q96/CUENTAS!$AB96&lt;&gt;0,CUENTAS!Q96/CUENTAS!$AB96,"")</f>
        <v>0.05447880948</v>
      </c>
      <c r="U107" s="459" t="str">
        <f>IF(CUENTAS!C96/CUENTAS!$AB96&lt;&gt;0,CUENTAS!C96/CUENTAS!$AB96,"")</f>
        <v/>
      </c>
      <c r="V107" s="459" t="str">
        <f>IF(CUENTAS!D96/CUENTAS!$AB96&lt;&gt;0,CUENTAS!D96/CUENTAS!$AB96,"")</f>
        <v/>
      </c>
      <c r="W107" s="459" t="str">
        <f>IF(CUENTAS!E96/CUENTAS!$AB96&lt;&gt;0,CUENTAS!E96/CUENTAS!$AB96,"")</f>
        <v/>
      </c>
      <c r="X107" s="459" t="str">
        <f>IF(CUENTAS!F96/CUENTAS!$AB96&lt;&gt;0,CUENTAS!F96/CUENTAS!$AB96,"")</f>
        <v/>
      </c>
      <c r="Y107" s="459">
        <f>IF(CUENTAS!G96/CUENTAS!$AB96&lt;&gt;0,CUENTAS!G96/CUENTAS!$AB96,"")</f>
        <v>0.08775781694</v>
      </c>
      <c r="Z107" s="459">
        <f>IF(CUENTAS!H96/CUENTAS!$AB96&lt;&gt;0,CUENTAS!H96/CUENTAS!$AB96,"")</f>
        <v>0.03719338491</v>
      </c>
      <c r="AA107" s="459">
        <f>IF(CUENTAS!I96/CUENTAS!$AB96&lt;&gt;0,CUENTAS!I96/CUENTAS!$AB96,"")</f>
        <v>0.07883342489</v>
      </c>
      <c r="AB107" s="459">
        <f>IF(CUENTAS!J96/CUENTAS!$AB96&lt;&gt;0,CUENTAS!J96/CUENTAS!$AB96,"")</f>
        <v>0.1791094792</v>
      </c>
      <c r="AC107" s="459">
        <f>IF(CUENTAS!K96/CUENTAS!$AB96&lt;&gt;0,CUENTAS!K96/CUENTAS!$AB96,"")</f>
        <v>0.05862047336</v>
      </c>
      <c r="AD107" s="459">
        <f>IF(CUENTAS!L96/CUENTAS!$AB96&lt;&gt;0,CUENTAS!L96/CUENTAS!$AB96,"")</f>
        <v>0.007381952504</v>
      </c>
      <c r="AE107" s="459">
        <f>IF(CUENTAS!M96/CUENTAS!$AB96&lt;&gt;0,CUENTAS!M96/CUENTAS!$AB96,"")</f>
        <v>0.05558804498</v>
      </c>
      <c r="AF107" s="459">
        <f>IF(CUENTAS!N96/CUENTAS!$AB96&lt;&gt;0,CUENTAS!N96/CUENTAS!$AB96,"")</f>
        <v>0.06042322387</v>
      </c>
      <c r="AG107" s="459" t="str">
        <f>IF(CUENTAS!O96/CUENTAS!$AB96&lt;&gt;0,CUENTAS!O96/CUENTAS!$AB96,"")</f>
        <v/>
      </c>
      <c r="AH107" s="459" t="str">
        <f>IF(CUENTAS!P96/CUENTAS!$AB96&lt;&gt;0,CUENTAS!P96/CUENTAS!$AB96,"")</f>
        <v/>
      </c>
      <c r="AI107" s="459">
        <f>IF(CUENTAS!R96/CUENTAS!$AB96&lt;&gt;0,CUENTAS!R96/CUENTAS!$AB96,"")</f>
        <v>0.05800097214</v>
      </c>
      <c r="AJ107" s="459" t="str">
        <f>IF(CUENTAS!B96/CUENTAS!$AB96&lt;&gt;0,CUENTAS!B96/CUENTAS!$AB96,"")</f>
        <v/>
      </c>
      <c r="AK107" s="459">
        <f>IF(CUENTAS!S96/CUENTAS!$AB96&lt;&gt;0,CUENTAS!S96/CUENTAS!$AB96,"")</f>
        <v>0.04074453527</v>
      </c>
      <c r="AL107" s="459">
        <f>IF(CUENTAS!T96/CUENTAS!$AB96&lt;&gt;0,CUENTAS!T96/CUENTAS!$AB96,"")</f>
        <v>0.06484365358</v>
      </c>
      <c r="AM107" s="459">
        <f>IF(CUENTAS!U96/CUENTAS!$AB96&lt;&gt;0,CUENTAS!U96/CUENTAS!$AB96,"")</f>
        <v>0.07511593542</v>
      </c>
      <c r="AN107" s="459">
        <f>IF(CUENTAS!V96/CUENTAS!$AB96&lt;&gt;0,CUENTAS!V96/CUENTAS!$AB96,"")</f>
        <v>0.1400286354</v>
      </c>
      <c r="AO107" s="459">
        <f>IF(CUENTAS!W96/CUENTAS!$AB96&lt;&gt;0,CUENTAS!W96/CUENTAS!$AB96,"")</f>
        <v>0.005366485209</v>
      </c>
      <c r="AP107" s="459">
        <f>IF(CUENTAS!X96/CUENTAS!$AB96&lt;&gt;0,CUENTAS!X96/CUENTAS!$AB96,"")</f>
        <v>0.06451626381</v>
      </c>
      <c r="AQ107" s="459">
        <f>IF(CUENTAS!Y96/CUENTAS!$AB96&lt;&gt;0,CUENTAS!Y96/CUENTAS!$AB96,"")</f>
        <v>0.02446691142</v>
      </c>
      <c r="AR107" s="459">
        <f>IF(CUENTAS!AA96/CUENTAS!$AB96&lt;&gt;0,CUENTAS!AA96/CUENTAS!$AB96,"")</f>
        <v>0.1096230631</v>
      </c>
    </row>
    <row r="108">
      <c r="A108" s="474"/>
      <c r="B108" s="200"/>
      <c r="C108" s="200"/>
      <c r="F108" s="200"/>
      <c r="G108" s="200"/>
      <c r="J108" s="470">
        <v>45552.0</v>
      </c>
      <c r="K108" s="466">
        <f>SUMIF(GRAFICO!A:A,J108,GRAFICO!B:B)</f>
        <v>13059.50658</v>
      </c>
      <c r="L108" s="467">
        <f t="shared" si="2"/>
        <v>0.2568620097</v>
      </c>
      <c r="M108" s="468">
        <v>45917.0</v>
      </c>
      <c r="N108" s="469">
        <f>IF(SUMIF(GRAFICO!A:A,M108,GRAFICO!B:B)=0,"",SUMIF(GRAFICO!A:A,M108,GRAFICO!B:B))</f>
        <v>19001.54366</v>
      </c>
      <c r="O108" s="467">
        <f t="shared" si="3"/>
        <v>0.311446946</v>
      </c>
      <c r="P108" s="465">
        <v>46282.0</v>
      </c>
      <c r="Q108" s="463" t="str">
        <f>IF(SUMIF(GRAFICO!A:A,P108,GRAFICO!B:B)=0,"",SUMIF(GRAFICO!A:A,P108,GRAFICO!B:B))</f>
        <v/>
      </c>
      <c r="R108" s="463" t="str">
        <f t="shared" si="4"/>
        <v/>
      </c>
      <c r="S108" s="471">
        <f>CUENTAS!A97</f>
        <v>46005</v>
      </c>
      <c r="T108" s="459">
        <f>IF(CUENTAS!Q97/CUENTAS!$AB97&lt;&gt;0,CUENTAS!Q97/CUENTAS!$AB97,"")</f>
        <v>0.05489470095</v>
      </c>
      <c r="U108" s="459" t="str">
        <f>IF(CUENTAS!C97/CUENTAS!$AB97&lt;&gt;0,CUENTAS!C97/CUENTAS!$AB97,"")</f>
        <v/>
      </c>
      <c r="V108" s="459" t="str">
        <f>IF(CUENTAS!D97/CUENTAS!$AB97&lt;&gt;0,CUENTAS!D97/CUENTAS!$AB97,"")</f>
        <v/>
      </c>
      <c r="W108" s="459" t="str">
        <f>IF(CUENTAS!E97/CUENTAS!$AB97&lt;&gt;0,CUENTAS!E97/CUENTAS!$AB97,"")</f>
        <v/>
      </c>
      <c r="X108" s="459" t="str">
        <f>IF(CUENTAS!F97/CUENTAS!$AB97&lt;&gt;0,CUENTAS!F97/CUENTAS!$AB97,"")</f>
        <v/>
      </c>
      <c r="Y108" s="459">
        <f>IF(CUENTAS!G97/CUENTAS!$AB97&lt;&gt;0,CUENTAS!G97/CUENTAS!$AB97,"")</f>
        <v>0.08788322494</v>
      </c>
      <c r="Z108" s="459">
        <f>IF(CUENTAS!H97/CUENTAS!$AB97&lt;&gt;0,CUENTAS!H97/CUENTAS!$AB97,"")</f>
        <v>0.03752854891</v>
      </c>
      <c r="AA108" s="459">
        <f>IF(CUENTAS!I97/CUENTAS!$AB97&lt;&gt;0,CUENTAS!I97/CUENTAS!$AB97,"")</f>
        <v>0.07960293211</v>
      </c>
      <c r="AB108" s="459">
        <f>IF(CUENTAS!J97/CUENTAS!$AB97&lt;&gt;0,CUENTAS!J97/CUENTAS!$AB97,"")</f>
        <v>0.1806327679</v>
      </c>
      <c r="AC108" s="459">
        <f>IF(CUENTAS!K97/CUENTAS!$AB97&lt;&gt;0,CUENTAS!K97/CUENTAS!$AB97,"")</f>
        <v>0.05879085371</v>
      </c>
      <c r="AD108" s="459">
        <f>IF(CUENTAS!L97/CUENTAS!$AB97&lt;&gt;0,CUENTAS!L97/CUENTAS!$AB97,"")</f>
        <v>0.007532820188</v>
      </c>
      <c r="AE108" s="459">
        <f>IF(CUENTAS!M97/CUENTAS!$AB97&lt;&gt;0,CUENTAS!M97/CUENTAS!$AB97,"")</f>
        <v>0.05461197814</v>
      </c>
      <c r="AF108" s="459">
        <f>IF(CUENTAS!N97/CUENTAS!$AB97&lt;&gt;0,CUENTAS!N97/CUENTAS!$AB97,"")</f>
        <v>0.05924011188</v>
      </c>
      <c r="AG108" s="459" t="str">
        <f>IF(CUENTAS!O97/CUENTAS!$AB97&lt;&gt;0,CUENTAS!O97/CUENTAS!$AB97,"")</f>
        <v/>
      </c>
      <c r="AH108" s="459" t="str">
        <f>IF(CUENTAS!P97/CUENTAS!$AB97&lt;&gt;0,CUENTAS!P97/CUENTAS!$AB97,"")</f>
        <v/>
      </c>
      <c r="AI108" s="459">
        <f>IF(CUENTAS!R97/CUENTAS!$AB97&lt;&gt;0,CUENTAS!R97/CUENTAS!$AB97,"")</f>
        <v>0.05798170489</v>
      </c>
      <c r="AJ108" s="459" t="str">
        <f>IF(CUENTAS!B97/CUENTAS!$AB97&lt;&gt;0,CUENTAS!B97/CUENTAS!$AB97,"")</f>
        <v/>
      </c>
      <c r="AK108" s="459">
        <f>IF(CUENTAS!S97/CUENTAS!$AB97&lt;&gt;0,CUENTAS!S97/CUENTAS!$AB97,"")</f>
        <v>0.04054860135</v>
      </c>
      <c r="AL108" s="459">
        <f>IF(CUENTAS!T97/CUENTAS!$AB97&lt;&gt;0,CUENTAS!T97/CUENTAS!$AB97,"")</f>
        <v>0.06454939459</v>
      </c>
      <c r="AM108" s="459">
        <f>IF(CUENTAS!U97/CUENTAS!$AB97&lt;&gt;0,CUENTAS!U97/CUENTAS!$AB97,"")</f>
        <v>0.07477912285</v>
      </c>
      <c r="AN108" s="459">
        <f>IF(CUENTAS!V97/CUENTAS!$AB97&lt;&gt;0,CUENTAS!V97/CUENTAS!$AB97,"")</f>
        <v>0.1395565922</v>
      </c>
      <c r="AO108" s="459">
        <f>IF(CUENTAS!W97/CUENTAS!$AB97&lt;&gt;0,CUENTAS!W97/CUENTAS!$AB97,"")</f>
        <v>0.005349464208</v>
      </c>
      <c r="AP108" s="459">
        <f>IF(CUENTAS!X97/CUENTAS!$AB97&lt;&gt;0,CUENTAS!X97/CUENTAS!$AB97,"")</f>
        <v>0.06421329592</v>
      </c>
      <c r="AQ108" s="459">
        <f>IF(CUENTAS!Y97/CUENTAS!$AB97&lt;&gt;0,CUENTAS!Y97/CUENTAS!$AB97,"")</f>
        <v>0.02432478495</v>
      </c>
      <c r="AR108" s="459">
        <f>IF(CUENTAS!AA97/CUENTAS!$AB97&lt;&gt;0,CUENTAS!AA97/CUENTAS!$AB97,"")</f>
        <v>0.1092753692</v>
      </c>
    </row>
    <row r="109">
      <c r="A109" s="474"/>
      <c r="B109" s="200"/>
      <c r="C109" s="200"/>
      <c r="F109" s="200"/>
      <c r="G109" s="200"/>
      <c r="J109" s="465">
        <v>45551.0</v>
      </c>
      <c r="K109" s="466">
        <f>SUMIF(GRAFICO!A:A,J109,GRAFICO!B:B)</f>
        <v>13046.9725</v>
      </c>
      <c r="L109" s="467">
        <f t="shared" si="2"/>
        <v>0.2559017818</v>
      </c>
      <c r="M109" s="468">
        <v>45916.0</v>
      </c>
      <c r="N109" s="469">
        <f>IF(SUMIF(GRAFICO!A:A,M109,GRAFICO!B:B)=0,"",SUMIF(GRAFICO!A:A,M109,GRAFICO!B:B))</f>
        <v>19044.50548</v>
      </c>
      <c r="O109" s="467">
        <f t="shared" si="3"/>
        <v>0.3137053588</v>
      </c>
      <c r="P109" s="468">
        <v>46281.0</v>
      </c>
      <c r="Q109" s="463" t="str">
        <f>IF(SUMIF(GRAFICO!A:A,P109,GRAFICO!B:B)=0,"",SUMIF(GRAFICO!A:A,P109,GRAFICO!B:B))</f>
        <v/>
      </c>
      <c r="R109" s="463" t="str">
        <f t="shared" si="4"/>
        <v/>
      </c>
      <c r="S109" s="471">
        <f>CUENTAS!A98</f>
        <v>46004</v>
      </c>
      <c r="T109" s="459">
        <f>IF(CUENTAS!Q98/CUENTAS!$AB98&lt;&gt;0,CUENTAS!Q98/CUENTAS!$AB98,"")</f>
        <v>0.0549015155</v>
      </c>
      <c r="U109" s="459" t="str">
        <f>IF(CUENTAS!C98/CUENTAS!$AB98&lt;&gt;0,CUENTAS!C98/CUENTAS!$AB98,"")</f>
        <v/>
      </c>
      <c r="V109" s="459" t="str">
        <f>IF(CUENTAS!D98/CUENTAS!$AB98&lt;&gt;0,CUENTAS!D98/CUENTAS!$AB98,"")</f>
        <v/>
      </c>
      <c r="W109" s="459" t="str">
        <f>IF(CUENTAS!E98/CUENTAS!$AB98&lt;&gt;0,CUENTAS!E98/CUENTAS!$AB98,"")</f>
        <v/>
      </c>
      <c r="X109" s="459" t="str">
        <f>IF(CUENTAS!F98/CUENTAS!$AB98&lt;&gt;0,CUENTAS!F98/CUENTAS!$AB98,"")</f>
        <v/>
      </c>
      <c r="Y109" s="459">
        <f>IF(CUENTAS!G98/CUENTAS!$AB98&lt;&gt;0,CUENTAS!G98/CUENTAS!$AB98,"")</f>
        <v>0.08789413463</v>
      </c>
      <c r="Z109" s="459">
        <f>IF(CUENTAS!H98/CUENTAS!$AB98&lt;&gt;0,CUENTAS!H98/CUENTAS!$AB98,"")</f>
        <v>0.03753320765</v>
      </c>
      <c r="AA109" s="459">
        <f>IF(CUENTAS!I98/CUENTAS!$AB98&lt;&gt;0,CUENTAS!I98/CUENTAS!$AB98,"")</f>
        <v>0.0796128139</v>
      </c>
      <c r="AB109" s="459">
        <f>IF(CUENTAS!J98/CUENTAS!$AB98&lt;&gt;0,CUENTAS!J98/CUENTAS!$AB98,"")</f>
        <v>0.1806551914</v>
      </c>
      <c r="AC109" s="459">
        <f>IF(CUENTAS!K98/CUENTAS!$AB98&lt;&gt;0,CUENTAS!K98/CUENTAS!$AB98,"")</f>
        <v>0.05879815192</v>
      </c>
      <c r="AD109" s="459">
        <f>IF(CUENTAS!L98/CUENTAS!$AB98&lt;&gt;0,CUENTAS!L98/CUENTAS!$AB98,"")</f>
        <v>0.007533755301</v>
      </c>
      <c r="AE109" s="459">
        <f>IF(CUENTAS!M98/CUENTAS!$AB98&lt;&gt;0,CUENTAS!M98/CUENTAS!$AB98,"")</f>
        <v>0.05461875759</v>
      </c>
      <c r="AF109" s="459">
        <f>IF(CUENTAS!N98/CUENTAS!$AB98&lt;&gt;0,CUENTAS!N98/CUENTAS!$AB98,"")</f>
        <v>0.05924746586</v>
      </c>
      <c r="AG109" s="459" t="str">
        <f>IF(CUENTAS!O98/CUENTAS!$AB98&lt;&gt;0,CUENTAS!O98/CUENTAS!$AB98,"")</f>
        <v/>
      </c>
      <c r="AH109" s="459" t="str">
        <f>IF(CUENTAS!P98/CUENTAS!$AB98&lt;&gt;0,CUENTAS!P98/CUENTAS!$AB98,"")</f>
        <v/>
      </c>
      <c r="AI109" s="459">
        <f>IF(CUENTAS!R98/CUENTAS!$AB98&lt;&gt;0,CUENTAS!R98/CUENTAS!$AB98,"")</f>
        <v>0.05815361881</v>
      </c>
      <c r="AJ109" s="459" t="str">
        <f>IF(CUENTAS!B98/CUENTAS!$AB98&lt;&gt;0,CUENTAS!B98/CUENTAS!$AB98,"")</f>
        <v/>
      </c>
      <c r="AK109" s="459">
        <f>IF(CUENTAS!S98/CUENTAS!$AB98&lt;&gt;0,CUENTAS!S98/CUENTAS!$AB98,"")</f>
        <v>0.04048692314</v>
      </c>
      <c r="AL109" s="459">
        <f>IF(CUENTAS!T98/CUENTAS!$AB98&lt;&gt;0,CUENTAS!T98/CUENTAS!$AB98,"")</f>
        <v>0.06446880372</v>
      </c>
      <c r="AM109" s="459">
        <f>IF(CUENTAS!U98/CUENTAS!$AB98&lt;&gt;0,CUENTAS!U98/CUENTAS!$AB98,"")</f>
        <v>0.07468982789</v>
      </c>
      <c r="AN109" s="459">
        <f>IF(CUENTAS!V98/CUENTAS!$AB98&lt;&gt;0,CUENTAS!V98/CUENTAS!$AB98,"")</f>
        <v>0.1395460073</v>
      </c>
      <c r="AO109" s="459">
        <f>IF(CUENTAS!W98/CUENTAS!$AB98&lt;&gt;0,CUENTAS!W98/CUENTAS!$AB98,"")</f>
        <v>0.005350128283</v>
      </c>
      <c r="AP109" s="459">
        <f>IF(CUENTAS!X98/CUENTAS!$AB98&lt;&gt;0,CUENTAS!X98/CUENTAS!$AB98,"")</f>
        <v>0.06412291483</v>
      </c>
      <c r="AQ109" s="459">
        <f>IF(CUENTAS!Y98/CUENTAS!$AB98&lt;&gt;0,CUENTAS!Y98/CUENTAS!$AB98,"")</f>
        <v>0.02426327236</v>
      </c>
      <c r="AR109" s="459">
        <f>IF(CUENTAS!AA98/CUENTAS!$AB98&lt;&gt;0,CUENTAS!AA98/CUENTAS!$AB98,"")</f>
        <v>0.1092889345</v>
      </c>
    </row>
    <row r="110">
      <c r="A110" s="474"/>
      <c r="B110" s="200"/>
      <c r="C110" s="200"/>
      <c r="F110" s="200"/>
      <c r="G110" s="200"/>
      <c r="J110" s="470">
        <v>45550.0</v>
      </c>
      <c r="K110" s="466">
        <f>SUMIF(GRAFICO!A:A,J110,GRAFICO!B:B)</f>
        <v>13014.67337</v>
      </c>
      <c r="L110" s="467">
        <f t="shared" si="2"/>
        <v>0.2534231094</v>
      </c>
      <c r="M110" s="468">
        <v>45915.0</v>
      </c>
      <c r="N110" s="469">
        <f>IF(SUMIF(GRAFICO!A:A,M110,GRAFICO!B:B)=0,"",SUMIF(GRAFICO!A:A,M110,GRAFICO!B:B))</f>
        <v>19059.16481</v>
      </c>
      <c r="O110" s="467">
        <f t="shared" si="3"/>
        <v>0.3144748034</v>
      </c>
      <c r="P110" s="465">
        <v>46280.0</v>
      </c>
      <c r="Q110" s="463" t="str">
        <f>IF(SUMIF(GRAFICO!A:A,P110,GRAFICO!B:B)=0,"",SUMIF(GRAFICO!A:A,P110,GRAFICO!B:B))</f>
        <v/>
      </c>
      <c r="R110" s="463" t="str">
        <f t="shared" si="4"/>
        <v/>
      </c>
      <c r="S110" s="471">
        <f>CUENTAS!A99</f>
        <v>46003</v>
      </c>
      <c r="T110" s="459">
        <f>IF(CUENTAS!Q99/CUENTAS!$AB99&lt;&gt;0,CUENTAS!Q99/CUENTAS!$AB99,"")</f>
        <v>0.05490833143</v>
      </c>
      <c r="U110" s="459" t="str">
        <f>IF(CUENTAS!C99/CUENTAS!$AB99&lt;&gt;0,CUENTAS!C99/CUENTAS!$AB99,"")</f>
        <v/>
      </c>
      <c r="V110" s="459" t="str">
        <f>IF(CUENTAS!D99/CUENTAS!$AB99&lt;&gt;0,CUENTAS!D99/CUENTAS!$AB99,"")</f>
        <v/>
      </c>
      <c r="W110" s="459" t="str">
        <f>IF(CUENTAS!E99/CUENTAS!$AB99&lt;&gt;0,CUENTAS!E99/CUENTAS!$AB99,"")</f>
        <v/>
      </c>
      <c r="X110" s="459" t="str">
        <f>IF(CUENTAS!F99/CUENTAS!$AB99&lt;&gt;0,CUENTAS!F99/CUENTAS!$AB99,"")</f>
        <v/>
      </c>
      <c r="Y110" s="459">
        <f>IF(CUENTAS!G99/CUENTAS!$AB99&lt;&gt;0,CUENTAS!G99/CUENTAS!$AB99,"")</f>
        <v>0.08790504654</v>
      </c>
      <c r="Z110" s="459">
        <f>IF(CUENTAS!H99/CUENTAS!$AB99&lt;&gt;0,CUENTAS!H99/CUENTAS!$AB99,"")</f>
        <v>0.03753786733</v>
      </c>
      <c r="AA110" s="459">
        <f>IF(CUENTAS!I99/CUENTAS!$AB99&lt;&gt;0,CUENTAS!I99/CUENTAS!$AB99,"")</f>
        <v>0.07962269769</v>
      </c>
      <c r="AB110" s="459">
        <f>IF(CUENTAS!J99/CUENTAS!$AB99&lt;&gt;0,CUENTAS!J99/CUENTAS!$AB99,"")</f>
        <v>0.1806776194</v>
      </c>
      <c r="AC110" s="459">
        <f>IF(CUENTAS!K99/CUENTAS!$AB99&lt;&gt;0,CUENTAS!K99/CUENTAS!$AB99,"")</f>
        <v>0.05880545161</v>
      </c>
      <c r="AD110" s="459">
        <f>IF(CUENTAS!L99/CUENTAS!$AB99&lt;&gt;0,CUENTAS!L99/CUENTAS!$AB99,"")</f>
        <v>0.007534690605</v>
      </c>
      <c r="AE110" s="459">
        <f>IF(CUENTAS!M99/CUENTAS!$AB99&lt;&gt;0,CUENTAS!M99/CUENTAS!$AB99,"")</f>
        <v>0.05462553841</v>
      </c>
      <c r="AF110" s="459">
        <f>IF(CUENTAS!N99/CUENTAS!$AB99&lt;&gt;0,CUENTAS!N99/CUENTAS!$AB99,"")</f>
        <v>0.05925482133</v>
      </c>
      <c r="AG110" s="459" t="str">
        <f>IF(CUENTAS!O99/CUENTAS!$AB99&lt;&gt;0,CUENTAS!O99/CUENTAS!$AB99,"")</f>
        <v/>
      </c>
      <c r="AH110" s="459" t="str">
        <f>IF(CUENTAS!P99/CUENTAS!$AB99&lt;&gt;0,CUENTAS!P99/CUENTAS!$AB99,"")</f>
        <v/>
      </c>
      <c r="AI110" s="459">
        <f>IF(CUENTAS!R99/CUENTAS!$AB99&lt;&gt;0,CUENTAS!R99/CUENTAS!$AB99,"")</f>
        <v>0.0583255751</v>
      </c>
      <c r="AJ110" s="459" t="str">
        <f>IF(CUENTAS!B99/CUENTAS!$AB99&lt;&gt;0,CUENTAS!B99/CUENTAS!$AB99,"")</f>
        <v/>
      </c>
      <c r="AK110" s="459">
        <f>IF(CUENTAS!S99/CUENTAS!$AB99&lt;&gt;0,CUENTAS!S99/CUENTAS!$AB99,"")</f>
        <v>0.04042522939</v>
      </c>
      <c r="AL110" s="459">
        <f>IF(CUENTAS!T99/CUENTAS!$AB99&lt;&gt;0,CUENTAS!T99/CUENTAS!$AB99,"")</f>
        <v>0.06438819248</v>
      </c>
      <c r="AM110" s="459">
        <f>IF(CUENTAS!U99/CUENTAS!$AB99&lt;&gt;0,CUENTAS!U99/CUENTAS!$AB99,"")</f>
        <v>0.07460051034</v>
      </c>
      <c r="AN110" s="459">
        <f>IF(CUENTAS!V99/CUENTAS!$AB99&lt;&gt;0,CUENTAS!V99/CUENTAS!$AB99,"")</f>
        <v>0.1395354246</v>
      </c>
      <c r="AO110" s="459">
        <f>IF(CUENTAS!W99/CUENTAS!$AB99&lt;&gt;0,CUENTAS!W99/CUENTAS!$AB99,"")</f>
        <v>0.005350792492</v>
      </c>
      <c r="AP110" s="459">
        <f>IF(CUENTAS!X99/CUENTAS!$AB99&lt;&gt;0,CUENTAS!X99/CUENTAS!$AB99,"")</f>
        <v>0.06403251095</v>
      </c>
      <c r="AQ110" s="459">
        <f>IF(CUENTAS!Y99/CUENTAS!$AB99&lt;&gt;0,CUENTAS!Y99/CUENTAS!$AB99,"")</f>
        <v>0.02420174436</v>
      </c>
      <c r="AR110" s="459">
        <f>IF(CUENTAS!AA99/CUENTAS!$AB99&lt;&gt;0,CUENTAS!AA99/CUENTAS!$AB99,"")</f>
        <v>0.1093025025</v>
      </c>
    </row>
    <row r="111">
      <c r="A111" s="474"/>
      <c r="B111" s="200"/>
      <c r="C111" s="200"/>
      <c r="F111" s="200"/>
      <c r="G111" s="200"/>
      <c r="J111" s="470">
        <v>45549.0</v>
      </c>
      <c r="K111" s="466">
        <f>SUMIF(GRAFICO!A:A,J111,GRAFICO!B:B)</f>
        <v>13029.64502</v>
      </c>
      <c r="L111" s="467">
        <f t="shared" si="2"/>
        <v>0.2545728151</v>
      </c>
      <c r="M111" s="468">
        <v>45914.0</v>
      </c>
      <c r="N111" s="469">
        <f>IF(SUMIF(GRAFICO!A:A,M111,GRAFICO!B:B)=0,"",SUMIF(GRAFICO!A:A,M111,GRAFICO!B:B))</f>
        <v>19009.81177</v>
      </c>
      <c r="O111" s="467">
        <f t="shared" si="3"/>
        <v>0.3118819797</v>
      </c>
      <c r="P111" s="468">
        <v>46279.0</v>
      </c>
      <c r="Q111" s="463" t="str">
        <f>IF(SUMIF(GRAFICO!A:A,P111,GRAFICO!B:B)=0,"",SUMIF(GRAFICO!A:A,P111,GRAFICO!B:B))</f>
        <v/>
      </c>
      <c r="R111" s="463" t="str">
        <f t="shared" si="4"/>
        <v/>
      </c>
      <c r="S111" s="471">
        <f>CUENTAS!A100</f>
        <v>46002</v>
      </c>
      <c r="T111" s="459">
        <f>IF(CUENTAS!Q100/CUENTAS!$AB100&lt;&gt;0,CUENTAS!Q100/CUENTAS!$AB100,"")</f>
        <v>0.05542414433</v>
      </c>
      <c r="U111" s="459" t="str">
        <f>IF(CUENTAS!C100/CUENTAS!$AB100&lt;&gt;0,CUENTAS!C100/CUENTAS!$AB100,"")</f>
        <v/>
      </c>
      <c r="V111" s="459" t="str">
        <f>IF(CUENTAS!D100/CUENTAS!$AB100&lt;&gt;0,CUENTAS!D100/CUENTAS!$AB100,"")</f>
        <v/>
      </c>
      <c r="W111" s="459" t="str">
        <f>IF(CUENTAS!E100/CUENTAS!$AB100&lt;&gt;0,CUENTAS!E100/CUENTAS!$AB100,"")</f>
        <v/>
      </c>
      <c r="X111" s="459" t="str">
        <f>IF(CUENTAS!F100/CUENTAS!$AB100&lt;&gt;0,CUENTAS!F100/CUENTAS!$AB100,"")</f>
        <v/>
      </c>
      <c r="Y111" s="459">
        <f>IF(CUENTAS!G100/CUENTAS!$AB100&lt;&gt;0,CUENTAS!G100/CUENTAS!$AB100,"")</f>
        <v>0.08694449293</v>
      </c>
      <c r="Z111" s="459">
        <f>IF(CUENTAS!H100/CUENTAS!$AB100&lt;&gt;0,CUENTAS!H100/CUENTAS!$AB100,"")</f>
        <v>0.03744853649</v>
      </c>
      <c r="AA111" s="459">
        <f>IF(CUENTAS!I100/CUENTAS!$AB100&lt;&gt;0,CUENTAS!I100/CUENTAS!$AB100,"")</f>
        <v>0.07986034235</v>
      </c>
      <c r="AB111" s="459">
        <f>IF(CUENTAS!J100/CUENTAS!$AB100&lt;&gt;0,CUENTAS!J100/CUENTAS!$AB100,"")</f>
        <v>0.1822386829</v>
      </c>
      <c r="AC111" s="459">
        <f>IF(CUENTAS!K100/CUENTAS!$AB100&lt;&gt;0,CUENTAS!K100/CUENTAS!$AB100,"")</f>
        <v>0.05888427428</v>
      </c>
      <c r="AD111" s="459">
        <f>IF(CUENTAS!L100/CUENTAS!$AB100&lt;&gt;0,CUENTAS!L100/CUENTAS!$AB100,"")</f>
        <v>0.007554487758</v>
      </c>
      <c r="AE111" s="459">
        <f>IF(CUENTAS!M100/CUENTAS!$AB100&lt;&gt;0,CUENTAS!M100/CUENTAS!$AB100,"")</f>
        <v>0.05441267697</v>
      </c>
      <c r="AF111" s="459">
        <f>IF(CUENTAS!N100/CUENTAS!$AB100&lt;&gt;0,CUENTAS!N100/CUENTAS!$AB100,"")</f>
        <v>0.05772055345</v>
      </c>
      <c r="AG111" s="459" t="str">
        <f>IF(CUENTAS!O100/CUENTAS!$AB100&lt;&gt;0,CUENTAS!O100/CUENTAS!$AB100,"")</f>
        <v/>
      </c>
      <c r="AH111" s="459" t="str">
        <f>IF(CUENTAS!P100/CUENTAS!$AB100&lt;&gt;0,CUENTAS!P100/CUENTAS!$AB100,"")</f>
        <v/>
      </c>
      <c r="AI111" s="459">
        <f>IF(CUENTAS!R100/CUENTAS!$AB100&lt;&gt;0,CUENTAS!R100/CUENTAS!$AB100,"")</f>
        <v>0.05856871198</v>
      </c>
      <c r="AJ111" s="459" t="str">
        <f>IF(CUENTAS!B100/CUENTAS!$AB100&lt;&gt;0,CUENTAS!B100/CUENTAS!$AB100,"")</f>
        <v/>
      </c>
      <c r="AK111" s="459">
        <f>IF(CUENTAS!S100/CUENTAS!$AB100&lt;&gt;0,CUENTAS!S100/CUENTAS!$AB100,"")</f>
        <v>0.02101725844</v>
      </c>
      <c r="AL111" s="459">
        <f>IF(CUENTAS!T100/CUENTAS!$AB100&lt;&gt;0,CUENTAS!T100/CUENTAS!$AB100,"")</f>
        <v>0.03660192958</v>
      </c>
      <c r="AM111" s="459">
        <f>IF(CUENTAS!U100/CUENTAS!$AB100&lt;&gt;0,CUENTAS!U100/CUENTAS!$AB100,"")</f>
        <v>0.07460178235</v>
      </c>
      <c r="AN111" s="459">
        <f>IF(CUENTAS!V100/CUENTAS!$AB100&lt;&gt;0,CUENTAS!V100/CUENTAS!$AB100,"")</f>
        <v>0.1396945186</v>
      </c>
      <c r="AO111" s="459">
        <f>IF(CUENTAS!W100/CUENTAS!$AB100&lt;&gt;0,CUENTAS!W100/CUENTAS!$AB100,"")</f>
        <v>0.02475331194</v>
      </c>
      <c r="AP111" s="459">
        <f>IF(CUENTAS!X100/CUENTAS!$AB100&lt;&gt;0,CUENTAS!X100/CUENTAS!$AB100,"")</f>
        <v>0.06401984347</v>
      </c>
      <c r="AQ111" s="459">
        <f>IF(CUENTAS!Y100/CUENTAS!$AB100&lt;&gt;0,CUENTAS!Y100/CUENTAS!$AB100,"")</f>
        <v>0.02416955757</v>
      </c>
      <c r="AR111" s="459">
        <f>IF(CUENTAS!AA100/CUENTAS!$AB100&lt;&gt;0,CUENTAS!AA100/CUENTAS!$AB100,"")</f>
        <v>0.1372328463</v>
      </c>
    </row>
    <row r="112">
      <c r="A112" s="474"/>
      <c r="B112" s="200"/>
      <c r="C112" s="200"/>
      <c r="F112" s="200"/>
      <c r="G112" s="200"/>
      <c r="J112" s="470">
        <v>45548.0</v>
      </c>
      <c r="K112" s="466">
        <f>SUMIF(GRAFICO!A:A,J112,GRAFICO!B:B)</f>
        <v>13018.90794</v>
      </c>
      <c r="L112" s="467">
        <f t="shared" si="2"/>
        <v>0.2537484249</v>
      </c>
      <c r="M112" s="468">
        <v>45913.0</v>
      </c>
      <c r="N112" s="469">
        <f>IF(SUMIF(GRAFICO!A:A,M112,GRAFICO!B:B)=0,"",SUMIF(GRAFICO!A:A,M112,GRAFICO!B:B))</f>
        <v>18956.28773</v>
      </c>
      <c r="O112" s="467">
        <f t="shared" si="3"/>
        <v>0.3090624078</v>
      </c>
      <c r="P112" s="465">
        <v>46278.0</v>
      </c>
      <c r="Q112" s="463" t="str">
        <f>IF(SUMIF(GRAFICO!A:A,P112,GRAFICO!B:B)=0,"",SUMIF(GRAFICO!A:A,P112,GRAFICO!B:B))</f>
        <v/>
      </c>
      <c r="R112" s="463" t="str">
        <f t="shared" si="4"/>
        <v/>
      </c>
      <c r="S112" s="471">
        <f>CUENTAS!A101</f>
        <v>46001</v>
      </c>
      <c r="T112" s="459">
        <f>IF(CUENTAS!Q101/CUENTAS!$AB101&lt;&gt;0,CUENTAS!Q101/CUENTAS!$AB101,"")</f>
        <v>0.06050498059</v>
      </c>
      <c r="U112" s="459" t="str">
        <f>IF(CUENTAS!C101/CUENTAS!$AB101&lt;&gt;0,CUENTAS!C101/CUENTAS!$AB101,"")</f>
        <v/>
      </c>
      <c r="V112" s="459" t="str">
        <f>IF(CUENTAS!D101/CUENTAS!$AB101&lt;&gt;0,CUENTAS!D101/CUENTAS!$AB101,"")</f>
        <v/>
      </c>
      <c r="W112" s="459" t="str">
        <f>IF(CUENTAS!E101/CUENTAS!$AB101&lt;&gt;0,CUENTAS!E101/CUENTAS!$AB101,"")</f>
        <v/>
      </c>
      <c r="X112" s="459" t="str">
        <f>IF(CUENTAS!F101/CUENTAS!$AB101&lt;&gt;0,CUENTAS!F101/CUENTAS!$AB101,"")</f>
        <v/>
      </c>
      <c r="Y112" s="459">
        <f>IF(CUENTAS!G101/CUENTAS!$AB101&lt;&gt;0,CUENTAS!G101/CUENTAS!$AB101,"")</f>
        <v>0.09372558425</v>
      </c>
      <c r="Z112" s="459">
        <f>IF(CUENTAS!H101/CUENTAS!$AB101&lt;&gt;0,CUENTAS!H101/CUENTAS!$AB101,"")</f>
        <v>0.04065874199</v>
      </c>
      <c r="AA112" s="459">
        <f>IF(CUENTAS!I101/CUENTAS!$AB101&lt;&gt;0,CUENTAS!I101/CUENTAS!$AB101,"")</f>
        <v>0.08788073255</v>
      </c>
      <c r="AB112" s="459">
        <f>IF(CUENTAS!J101/CUENTAS!$AB101&lt;&gt;0,CUENTAS!J101/CUENTAS!$AB101,"")</f>
        <v>0.1932529584</v>
      </c>
      <c r="AC112" s="459">
        <f>IF(CUENTAS!K101/CUENTAS!$AB101&lt;&gt;0,CUENTAS!K101/CUENTAS!$AB101,"")</f>
        <v>0.06517456022</v>
      </c>
      <c r="AD112" s="459">
        <f>IF(CUENTAS!L101/CUENTAS!$AB101&lt;&gt;0,CUENTAS!L101/CUENTAS!$AB101,"")</f>
        <v>0.008223753611</v>
      </c>
      <c r="AE112" s="459">
        <f>IF(CUENTAS!M101/CUENTAS!$AB101&lt;&gt;0,CUENTAS!M101/CUENTAS!$AB101,"")</f>
        <v>0.05793912745</v>
      </c>
      <c r="AF112" s="459">
        <f>IF(CUENTAS!N101/CUENTAS!$AB101&lt;&gt;0,CUENTAS!N101/CUENTAS!$AB101,"")</f>
        <v>0.06049657828</v>
      </c>
      <c r="AG112" s="459" t="str">
        <f>IF(CUENTAS!O101/CUENTAS!$AB101&lt;&gt;0,CUENTAS!O101/CUENTAS!$AB101,"")</f>
        <v/>
      </c>
      <c r="AH112" s="459" t="str">
        <f>IF(CUENTAS!P101/CUENTAS!$AB101&lt;&gt;0,CUENTAS!P101/CUENTAS!$AB101,"")</f>
        <v/>
      </c>
      <c r="AI112" s="459">
        <f>IF(CUENTAS!R101/CUENTAS!$AB101&lt;&gt;0,CUENTAS!R101/CUENTAS!$AB101,"")</f>
        <v>0.06361036658</v>
      </c>
      <c r="AJ112" s="459" t="str">
        <f>IF(CUENTAS!B101/CUENTAS!$AB101&lt;&gt;0,CUENTAS!B101/CUENTAS!$AB101,"")</f>
        <v/>
      </c>
      <c r="AK112" s="459">
        <f>IF(CUENTAS!S101/CUENTAS!$AB101&lt;&gt;0,CUENTAS!S101/CUENTAS!$AB101,"")</f>
        <v>0.02271623631</v>
      </c>
      <c r="AL112" s="459">
        <f>IF(CUENTAS!T101/CUENTAS!$AB101&lt;&gt;0,CUENTAS!T101/CUENTAS!$AB101,"")</f>
        <v>0.03954491176</v>
      </c>
      <c r="AM112" s="459">
        <f>IF(CUENTAS!U101/CUENTAS!$AB101&lt;&gt;0,CUENTAS!U101/CUENTAS!$AB101,"")</f>
        <v>0.0806891006</v>
      </c>
      <c r="AN112" s="459">
        <f>IF(CUENTAS!V101/CUENTAS!$AB101&lt;&gt;0,CUENTAS!V101/CUENTAS!$AB101,"")</f>
        <v>0.1512631984</v>
      </c>
      <c r="AO112" s="459">
        <f>IF(CUENTAS!W101/CUENTAS!$AB101&lt;&gt;0,CUENTAS!W101/CUENTAS!$AB101,"")</f>
        <v>0.02680859654</v>
      </c>
      <c r="AP112" s="459">
        <f>IF(CUENTAS!X101/CUENTAS!$AB101&lt;&gt;0,CUENTAS!X101/CUENTAS!$AB101,"")</f>
        <v>0.0692287806</v>
      </c>
      <c r="AQ112" s="459">
        <f>IF(CUENTAS!Y101/CUENTAS!$AB101&lt;&gt;0,CUENTAS!Y101/CUENTAS!$AB101,"")</f>
        <v>0.02610637988</v>
      </c>
      <c r="AR112" s="459">
        <f>IF(CUENTAS!AA101/CUENTAS!$AB101&lt;&gt;0,CUENTAS!AA101/CUENTAS!$AB101,"")</f>
        <v>0.06985579805</v>
      </c>
    </row>
    <row r="113">
      <c r="A113" s="474"/>
      <c r="B113" s="200"/>
      <c r="C113" s="200"/>
      <c r="F113" s="200"/>
      <c r="G113" s="200"/>
      <c r="J113" s="465">
        <v>45547.0</v>
      </c>
      <c r="K113" s="466">
        <f>SUMIF(GRAFICO!A:A,J113,GRAFICO!B:B)</f>
        <v>13069.20373</v>
      </c>
      <c r="L113" s="467">
        <f t="shared" si="2"/>
        <v>0.2576042701</v>
      </c>
      <c r="M113" s="468">
        <v>45912.0</v>
      </c>
      <c r="N113" s="469">
        <f>IF(SUMIF(GRAFICO!A:A,M113,GRAFICO!B:B)=0,"",SUMIF(GRAFICO!A:A,M113,GRAFICO!B:B))</f>
        <v>18918.93013</v>
      </c>
      <c r="O113" s="467">
        <f t="shared" si="3"/>
        <v>0.3070897401</v>
      </c>
      <c r="P113" s="468">
        <v>46277.0</v>
      </c>
      <c r="Q113" s="463" t="str">
        <f>IF(SUMIF(GRAFICO!A:A,P113,GRAFICO!B:B)=0,"",SUMIF(GRAFICO!A:A,P113,GRAFICO!B:B))</f>
        <v/>
      </c>
      <c r="R113" s="463" t="str">
        <f t="shared" si="4"/>
        <v/>
      </c>
      <c r="S113" s="471">
        <f>CUENTAS!A102</f>
        <v>46000</v>
      </c>
      <c r="T113" s="459">
        <f>IF(CUENTAS!Q102/CUENTAS!$AB102&lt;&gt;0,CUENTAS!Q102/CUENTAS!$AB102,"")</f>
        <v>0.06167571232</v>
      </c>
      <c r="U113" s="459" t="str">
        <f>IF(CUENTAS!C102/CUENTAS!$AB102&lt;&gt;0,CUENTAS!C102/CUENTAS!$AB102,"")</f>
        <v/>
      </c>
      <c r="V113" s="459" t="str">
        <f>IF(CUENTAS!D102/CUENTAS!$AB102&lt;&gt;0,CUENTAS!D102/CUENTAS!$AB102,"")</f>
        <v/>
      </c>
      <c r="W113" s="459" t="str">
        <f>IF(CUENTAS!E102/CUENTAS!$AB102&lt;&gt;0,CUENTAS!E102/CUENTAS!$AB102,"")</f>
        <v/>
      </c>
      <c r="X113" s="459" t="str">
        <f>IF(CUENTAS!F102/CUENTAS!$AB102&lt;&gt;0,CUENTAS!F102/CUENTAS!$AB102,"")</f>
        <v/>
      </c>
      <c r="Y113" s="459">
        <f>IF(CUENTAS!G102/CUENTAS!$AB102&lt;&gt;0,CUENTAS!G102/CUENTAS!$AB102,"")</f>
        <v>0.09551514792</v>
      </c>
      <c r="Z113" s="459">
        <f>IF(CUENTAS!H102/CUENTAS!$AB102&lt;&gt;0,CUENTAS!H102/CUENTAS!$AB102,"")</f>
        <v>0.04060985214</v>
      </c>
      <c r="AA113" s="459">
        <f>IF(CUENTAS!I102/CUENTAS!$AB102&lt;&gt;0,CUENTAS!I102/CUENTAS!$AB102,"")</f>
        <v>0.08747369739</v>
      </c>
      <c r="AB113" s="459">
        <f>IF(CUENTAS!J102/CUENTAS!$AB102&lt;&gt;0,CUENTAS!J102/CUENTAS!$AB102,"")</f>
        <v>0.1901281357</v>
      </c>
      <c r="AC113" s="459">
        <f>IF(CUENTAS!K102/CUENTAS!$AB102&lt;&gt;0,CUENTAS!K102/CUENTAS!$AB102,"")</f>
        <v>0.06530332343</v>
      </c>
      <c r="AD113" s="459">
        <f>IF(CUENTAS!L102/CUENTAS!$AB102&lt;&gt;0,CUENTAS!L102/CUENTAS!$AB102,"")</f>
        <v>0.008186892231</v>
      </c>
      <c r="AE113" s="459">
        <f>IF(CUENTAS!M102/CUENTAS!$AB102&lt;&gt;0,CUENTAS!M102/CUENTAS!$AB102,"")</f>
        <v>0.05789106634</v>
      </c>
      <c r="AF113" s="459">
        <f>IF(CUENTAS!N102/CUENTAS!$AB102&lt;&gt;0,CUENTAS!N102/CUENTAS!$AB102,"")</f>
        <v>0.06003158876</v>
      </c>
      <c r="AG113" s="459" t="str">
        <f>IF(CUENTAS!O102/CUENTAS!$AB102&lt;&gt;0,CUENTAS!O102/CUENTAS!$AB102,"")</f>
        <v/>
      </c>
      <c r="AH113" s="459" t="str">
        <f>IF(CUENTAS!P102/CUENTAS!$AB102&lt;&gt;0,CUENTAS!P102/CUENTAS!$AB102,"")</f>
        <v/>
      </c>
      <c r="AI113" s="459">
        <f>IF(CUENTAS!R102/CUENTAS!$AB102&lt;&gt;0,CUENTAS!R102/CUENTAS!$AB102,"")</f>
        <v>0.06400994622</v>
      </c>
      <c r="AJ113" s="459" t="str">
        <f>IF(CUENTAS!B102/CUENTAS!$AB102&lt;&gt;0,CUENTAS!B102/CUENTAS!$AB102,"")</f>
        <v/>
      </c>
      <c r="AK113" s="459">
        <f>IF(CUENTAS!S102/CUENTAS!$AB102&lt;&gt;0,CUENTAS!S102/CUENTAS!$AB102,"")</f>
        <v>0.02274865202</v>
      </c>
      <c r="AL113" s="459">
        <f>IF(CUENTAS!T102/CUENTAS!$AB102&lt;&gt;0,CUENTAS!T102/CUENTAS!$AB102,"")</f>
        <v>0.03958543669</v>
      </c>
      <c r="AM113" s="459">
        <f>IF(CUENTAS!U102/CUENTAS!$AB102&lt;&gt;0,CUENTAS!U102/CUENTAS!$AB102,"")</f>
        <v>0.0808612681</v>
      </c>
      <c r="AN113" s="459">
        <f>IF(CUENTAS!V102/CUENTAS!$AB102&lt;&gt;0,CUENTAS!V102/CUENTAS!$AB102,"")</f>
        <v>0.1517567292</v>
      </c>
      <c r="AO113" s="459">
        <f>IF(CUENTAS!W102/CUENTAS!$AB102&lt;&gt;0,CUENTAS!W102/CUENTAS!$AB102,"")</f>
        <v>0.02690144493</v>
      </c>
      <c r="AP113" s="459">
        <f>IF(CUENTAS!X102/CUENTAS!$AB102&lt;&gt;0,CUENTAS!X102/CUENTAS!$AB102,"")</f>
        <v>0.06936150208</v>
      </c>
      <c r="AQ113" s="459">
        <f>IF(CUENTAS!Y102/CUENTAS!$AB102&lt;&gt;0,CUENTAS!Y102/CUENTAS!$AB102,"")</f>
        <v>0.02612656106</v>
      </c>
      <c r="AR113" s="459">
        <f>IF(CUENTAS!AA102/CUENTAS!$AB102&lt;&gt;0,CUENTAS!AA102/CUENTAS!$AB102,"")</f>
        <v>0.0700977353</v>
      </c>
    </row>
    <row r="114">
      <c r="A114" s="474"/>
      <c r="B114" s="200"/>
      <c r="C114" s="200"/>
      <c r="F114" s="200"/>
      <c r="G114" s="200"/>
      <c r="J114" s="465">
        <v>45546.0</v>
      </c>
      <c r="K114" s="466">
        <f>SUMIF(GRAFICO!A:A,J114,GRAFICO!B:B)</f>
        <v>13013.21707</v>
      </c>
      <c r="L114" s="467">
        <f t="shared" si="2"/>
        <v>0.2533112062</v>
      </c>
      <c r="M114" s="468">
        <v>45911.0</v>
      </c>
      <c r="N114" s="469">
        <f>IF(SUMIF(GRAFICO!A:A,M114,GRAFICO!B:B)=0,"",SUMIF(GRAFICO!A:A,M114,GRAFICO!B:B))</f>
        <v>18925.65988</v>
      </c>
      <c r="O114" s="467">
        <f t="shared" si="3"/>
        <v>0.3074453922</v>
      </c>
      <c r="P114" s="465">
        <v>46276.0</v>
      </c>
      <c r="Q114" s="463" t="str">
        <f>IF(SUMIF(GRAFICO!A:A,P114,GRAFICO!B:B)=0,"",SUMIF(GRAFICO!A:A,P114,GRAFICO!B:B))</f>
        <v/>
      </c>
      <c r="R114" s="463" t="str">
        <f t="shared" si="4"/>
        <v/>
      </c>
      <c r="S114" s="471">
        <f>CUENTAS!A103</f>
        <v>45999</v>
      </c>
      <c r="T114" s="459">
        <f>IF(CUENTAS!Q103/CUENTAS!$AB103&lt;&gt;0,CUENTAS!Q103/CUENTAS!$AB103,"")</f>
        <v>0.0614391595</v>
      </c>
      <c r="U114" s="459" t="str">
        <f>IF(CUENTAS!C103/CUENTAS!$AB103&lt;&gt;0,CUENTAS!C103/CUENTAS!$AB103,"")</f>
        <v/>
      </c>
      <c r="V114" s="459" t="str">
        <f>IF(CUENTAS!D103/CUENTAS!$AB103&lt;&gt;0,CUENTAS!D103/CUENTAS!$AB103,"")</f>
        <v/>
      </c>
      <c r="W114" s="459" t="str">
        <f>IF(CUENTAS!E103/CUENTAS!$AB103&lt;&gt;0,CUENTAS!E103/CUENTAS!$AB103,"")</f>
        <v/>
      </c>
      <c r="X114" s="459" t="str">
        <f>IF(CUENTAS!F103/CUENTAS!$AB103&lt;&gt;0,CUENTAS!F103/CUENTAS!$AB103,"")</f>
        <v/>
      </c>
      <c r="Y114" s="459">
        <f>IF(CUENTAS!G103/CUENTAS!$AB103&lt;&gt;0,CUENTAS!G103/CUENTAS!$AB103,"")</f>
        <v>0.09585281221</v>
      </c>
      <c r="Z114" s="459">
        <f>IF(CUENTAS!H103/CUENTAS!$AB103&lt;&gt;0,CUENTAS!H103/CUENTAS!$AB103,"")</f>
        <v>0.04117162077</v>
      </c>
      <c r="AA114" s="459">
        <f>IF(CUENTAS!I103/CUENTAS!$AB103&lt;&gt;0,CUENTAS!I103/CUENTAS!$AB103,"")</f>
        <v>0.086076568</v>
      </c>
      <c r="AB114" s="459">
        <f>IF(CUENTAS!J103/CUENTAS!$AB103&lt;&gt;0,CUENTAS!J103/CUENTAS!$AB103,"")</f>
        <v>0.1867193686</v>
      </c>
      <c r="AC114" s="459">
        <f>IF(CUENTAS!K103/CUENTAS!$AB103&lt;&gt;0,CUENTAS!K103/CUENTAS!$AB103,"")</f>
        <v>0.06519900861</v>
      </c>
      <c r="AD114" s="459">
        <f>IF(CUENTAS!L103/CUENTAS!$AB103&lt;&gt;0,CUENTAS!L103/CUENTAS!$AB103,"")</f>
        <v>0.00826445387</v>
      </c>
      <c r="AE114" s="459">
        <f>IF(CUENTAS!M103/CUENTAS!$AB103&lt;&gt;0,CUENTAS!M103/CUENTAS!$AB103,"")</f>
        <v>0.05871263236</v>
      </c>
      <c r="AF114" s="459">
        <f>IF(CUENTAS!N103/CUENTAS!$AB103&lt;&gt;0,CUENTAS!N103/CUENTAS!$AB103,"")</f>
        <v>0.06144764675</v>
      </c>
      <c r="AG114" s="459" t="str">
        <f>IF(CUENTAS!O103/CUENTAS!$AB103&lt;&gt;0,CUENTAS!O103/CUENTAS!$AB103,"")</f>
        <v/>
      </c>
      <c r="AH114" s="459" t="str">
        <f>IF(CUENTAS!P103/CUENTAS!$AB103&lt;&gt;0,CUENTAS!P103/CUENTAS!$AB103,"")</f>
        <v/>
      </c>
      <c r="AI114" s="459">
        <f>IF(CUENTAS!R103/CUENTAS!$AB103&lt;&gt;0,CUENTAS!R103/CUENTAS!$AB103,"")</f>
        <v>0.06461434358</v>
      </c>
      <c r="AJ114" s="459" t="str">
        <f>IF(CUENTAS!B103/CUENTAS!$AB103&lt;&gt;0,CUENTAS!B103/CUENTAS!$AB103,"")</f>
        <v/>
      </c>
      <c r="AK114" s="459">
        <f>IF(CUENTAS!S103/CUENTAS!$AB103&lt;&gt;0,CUENTAS!S103/CUENTAS!$AB103,"")</f>
        <v>0.0228527505</v>
      </c>
      <c r="AL114" s="459">
        <f>IF(CUENTAS!T103/CUENTAS!$AB103&lt;&gt;0,CUENTAS!T103/CUENTAS!$AB103,"")</f>
        <v>0.03975053785</v>
      </c>
      <c r="AM114" s="459">
        <f>IF(CUENTAS!U103/CUENTAS!$AB103&lt;&gt;0,CUENTAS!U103/CUENTAS!$AB103,"")</f>
        <v>0.1062141442</v>
      </c>
      <c r="AN114" s="459">
        <f>IF(CUENTAS!V103/CUENTAS!$AB103&lt;&gt;0,CUENTAS!V103/CUENTAS!$AB103,"")</f>
        <v>0.1527312665</v>
      </c>
      <c r="AO114" s="459">
        <f>IF(CUENTAS!W103/CUENTAS!$AB103&lt;&gt;0,CUENTAS!W103/CUENTAS!$AB103,"")</f>
        <v>0.02707961297</v>
      </c>
      <c r="AP114" s="459">
        <f>IF(CUENTAS!X103/CUENTAS!$AB103&lt;&gt;0,CUENTAS!X103/CUENTAS!$AB103,"")</f>
        <v>0.06971312959</v>
      </c>
      <c r="AQ114" s="459">
        <f>IF(CUENTAS!Y103/CUENTAS!$AB103&lt;&gt;0,CUENTAS!Y103/CUENTAS!$AB103,"")</f>
        <v>0.02622889672</v>
      </c>
      <c r="AR114" s="459">
        <f>IF(CUENTAS!AA103/CUENTAS!$AB103&lt;&gt;0,CUENTAS!AA103/CUENTAS!$AB103,"")</f>
        <v>0.04547157686</v>
      </c>
    </row>
    <row r="115">
      <c r="A115" s="474"/>
      <c r="B115" s="200"/>
      <c r="C115" s="200"/>
      <c r="F115" s="200"/>
      <c r="G115" s="200"/>
      <c r="J115" s="465">
        <v>45545.0</v>
      </c>
      <c r="K115" s="466">
        <f>SUMIF(GRAFICO!A:A,J115,GRAFICO!B:B)</f>
        <v>13045.41647</v>
      </c>
      <c r="L115" s="467">
        <f t="shared" si="2"/>
        <v>0.2557825112</v>
      </c>
      <c r="M115" s="468">
        <v>45910.0</v>
      </c>
      <c r="N115" s="469">
        <f>IF(SUMIF(GRAFICO!A:A,M115,GRAFICO!B:B)=0,"",SUMIF(GRAFICO!A:A,M115,GRAFICO!B:B))</f>
        <v>18993.65855</v>
      </c>
      <c r="O115" s="467">
        <f t="shared" si="3"/>
        <v>0.311031888</v>
      </c>
      <c r="P115" s="468">
        <v>46275.0</v>
      </c>
      <c r="Q115" s="463" t="str">
        <f>IF(SUMIF(GRAFICO!A:A,P115,GRAFICO!B:B)=0,"",SUMIF(GRAFICO!A:A,P115,GRAFICO!B:B))</f>
        <v/>
      </c>
      <c r="R115" s="463" t="str">
        <f t="shared" si="4"/>
        <v/>
      </c>
      <c r="S115" s="471">
        <f>CUENTAS!A104</f>
        <v>45998</v>
      </c>
      <c r="T115" s="459">
        <f>IF(CUENTAS!Q104/CUENTAS!$AB104&lt;&gt;0,CUENTAS!Q104/CUENTAS!$AB104,"")</f>
        <v>0.06145603084</v>
      </c>
      <c r="U115" s="459" t="str">
        <f>IF(CUENTAS!C104/CUENTAS!$AB104&lt;&gt;0,CUENTAS!C104/CUENTAS!$AB104,"")</f>
        <v/>
      </c>
      <c r="V115" s="459" t="str">
        <f>IF(CUENTAS!D104/CUENTAS!$AB104&lt;&gt;0,CUENTAS!D104/CUENTAS!$AB104,"")</f>
        <v/>
      </c>
      <c r="W115" s="459" t="str">
        <f>IF(CUENTAS!E104/CUENTAS!$AB104&lt;&gt;0,CUENTAS!E104/CUENTAS!$AB104,"")</f>
        <v/>
      </c>
      <c r="X115" s="459" t="str">
        <f>IF(CUENTAS!F104/CUENTAS!$AB104&lt;&gt;0,CUENTAS!F104/CUENTAS!$AB104,"")</f>
        <v/>
      </c>
      <c r="Y115" s="459">
        <f>IF(CUENTAS!G104/CUENTAS!$AB104&lt;&gt;0,CUENTAS!G104/CUENTAS!$AB104,"")</f>
        <v>0.09587913362</v>
      </c>
      <c r="Z115" s="459">
        <f>IF(CUENTAS!H104/CUENTAS!$AB104&lt;&gt;0,CUENTAS!H104/CUENTAS!$AB104,"")</f>
        <v>0.04118292659</v>
      </c>
      <c r="AA115" s="459">
        <f>IF(CUENTAS!I104/CUENTAS!$AB104&lt;&gt;0,CUENTAS!I104/CUENTAS!$AB104,"")</f>
        <v>0.08610020483</v>
      </c>
      <c r="AB115" s="459">
        <f>IF(CUENTAS!J104/CUENTAS!$AB104&lt;&gt;0,CUENTAS!J104/CUENTAS!$AB104,"")</f>
        <v>0.1867706421</v>
      </c>
      <c r="AC115" s="459">
        <f>IF(CUENTAS!K104/CUENTAS!$AB104&lt;&gt;0,CUENTAS!K104/CUENTAS!$AB104,"")</f>
        <v>0.06521691241</v>
      </c>
      <c r="AD115" s="459">
        <f>IF(CUENTAS!L104/CUENTAS!$AB104&lt;&gt;0,CUENTAS!L104/CUENTAS!$AB104,"")</f>
        <v>0.008266723308</v>
      </c>
      <c r="AE115" s="459">
        <f>IF(CUENTAS!M104/CUENTAS!$AB104&lt;&gt;0,CUENTAS!M104/CUENTAS!$AB104,"")</f>
        <v>0.05872875498</v>
      </c>
      <c r="AF115" s="459">
        <f>IF(CUENTAS!N104/CUENTAS!$AB104&lt;&gt;0,CUENTAS!N104/CUENTAS!$AB104,"")</f>
        <v>0.06146452041</v>
      </c>
      <c r="AG115" s="459" t="str">
        <f>IF(CUENTAS!O104/CUENTAS!$AB104&lt;&gt;0,CUENTAS!O104/CUENTAS!$AB104,"")</f>
        <v/>
      </c>
      <c r="AH115" s="459" t="str">
        <f>IF(CUENTAS!P104/CUENTAS!$AB104&lt;&gt;0,CUENTAS!P104/CUENTAS!$AB104,"")</f>
        <v/>
      </c>
      <c r="AI115" s="459">
        <f>IF(CUENTAS!R104/CUENTAS!$AB104&lt;&gt;0,CUENTAS!R104/CUENTAS!$AB104,"")</f>
        <v>0.06481259641</v>
      </c>
      <c r="AJ115" s="459" t="str">
        <f>IF(CUENTAS!B104/CUENTAS!$AB104&lt;&gt;0,CUENTAS!B104/CUENTAS!$AB104,"")</f>
        <v/>
      </c>
      <c r="AK115" s="459">
        <f>IF(CUENTAS!S104/CUENTAS!$AB104&lt;&gt;0,CUENTAS!S104/CUENTAS!$AB104,"")</f>
        <v>0.02281244748</v>
      </c>
      <c r="AL115" s="459">
        <f>IF(CUENTAS!T104/CUENTAS!$AB104&lt;&gt;0,CUENTAS!T104/CUENTAS!$AB104,"")</f>
        <v>0.03966435393</v>
      </c>
      <c r="AM115" s="459">
        <f>IF(CUENTAS!U104/CUENTAS!$AB104&lt;&gt;0,CUENTAS!U104/CUENTAS!$AB104,"")</f>
        <v>0.1059701533</v>
      </c>
      <c r="AN115" s="459">
        <f>IF(CUENTAS!V104/CUENTAS!$AB104&lt;&gt;0,CUENTAS!V104/CUENTAS!$AB104,"")</f>
        <v>0.1527426583</v>
      </c>
      <c r="AO115" s="459">
        <f>IF(CUENTAS!W104/CUENTAS!$AB104&lt;&gt;0,CUENTAS!W104/CUENTAS!$AB104,"")</f>
        <v>0.02708704909</v>
      </c>
      <c r="AP115" s="459">
        <f>IF(CUENTAS!X104/CUENTAS!$AB104&lt;&gt;0,CUENTAS!X104/CUENTAS!$AB104,"")</f>
        <v>0.06962449027</v>
      </c>
      <c r="AQ115" s="459">
        <f>IF(CUENTAS!Y104/CUENTAS!$AB104&lt;&gt;0,CUENTAS!Y104/CUENTAS!$AB104,"")</f>
        <v>0.02616537948</v>
      </c>
      <c r="AR115" s="459">
        <f>IF(CUENTAS!AA104/CUENTAS!$AB104&lt;&gt;0,CUENTAS!AA104/CUENTAS!$AB104,"")</f>
        <v>0.04548406346</v>
      </c>
    </row>
    <row r="116">
      <c r="A116" s="474"/>
      <c r="B116" s="200"/>
      <c r="C116" s="200"/>
      <c r="F116" s="200"/>
      <c r="G116" s="200"/>
      <c r="J116" s="470">
        <v>45544.0</v>
      </c>
      <c r="K116" s="466">
        <f>SUMIF(GRAFICO!A:A,J116,GRAFICO!B:B)</f>
        <v>13079.89442</v>
      </c>
      <c r="L116" s="467">
        <f t="shared" si="2"/>
        <v>0.2584219419</v>
      </c>
      <c r="M116" s="468">
        <v>45909.0</v>
      </c>
      <c r="N116" s="469">
        <f>IF(SUMIF(GRAFICO!A:A,M116,GRAFICO!B:B)=0,"",SUMIF(GRAFICO!A:A,M116,GRAFICO!B:B))</f>
        <v>18910.66844</v>
      </c>
      <c r="O116" s="467">
        <f t="shared" si="3"/>
        <v>0.3066529555</v>
      </c>
      <c r="P116" s="465">
        <v>46274.0</v>
      </c>
      <c r="Q116" s="463" t="str">
        <f>IF(SUMIF(GRAFICO!A:A,P116,GRAFICO!B:B)=0,"",SUMIF(GRAFICO!A:A,P116,GRAFICO!B:B))</f>
        <v/>
      </c>
      <c r="R116" s="463" t="str">
        <f t="shared" si="4"/>
        <v/>
      </c>
      <c r="S116" s="471">
        <f>CUENTAS!A105</f>
        <v>45997</v>
      </c>
      <c r="T116" s="459">
        <f>IF(CUENTAS!Q105/CUENTAS!$AB105&lt;&gt;0,CUENTAS!Q105/CUENTAS!$AB105,"")</f>
        <v>0.06147291107</v>
      </c>
      <c r="U116" s="459" t="str">
        <f>IF(CUENTAS!C105/CUENTAS!$AB105&lt;&gt;0,CUENTAS!C105/CUENTAS!$AB105,"")</f>
        <v/>
      </c>
      <c r="V116" s="459" t="str">
        <f>IF(CUENTAS!D105/CUENTAS!$AB105&lt;&gt;0,CUENTAS!D105/CUENTAS!$AB105,"")</f>
        <v/>
      </c>
      <c r="W116" s="459" t="str">
        <f>IF(CUENTAS!E105/CUENTAS!$AB105&lt;&gt;0,CUENTAS!E105/CUENTAS!$AB105,"")</f>
        <v/>
      </c>
      <c r="X116" s="459" t="str">
        <f>IF(CUENTAS!F105/CUENTAS!$AB105&lt;&gt;0,CUENTAS!F105/CUENTAS!$AB105,"")</f>
        <v/>
      </c>
      <c r="Y116" s="459">
        <f>IF(CUENTAS!G105/CUENTAS!$AB105&lt;&gt;0,CUENTAS!G105/CUENTAS!$AB105,"")</f>
        <v>0.0959054689</v>
      </c>
      <c r="Z116" s="459">
        <f>IF(CUENTAS!H105/CUENTAS!$AB105&lt;&gt;0,CUENTAS!H105/CUENTAS!$AB105,"")</f>
        <v>0.04119423837</v>
      </c>
      <c r="AA116" s="459">
        <f>IF(CUENTAS!I105/CUENTAS!$AB105&lt;&gt;0,CUENTAS!I105/CUENTAS!$AB105,"")</f>
        <v>0.08612385411</v>
      </c>
      <c r="AB116" s="459">
        <f>IF(CUENTAS!J105/CUENTAS!$AB105&lt;&gt;0,CUENTAS!J105/CUENTAS!$AB105,"")</f>
        <v>0.1868219427</v>
      </c>
      <c r="AC116" s="459">
        <f>IF(CUENTAS!K105/CUENTAS!$AB105&lt;&gt;0,CUENTAS!K105/CUENTAS!$AB105,"")</f>
        <v>0.06523482564</v>
      </c>
      <c r="AD116" s="459">
        <f>IF(CUENTAS!L105/CUENTAS!$AB105&lt;&gt;0,CUENTAS!L105/CUENTAS!$AB105,"")</f>
        <v>0.008268993943</v>
      </c>
      <c r="AE116" s="459">
        <f>IF(CUENTAS!M105/CUENTAS!$AB105&lt;&gt;0,CUENTAS!M105/CUENTAS!$AB105,"")</f>
        <v>0.05874488611</v>
      </c>
      <c r="AF116" s="459">
        <f>IF(CUENTAS!N105/CUENTAS!$AB105&lt;&gt;0,CUENTAS!N105/CUENTAS!$AB105,"")</f>
        <v>0.06148140297</v>
      </c>
      <c r="AG116" s="459" t="str">
        <f>IF(CUENTAS!O105/CUENTAS!$AB105&lt;&gt;0,CUENTAS!O105/CUENTAS!$AB105,"")</f>
        <v/>
      </c>
      <c r="AH116" s="459" t="str">
        <f>IF(CUENTAS!P105/CUENTAS!$AB105&lt;&gt;0,CUENTAS!P105/CUENTAS!$AB105,"")</f>
        <v/>
      </c>
      <c r="AI116" s="459">
        <f>IF(CUENTAS!R105/CUENTAS!$AB105&lt;&gt;0,CUENTAS!R105/CUENTAS!$AB105,"")</f>
        <v>0.06501095776</v>
      </c>
      <c r="AJ116" s="459" t="str">
        <f>IF(CUENTAS!B105/CUENTAS!$AB105&lt;&gt;0,CUENTAS!B105/CUENTAS!$AB105,"")</f>
        <v/>
      </c>
      <c r="AK116" s="459">
        <f>IF(CUENTAS!S105/CUENTAS!$AB105&lt;&gt;0,CUENTAS!S105/CUENTAS!$AB105,"")</f>
        <v>0.02277212218</v>
      </c>
      <c r="AL116" s="459">
        <f>IF(CUENTAS!T105/CUENTAS!$AB105&lt;&gt;0,CUENTAS!T105/CUENTAS!$AB105,"")</f>
        <v>0.03957812242</v>
      </c>
      <c r="AM116" s="459">
        <f>IF(CUENTAS!U105/CUENTAS!$AB105&lt;&gt;0,CUENTAS!U105/CUENTAS!$AB105,"")</f>
        <v>0.1057260277</v>
      </c>
      <c r="AN116" s="459">
        <f>IF(CUENTAS!V105/CUENTAS!$AB105&lt;&gt;0,CUENTAS!V105/CUENTAS!$AB105,"")</f>
        <v>0.1527540616</v>
      </c>
      <c r="AO116" s="459">
        <f>IF(CUENTAS!W105/CUENTAS!$AB105&lt;&gt;0,CUENTAS!W105/CUENTAS!$AB105,"")</f>
        <v>0.02709448914</v>
      </c>
      <c r="AP116" s="459">
        <f>IF(CUENTAS!X105/CUENTAS!$AB105&lt;&gt;0,CUENTAS!X105/CUENTAS!$AB105,"")</f>
        <v>0.06953580182</v>
      </c>
      <c r="AQ116" s="459">
        <f>IF(CUENTAS!Y105/CUENTAS!$AB105&lt;&gt;0,CUENTAS!Y105/CUENTAS!$AB105,"")</f>
        <v>0.0261018272</v>
      </c>
      <c r="AR116" s="459">
        <f>IF(CUENTAS!AA105/CUENTAS!$AB105&lt;&gt;0,CUENTAS!AA105/CUENTAS!$AB105,"")</f>
        <v>0.04549655665</v>
      </c>
    </row>
    <row r="117">
      <c r="A117" s="474"/>
      <c r="B117" s="200"/>
      <c r="C117" s="200"/>
      <c r="F117" s="200"/>
      <c r="G117" s="200"/>
      <c r="J117" s="465">
        <v>45543.0</v>
      </c>
      <c r="K117" s="466">
        <f>SUMIF(GRAFICO!A:A,J117,GRAFICO!B:B)</f>
        <v>13050.91436</v>
      </c>
      <c r="L117" s="467">
        <f t="shared" si="2"/>
        <v>0.2562038646</v>
      </c>
      <c r="M117" s="468">
        <v>45908.0</v>
      </c>
      <c r="N117" s="469">
        <f>IF(SUMIF(GRAFICO!A:A,M117,GRAFICO!B:B)=0,"",SUMIF(GRAFICO!A:A,M117,GRAFICO!B:B))</f>
        <v>18783.34239</v>
      </c>
      <c r="O117" s="467">
        <f t="shared" si="3"/>
        <v>0.299897159</v>
      </c>
      <c r="P117" s="468">
        <v>46273.0</v>
      </c>
      <c r="Q117" s="463" t="str">
        <f>IF(SUMIF(GRAFICO!A:A,P117,GRAFICO!B:B)=0,"",SUMIF(GRAFICO!A:A,P117,GRAFICO!B:B))</f>
        <v/>
      </c>
      <c r="R117" s="463" t="str">
        <f t="shared" si="4"/>
        <v/>
      </c>
      <c r="S117" s="471">
        <f>CUENTAS!A106</f>
        <v>45996</v>
      </c>
      <c r="T117" s="459">
        <f>IF(CUENTAS!Q106/CUENTAS!$AB106&lt;&gt;0,CUENTAS!Q106/CUENTAS!$AB106,"")</f>
        <v>0.0614898002</v>
      </c>
      <c r="U117" s="459" t="str">
        <f>IF(CUENTAS!C106/CUENTAS!$AB106&lt;&gt;0,CUENTAS!C106/CUENTAS!$AB106,"")</f>
        <v/>
      </c>
      <c r="V117" s="459" t="str">
        <f>IF(CUENTAS!D106/CUENTAS!$AB106&lt;&gt;0,CUENTAS!D106/CUENTAS!$AB106,"")</f>
        <v/>
      </c>
      <c r="W117" s="459" t="str">
        <f>IF(CUENTAS!E106/CUENTAS!$AB106&lt;&gt;0,CUENTAS!E106/CUENTAS!$AB106,"")</f>
        <v/>
      </c>
      <c r="X117" s="459" t="str">
        <f>IF(CUENTAS!F106/CUENTAS!$AB106&lt;&gt;0,CUENTAS!F106/CUENTAS!$AB106,"")</f>
        <v/>
      </c>
      <c r="Y117" s="459">
        <f>IF(CUENTAS!G106/CUENTAS!$AB106&lt;&gt;0,CUENTAS!G106/CUENTAS!$AB106,"")</f>
        <v>0.09593181807</v>
      </c>
      <c r="Z117" s="459">
        <f>IF(CUENTAS!H106/CUENTAS!$AB106&lt;&gt;0,CUENTAS!H106/CUENTAS!$AB106,"")</f>
        <v>0.04120555612</v>
      </c>
      <c r="AA117" s="459">
        <f>IF(CUENTAS!I106/CUENTAS!$AB106&lt;&gt;0,CUENTAS!I106/CUENTAS!$AB106,"")</f>
        <v>0.08614751587</v>
      </c>
      <c r="AB117" s="459">
        <f>IF(CUENTAS!J106/CUENTAS!$AB106&lt;&gt;0,CUENTAS!J106/CUENTAS!$AB106,"")</f>
        <v>0.1868732704</v>
      </c>
      <c r="AC117" s="459">
        <f>IF(CUENTAS!K106/CUENTAS!$AB106&lt;&gt;0,CUENTAS!K106/CUENTAS!$AB106,"")</f>
        <v>0.06525274832</v>
      </c>
      <c r="AD117" s="459">
        <f>IF(CUENTAS!L106/CUENTAS!$AB106&lt;&gt;0,CUENTAS!L106/CUENTAS!$AB106,"")</f>
        <v>0.008271265775</v>
      </c>
      <c r="AE117" s="459">
        <f>IF(CUENTAS!M106/CUENTAS!$AB106&lt;&gt;0,CUENTAS!M106/CUENTAS!$AB106,"")</f>
        <v>0.05876102574</v>
      </c>
      <c r="AF117" s="459">
        <f>IF(CUENTAS!N106/CUENTAS!$AB106&lt;&gt;0,CUENTAS!N106/CUENTAS!$AB106,"")</f>
        <v>0.06149829444</v>
      </c>
      <c r="AG117" s="459" t="str">
        <f>IF(CUENTAS!O106/CUENTAS!$AB106&lt;&gt;0,CUENTAS!O106/CUENTAS!$AB106,"")</f>
        <v/>
      </c>
      <c r="AH117" s="459" t="str">
        <f>IF(CUENTAS!P106/CUENTAS!$AB106&lt;&gt;0,CUENTAS!P106/CUENTAS!$AB106,"")</f>
        <v/>
      </c>
      <c r="AI117" s="459">
        <f>IF(CUENTAS!R106/CUENTAS!$AB106&lt;&gt;0,CUENTAS!R106/CUENTAS!$AB106,"")</f>
        <v>0.0652094277</v>
      </c>
      <c r="AJ117" s="459" t="str">
        <f>IF(CUENTAS!B106/CUENTAS!$AB106&lt;&gt;0,CUENTAS!B106/CUENTAS!$AB106,"")</f>
        <v/>
      </c>
      <c r="AK117" s="459">
        <f>IF(CUENTAS!S106/CUENTAS!$AB106&lt;&gt;0,CUENTAS!S106/CUENTAS!$AB106,"")</f>
        <v>0.02273177458</v>
      </c>
      <c r="AL117" s="459">
        <f>IF(CUENTAS!T106/CUENTAS!$AB106&lt;&gt;0,CUENTAS!T106/CUENTAS!$AB106,"")</f>
        <v>0.03949184329</v>
      </c>
      <c r="AM117" s="459">
        <f>IF(CUENTAS!U106/CUENTAS!$AB106&lt;&gt;0,CUENTAS!U106/CUENTAS!$AB106,"")</f>
        <v>0.1054817674</v>
      </c>
      <c r="AN117" s="459">
        <f>IF(CUENTAS!V106/CUENTAS!$AB106&lt;&gt;0,CUENTAS!V106/CUENTAS!$AB106,"")</f>
        <v>0.1527654763</v>
      </c>
      <c r="AO117" s="459">
        <f>IF(CUENTAS!W106/CUENTAS!$AB106&lt;&gt;0,CUENTAS!W106/CUENTAS!$AB106,"")</f>
        <v>0.02710193311</v>
      </c>
      <c r="AP117" s="459">
        <f>IF(CUENTAS!X106/CUENTAS!$AB106&lt;&gt;0,CUENTAS!X106/CUENTAS!$AB106,"")</f>
        <v>0.06944706422</v>
      </c>
      <c r="AQ117" s="459">
        <f>IF(CUENTAS!Y106/CUENTAS!$AB106&lt;&gt;0,CUENTAS!Y106/CUENTAS!$AB106,"")</f>
        <v>0.02603823983</v>
      </c>
      <c r="AR117" s="459">
        <f>IF(CUENTAS!AA106/CUENTAS!$AB106&lt;&gt;0,CUENTAS!AA106/CUENTAS!$AB106,"")</f>
        <v>0.04550905642</v>
      </c>
    </row>
    <row r="118">
      <c r="A118" s="474"/>
      <c r="B118" s="200"/>
      <c r="C118" s="200"/>
      <c r="F118" s="200"/>
      <c r="G118" s="200"/>
      <c r="J118" s="470">
        <v>45542.0</v>
      </c>
      <c r="K118" s="466">
        <f>SUMIF(GRAFICO!A:A,J118,GRAFICO!B:B)</f>
        <v>13040.19443</v>
      </c>
      <c r="L118" s="467">
        <f t="shared" si="2"/>
        <v>0.2553821343</v>
      </c>
      <c r="M118" s="468">
        <v>45907.0</v>
      </c>
      <c r="N118" s="469">
        <f>IF(SUMIF(GRAFICO!A:A,M118,GRAFICO!B:B)=0,"",SUMIF(GRAFICO!A:A,M118,GRAFICO!B:B))</f>
        <v>18667.11655</v>
      </c>
      <c r="O118" s="467">
        <f t="shared" si="3"/>
        <v>0.2936902278</v>
      </c>
      <c r="P118" s="465">
        <v>46272.0</v>
      </c>
      <c r="Q118" s="463" t="str">
        <f>IF(SUMIF(GRAFICO!A:A,P118,GRAFICO!B:B)=0,"",SUMIF(GRAFICO!A:A,P118,GRAFICO!B:B))</f>
        <v/>
      </c>
      <c r="R118" s="463" t="str">
        <f t="shared" si="4"/>
        <v/>
      </c>
      <c r="S118" s="471">
        <f>CUENTAS!A107</f>
        <v>45995</v>
      </c>
      <c r="T118" s="459">
        <f>IF(CUENTAS!Q107/CUENTAS!$AB107&lt;&gt;0,CUENTAS!Q107/CUENTAS!$AB107,"")</f>
        <v>0.06209130438</v>
      </c>
      <c r="U118" s="459" t="str">
        <f>IF(CUENTAS!C107/CUENTAS!$AB107&lt;&gt;0,CUENTAS!C107/CUENTAS!$AB107,"")</f>
        <v/>
      </c>
      <c r="V118" s="459" t="str">
        <f>IF(CUENTAS!D107/CUENTAS!$AB107&lt;&gt;0,CUENTAS!D107/CUENTAS!$AB107,"")</f>
        <v/>
      </c>
      <c r="W118" s="459" t="str">
        <f>IF(CUENTAS!E107/CUENTAS!$AB107&lt;&gt;0,CUENTAS!E107/CUENTAS!$AB107,"")</f>
        <v/>
      </c>
      <c r="X118" s="459" t="str">
        <f>IF(CUENTAS!F107/CUENTAS!$AB107&lt;&gt;0,CUENTAS!F107/CUENTAS!$AB107,"")</f>
        <v/>
      </c>
      <c r="Y118" s="459">
        <f>IF(CUENTAS!G107/CUENTAS!$AB107&lt;&gt;0,CUENTAS!G107/CUENTAS!$AB107,"")</f>
        <v>0.0968702402</v>
      </c>
      <c r="Z118" s="459">
        <f>IF(CUENTAS!H107/CUENTAS!$AB107&lt;&gt;0,CUENTAS!H107/CUENTAS!$AB107,"")</f>
        <v>0.04302389595</v>
      </c>
      <c r="AA118" s="459">
        <f>IF(CUENTAS!I107/CUENTAS!$AB107&lt;&gt;0,CUENTAS!I107/CUENTAS!$AB107,"")</f>
        <v>0.08887187836</v>
      </c>
      <c r="AB118" s="459">
        <f>IF(CUENTAS!J107/CUENTAS!$AB107&lt;&gt;0,CUENTAS!J107/CUENTAS!$AB107,"")</f>
        <v>0.1917033641</v>
      </c>
      <c r="AC118" s="459">
        <f>IF(CUENTAS!K107/CUENTAS!$AB107&lt;&gt;0,CUENTAS!K107/CUENTAS!$AB107,"")</f>
        <v>0.06756793068</v>
      </c>
      <c r="AD118" s="459">
        <f>IF(CUENTAS!L107/CUENTAS!$AB107&lt;&gt;0,CUENTAS!L107/CUENTAS!$AB107,"")</f>
        <v>0.008362898434</v>
      </c>
      <c r="AE118" s="459">
        <f>IF(CUENTAS!M107/CUENTAS!$AB107&lt;&gt;0,CUENTAS!M107/CUENTAS!$AB107,"")</f>
        <v>0.05895628963</v>
      </c>
      <c r="AF118" s="459">
        <f>IF(CUENTAS!N107/CUENTAS!$AB107&lt;&gt;0,CUENTAS!N107/CUENTAS!$AB107,"")</f>
        <v>0.0610706019</v>
      </c>
      <c r="AG118" s="459" t="str">
        <f>IF(CUENTAS!O107/CUENTAS!$AB107&lt;&gt;0,CUENTAS!O107/CUENTAS!$AB107,"")</f>
        <v/>
      </c>
      <c r="AH118" s="459" t="str">
        <f>IF(CUENTAS!P107/CUENTAS!$AB107&lt;&gt;0,CUENTAS!P107/CUENTAS!$AB107,"")</f>
        <v/>
      </c>
      <c r="AI118" s="459">
        <f>IF(CUENTAS!R107/CUENTAS!$AB107&lt;&gt;0,CUENTAS!R107/CUENTAS!$AB107,"")</f>
        <v>0.06602969345</v>
      </c>
      <c r="AJ118" s="459" t="str">
        <f>IF(CUENTAS!B107/CUENTAS!$AB107&lt;&gt;0,CUENTAS!B107/CUENTAS!$AB107,"")</f>
        <v/>
      </c>
      <c r="AK118" s="459">
        <f>IF(CUENTAS!S107/CUENTAS!$AB107&lt;&gt;0,CUENTAS!S107/CUENTAS!$AB107,"")</f>
        <v>0.02290708093</v>
      </c>
      <c r="AL118" s="459">
        <f>IF(CUENTAS!T107/CUENTAS!$AB107&lt;&gt;0,CUENTAS!T107/CUENTAS!$AB107,"")</f>
        <v>0.0397800563</v>
      </c>
      <c r="AM118" s="459">
        <f>IF(CUENTAS!U107/CUENTAS!$AB107&lt;&gt;0,CUENTAS!U107/CUENTAS!$AB107,"")</f>
        <v>0.1062376276</v>
      </c>
      <c r="AN118" s="459">
        <f>IF(CUENTAS!V107/CUENTAS!$AB107&lt;&gt;0,CUENTAS!V107/CUENTAS!$AB107,"")</f>
        <v>0.1542290096</v>
      </c>
      <c r="AO118" s="459">
        <f>IF(CUENTAS!W107/CUENTAS!$AB107&lt;&gt;0,CUENTAS!W107/CUENTAS!$AB107,"")</f>
        <v>0.02736704904</v>
      </c>
      <c r="AP118" s="459">
        <f>IF(CUENTAS!X107/CUENTAS!$AB107&lt;&gt;0,CUENTAS!X107/CUENTAS!$AB107,"")</f>
        <v>0.0700175109</v>
      </c>
      <c r="AQ118" s="459">
        <f>IF(CUENTAS!Y107/CUENTAS!$AB107&lt;&gt;0,CUENTAS!Y107/CUENTAS!$AB107,"")</f>
        <v>0.02622149975</v>
      </c>
      <c r="AR118" s="459">
        <f>IF(CUENTAS!AA107/CUENTAS!$AB107&lt;&gt;0,CUENTAS!AA107/CUENTAS!$AB107,"")</f>
        <v>0.02987173712</v>
      </c>
    </row>
    <row r="119">
      <c r="A119" s="474"/>
      <c r="B119" s="200"/>
      <c r="C119" s="200"/>
      <c r="F119" s="200"/>
      <c r="G119" s="200"/>
      <c r="J119" s="470">
        <v>45541.0</v>
      </c>
      <c r="K119" s="466">
        <f>SUMIF(GRAFICO!A:A,J119,GRAFICO!B:B)</f>
        <v>13031.04625</v>
      </c>
      <c r="L119" s="467">
        <f t="shared" si="2"/>
        <v>0.2546803512</v>
      </c>
      <c r="M119" s="468">
        <v>45906.0</v>
      </c>
      <c r="N119" s="469">
        <f>IF(SUMIF(GRAFICO!A:A,M119,GRAFICO!B:B)=0,"",SUMIF(GRAFICO!A:A,M119,GRAFICO!B:B))</f>
        <v>18592.95468</v>
      </c>
      <c r="O119" s="467">
        <f t="shared" si="3"/>
        <v>0.2897094533</v>
      </c>
      <c r="P119" s="468">
        <v>46271.0</v>
      </c>
      <c r="Q119" s="463" t="str">
        <f>IF(SUMIF(GRAFICO!A:A,P119,GRAFICO!B:B)=0,"",SUMIF(GRAFICO!A:A,P119,GRAFICO!B:B))</f>
        <v/>
      </c>
      <c r="R119" s="463" t="str">
        <f t="shared" si="4"/>
        <v/>
      </c>
      <c r="S119" s="471">
        <f>CUENTAS!A108</f>
        <v>45994</v>
      </c>
      <c r="T119" s="459">
        <f>IF(CUENTAS!Q108/CUENTAS!$AB108&lt;&gt;0,CUENTAS!Q108/CUENTAS!$AB108,"")</f>
        <v>0.06226861046</v>
      </c>
      <c r="U119" s="459" t="str">
        <f>IF(CUENTAS!C108/CUENTAS!$AB108&lt;&gt;0,CUENTAS!C108/CUENTAS!$AB108,"")</f>
        <v/>
      </c>
      <c r="V119" s="459" t="str">
        <f>IF(CUENTAS!D108/CUENTAS!$AB108&lt;&gt;0,CUENTAS!D108/CUENTAS!$AB108,"")</f>
        <v/>
      </c>
      <c r="W119" s="459" t="str">
        <f>IF(CUENTAS!E108/CUENTAS!$AB108&lt;&gt;0,CUENTAS!E108/CUENTAS!$AB108,"")</f>
        <v/>
      </c>
      <c r="X119" s="459" t="str">
        <f>IF(CUENTAS!F108/CUENTAS!$AB108&lt;&gt;0,CUENTAS!F108/CUENTAS!$AB108,"")</f>
        <v/>
      </c>
      <c r="Y119" s="459">
        <f>IF(CUENTAS!G108/CUENTAS!$AB108&lt;&gt;0,CUENTAS!G108/CUENTAS!$AB108,"")</f>
        <v>0.09689254883</v>
      </c>
      <c r="Z119" s="459">
        <f>IF(CUENTAS!H108/CUENTAS!$AB108&lt;&gt;0,CUENTAS!H108/CUENTAS!$AB108,"")</f>
        <v>0.04246756982</v>
      </c>
      <c r="AA119" s="459">
        <f>IF(CUENTAS!I108/CUENTAS!$AB108&lt;&gt;0,CUENTAS!I108/CUENTAS!$AB108,"")</f>
        <v>0.08750249728</v>
      </c>
      <c r="AB119" s="459">
        <f>IF(CUENTAS!J108/CUENTAS!$AB108&lt;&gt;0,CUENTAS!J108/CUENTAS!$AB108,"")</f>
        <v>0.1932917875</v>
      </c>
      <c r="AC119" s="459">
        <f>IF(CUENTAS!K108/CUENTAS!$AB108&lt;&gt;0,CUENTAS!K108/CUENTAS!$AB108,"")</f>
        <v>0.06891542859</v>
      </c>
      <c r="AD119" s="459">
        <f>IF(CUENTAS!L108/CUENTAS!$AB108&lt;&gt;0,CUENTAS!L108/CUENTAS!$AB108,"")</f>
        <v>0.008300479556</v>
      </c>
      <c r="AE119" s="459">
        <f>IF(CUENTAS!M108/CUENTAS!$AB108&lt;&gt;0,CUENTAS!M108/CUENTAS!$AB108,"")</f>
        <v>0.05909641168</v>
      </c>
      <c r="AF119" s="459">
        <f>IF(CUENTAS!N108/CUENTAS!$AB108&lt;&gt;0,CUENTAS!N108/CUENTAS!$AB108,"")</f>
        <v>0.05998651479</v>
      </c>
      <c r="AG119" s="459" t="str">
        <f>IF(CUENTAS!O108/CUENTAS!$AB108&lt;&gt;0,CUENTAS!O108/CUENTAS!$AB108,"")</f>
        <v/>
      </c>
      <c r="AH119" s="459" t="str">
        <f>IF(CUENTAS!P108/CUENTAS!$AB108&lt;&gt;0,CUENTAS!P108/CUENTAS!$AB108,"")</f>
        <v/>
      </c>
      <c r="AI119" s="459">
        <f>IF(CUENTAS!R108/CUENTAS!$AB108&lt;&gt;0,CUENTAS!R108/CUENTAS!$AB108,"")</f>
        <v>0.06622731721</v>
      </c>
      <c r="AJ119" s="459" t="str">
        <f>IF(CUENTAS!B108/CUENTAS!$AB108&lt;&gt;0,CUENTAS!B108/CUENTAS!$AB108,"")</f>
        <v/>
      </c>
      <c r="AK119" s="459">
        <f>IF(CUENTAS!S108/CUENTAS!$AB108&lt;&gt;0,CUENTAS!S108/CUENTAS!$AB108,"")</f>
        <v>0.02286528553</v>
      </c>
      <c r="AL119" s="459">
        <f>IF(CUENTAS!T108/CUENTAS!$AB108&lt;&gt;0,CUENTAS!T108/CUENTAS!$AB108,"")</f>
        <v>0.03969109158</v>
      </c>
      <c r="AM119" s="459">
        <f>IF(CUENTAS!U108/CUENTAS!$AB108&lt;&gt;0,CUENTAS!U108/CUENTAS!$AB108,"")</f>
        <v>0.1059860487</v>
      </c>
      <c r="AN119" s="459">
        <f>IF(CUENTAS!V108/CUENTAS!$AB108&lt;&gt;0,CUENTAS!V108/CUENTAS!$AB108,"")</f>
        <v>0.1542336808</v>
      </c>
      <c r="AO119" s="459">
        <f>IF(CUENTAS!W108/CUENTAS!$AB108&lt;&gt;0,CUENTAS!W108/CUENTAS!$AB108,"")</f>
        <v>0.02737335151</v>
      </c>
      <c r="AP119" s="459">
        <f>IF(CUENTAS!X108/CUENTAS!$AB108&lt;&gt;0,CUENTAS!X108/CUENTAS!$AB108,"")</f>
        <v>0.06992471356</v>
      </c>
      <c r="AQ119" s="459">
        <f>IF(CUENTAS!Y108/CUENTAS!$AB108&lt;&gt;0,CUENTAS!Y108/CUENTAS!$AB108,"")</f>
        <v>0.02615607117</v>
      </c>
      <c r="AR119" s="459">
        <f>IF(CUENTAS!AA108/CUENTAS!$AB108&lt;&gt;0,CUENTAS!AA108/CUENTAS!$AB108,"")</f>
        <v>0.0298786164</v>
      </c>
    </row>
    <row r="120">
      <c r="A120" s="474"/>
      <c r="B120" s="200"/>
      <c r="C120" s="200"/>
      <c r="F120" s="200"/>
      <c r="G120" s="200"/>
      <c r="J120" s="470">
        <v>45540.0</v>
      </c>
      <c r="K120" s="466">
        <f>SUMIF(GRAFICO!A:A,J120,GRAFICO!B:B)</f>
        <v>13161.38066</v>
      </c>
      <c r="L120" s="467">
        <f t="shared" si="2"/>
        <v>0.2646325012</v>
      </c>
      <c r="M120" s="468">
        <v>45905.0</v>
      </c>
      <c r="N120" s="469">
        <f>IF(SUMIF(GRAFICO!A:A,M120,GRAFICO!B:B)=0,"",SUMIF(GRAFICO!A:A,M120,GRAFICO!B:B))</f>
        <v>18557.43745</v>
      </c>
      <c r="O120" s="467">
        <f t="shared" si="3"/>
        <v>0.2877973745</v>
      </c>
      <c r="P120" s="465">
        <v>46270.0</v>
      </c>
      <c r="Q120" s="463" t="str">
        <f>IF(SUMIF(GRAFICO!A:A,P120,GRAFICO!B:B)=0,"",SUMIF(GRAFICO!A:A,P120,GRAFICO!B:B))</f>
        <v/>
      </c>
      <c r="R120" s="463" t="str">
        <f t="shared" si="4"/>
        <v/>
      </c>
      <c r="S120" s="471">
        <f>CUENTAS!A109</f>
        <v>45993</v>
      </c>
      <c r="T120" s="459">
        <f>IF(CUENTAS!Q109/CUENTAS!$AB109&lt;&gt;0,CUENTAS!Q109/CUENTAS!$AB109,"")</f>
        <v>0.06139514268</v>
      </c>
      <c r="U120" s="459" t="str">
        <f>IF(CUENTAS!C109/CUENTAS!$AB109&lt;&gt;0,CUENTAS!C109/CUENTAS!$AB109,"")</f>
        <v/>
      </c>
      <c r="V120" s="459" t="str">
        <f>IF(CUENTAS!D109/CUENTAS!$AB109&lt;&gt;0,CUENTAS!D109/CUENTAS!$AB109,"")</f>
        <v/>
      </c>
      <c r="W120" s="459" t="str">
        <f>IF(CUENTAS!E109/CUENTAS!$AB109&lt;&gt;0,CUENTAS!E109/CUENTAS!$AB109,"")</f>
        <v/>
      </c>
      <c r="X120" s="459" t="str">
        <f>IF(CUENTAS!F109/CUENTAS!$AB109&lt;&gt;0,CUENTAS!F109/CUENTAS!$AB109,"")</f>
        <v/>
      </c>
      <c r="Y120" s="459">
        <f>IF(CUENTAS!G109/CUENTAS!$AB109&lt;&gt;0,CUENTAS!G109/CUENTAS!$AB109,"")</f>
        <v>0.09802962944</v>
      </c>
      <c r="Z120" s="459">
        <f>IF(CUENTAS!H109/CUENTAS!$AB109&lt;&gt;0,CUENTAS!H109/CUENTAS!$AB109,"")</f>
        <v>0.04327665132</v>
      </c>
      <c r="AA120" s="459">
        <f>IF(CUENTAS!I109/CUENTAS!$AB109&lt;&gt;0,CUENTAS!I109/CUENTAS!$AB109,"")</f>
        <v>0.088370922</v>
      </c>
      <c r="AB120" s="459">
        <f>IF(CUENTAS!J109/CUENTAS!$AB109&lt;&gt;0,CUENTAS!J109/CUENTAS!$AB109,"")</f>
        <v>0.1969568487</v>
      </c>
      <c r="AC120" s="459">
        <f>IF(CUENTAS!K109/CUENTAS!$AB109&lt;&gt;0,CUENTAS!K109/CUENTAS!$AB109,"")</f>
        <v>0.06621007085</v>
      </c>
      <c r="AD120" s="459">
        <f>IF(CUENTAS!L109/CUENTAS!$AB109&lt;&gt;0,CUENTAS!L109/CUENTAS!$AB109,"")</f>
        <v>0.00831552841</v>
      </c>
      <c r="AE120" s="459">
        <f>IF(CUENTAS!M109/CUENTAS!$AB109&lt;&gt;0,CUENTAS!M109/CUENTAS!$AB109,"")</f>
        <v>0.05844271335</v>
      </c>
      <c r="AF120" s="459">
        <f>IF(CUENTAS!N109/CUENTAS!$AB109&lt;&gt;0,CUENTAS!N109/CUENTAS!$AB109,"")</f>
        <v>0.0591554424</v>
      </c>
      <c r="AG120" s="459" t="str">
        <f>IF(CUENTAS!O109/CUENTAS!$AB109&lt;&gt;0,CUENTAS!O109/CUENTAS!$AB109,"")</f>
        <v/>
      </c>
      <c r="AH120" s="459" t="str">
        <f>IF(CUENTAS!P109/CUENTAS!$AB109&lt;&gt;0,CUENTAS!P109/CUENTAS!$AB109,"")</f>
        <v/>
      </c>
      <c r="AI120" s="459">
        <f>IF(CUENTAS!R109/CUENTAS!$AB109&lt;&gt;0,CUENTAS!R109/CUENTAS!$AB109,"")</f>
        <v>0.06617106843</v>
      </c>
      <c r="AJ120" s="459" t="str">
        <f>IF(CUENTAS!B109/CUENTAS!$AB109&lt;&gt;0,CUENTAS!B109/CUENTAS!$AB109,"")</f>
        <v/>
      </c>
      <c r="AK120" s="459">
        <f>IF(CUENTAS!S109/CUENTAS!$AB109&lt;&gt;0,CUENTAS!S109/CUENTAS!$AB109,"")</f>
        <v>0.02273620964</v>
      </c>
      <c r="AL120" s="459">
        <f>IF(CUENTAS!T109/CUENTAS!$AB109&lt;&gt;0,CUENTAS!T109/CUENTAS!$AB109,"")</f>
        <v>0.03945067478</v>
      </c>
      <c r="AM120" s="459">
        <f>IF(CUENTAS!U109/CUENTAS!$AB109&lt;&gt;0,CUENTAS!U109/CUENTAS!$AB109,"")</f>
        <v>0.1053300986</v>
      </c>
      <c r="AN120" s="459">
        <f>IF(CUENTAS!V109/CUENTAS!$AB109&lt;&gt;0,CUENTAS!V109/CUENTAS!$AB109,"")</f>
        <v>0.1536486592</v>
      </c>
      <c r="AO120" s="459">
        <f>IF(CUENTAS!W109/CUENTAS!$AB109&lt;&gt;0,CUENTAS!W109/CUENTAS!$AB109,"")</f>
        <v>0.02727497593</v>
      </c>
      <c r="AP120" s="459">
        <f>IF(CUENTAS!X109/CUENTAS!$AB109&lt;&gt;0,CUENTAS!X109/CUENTAS!$AB109,"")</f>
        <v>0.06956488447</v>
      </c>
      <c r="AQ120" s="459">
        <f>IF(CUENTAS!Y109/CUENTAS!$AB109&lt;&gt;0,CUENTAS!Y109/CUENTAS!$AB109,"")</f>
        <v>0.02599085991</v>
      </c>
      <c r="AR120" s="459">
        <f>IF(CUENTAS!AA109/CUENTAS!$AB109&lt;&gt;0,CUENTAS!AA109/CUENTAS!$AB109,"")</f>
        <v>0.02977123729</v>
      </c>
    </row>
    <row r="121">
      <c r="A121" s="474"/>
      <c r="B121" s="200"/>
      <c r="C121" s="200"/>
      <c r="F121" s="200"/>
      <c r="G121" s="200"/>
      <c r="J121" s="465">
        <v>45539.0</v>
      </c>
      <c r="K121" s="466">
        <f>SUMIF(GRAFICO!A:A,J121,GRAFICO!B:B)</f>
        <v>13122.77387</v>
      </c>
      <c r="L121" s="467">
        <f t="shared" si="2"/>
        <v>0.2616948517</v>
      </c>
      <c r="M121" s="468">
        <v>45904.0</v>
      </c>
      <c r="N121" s="469">
        <f>IF(SUMIF(GRAFICO!A:A,M121,GRAFICO!B:B)=0,"",SUMIF(GRAFICO!A:A,M121,GRAFICO!B:B))</f>
        <v>18441.65465</v>
      </c>
      <c r="O121" s="467">
        <f t="shared" si="3"/>
        <v>0.2815386706</v>
      </c>
      <c r="P121" s="468">
        <v>46269.0</v>
      </c>
      <c r="Q121" s="463" t="str">
        <f>IF(SUMIF(GRAFICO!A:A,P121,GRAFICO!B:B)=0,"",SUMIF(GRAFICO!A:A,P121,GRAFICO!B:B))</f>
        <v/>
      </c>
      <c r="R121" s="463" t="str">
        <f t="shared" si="4"/>
        <v/>
      </c>
      <c r="S121" s="471">
        <f>CUENTAS!A110</f>
        <v>45992</v>
      </c>
      <c r="T121" s="459">
        <f>IF(CUENTAS!Q110/CUENTAS!$AB110&lt;&gt;0,CUENTAS!Q110/CUENTAS!$AB110,"")</f>
        <v>0.06206008005</v>
      </c>
      <c r="U121" s="459" t="str">
        <f>IF(CUENTAS!C110/CUENTAS!$AB110&lt;&gt;0,CUENTAS!C110/CUENTAS!$AB110,"")</f>
        <v/>
      </c>
      <c r="V121" s="459" t="str">
        <f>IF(CUENTAS!D110/CUENTAS!$AB110&lt;&gt;0,CUENTAS!D110/CUENTAS!$AB110,"")</f>
        <v/>
      </c>
      <c r="W121" s="459" t="str">
        <f>IF(CUENTAS!E110/CUENTAS!$AB110&lt;&gt;0,CUENTAS!E110/CUENTAS!$AB110,"")</f>
        <v/>
      </c>
      <c r="X121" s="459" t="str">
        <f>IF(CUENTAS!F110/CUENTAS!$AB110&lt;&gt;0,CUENTAS!F110/CUENTAS!$AB110,"")</f>
        <v/>
      </c>
      <c r="Y121" s="459">
        <f>IF(CUENTAS!G110/CUENTAS!$AB110&lt;&gt;0,CUENTAS!G110/CUENTAS!$AB110,"")</f>
        <v>0.09868013804</v>
      </c>
      <c r="Z121" s="459">
        <f>IF(CUENTAS!H110/CUENTAS!$AB110&lt;&gt;0,CUENTAS!H110/CUENTAS!$AB110,"")</f>
        <v>0.04291892774</v>
      </c>
      <c r="AA121" s="459">
        <f>IF(CUENTAS!I110/CUENTAS!$AB110&lt;&gt;0,CUENTAS!I110/CUENTAS!$AB110,"")</f>
        <v>0.08598005674</v>
      </c>
      <c r="AB121" s="459">
        <f>IF(CUENTAS!J110/CUENTAS!$AB110&lt;&gt;0,CUENTAS!J110/CUENTAS!$AB110,"")</f>
        <v>0.1981337648</v>
      </c>
      <c r="AC121" s="459">
        <f>IF(CUENTAS!K110/CUENTAS!$AB110&lt;&gt;0,CUENTAS!K110/CUENTAS!$AB110,"")</f>
        <v>0.06536302765</v>
      </c>
      <c r="AD121" s="459">
        <f>IF(CUENTAS!L110/CUENTAS!$AB110&lt;&gt;0,CUENTAS!L110/CUENTAS!$AB110,"")</f>
        <v>0.008295073885</v>
      </c>
      <c r="AE121" s="459">
        <f>IF(CUENTAS!M110/CUENTAS!$AB110&lt;&gt;0,CUENTAS!M110/CUENTAS!$AB110,"")</f>
        <v>0.05847488448</v>
      </c>
      <c r="AF121" s="459">
        <f>IF(CUENTAS!N110/CUENTAS!$AB110&lt;&gt;0,CUENTAS!N110/CUENTAS!$AB110,"")</f>
        <v>0.05791469767</v>
      </c>
      <c r="AG121" s="459" t="str">
        <f>IF(CUENTAS!O110/CUENTAS!$AB110&lt;&gt;0,CUENTAS!O110/CUENTAS!$AB110,"")</f>
        <v/>
      </c>
      <c r="AH121" s="459" t="str">
        <f>IF(CUENTAS!P110/CUENTAS!$AB110&lt;&gt;0,CUENTAS!P110/CUENTAS!$AB110,"")</f>
        <v/>
      </c>
      <c r="AI121" s="459">
        <f>IF(CUENTAS!R110/CUENTAS!$AB110&lt;&gt;0,CUENTAS!R110/CUENTAS!$AB110,"")</f>
        <v>0.0668944922</v>
      </c>
      <c r="AJ121" s="459" t="str">
        <f>IF(CUENTAS!B110/CUENTAS!$AB110&lt;&gt;0,CUENTAS!B110/CUENTAS!$AB110,"")</f>
        <v/>
      </c>
      <c r="AK121" s="459">
        <f>IF(CUENTAS!S110/CUENTAS!$AB110&lt;&gt;0,CUENTAS!S110/CUENTAS!$AB110,"")</f>
        <v>0.02287452897</v>
      </c>
      <c r="AL121" s="459">
        <f>IF(CUENTAS!T110/CUENTAS!$AB110&lt;&gt;0,CUENTAS!T110/CUENTAS!$AB110,"")</f>
        <v>0.03967415338</v>
      </c>
      <c r="AM121" s="459">
        <f>IF(CUENTAS!U110/CUENTAS!$AB110&lt;&gt;0,CUENTAS!U110/CUENTAS!$AB110,"")</f>
        <v>0.1059126478</v>
      </c>
      <c r="AN121" s="459">
        <f>IF(CUENTAS!V110/CUENTAS!$AB110&lt;&gt;0,CUENTAS!V110/CUENTAS!$AB110,"")</f>
        <v>0.1548719736</v>
      </c>
      <c r="AO121" s="459">
        <f>IF(CUENTAS!W110/CUENTAS!$AB110&lt;&gt;0,CUENTAS!W110/CUENTAS!$AB110,"")</f>
        <v>0.02749763129</v>
      </c>
      <c r="AP121" s="459">
        <f>IF(CUENTAS!X110/CUENTAS!$AB110&lt;&gt;0,CUENTAS!X110/CUENTAS!$AB110,"")</f>
        <v>0.07002335098</v>
      </c>
      <c r="AQ121" s="459">
        <f>IF(CUENTAS!Y110/CUENTAS!$AB110&lt;&gt;0,CUENTAS!Y110/CUENTAS!$AB110,"")</f>
        <v>0.02613124086</v>
      </c>
      <c r="AR121" s="459">
        <f>IF(CUENTAS!AA110/CUENTAS!$AB110&lt;&gt;0,CUENTAS!AA110/CUENTAS!$AB110,"")</f>
        <v>0.03001427052</v>
      </c>
    </row>
    <row r="122">
      <c r="A122" s="474"/>
      <c r="B122" s="200"/>
      <c r="C122" s="200"/>
      <c r="F122" s="200"/>
      <c r="G122" s="200"/>
      <c r="J122" s="465">
        <v>45538.0</v>
      </c>
      <c r="K122" s="466">
        <f>SUMIF(GRAFICO!A:A,J122,GRAFICO!B:B)</f>
        <v>13128.70157</v>
      </c>
      <c r="L122" s="467">
        <f t="shared" si="2"/>
        <v>0.2621464604</v>
      </c>
      <c r="M122" s="468">
        <v>45903.0</v>
      </c>
      <c r="N122" s="469">
        <f>IF(SUMIF(GRAFICO!A:A,M122,GRAFICO!B:B)=0,"",SUMIF(GRAFICO!A:A,M122,GRAFICO!B:B))</f>
        <v>18273.48663</v>
      </c>
      <c r="O122" s="467">
        <f t="shared" si="3"/>
        <v>0.2723779163</v>
      </c>
      <c r="P122" s="465">
        <v>46268.0</v>
      </c>
      <c r="Q122" s="463" t="str">
        <f>IF(SUMIF(GRAFICO!A:A,P122,GRAFICO!B:B)=0,"",SUMIF(GRAFICO!A:A,P122,GRAFICO!B:B))</f>
        <v/>
      </c>
      <c r="R122" s="463" t="str">
        <f t="shared" si="4"/>
        <v/>
      </c>
      <c r="S122" s="471">
        <f>CUENTAS!A111</f>
        <v>45991</v>
      </c>
      <c r="T122" s="459">
        <f>IF(CUENTAS!Q111/CUENTAS!$AB111&lt;&gt;0,CUENTAS!Q111/CUENTAS!$AB111,"")</f>
        <v>0.06194714147</v>
      </c>
      <c r="U122" s="459" t="str">
        <f>IF(CUENTAS!C111/CUENTAS!$AB111&lt;&gt;0,CUENTAS!C111/CUENTAS!$AB111,"")</f>
        <v/>
      </c>
      <c r="V122" s="459" t="str">
        <f>IF(CUENTAS!D111/CUENTAS!$AB111&lt;&gt;0,CUENTAS!D111/CUENTAS!$AB111,"")</f>
        <v/>
      </c>
      <c r="W122" s="459" t="str">
        <f>IF(CUENTAS!E111/CUENTAS!$AB111&lt;&gt;0,CUENTAS!E111/CUENTAS!$AB111,"")</f>
        <v/>
      </c>
      <c r="X122" s="459" t="str">
        <f>IF(CUENTAS!F111/CUENTAS!$AB111&lt;&gt;0,CUENTAS!F111/CUENTAS!$AB111,"")</f>
        <v/>
      </c>
      <c r="Y122" s="459">
        <f>IF(CUENTAS!G111/CUENTAS!$AB111&lt;&gt;0,CUENTAS!G111/CUENTAS!$AB111,"")</f>
        <v>0.1001904399</v>
      </c>
      <c r="Z122" s="459">
        <f>IF(CUENTAS!H111/CUENTAS!$AB111&lt;&gt;0,CUENTAS!H111/CUENTAS!$AB111,"")</f>
        <v>0.04251929006</v>
      </c>
      <c r="AA122" s="459">
        <f>IF(CUENTAS!I111/CUENTAS!$AB111&lt;&gt;0,CUENTAS!I111/CUENTAS!$AB111,"")</f>
        <v>0.08630349323</v>
      </c>
      <c r="AB122" s="459">
        <f>IF(CUENTAS!J111/CUENTAS!$AB111&lt;&gt;0,CUENTAS!J111/CUENTAS!$AB111,"")</f>
        <v>0.1937148853</v>
      </c>
      <c r="AC122" s="459">
        <f>IF(CUENTAS!K111/CUENTAS!$AB111&lt;&gt;0,CUENTAS!K111/CUENTAS!$AB111,"")</f>
        <v>0.06606379956</v>
      </c>
      <c r="AD122" s="459">
        <f>IF(CUENTAS!L111/CUENTAS!$AB111&lt;&gt;0,CUENTAS!L111/CUENTAS!$AB111,"")</f>
        <v>0.008343874143</v>
      </c>
      <c r="AE122" s="459">
        <f>IF(CUENTAS!M111/CUENTAS!$AB111&lt;&gt;0,CUENTAS!M111/CUENTAS!$AB111,"")</f>
        <v>0.05845047506</v>
      </c>
      <c r="AF122" s="459">
        <f>IF(CUENTAS!N111/CUENTAS!$AB111&lt;&gt;0,CUENTAS!N111/CUENTAS!$AB111,"")</f>
        <v>0.0586173959</v>
      </c>
      <c r="AG122" s="459" t="str">
        <f>IF(CUENTAS!O111/CUENTAS!$AB111&lt;&gt;0,CUENTAS!O111/CUENTAS!$AB111,"")</f>
        <v/>
      </c>
      <c r="AH122" s="459" t="str">
        <f>IF(CUENTAS!P111/CUENTAS!$AB111&lt;&gt;0,CUENTAS!P111/CUENTAS!$AB111,"")</f>
        <v/>
      </c>
      <c r="AI122" s="459">
        <f>IF(CUENTAS!R111/CUENTAS!$AB111&lt;&gt;0,CUENTAS!R111/CUENTAS!$AB111,"")</f>
        <v>0.137759118</v>
      </c>
      <c r="AJ122" s="459" t="str">
        <f>IF(CUENTAS!B111/CUENTAS!$AB111&lt;&gt;0,CUENTAS!B111/CUENTAS!$AB111,"")</f>
        <v/>
      </c>
      <c r="AK122" s="459">
        <f>IF(CUENTAS!S111/CUENTAS!$AB111&lt;&gt;0,CUENTAS!S111/CUENTAS!$AB111,"")</f>
        <v>0.02296750369</v>
      </c>
      <c r="AL122" s="459">
        <f>IF(CUENTAS!T111/CUENTAS!$AB111&lt;&gt;0,CUENTAS!T111/CUENTAS!$AB111,"")</f>
        <v>0.03986373126</v>
      </c>
      <c r="AM122" s="459">
        <f>IF(CUENTAS!U111/CUENTAS!$AB111&lt;&gt;0,CUENTAS!U111/CUENTAS!$AB111,"")</f>
        <v>0.1062844131</v>
      </c>
      <c r="AN122" s="459">
        <f>IF(CUENTAS!V111/CUENTAS!$AB111&lt;&gt;0,CUENTAS!V111/CUENTAS!$AB111,"")</f>
        <v>0.1557924069</v>
      </c>
      <c r="AO122" s="459">
        <f>IF(CUENTAS!W111/CUENTAS!$AB111&lt;&gt;0,CUENTAS!W111/CUENTAS!$AB111,"")</f>
        <v>0.0276665871</v>
      </c>
      <c r="AP122" s="459" t="str">
        <f>IF(CUENTAS!X111/CUENTAS!$AB111&lt;&gt;0,CUENTAS!X111/CUENTAS!$AB111,"")</f>
        <v/>
      </c>
      <c r="AQ122" s="459">
        <f>IF(CUENTAS!Y111/CUENTAS!$AB111&lt;&gt;0,CUENTAS!Y111/CUENTAS!$AB111,"")</f>
        <v>0.02621956823</v>
      </c>
      <c r="AR122" s="459">
        <f>IF(CUENTAS!AA111/CUENTAS!$AB111&lt;&gt;0,CUENTAS!AA111/CUENTAS!$AB111,"")</f>
        <v>0.03019868951</v>
      </c>
    </row>
    <row r="123">
      <c r="A123" s="474"/>
      <c r="B123" s="200"/>
      <c r="C123" s="200"/>
      <c r="F123" s="200"/>
      <c r="G123" s="200"/>
      <c r="J123" s="465">
        <v>45537.0</v>
      </c>
      <c r="K123" s="466">
        <f>SUMIF(GRAFICO!A:A,J123,GRAFICO!B:B)</f>
        <v>13134.70157</v>
      </c>
      <c r="L123" s="467">
        <f t="shared" si="2"/>
        <v>0.2626033699</v>
      </c>
      <c r="M123" s="468">
        <v>45902.0</v>
      </c>
      <c r="N123" s="469">
        <f>IF(SUMIF(GRAFICO!A:A,M123,GRAFICO!B:B)=0,"",SUMIF(GRAFICO!A:A,M123,GRAFICO!B:B))</f>
        <v>18345.40129</v>
      </c>
      <c r="O123" s="467">
        <f t="shared" si="3"/>
        <v>0.2763056571</v>
      </c>
      <c r="P123" s="468">
        <v>46267.0</v>
      </c>
      <c r="Q123" s="463" t="str">
        <f>IF(SUMIF(GRAFICO!A:A,P123,GRAFICO!B:B)=0,"",SUMIF(GRAFICO!A:A,P123,GRAFICO!B:B))</f>
        <v/>
      </c>
      <c r="R123" s="463" t="str">
        <f t="shared" si="4"/>
        <v/>
      </c>
      <c r="S123" s="471">
        <f>CUENTAS!A112</f>
        <v>45990</v>
      </c>
      <c r="T123" s="459">
        <f>IF(CUENTAS!Q112/CUENTAS!$AB112&lt;&gt;0,CUENTAS!Q112/CUENTAS!$AB112,"")</f>
        <v>0.06014971615</v>
      </c>
      <c r="U123" s="459" t="str">
        <f>IF(CUENTAS!C112/CUENTAS!$AB112&lt;&gt;0,CUENTAS!C112/CUENTAS!$AB112,"")</f>
        <v/>
      </c>
      <c r="V123" s="459" t="str">
        <f>IF(CUENTAS!D112/CUENTAS!$AB112&lt;&gt;0,CUENTAS!D112/CUENTAS!$AB112,"")</f>
        <v/>
      </c>
      <c r="W123" s="459" t="str">
        <f>IF(CUENTAS!E112/CUENTAS!$AB112&lt;&gt;0,CUENTAS!E112/CUENTAS!$AB112,"")</f>
        <v/>
      </c>
      <c r="X123" s="459" t="str">
        <f>IF(CUENTAS!F112/CUENTAS!$AB112&lt;&gt;0,CUENTAS!F112/CUENTAS!$AB112,"")</f>
        <v/>
      </c>
      <c r="Y123" s="459">
        <f>IF(CUENTAS!G112/CUENTAS!$AB112&lt;&gt;0,CUENTAS!G112/CUENTAS!$AB112,"")</f>
        <v>0.09728336738</v>
      </c>
      <c r="Z123" s="459">
        <f>IF(CUENTAS!H112/CUENTAS!$AB112&lt;&gt;0,CUENTAS!H112/CUENTAS!$AB112,"")</f>
        <v>0.04128557295</v>
      </c>
      <c r="AA123" s="459">
        <f>IF(CUENTAS!I112/CUENTAS!$AB112&lt;&gt;0,CUENTAS!I112/CUENTAS!$AB112,"")</f>
        <v>0.08379935697</v>
      </c>
      <c r="AB123" s="459">
        <f>IF(CUENTAS!J112/CUENTAS!$AB112&lt;&gt;0,CUENTAS!J112/CUENTAS!$AB112,"")</f>
        <v>0.1880941572</v>
      </c>
      <c r="AC123" s="459">
        <f>IF(CUENTAS!K112/CUENTAS!$AB112&lt;&gt;0,CUENTAS!K112/CUENTAS!$AB112,"")</f>
        <v>0.06414692748</v>
      </c>
      <c r="AD123" s="459">
        <f>IF(CUENTAS!L112/CUENTAS!$AB112&lt;&gt;0,CUENTAS!L112/CUENTAS!$AB112,"")</f>
        <v>0.008101772728</v>
      </c>
      <c r="AE123" s="459">
        <f>IF(CUENTAS!M112/CUENTAS!$AB112&lt;&gt;0,CUENTAS!M112/CUENTAS!$AB112,"")</f>
        <v>0.05675450716</v>
      </c>
      <c r="AF123" s="459">
        <f>IF(CUENTAS!N112/CUENTAS!$AB112&lt;&gt;0,CUENTAS!N112/CUENTAS!$AB112,"")</f>
        <v>0.05691658471</v>
      </c>
      <c r="AG123" s="459" t="str">
        <f>IF(CUENTAS!O112/CUENTAS!$AB112&lt;&gt;0,CUENTAS!O112/CUENTAS!$AB112,"")</f>
        <v/>
      </c>
      <c r="AH123" s="459" t="str">
        <f>IF(CUENTAS!P112/CUENTAS!$AB112&lt;&gt;0,CUENTAS!P112/CUENTAS!$AB112,"")</f>
        <v/>
      </c>
      <c r="AI123" s="459">
        <f>IF(CUENTAS!R112/CUENTAS!$AB112&lt;&gt;0,CUENTAS!R112/CUENTAS!$AB112,"")</f>
        <v>0.1630727509</v>
      </c>
      <c r="AJ123" s="459" t="str">
        <f>IF(CUENTAS!B112/CUENTAS!$AB112&lt;&gt;0,CUENTAS!B112/CUENTAS!$AB112,"")</f>
        <v/>
      </c>
      <c r="AK123" s="459">
        <f>IF(CUENTAS!S112/CUENTAS!$AB112&lt;&gt;0,CUENTAS!S112/CUENTAS!$AB112,"")</f>
        <v>0.02225489623</v>
      </c>
      <c r="AL123" s="459">
        <f>IF(CUENTAS!T112/CUENTAS!$AB112&lt;&gt;0,CUENTAS!T112/CUENTAS!$AB112,"")</f>
        <v>0.03865444385</v>
      </c>
      <c r="AM123" s="459">
        <f>IF(CUENTAS!U112/CUENTAS!$AB112&lt;&gt;0,CUENTAS!U112/CUENTAS!$AB112,"")</f>
        <v>0.1029350463</v>
      </c>
      <c r="AN123" s="459">
        <f>IF(CUENTAS!V112/CUENTAS!$AB112&lt;&gt;0,CUENTAS!V112/CUENTAS!$AB112,"")</f>
        <v>0.1512417689</v>
      </c>
      <c r="AO123" s="459">
        <f>IF(CUENTAS!W112/CUENTAS!$AB112&lt;&gt;0,CUENTAS!W112/CUENTAS!$AB112,"")</f>
        <v>0.02686382812</v>
      </c>
      <c r="AP123" s="459" t="str">
        <f>IF(CUENTAS!X112/CUENTAS!$AB112&lt;&gt;0,CUENTAS!X112/CUENTAS!$AB112,"")</f>
        <v/>
      </c>
      <c r="AQ123" s="459">
        <f>IF(CUENTAS!Y112/CUENTAS!$AB112&lt;&gt;0,CUENTAS!Y112/CUENTAS!$AB112,"")</f>
        <v>0.02538865823</v>
      </c>
      <c r="AR123" s="459">
        <f>IF(CUENTAS!AA112/CUENTAS!$AB112&lt;&gt;0,CUENTAS!AA112/CUENTAS!$AB112,"")</f>
        <v>0.0293224604</v>
      </c>
    </row>
    <row r="124">
      <c r="A124" s="474"/>
      <c r="B124" s="200"/>
      <c r="C124" s="200"/>
      <c r="F124" s="200"/>
      <c r="G124" s="200"/>
      <c r="J124" s="470">
        <v>45536.0</v>
      </c>
      <c r="K124" s="466">
        <f>SUMIF(GRAFICO!A:A,J124,GRAFICO!B:B)</f>
        <v>13146.16747</v>
      </c>
      <c r="L124" s="467">
        <f t="shared" si="2"/>
        <v>0.2634759368</v>
      </c>
      <c r="M124" s="468">
        <v>45901.0</v>
      </c>
      <c r="N124" s="469">
        <f>IF(SUMIF(GRAFICO!A:A,M124,GRAFICO!B:B)=0,"",SUMIF(GRAFICO!A:A,M124,GRAFICO!B:B))</f>
        <v>18337.99161</v>
      </c>
      <c r="O124" s="467">
        <f t="shared" si="3"/>
        <v>0.2759016774</v>
      </c>
      <c r="P124" s="465">
        <v>46266.0</v>
      </c>
      <c r="Q124" s="463" t="str">
        <f>IF(SUMIF(GRAFICO!A:A,P124,GRAFICO!B:B)=0,"",SUMIF(GRAFICO!A:A,P124,GRAFICO!B:B))</f>
        <v/>
      </c>
      <c r="R124" s="463" t="str">
        <f t="shared" si="4"/>
        <v/>
      </c>
      <c r="S124" s="471">
        <f>CUENTAS!A113</f>
        <v>45989</v>
      </c>
      <c r="T124" s="459">
        <f>IF(CUENTAS!Q113/CUENTAS!$AB113&lt;&gt;0,CUENTAS!Q113/CUENTAS!$AB113,"")</f>
        <v>0.06016748385</v>
      </c>
      <c r="U124" s="459" t="str">
        <f>IF(CUENTAS!C113/CUENTAS!$AB113&lt;&gt;0,CUENTAS!C113/CUENTAS!$AB113,"")</f>
        <v/>
      </c>
      <c r="V124" s="459" t="str">
        <f>IF(CUENTAS!D113/CUENTAS!$AB113&lt;&gt;0,CUENTAS!D113/CUENTAS!$AB113,"")</f>
        <v/>
      </c>
      <c r="W124" s="459" t="str">
        <f>IF(CUENTAS!E113/CUENTAS!$AB113&lt;&gt;0,CUENTAS!E113/CUENTAS!$AB113,"")</f>
        <v/>
      </c>
      <c r="X124" s="459" t="str">
        <f>IF(CUENTAS!F113/CUENTAS!$AB113&lt;&gt;0,CUENTAS!F113/CUENTAS!$AB113,"")</f>
        <v/>
      </c>
      <c r="Y124" s="459">
        <f>IF(CUENTAS!G113/CUENTAS!$AB113&lt;&gt;0,CUENTAS!G113/CUENTAS!$AB113,"")</f>
        <v>0.09731210404</v>
      </c>
      <c r="Z124" s="459">
        <f>IF(CUENTAS!H113/CUENTAS!$AB113&lt;&gt;0,CUENTAS!H113/CUENTAS!$AB113,"")</f>
        <v>0.04129776835</v>
      </c>
      <c r="AA124" s="459">
        <f>IF(CUENTAS!I113/CUENTAS!$AB113&lt;&gt;0,CUENTAS!I113/CUENTAS!$AB113,"")</f>
        <v>0.08382411056</v>
      </c>
      <c r="AB124" s="459">
        <f>IF(CUENTAS!J113/CUENTAS!$AB113&lt;&gt;0,CUENTAS!J113/CUENTAS!$AB113,"")</f>
        <v>0.1881497185</v>
      </c>
      <c r="AC124" s="459">
        <f>IF(CUENTAS!K113/CUENTAS!$AB113&lt;&gt;0,CUENTAS!K113/CUENTAS!$AB113,"")</f>
        <v>0.06416587592</v>
      </c>
      <c r="AD124" s="459">
        <f>IF(CUENTAS!L113/CUENTAS!$AB113&lt;&gt;0,CUENTAS!L113/CUENTAS!$AB113,"")</f>
        <v>0.008104165921</v>
      </c>
      <c r="AE124" s="459">
        <f>IF(CUENTAS!M113/CUENTAS!$AB113&lt;&gt;0,CUENTAS!M113/CUENTAS!$AB113,"")</f>
        <v>0.05677127194</v>
      </c>
      <c r="AF124" s="459">
        <f>IF(CUENTAS!N113/CUENTAS!$AB113&lt;&gt;0,CUENTAS!N113/CUENTAS!$AB113,"")</f>
        <v>0.05693339737</v>
      </c>
      <c r="AG124" s="459" t="str">
        <f>IF(CUENTAS!O113/CUENTAS!$AB113&lt;&gt;0,CUENTAS!O113/CUENTAS!$AB113,"")</f>
        <v/>
      </c>
      <c r="AH124" s="459" t="str">
        <f>IF(CUENTAS!P113/CUENTAS!$AB113&lt;&gt;0,CUENTAS!P113/CUENTAS!$AB113,"")</f>
        <v/>
      </c>
      <c r="AI124" s="459">
        <f>IF(CUENTAS!R113/CUENTAS!$AB113&lt;&gt;0,CUENTAS!R113/CUENTAS!$AB113,"")</f>
        <v>0.1631209212</v>
      </c>
      <c r="AJ124" s="459" t="str">
        <f>IF(CUENTAS!B113/CUENTAS!$AB113&lt;&gt;0,CUENTAS!B113/CUENTAS!$AB113,"")</f>
        <v/>
      </c>
      <c r="AK124" s="459">
        <f>IF(CUENTAS!S113/CUENTAS!$AB113&lt;&gt;0,CUENTAS!S113/CUENTAS!$AB113,"")</f>
        <v>0.02221526189</v>
      </c>
      <c r="AL124" s="459">
        <f>IF(CUENTAS!T113/CUENTAS!$AB113&lt;&gt;0,CUENTAS!T113/CUENTAS!$AB113,"")</f>
        <v>0.03861322391</v>
      </c>
      <c r="AM124" s="459">
        <f>IF(CUENTAS!U113/CUENTAS!$AB113&lt;&gt;0,CUENTAS!U113/CUENTAS!$AB113,"")</f>
        <v>0.1026998993</v>
      </c>
      <c r="AN124" s="459">
        <f>IF(CUENTAS!V113/CUENTAS!$AB113&lt;&gt;0,CUENTAS!V113/CUENTAS!$AB113,"")</f>
        <v>0.1512561932</v>
      </c>
      <c r="AO124" s="459">
        <f>IF(CUENTAS!W113/CUENTAS!$AB113&lt;&gt;0,CUENTAS!W113/CUENTAS!$AB113,"")</f>
        <v>0.02687176346</v>
      </c>
      <c r="AP124" s="459" t="str">
        <f>IF(CUENTAS!X113/CUENTAS!$AB113&lt;&gt;0,CUENTAS!X113/CUENTAS!$AB113,"")</f>
        <v/>
      </c>
      <c r="AQ124" s="459">
        <f>IF(CUENTAS!Y113/CUENTAS!$AB113&lt;&gt;0,CUENTAS!Y113/CUENTAS!$AB113,"")</f>
        <v>0.02532600014</v>
      </c>
      <c r="AR124" s="459">
        <f>IF(CUENTAS!AA113/CUENTAS!$AB113&lt;&gt;0,CUENTAS!AA113/CUENTAS!$AB113,"")</f>
        <v>0.029331122</v>
      </c>
    </row>
    <row r="125">
      <c r="A125" s="474"/>
      <c r="B125" s="200"/>
      <c r="C125" s="200"/>
      <c r="F125" s="200"/>
      <c r="G125" s="200"/>
      <c r="J125" s="465">
        <v>45535.0</v>
      </c>
      <c r="K125" s="466">
        <f>SUMIF(GRAFICO!A:A,J125,GRAFICO!B:B)</f>
        <v>13189.23317</v>
      </c>
      <c r="L125" s="467">
        <f t="shared" si="2"/>
        <v>0.2667464955</v>
      </c>
      <c r="M125" s="468">
        <v>45900.0</v>
      </c>
      <c r="N125" s="469">
        <f>IF(SUMIF(GRAFICO!A:A,M125,GRAFICO!B:B)=0,"",SUMIF(GRAFICO!A:A,M125,GRAFICO!B:B))</f>
        <v>18437.00609</v>
      </c>
      <c r="O125" s="467">
        <f t="shared" si="3"/>
        <v>0.2812865703</v>
      </c>
      <c r="P125" s="468">
        <v>46265.0</v>
      </c>
      <c r="Q125" s="463" t="str">
        <f>IF(SUMIF(GRAFICO!A:A,P125,GRAFICO!B:B)=0,"",SUMIF(GRAFICO!A:A,P125,GRAFICO!B:B))</f>
        <v/>
      </c>
      <c r="R125" s="463" t="str">
        <f t="shared" si="4"/>
        <v/>
      </c>
      <c r="S125" s="471">
        <f>CUENTAS!A114</f>
        <v>45988</v>
      </c>
      <c r="T125" s="459">
        <f>IF(CUENTAS!Q114/CUENTAS!$AB114&lt;&gt;0,CUENTAS!Q114/CUENTAS!$AB114,"")</f>
        <v>0.05946740375</v>
      </c>
      <c r="U125" s="459" t="str">
        <f>IF(CUENTAS!C114/CUENTAS!$AB114&lt;&gt;0,CUENTAS!C114/CUENTAS!$AB114,"")</f>
        <v/>
      </c>
      <c r="V125" s="459" t="str">
        <f>IF(CUENTAS!D114/CUENTAS!$AB114&lt;&gt;0,CUENTAS!D114/CUENTAS!$AB114,"")</f>
        <v/>
      </c>
      <c r="W125" s="459" t="str">
        <f>IF(CUENTAS!E114/CUENTAS!$AB114&lt;&gt;0,CUENTAS!E114/CUENTAS!$AB114,"")</f>
        <v/>
      </c>
      <c r="X125" s="459" t="str">
        <f>IF(CUENTAS!F114/CUENTAS!$AB114&lt;&gt;0,CUENTAS!F114/CUENTAS!$AB114,"")</f>
        <v/>
      </c>
      <c r="Y125" s="459">
        <f>IF(CUENTAS!G114/CUENTAS!$AB114&lt;&gt;0,CUENTAS!G114/CUENTAS!$AB114,"")</f>
        <v>0.09680759659</v>
      </c>
      <c r="Z125" s="459">
        <f>IF(CUENTAS!H114/CUENTAS!$AB114&lt;&gt;0,CUENTAS!H114/CUENTAS!$AB114,"")</f>
        <v>0.04052879358</v>
      </c>
      <c r="AA125" s="459">
        <f>IF(CUENTAS!I114/CUENTAS!$AB114&lt;&gt;0,CUENTAS!I114/CUENTAS!$AB114,"")</f>
        <v>0.08280712204</v>
      </c>
      <c r="AB125" s="459">
        <f>IF(CUENTAS!J114/CUENTAS!$AB114&lt;&gt;0,CUENTAS!J114/CUENTAS!$AB114,"")</f>
        <v>0.1856101271</v>
      </c>
      <c r="AC125" s="459">
        <f>IF(CUENTAS!K114/CUENTAS!$AB114&lt;&gt;0,CUENTAS!K114/CUENTAS!$AB114,"")</f>
        <v>0.06296437574</v>
      </c>
      <c r="AD125" s="459">
        <f>IF(CUENTAS!L114/CUENTAS!$AB114&lt;&gt;0,CUENTAS!L114/CUENTAS!$AB114,"")</f>
        <v>0.008023945934</v>
      </c>
      <c r="AE125" s="459">
        <f>IF(CUENTAS!M114/CUENTAS!$AB114&lt;&gt;0,CUENTAS!M114/CUENTAS!$AB114,"")</f>
        <v>0.05600504486</v>
      </c>
      <c r="AF125" s="459">
        <f>IF(CUENTAS!N114/CUENTAS!$AB114&lt;&gt;0,CUENTAS!N114/CUENTAS!$AB114,"")</f>
        <v>0.05558234548</v>
      </c>
      <c r="AG125" s="459" t="str">
        <f>IF(CUENTAS!O114/CUENTAS!$AB114&lt;&gt;0,CUENTAS!O114/CUENTAS!$AB114,"")</f>
        <v/>
      </c>
      <c r="AH125" s="459" t="str">
        <f>IF(CUENTAS!P114/CUENTAS!$AB114&lt;&gt;0,CUENTAS!P114/CUENTAS!$AB114,"")</f>
        <v/>
      </c>
      <c r="AI125" s="459">
        <f>IF(CUENTAS!R114/CUENTAS!$AB114&lt;&gt;0,CUENTAS!R114/CUENTAS!$AB114,"")</f>
        <v>0.1625196232</v>
      </c>
      <c r="AJ125" s="459" t="str">
        <f>IF(CUENTAS!B114/CUENTAS!$AB114&lt;&gt;0,CUENTAS!B114/CUENTAS!$AB114,"")</f>
        <v/>
      </c>
      <c r="AK125" s="459">
        <f>IF(CUENTAS!S114/CUENTAS!$AB114&lt;&gt;0,CUENTAS!S114/CUENTAS!$AB114,"")</f>
        <v>0.02208733387</v>
      </c>
      <c r="AL125" s="459">
        <f>IF(CUENTAS!T114/CUENTAS!$AB114&lt;&gt;0,CUENTAS!T114/CUENTAS!$AB114,"")</f>
        <v>0.03841844336</v>
      </c>
      <c r="AM125" s="459">
        <f>IF(CUENTAS!U114/CUENTAS!$AB114&lt;&gt;0,CUENTAS!U114/CUENTAS!$AB114,"")</f>
        <v>0.1020567515</v>
      </c>
      <c r="AN125" s="459">
        <f>IF(CUENTAS!V114/CUENTAS!$AB114&lt;&gt;0,CUENTAS!V114/CUENTAS!$AB114,"")</f>
        <v>0.1506684974</v>
      </c>
      <c r="AO125" s="459">
        <f>IF(CUENTAS!W114/CUENTAS!$AB114&lt;&gt;0,CUENTAS!W114/CUENTAS!$AB114,"")</f>
        <v>0.02677270849</v>
      </c>
      <c r="AP125" s="459" t="str">
        <f>IF(CUENTAS!X114/CUENTAS!$AB114&lt;&gt;0,CUENTAS!X114/CUENTAS!$AB114,"")</f>
        <v/>
      </c>
      <c r="AQ125" s="459">
        <f>IF(CUENTAS!Y114/CUENTAS!$AB114&lt;&gt;0,CUENTAS!Y114/CUENTAS!$AB114,"")</f>
        <v>0.02516274412</v>
      </c>
      <c r="AR125" s="459">
        <f>IF(CUENTAS!AA114/CUENTAS!$AB114&lt;&gt;0,CUENTAS!AA114/CUENTAS!$AB114,"")</f>
        <v>0.03971181953</v>
      </c>
    </row>
    <row r="126">
      <c r="A126" s="474"/>
      <c r="B126" s="200"/>
      <c r="C126" s="200"/>
      <c r="F126" s="200"/>
      <c r="G126" s="200"/>
      <c r="J126" s="470">
        <v>45534.0</v>
      </c>
      <c r="K126" s="466">
        <f>SUMIF(GRAFICO!A:A,J126,GRAFICO!B:B)</f>
        <v>13178.52765</v>
      </c>
      <c r="L126" s="467">
        <f t="shared" si="2"/>
        <v>0.2659344798</v>
      </c>
      <c r="M126" s="468">
        <v>45899.0</v>
      </c>
      <c r="N126" s="469">
        <f>IF(SUMIF(GRAFICO!A:A,M126,GRAFICO!B:B)=0,"",SUMIF(GRAFICO!A:A,M126,GRAFICO!B:B))</f>
        <v>18429.04971</v>
      </c>
      <c r="O126" s="467">
        <f t="shared" si="3"/>
        <v>0.2808549335</v>
      </c>
      <c r="P126" s="465">
        <v>46264.0</v>
      </c>
      <c r="Q126" s="463" t="str">
        <f>IF(SUMIF(GRAFICO!A:A,P126,GRAFICO!B:B)=0,"",SUMIF(GRAFICO!A:A,P126,GRAFICO!B:B))</f>
        <v/>
      </c>
      <c r="R126" s="463" t="str">
        <f t="shared" si="4"/>
        <v/>
      </c>
      <c r="S126" s="471">
        <f>CUENTAS!A115</f>
        <v>45987</v>
      </c>
      <c r="T126" s="459">
        <f>IF(CUENTAS!Q115/CUENTAS!$AB115&lt;&gt;0,CUENTAS!Q115/CUENTAS!$AB115,"")</f>
        <v>0.05883138519</v>
      </c>
      <c r="U126" s="459" t="str">
        <f>IF(CUENTAS!C115/CUENTAS!$AB115&lt;&gt;0,CUENTAS!C115/CUENTAS!$AB115,"")</f>
        <v/>
      </c>
      <c r="V126" s="459" t="str">
        <f>IF(CUENTAS!D115/CUENTAS!$AB115&lt;&gt;0,CUENTAS!D115/CUENTAS!$AB115,"")</f>
        <v/>
      </c>
      <c r="W126" s="459" t="str">
        <f>IF(CUENTAS!E115/CUENTAS!$AB115&lt;&gt;0,CUENTAS!E115/CUENTAS!$AB115,"")</f>
        <v/>
      </c>
      <c r="X126" s="459" t="str">
        <f>IF(CUENTAS!F115/CUENTAS!$AB115&lt;&gt;0,CUENTAS!F115/CUENTAS!$AB115,"")</f>
        <v/>
      </c>
      <c r="Y126" s="459">
        <f>IF(CUENTAS!G115/CUENTAS!$AB115&lt;&gt;0,CUENTAS!G115/CUENTAS!$AB115,"")</f>
        <v>0.09695619545</v>
      </c>
      <c r="Z126" s="459">
        <f>IF(CUENTAS!H115/CUENTAS!$AB115&lt;&gt;0,CUENTAS!H115/CUENTAS!$AB115,"")</f>
        <v>0.04047961805</v>
      </c>
      <c r="AA126" s="459">
        <f>IF(CUENTAS!I115/CUENTAS!$AB115&lt;&gt;0,CUENTAS!I115/CUENTAS!$AB115,"")</f>
        <v>0.08227142522</v>
      </c>
      <c r="AB126" s="459">
        <f>IF(CUENTAS!J115/CUENTAS!$AB115&lt;&gt;0,CUENTAS!J115/CUENTAS!$AB115,"")</f>
        <v>0.1867063644</v>
      </c>
      <c r="AC126" s="459">
        <f>IF(CUENTAS!K115/CUENTAS!$AB115&lt;&gt;0,CUENTAS!K115/CUENTAS!$AB115,"")</f>
        <v>0.06301444688</v>
      </c>
      <c r="AD126" s="459">
        <f>IF(CUENTAS!L115/CUENTAS!$AB115&lt;&gt;0,CUENTAS!L115/CUENTAS!$AB115,"")</f>
        <v>0.008055645384</v>
      </c>
      <c r="AE126" s="459">
        <f>IF(CUENTAS!M115/CUENTAS!$AB115&lt;&gt;0,CUENTAS!M115/CUENTAS!$AB115,"")</f>
        <v>0.05631609383</v>
      </c>
      <c r="AF126" s="459">
        <f>IF(CUENTAS!N115/CUENTAS!$AB115&lt;&gt;0,CUENTAS!N115/CUENTAS!$AB115,"")</f>
        <v>0.05544969239</v>
      </c>
      <c r="AG126" s="459" t="str">
        <f>IF(CUENTAS!O115/CUENTAS!$AB115&lt;&gt;0,CUENTAS!O115/CUENTAS!$AB115,"")</f>
        <v/>
      </c>
      <c r="AH126" s="459" t="str">
        <f>IF(CUENTAS!P115/CUENTAS!$AB115&lt;&gt;0,CUENTAS!P115/CUENTAS!$AB115,"")</f>
        <v/>
      </c>
      <c r="AI126" s="459">
        <f>IF(CUENTAS!R115/CUENTAS!$AB115&lt;&gt;0,CUENTAS!R115/CUENTAS!$AB115,"")</f>
        <v>0.1625243239</v>
      </c>
      <c r="AJ126" s="459" t="str">
        <f>IF(CUENTAS!B115/CUENTAS!$AB115&lt;&gt;0,CUENTAS!B115/CUENTAS!$AB115,"")</f>
        <v/>
      </c>
      <c r="AK126" s="459">
        <f>IF(CUENTAS!S115/CUENTAS!$AB115&lt;&gt;0,CUENTAS!S115/CUENTAS!$AB115,"")</f>
        <v>0.02204193348</v>
      </c>
      <c r="AL126" s="459">
        <f>IF(CUENTAS!T115/CUENTAS!$AB115&lt;&gt;0,CUENTAS!T115/CUENTAS!$AB115,"")</f>
        <v>0.03836710896</v>
      </c>
      <c r="AM126" s="459">
        <f>IF(CUENTAS!U115/CUENTAS!$AB115&lt;&gt;0,CUENTAS!U115/CUENTAS!$AB115,"")</f>
        <v>0.1017951214</v>
      </c>
      <c r="AN126" s="459">
        <f>IF(CUENTAS!V115/CUENTAS!$AB115&lt;&gt;0,CUENTAS!V115/CUENTAS!$AB115,"")</f>
        <v>0.1506427268</v>
      </c>
      <c r="AO126" s="459">
        <f>IF(CUENTAS!W115/CUENTAS!$AB115&lt;&gt;0,CUENTAS!W115/CUENTAS!$AB115,"")</f>
        <v>0.02677348287</v>
      </c>
      <c r="AP126" s="459" t="str">
        <f>IF(CUENTAS!X115/CUENTAS!$AB115&lt;&gt;0,CUENTAS!X115/CUENTAS!$AB115,"")</f>
        <v/>
      </c>
      <c r="AQ126" s="459">
        <f>IF(CUENTAS!Y115/CUENTAS!$AB115&lt;&gt;0,CUENTAS!Y115/CUENTAS!$AB115,"")</f>
        <v>0.02509357085</v>
      </c>
      <c r="AR126" s="459">
        <f>IF(CUENTAS!AA115/CUENTAS!$AB115&lt;&gt;0,CUENTAS!AA115/CUENTAS!$AB115,"")</f>
        <v>0.03971296816</v>
      </c>
    </row>
    <row r="127">
      <c r="A127" s="474"/>
      <c r="B127" s="200"/>
      <c r="C127" s="200"/>
      <c r="F127" s="200"/>
      <c r="G127" s="200"/>
      <c r="J127" s="470">
        <v>45533.0</v>
      </c>
      <c r="K127" s="466">
        <f>SUMIF(GRAFICO!A:A,J127,GRAFICO!B:B)</f>
        <v>13049.80068</v>
      </c>
      <c r="L127" s="467">
        <f t="shared" si="2"/>
        <v>0.2561185278</v>
      </c>
      <c r="M127" s="468">
        <v>45898.0</v>
      </c>
      <c r="N127" s="469">
        <f>IF(SUMIF(GRAFICO!A:A,M127,GRAFICO!B:B)=0,"",SUMIF(GRAFICO!A:A,M127,GRAFICO!B:B))</f>
        <v>18421.09334</v>
      </c>
      <c r="O127" s="467">
        <f t="shared" si="3"/>
        <v>0.2804231104</v>
      </c>
      <c r="P127" s="468">
        <v>46263.0</v>
      </c>
      <c r="Q127" s="463" t="str">
        <f>IF(SUMIF(GRAFICO!A:A,P127,GRAFICO!B:B)=0,"",SUMIF(GRAFICO!A:A,P127,GRAFICO!B:B))</f>
        <v/>
      </c>
      <c r="R127" s="463" t="str">
        <f t="shared" si="4"/>
        <v/>
      </c>
      <c r="S127" s="471">
        <f>CUENTAS!A116</f>
        <v>45986</v>
      </c>
      <c r="T127" s="459">
        <f>IF(CUENTAS!Q116/CUENTAS!$AB116&lt;&gt;0,CUENTAS!Q116/CUENTAS!$AB116,"")</f>
        <v>0.0589230774</v>
      </c>
      <c r="U127" s="459" t="str">
        <f>IF(CUENTAS!C116/CUENTAS!$AB116&lt;&gt;0,CUENTAS!C116/CUENTAS!$AB116,"")</f>
        <v/>
      </c>
      <c r="V127" s="459" t="str">
        <f>IF(CUENTAS!D116/CUENTAS!$AB116&lt;&gt;0,CUENTAS!D116/CUENTAS!$AB116,"")</f>
        <v/>
      </c>
      <c r="W127" s="459" t="str">
        <f>IF(CUENTAS!E116/CUENTAS!$AB116&lt;&gt;0,CUENTAS!E116/CUENTAS!$AB116,"")</f>
        <v/>
      </c>
      <c r="X127" s="459" t="str">
        <f>IF(CUENTAS!F116/CUENTAS!$AB116&lt;&gt;0,CUENTAS!F116/CUENTAS!$AB116,"")</f>
        <v/>
      </c>
      <c r="Y127" s="459">
        <f>IF(CUENTAS!G116/CUENTAS!$AB116&lt;&gt;0,CUENTAS!G116/CUENTAS!$AB116,"")</f>
        <v>0.09754538552</v>
      </c>
      <c r="Z127" s="459">
        <f>IF(CUENTAS!H116/CUENTAS!$AB116&lt;&gt;0,CUENTAS!H116/CUENTAS!$AB116,"")</f>
        <v>0.03940811724</v>
      </c>
      <c r="AA127" s="459">
        <f>IF(CUENTAS!I116/CUENTAS!$AB116&lt;&gt;0,CUENTAS!I116/CUENTAS!$AB116,"")</f>
        <v>0.08180399</v>
      </c>
      <c r="AB127" s="459">
        <f>IF(CUENTAS!J116/CUENTAS!$AB116&lt;&gt;0,CUENTAS!J116/CUENTAS!$AB116,"")</f>
        <v>0.1865771385</v>
      </c>
      <c r="AC127" s="459">
        <f>IF(CUENTAS!K116/CUENTAS!$AB116&lt;&gt;0,CUENTAS!K116/CUENTAS!$AB116,"")</f>
        <v>0.06499733987</v>
      </c>
      <c r="AD127" s="459">
        <f>IF(CUENTAS!L116/CUENTAS!$AB116&lt;&gt;0,CUENTAS!L116/CUENTAS!$AB116,"")</f>
        <v>0.008089211525</v>
      </c>
      <c r="AE127" s="459">
        <f>IF(CUENTAS!M116/CUENTAS!$AB116&lt;&gt;0,CUENTAS!M116/CUENTAS!$AB116,"")</f>
        <v>0.05535016722</v>
      </c>
      <c r="AF127" s="459">
        <f>IF(CUENTAS!N116/CUENTAS!$AB116&lt;&gt;0,CUENTAS!N116/CUENTAS!$AB116,"")</f>
        <v>0.055132704</v>
      </c>
      <c r="AG127" s="459" t="str">
        <f>IF(CUENTAS!O116/CUENTAS!$AB116&lt;&gt;0,CUENTAS!O116/CUENTAS!$AB116,"")</f>
        <v/>
      </c>
      <c r="AH127" s="459" t="str">
        <f>IF(CUENTAS!P116/CUENTAS!$AB116&lt;&gt;0,CUENTAS!P116/CUENTAS!$AB116,"")</f>
        <v/>
      </c>
      <c r="AI127" s="459">
        <f>IF(CUENTAS!R116/CUENTAS!$AB116&lt;&gt;0,CUENTAS!R116/CUENTAS!$AB116,"")</f>
        <v>0.1627776277</v>
      </c>
      <c r="AJ127" s="459" t="str">
        <f>IF(CUENTAS!B116/CUENTAS!$AB116&lt;&gt;0,CUENTAS!B116/CUENTAS!$AB116,"")</f>
        <v/>
      </c>
      <c r="AK127" s="459">
        <f>IF(CUENTAS!S116/CUENTAS!$AB116&lt;&gt;0,CUENTAS!S116/CUENTAS!$AB116,"")</f>
        <v>0.02203017616</v>
      </c>
      <c r="AL127" s="459">
        <f>IF(CUENTAS!T116/CUENTAS!$AB116&lt;&gt;0,CUENTAS!T116/CUENTAS!$AB116,"")</f>
        <v>0.03837437904</v>
      </c>
      <c r="AM127" s="459">
        <f>IF(CUENTAS!U116/CUENTAS!$AB116&lt;&gt;0,CUENTAS!U116/CUENTAS!$AB116,"")</f>
        <v>0.1016887808</v>
      </c>
      <c r="AN127" s="459">
        <f>IF(CUENTAS!V116/CUENTAS!$AB116&lt;&gt;0,CUENTAS!V116/CUENTAS!$AB116,"")</f>
        <v>0.1508473429</v>
      </c>
      <c r="AO127" s="459">
        <f>IF(CUENTAS!W116/CUENTAS!$AB116&lt;&gt;0,CUENTAS!W116/CUENTAS!$AB116,"")</f>
        <v>0.02681521093</v>
      </c>
      <c r="AP127" s="459" t="str">
        <f>IF(CUENTAS!X116/CUENTAS!$AB116&lt;&gt;0,CUENTAS!X116/CUENTAS!$AB116,"")</f>
        <v/>
      </c>
      <c r="AQ127" s="459">
        <f>IF(CUENTAS!Y116/CUENTAS!$AB116&lt;&gt;0,CUENTAS!Y116/CUENTAS!$AB116,"")</f>
        <v>0.02506267065</v>
      </c>
      <c r="AR127" s="459">
        <f>IF(CUENTAS!AA116/CUENTAS!$AB116&lt;&gt;0,CUENTAS!AA116/CUENTAS!$AB116,"")</f>
        <v>0.03977486318</v>
      </c>
    </row>
    <row r="128">
      <c r="A128" s="474"/>
      <c r="B128" s="200"/>
      <c r="C128" s="200"/>
      <c r="F128" s="200"/>
      <c r="G128" s="200"/>
      <c r="J128" s="470">
        <v>45532.0</v>
      </c>
      <c r="K128" s="466">
        <f>SUMIF(GRAFICO!A:A,J128,GRAFICO!B:B)</f>
        <v>12991.0779</v>
      </c>
      <c r="L128" s="467">
        <f t="shared" si="2"/>
        <v>0.2516084741</v>
      </c>
      <c r="M128" s="468">
        <v>45897.0</v>
      </c>
      <c r="N128" s="469">
        <f>IF(SUMIF(GRAFICO!A:A,M128,GRAFICO!B:B)=0,"",SUMIF(GRAFICO!A:A,M128,GRAFICO!B:B))</f>
        <v>18415.26265</v>
      </c>
      <c r="O128" s="467">
        <f t="shared" si="3"/>
        <v>0.2801065376</v>
      </c>
      <c r="P128" s="465">
        <v>46262.0</v>
      </c>
      <c r="Q128" s="463" t="str">
        <f>IF(SUMIF(GRAFICO!A:A,P128,GRAFICO!B:B)=0,"",SUMIF(GRAFICO!A:A,P128,GRAFICO!B:B))</f>
        <v/>
      </c>
      <c r="R128" s="463" t="str">
        <f t="shared" si="4"/>
        <v/>
      </c>
      <c r="S128" s="471">
        <f>CUENTAS!A117</f>
        <v>45985</v>
      </c>
      <c r="T128" s="459">
        <f>IF(CUENTAS!Q117/CUENTAS!$AB117&lt;&gt;0,CUENTAS!Q117/CUENTAS!$AB117,"")</f>
        <v>0.058676802</v>
      </c>
      <c r="U128" s="459" t="str">
        <f>IF(CUENTAS!C117/CUENTAS!$AB117&lt;&gt;0,CUENTAS!C117/CUENTAS!$AB117,"")</f>
        <v/>
      </c>
      <c r="V128" s="459" t="str">
        <f>IF(CUENTAS!D117/CUENTAS!$AB117&lt;&gt;0,CUENTAS!D117/CUENTAS!$AB117,"")</f>
        <v/>
      </c>
      <c r="W128" s="459" t="str">
        <f>IF(CUENTAS!E117/CUENTAS!$AB117&lt;&gt;0,CUENTAS!E117/CUENTAS!$AB117,"")</f>
        <v/>
      </c>
      <c r="X128" s="459" t="str">
        <f>IF(CUENTAS!F117/CUENTAS!$AB117&lt;&gt;0,CUENTAS!F117/CUENTAS!$AB117,"")</f>
        <v/>
      </c>
      <c r="Y128" s="459">
        <f>IF(CUENTAS!G117/CUENTAS!$AB117&lt;&gt;0,CUENTAS!G117/CUENTAS!$AB117,"")</f>
        <v>0.09770853072</v>
      </c>
      <c r="Z128" s="459">
        <f>IF(CUENTAS!H117/CUENTAS!$AB117&lt;&gt;0,CUENTAS!H117/CUENTAS!$AB117,"")</f>
        <v>0.03847554546</v>
      </c>
      <c r="AA128" s="459">
        <f>IF(CUENTAS!I117/CUENTAS!$AB117&lt;&gt;0,CUENTAS!I117/CUENTAS!$AB117,"")</f>
        <v>0.08163132518</v>
      </c>
      <c r="AB128" s="459">
        <f>IF(CUENTAS!J117/CUENTAS!$AB117&lt;&gt;0,CUENTAS!J117/CUENTAS!$AB117,"")</f>
        <v>0.1807861451</v>
      </c>
      <c r="AC128" s="459">
        <f>IF(CUENTAS!K117/CUENTAS!$AB117&lt;&gt;0,CUENTAS!K117/CUENTAS!$AB117,"")</f>
        <v>0.06750767346</v>
      </c>
      <c r="AD128" s="459">
        <f>IF(CUENTAS!L117/CUENTAS!$AB117&lt;&gt;0,CUENTAS!L117/CUENTAS!$AB117,"")</f>
        <v>0.008241721319</v>
      </c>
      <c r="AE128" s="459">
        <f>IF(CUENTAS!M117/CUENTAS!$AB117&lt;&gt;0,CUENTAS!M117/CUENTAS!$AB117,"")</f>
        <v>0.05496324189</v>
      </c>
      <c r="AF128" s="459">
        <f>IF(CUENTAS!N117/CUENTAS!$AB117&lt;&gt;0,CUENTAS!N117/CUENTAS!$AB117,"")</f>
        <v>0.05580974643</v>
      </c>
      <c r="AG128" s="459" t="str">
        <f>IF(CUENTAS!O117/CUENTAS!$AB117&lt;&gt;0,CUENTAS!O117/CUENTAS!$AB117,"")</f>
        <v/>
      </c>
      <c r="AH128" s="459" t="str">
        <f>IF(CUENTAS!P117/CUENTAS!$AB117&lt;&gt;0,CUENTAS!P117/CUENTAS!$AB117,"")</f>
        <v/>
      </c>
      <c r="AI128" s="459">
        <f>IF(CUENTAS!R117/CUENTAS!$AB117&lt;&gt;0,CUENTAS!R117/CUENTAS!$AB117,"")</f>
        <v>0.1647765748</v>
      </c>
      <c r="AJ128" s="459" t="str">
        <f>IF(CUENTAS!B117/CUENTAS!$AB117&lt;&gt;0,CUENTAS!B117/CUENTAS!$AB117,"")</f>
        <v/>
      </c>
      <c r="AK128" s="459">
        <f>IF(CUENTAS!S117/CUENTAS!$AB117&lt;&gt;0,CUENTAS!S117/CUENTAS!$AB117,"")</f>
        <v>0.0222540346</v>
      </c>
      <c r="AL128" s="459">
        <f>IF(CUENTAS!T117/CUENTAS!$AB117&lt;&gt;0,CUENTAS!T117/CUENTAS!$AB117,"")</f>
        <v>0.03879245294</v>
      </c>
      <c r="AM128" s="459">
        <f>IF(CUENTAS!U117/CUENTAS!$AB117&lt;&gt;0,CUENTAS!U117/CUENTAS!$AB117,"")</f>
        <v>0.1026692942</v>
      </c>
      <c r="AN128" s="459">
        <f>IF(CUENTAS!V117/CUENTAS!$AB117&lt;&gt;0,CUENTAS!V117/CUENTAS!$AB117,"")</f>
        <v>0.1526692495</v>
      </c>
      <c r="AO128" s="459">
        <f>IF(CUENTAS!W117/CUENTAS!$AB117&lt;&gt;0,CUENTAS!W117/CUENTAS!$AB117,"")</f>
        <v>0.02714450796</v>
      </c>
      <c r="AP128" s="459" t="str">
        <f>IF(CUENTAS!X117/CUENTAS!$AB117&lt;&gt;0,CUENTAS!X117/CUENTAS!$AB117,"")</f>
        <v/>
      </c>
      <c r="AQ128" s="459">
        <f>IF(CUENTAS!Y117/CUENTAS!$AB117&lt;&gt;0,CUENTAS!Y117/CUENTAS!$AB117,"")</f>
        <v>0.02529957631</v>
      </c>
      <c r="AR128" s="459">
        <f>IF(CUENTAS!AA117/CUENTAS!$AB117&lt;&gt;0,CUENTAS!AA117/CUENTAS!$AB117,"")</f>
        <v>0.04026330775</v>
      </c>
    </row>
    <row r="129">
      <c r="A129" s="474"/>
      <c r="B129" s="200"/>
      <c r="C129" s="200"/>
      <c r="F129" s="200"/>
      <c r="G129" s="200"/>
      <c r="J129" s="465">
        <v>45531.0</v>
      </c>
      <c r="K129" s="466">
        <f>SUMIF(GRAFICO!A:A,J129,GRAFICO!B:B)</f>
        <v>13052.24963</v>
      </c>
      <c r="L129" s="467">
        <f t="shared" si="2"/>
        <v>0.2563061717</v>
      </c>
      <c r="M129" s="468">
        <v>45896.0</v>
      </c>
      <c r="N129" s="469">
        <f>IF(SUMIF(GRAFICO!A:A,M129,GRAFICO!B:B)=0,"",SUMIF(GRAFICO!A:A,M129,GRAFICO!B:B))</f>
        <v>18318.38748</v>
      </c>
      <c r="O129" s="467">
        <f t="shared" si="3"/>
        <v>0.2748320606</v>
      </c>
      <c r="P129" s="468">
        <v>46261.0</v>
      </c>
      <c r="Q129" s="463" t="str">
        <f>IF(SUMIF(GRAFICO!A:A,P129,GRAFICO!B:B)=0,"",SUMIF(GRAFICO!A:A,P129,GRAFICO!B:B))</f>
        <v/>
      </c>
      <c r="R129" s="463" t="str">
        <f t="shared" si="4"/>
        <v/>
      </c>
      <c r="S129" s="471">
        <f>CUENTAS!A118</f>
        <v>45984</v>
      </c>
      <c r="T129" s="459">
        <f>IF(CUENTAS!Q118/CUENTAS!$AB118&lt;&gt;0,CUENTAS!Q118/CUENTAS!$AB118,"")</f>
        <v>0.05900998</v>
      </c>
      <c r="U129" s="459" t="str">
        <f>IF(CUENTAS!C118/CUENTAS!$AB118&lt;&gt;0,CUENTAS!C118/CUENTAS!$AB118,"")</f>
        <v/>
      </c>
      <c r="V129" s="459" t="str">
        <f>IF(CUENTAS!D118/CUENTAS!$AB118&lt;&gt;0,CUENTAS!D118/CUENTAS!$AB118,"")</f>
        <v/>
      </c>
      <c r="W129" s="459" t="str">
        <f>IF(CUENTAS!E118/CUENTAS!$AB118&lt;&gt;0,CUENTAS!E118/CUENTAS!$AB118,"")</f>
        <v/>
      </c>
      <c r="X129" s="459" t="str">
        <f>IF(CUENTAS!F118/CUENTAS!$AB118&lt;&gt;0,CUENTAS!F118/CUENTAS!$AB118,"")</f>
        <v/>
      </c>
      <c r="Y129" s="459">
        <f>IF(CUENTAS!G118/CUENTAS!$AB118&lt;&gt;0,CUENTAS!G118/CUENTAS!$AB118,"")</f>
        <v>0.09791686781</v>
      </c>
      <c r="Z129" s="459">
        <f>IF(CUENTAS!H118/CUENTAS!$AB118&lt;&gt;0,CUENTAS!H118/CUENTAS!$AB118,"")</f>
        <v>0.03792067475</v>
      </c>
      <c r="AA129" s="459">
        <f>IF(CUENTAS!I118/CUENTAS!$AB118&lt;&gt;0,CUENTAS!I118/CUENTAS!$AB118,"")</f>
        <v>0.08148937603</v>
      </c>
      <c r="AB129" s="459">
        <f>IF(CUENTAS!J118/CUENTAS!$AB118&lt;&gt;0,CUENTAS!J118/CUENTAS!$AB118,"")</f>
        <v>0.1877666172</v>
      </c>
      <c r="AC129" s="459">
        <f>IF(CUENTAS!K118/CUENTAS!$AB118&lt;&gt;0,CUENTAS!K118/CUENTAS!$AB118,"")</f>
        <v>0.0670645751</v>
      </c>
      <c r="AD129" s="459">
        <f>IF(CUENTAS!L118/CUENTAS!$AB118&lt;&gt;0,CUENTAS!L118/CUENTAS!$AB118,"")</f>
        <v>0.008252881328</v>
      </c>
      <c r="AE129" s="459">
        <f>IF(CUENTAS!M118/CUENTAS!$AB118&lt;&gt;0,CUENTAS!M118/CUENTAS!$AB118,"")</f>
        <v>0.0554157813</v>
      </c>
      <c r="AF129" s="459">
        <f>IF(CUENTAS!N118/CUENTAS!$AB118&lt;&gt;0,CUENTAS!N118/CUENTAS!$AB118,"")</f>
        <v>0.05590419158</v>
      </c>
      <c r="AG129" s="459" t="str">
        <f>IF(CUENTAS!O118/CUENTAS!$AB118&lt;&gt;0,CUENTAS!O118/CUENTAS!$AB118,"")</f>
        <v/>
      </c>
      <c r="AH129" s="459" t="str">
        <f>IF(CUENTAS!P118/CUENTAS!$AB118&lt;&gt;0,CUENTAS!P118/CUENTAS!$AB118,"")</f>
        <v/>
      </c>
      <c r="AI129" s="459">
        <f>IF(CUENTAS!R118/CUENTAS!$AB118&lt;&gt;0,CUENTAS!R118/CUENTAS!$AB118,"")</f>
        <v>0.1617030411</v>
      </c>
      <c r="AJ129" s="459" t="str">
        <f>IF(CUENTAS!B118/CUENTAS!$AB118&lt;&gt;0,CUENTAS!B118/CUENTAS!$AB118,"")</f>
        <v/>
      </c>
      <c r="AK129" s="459">
        <f>IF(CUENTAS!S118/CUENTAS!$AB118&lt;&gt;0,CUENTAS!S118/CUENTAS!$AB118,"")</f>
        <v>0.02179312942</v>
      </c>
      <c r="AL129" s="459">
        <f>IF(CUENTAS!T118/CUENTAS!$AB118&lt;&gt;0,CUENTAS!T118/CUENTAS!$AB118,"")</f>
        <v>0.03801668703</v>
      </c>
      <c r="AM129" s="459">
        <f>IF(CUENTAS!U118/CUENTAS!$AB118&lt;&gt;0,CUENTAS!U118/CUENTAS!$AB118,"")</f>
        <v>0.1004909861</v>
      </c>
      <c r="AN129" s="459">
        <f>IF(CUENTAS!V118/CUENTAS!$AB118&lt;&gt;0,CUENTAS!V118/CUENTAS!$AB118,"")</f>
        <v>0.1513566968</v>
      </c>
      <c r="AO129" s="459">
        <f>IF(CUENTAS!W118/CUENTAS!$AB118&lt;&gt;0,CUENTAS!W118/CUENTAS!$AB118,"")</f>
        <v>0.02663818866</v>
      </c>
      <c r="AP129" s="459" t="str">
        <f>IF(CUENTAS!X118/CUENTAS!$AB118&lt;&gt;0,CUENTAS!X118/CUENTAS!$AB118,"")</f>
        <v/>
      </c>
      <c r="AQ129" s="459">
        <f>IF(CUENTAS!Y118/CUENTAS!$AB118&lt;&gt;0,CUENTAS!Y118/CUENTAS!$AB118,"")</f>
        <v>0.02475812218</v>
      </c>
      <c r="AR129" s="459">
        <f>IF(CUENTAS!AA118/CUENTAS!$AB118&lt;&gt;0,CUENTAS!AA118/CUENTAS!$AB118,"")</f>
        <v>0.03951228696</v>
      </c>
    </row>
    <row r="130">
      <c r="A130" s="474"/>
      <c r="B130" s="200"/>
      <c r="C130" s="200"/>
      <c r="F130" s="200"/>
      <c r="G130" s="200"/>
      <c r="J130" s="465">
        <v>45530.0</v>
      </c>
      <c r="K130" s="466">
        <f>SUMIF(GRAFICO!A:A,J130,GRAFICO!B:B)</f>
        <v>12984.88787</v>
      </c>
      <c r="L130" s="467">
        <f t="shared" si="2"/>
        <v>0.2511318769</v>
      </c>
      <c r="M130" s="468">
        <v>45895.0</v>
      </c>
      <c r="N130" s="469">
        <f>IF(SUMIF(GRAFICO!A:A,M130,GRAFICO!B:B)=0,"",SUMIF(GRAFICO!A:A,M130,GRAFICO!B:B))</f>
        <v>18318.57409</v>
      </c>
      <c r="O130" s="467">
        <f t="shared" si="3"/>
        <v>0.2748422478</v>
      </c>
      <c r="P130" s="465">
        <v>46260.0</v>
      </c>
      <c r="Q130" s="463" t="str">
        <f>IF(SUMIF(GRAFICO!A:A,P130,GRAFICO!B:B)=0,"",SUMIF(GRAFICO!A:A,P130,GRAFICO!B:B))</f>
        <v/>
      </c>
      <c r="R130" s="463" t="str">
        <f t="shared" si="4"/>
        <v/>
      </c>
      <c r="S130" s="471">
        <f>CUENTAS!A119</f>
        <v>45983</v>
      </c>
      <c r="T130" s="459">
        <f>IF(CUENTAS!Q119/CUENTAS!$AB119&lt;&gt;0,CUENTAS!Q119/CUENTAS!$AB119,"")</f>
        <v>0.05898878138</v>
      </c>
      <c r="U130" s="459" t="str">
        <f>IF(CUENTAS!C119/CUENTAS!$AB119&lt;&gt;0,CUENTAS!C119/CUENTAS!$AB119,"")</f>
        <v/>
      </c>
      <c r="V130" s="459" t="str">
        <f>IF(CUENTAS!D119/CUENTAS!$AB119&lt;&gt;0,CUENTAS!D119/CUENTAS!$AB119,"")</f>
        <v/>
      </c>
      <c r="W130" s="459" t="str">
        <f>IF(CUENTAS!E119/CUENTAS!$AB119&lt;&gt;0,CUENTAS!E119/CUENTAS!$AB119,"")</f>
        <v/>
      </c>
      <c r="X130" s="459" t="str">
        <f>IF(CUENTAS!F119/CUENTAS!$AB119&lt;&gt;0,CUENTAS!F119/CUENTAS!$AB119,"")</f>
        <v/>
      </c>
      <c r="Y130" s="459">
        <f>IF(CUENTAS!G119/CUENTAS!$AB119&lt;&gt;0,CUENTAS!G119/CUENTAS!$AB119,"")</f>
        <v>0.09788169236</v>
      </c>
      <c r="Z130" s="459">
        <f>IF(CUENTAS!H119/CUENTAS!$AB119&lt;&gt;0,CUENTAS!H119/CUENTAS!$AB119,"")</f>
        <v>0.03790705221</v>
      </c>
      <c r="AA130" s="459">
        <f>IF(CUENTAS!I119/CUENTAS!$AB119&lt;&gt;0,CUENTAS!I119/CUENTAS!$AB119,"")</f>
        <v>0.08146010196</v>
      </c>
      <c r="AB130" s="459">
        <f>IF(CUENTAS!J119/CUENTAS!$AB119&lt;&gt;0,CUENTAS!J119/CUENTAS!$AB119,"")</f>
        <v>0.1876991643</v>
      </c>
      <c r="AC130" s="459">
        <f>IF(CUENTAS!K119/CUENTAS!$AB119&lt;&gt;0,CUENTAS!K119/CUENTAS!$AB119,"")</f>
        <v>0.06704048297</v>
      </c>
      <c r="AD130" s="459">
        <f>IF(CUENTAS!L119/CUENTAS!$AB119&lt;&gt;0,CUENTAS!L119/CUENTAS!$AB119,"")</f>
        <v>0.008249916581</v>
      </c>
      <c r="AE130" s="459">
        <f>IF(CUENTAS!M119/CUENTAS!$AB119&lt;&gt;0,CUENTAS!M119/CUENTAS!$AB119,"")</f>
        <v>0.05539587385</v>
      </c>
      <c r="AF130" s="459">
        <f>IF(CUENTAS!N119/CUENTAS!$AB119&lt;&gt;0,CUENTAS!N119/CUENTAS!$AB119,"")</f>
        <v>0.05588410867</v>
      </c>
      <c r="AG130" s="459" t="str">
        <f>IF(CUENTAS!O119/CUENTAS!$AB119&lt;&gt;0,CUENTAS!O119/CUENTAS!$AB119,"")</f>
        <v/>
      </c>
      <c r="AH130" s="459" t="str">
        <f>IF(CUENTAS!P119/CUENTAS!$AB119&lt;&gt;0,CUENTAS!P119/CUENTAS!$AB119,"")</f>
        <v/>
      </c>
      <c r="AI130" s="459">
        <f>IF(CUENTAS!R119/CUENTAS!$AB119&lt;&gt;0,CUENTAS!R119/CUENTAS!$AB119,"")</f>
        <v>0.1528817622</v>
      </c>
      <c r="AJ130" s="459" t="str">
        <f>IF(CUENTAS!B119/CUENTAS!$AB119&lt;&gt;0,CUENTAS!B119/CUENTAS!$AB119,"")</f>
        <v/>
      </c>
      <c r="AK130" s="459">
        <f>IF(CUENTAS!S119/CUENTAS!$AB119&lt;&gt;0,CUENTAS!S119/CUENTAS!$AB119,"")</f>
        <v>0.02173951037</v>
      </c>
      <c r="AL130" s="459">
        <f>IF(CUENTAS!T119/CUENTAS!$AB119&lt;&gt;0,CUENTAS!T119/CUENTAS!$AB119,"")</f>
        <v>0.03795086816</v>
      </c>
      <c r="AM130" s="459">
        <f>IF(CUENTAS!U119/CUENTAS!$AB119&lt;&gt;0,CUENTAS!U119/CUENTAS!$AB119,"")</f>
        <v>0.1001917356</v>
      </c>
      <c r="AN130" s="459">
        <f>IF(CUENTAS!V119/CUENTAS!$AB119&lt;&gt;0,CUENTAS!V119/CUENTAS!$AB119,"")</f>
        <v>0.160659323</v>
      </c>
      <c r="AO130" s="459">
        <f>IF(CUENTAS!W119/CUENTAS!$AB119&lt;&gt;0,CUENTAS!W119/CUENTAS!$AB119,"")</f>
        <v>0.04086880147</v>
      </c>
      <c r="AP130" s="459" t="str">
        <f>IF(CUENTAS!X119/CUENTAS!$AB119&lt;&gt;0,CUENTAS!X119/CUENTAS!$AB119,"")</f>
        <v/>
      </c>
      <c r="AQ130" s="459">
        <f>IF(CUENTAS!Y119/CUENTAS!$AB119&lt;&gt;0,CUENTAS!Y119/CUENTAS!$AB119,"")</f>
        <v>0.02090307487</v>
      </c>
      <c r="AR130" s="459">
        <f>IF(CUENTAS!AA119/CUENTAS!$AB119&lt;&gt;0,CUENTAS!AA119/CUENTAS!$AB119,"")</f>
        <v>0.02906572469</v>
      </c>
    </row>
    <row r="131">
      <c r="A131" s="474"/>
      <c r="B131" s="200"/>
      <c r="C131" s="200"/>
      <c r="F131" s="200"/>
      <c r="G131" s="200"/>
      <c r="J131" s="465">
        <v>45529.0</v>
      </c>
      <c r="K131" s="466">
        <f>SUMIF(GRAFICO!A:A,J131,GRAFICO!B:B)</f>
        <v>12927.4888</v>
      </c>
      <c r="L131" s="467">
        <f t="shared" si="2"/>
        <v>0.2467016263</v>
      </c>
      <c r="M131" s="468">
        <v>45894.0</v>
      </c>
      <c r="N131" s="469">
        <f>IF(SUMIF(GRAFICO!A:A,M131,GRAFICO!B:B)=0,"",SUMIF(GRAFICO!A:A,M131,GRAFICO!B:B))</f>
        <v>18268.20224</v>
      </c>
      <c r="O131" s="467">
        <f t="shared" si="3"/>
        <v>0.2720886911</v>
      </c>
      <c r="P131" s="468">
        <v>46259.0</v>
      </c>
      <c r="Q131" s="463" t="str">
        <f>IF(SUMIF(GRAFICO!A:A,P131,GRAFICO!B:B)=0,"",SUMIF(GRAFICO!A:A,P131,GRAFICO!B:B))</f>
        <v/>
      </c>
      <c r="R131" s="463" t="str">
        <f t="shared" si="4"/>
        <v/>
      </c>
      <c r="S131" s="471">
        <f>CUENTAS!A120</f>
        <v>45982</v>
      </c>
      <c r="T131" s="459">
        <f>IF(CUENTAS!Q120/CUENTAS!$AB120&lt;&gt;0,CUENTAS!Q120/CUENTAS!$AB120,"")</f>
        <v>0.05897063662</v>
      </c>
      <c r="U131" s="459" t="str">
        <f>IF(CUENTAS!C120/CUENTAS!$AB120&lt;&gt;0,CUENTAS!C120/CUENTAS!$AB120,"")</f>
        <v/>
      </c>
      <c r="V131" s="459" t="str">
        <f>IF(CUENTAS!D120/CUENTAS!$AB120&lt;&gt;0,CUENTAS!D120/CUENTAS!$AB120,"")</f>
        <v/>
      </c>
      <c r="W131" s="459" t="str">
        <f>IF(CUENTAS!E120/CUENTAS!$AB120&lt;&gt;0,CUENTAS!E120/CUENTAS!$AB120,"")</f>
        <v/>
      </c>
      <c r="X131" s="459" t="str">
        <f>IF(CUENTAS!F120/CUENTAS!$AB120&lt;&gt;0,CUENTAS!F120/CUENTAS!$AB120,"")</f>
        <v/>
      </c>
      <c r="Y131" s="459">
        <f>IF(CUENTAS!G120/CUENTAS!$AB120&lt;&gt;0,CUENTAS!G120/CUENTAS!$AB120,"")</f>
        <v>0.09785158427</v>
      </c>
      <c r="Z131" s="459">
        <f>IF(CUENTAS!H120/CUENTAS!$AB120&lt;&gt;0,CUENTAS!H120/CUENTAS!$AB120,"")</f>
        <v>0.03789539213</v>
      </c>
      <c r="AA131" s="459">
        <f>IF(CUENTAS!I120/CUENTAS!$AB120&lt;&gt;0,CUENTAS!I120/CUENTAS!$AB120,"")</f>
        <v>0.0814350451</v>
      </c>
      <c r="AB131" s="459">
        <f>IF(CUENTAS!J120/CUENTAS!$AB120&lt;&gt;0,CUENTAS!J120/CUENTAS!$AB120,"")</f>
        <v>0.1876414286</v>
      </c>
      <c r="AC131" s="459">
        <f>IF(CUENTAS!K120/CUENTAS!$AB120&lt;&gt;0,CUENTAS!K120/CUENTAS!$AB120,"")</f>
        <v>0.06701986154</v>
      </c>
      <c r="AD131" s="459">
        <f>IF(CUENTAS!L120/CUENTAS!$AB120&lt;&gt;0,CUENTAS!L120/CUENTAS!$AB120,"")</f>
        <v>0.008247378934</v>
      </c>
      <c r="AE131" s="459">
        <f>IF(CUENTAS!M120/CUENTAS!$AB120&lt;&gt;0,CUENTAS!M120/CUENTAS!$AB120,"")</f>
        <v>0.05537883427</v>
      </c>
      <c r="AF131" s="459">
        <f>IF(CUENTAS!N120/CUENTAS!$AB120&lt;&gt;0,CUENTAS!N120/CUENTAS!$AB120,"")</f>
        <v>0.05586691891</v>
      </c>
      <c r="AG131" s="459" t="str">
        <f>IF(CUENTAS!O120/CUENTAS!$AB120&lt;&gt;0,CUENTAS!O120/CUENTAS!$AB120,"")</f>
        <v/>
      </c>
      <c r="AH131" s="459" t="str">
        <f>IF(CUENTAS!P120/CUENTAS!$AB120&lt;&gt;0,CUENTAS!P120/CUENTAS!$AB120,"")</f>
        <v/>
      </c>
      <c r="AI131" s="459">
        <f>IF(CUENTAS!R120/CUENTAS!$AB120&lt;&gt;0,CUENTAS!R120/CUENTAS!$AB120,"")</f>
        <v>0.1534604858</v>
      </c>
      <c r="AJ131" s="459" t="str">
        <f>IF(CUENTAS!B120/CUENTAS!$AB120&lt;&gt;0,CUENTAS!B120/CUENTAS!$AB120,"")</f>
        <v/>
      </c>
      <c r="AK131" s="459">
        <f>IF(CUENTAS!S120/CUENTAS!$AB120&lt;&gt;0,CUENTAS!S120/CUENTAS!$AB120,"")</f>
        <v>0.02168704732</v>
      </c>
      <c r="AL131" s="459">
        <f>IF(CUENTAS!T120/CUENTAS!$AB120&lt;&gt;0,CUENTAS!T120/CUENTAS!$AB120,"")</f>
        <v>0.0378870488</v>
      </c>
      <c r="AM131" s="459">
        <f>IF(CUENTAS!U120/CUENTAS!$AB120&lt;&gt;0,CUENTAS!U120/CUENTAS!$AB120,"")</f>
        <v>0.09989784747</v>
      </c>
      <c r="AN131" s="459">
        <f>IF(CUENTAS!V120/CUENTAS!$AB120&lt;&gt;0,CUENTAS!V120/CUENTAS!$AB120,"")</f>
        <v>0.1673052055</v>
      </c>
      <c r="AO131" s="459">
        <f>IF(CUENTAS!W120/CUENTAS!$AB120&lt;&gt;0,CUENTAS!W120/CUENTAS!$AB120,"")</f>
        <v>0.04085623036</v>
      </c>
      <c r="AP131" s="459" t="str">
        <f>IF(CUENTAS!X120/CUENTAS!$AB120&lt;&gt;0,CUENTAS!X120/CUENTAS!$AB120,"")</f>
        <v/>
      </c>
      <c r="AQ131" s="459">
        <f>IF(CUENTAS!Y120/CUENTAS!$AB120&lt;&gt;0,CUENTAS!Y120/CUENTAS!$AB120,"")</f>
        <v>0.02085831799</v>
      </c>
      <c r="AR131" s="459">
        <f>IF(CUENTAS!AA120/CUENTAS!$AB120&lt;&gt;0,CUENTAS!AA120/CUENTAS!$AB120,"")</f>
        <v>0.02227783082</v>
      </c>
    </row>
    <row r="132">
      <c r="A132" s="474"/>
      <c r="B132" s="200"/>
      <c r="C132" s="200"/>
      <c r="F132" s="200"/>
      <c r="G132" s="200"/>
      <c r="J132" s="470">
        <v>45528.0</v>
      </c>
      <c r="K132" s="466">
        <f>SUMIF(GRAFICO!A:A,J132,GRAFICO!B:B)</f>
        <v>12920.03043</v>
      </c>
      <c r="L132" s="467">
        <f t="shared" si="2"/>
        <v>0.2461245213</v>
      </c>
      <c r="M132" s="468">
        <v>45893.0</v>
      </c>
      <c r="N132" s="469">
        <f>IF(SUMIF(GRAFICO!A:A,M132,GRAFICO!B:B)=0,"",SUMIF(GRAFICO!A:A,M132,GRAFICO!B:B))</f>
        <v>18257.13911</v>
      </c>
      <c r="O132" s="467">
        <f t="shared" si="3"/>
        <v>0.2714829125</v>
      </c>
      <c r="P132" s="465">
        <v>46258.0</v>
      </c>
      <c r="Q132" s="463" t="str">
        <f>IF(SUMIF(GRAFICO!A:A,P132,GRAFICO!B:B)=0,"",SUMIF(GRAFICO!A:A,P132,GRAFICO!B:B))</f>
        <v/>
      </c>
      <c r="R132" s="463" t="str">
        <f t="shared" si="4"/>
        <v/>
      </c>
      <c r="S132" s="471">
        <f>CUENTAS!A121</f>
        <v>45981</v>
      </c>
      <c r="T132" s="459">
        <f>IF(CUENTAS!Q121/CUENTAS!$AB121&lt;&gt;0,CUENTAS!Q121/CUENTAS!$AB121,"")</f>
        <v>0.06150504515</v>
      </c>
      <c r="U132" s="459" t="str">
        <f>IF(CUENTAS!C121/CUENTAS!$AB121&lt;&gt;0,CUENTAS!C121/CUENTAS!$AB121,"")</f>
        <v/>
      </c>
      <c r="V132" s="459" t="str">
        <f>IF(CUENTAS!D121/CUENTAS!$AB121&lt;&gt;0,CUENTAS!D121/CUENTAS!$AB121,"")</f>
        <v/>
      </c>
      <c r="W132" s="459" t="str">
        <f>IF(CUENTAS!E121/CUENTAS!$AB121&lt;&gt;0,CUENTAS!E121/CUENTAS!$AB121,"")</f>
        <v/>
      </c>
      <c r="X132" s="459" t="str">
        <f>IF(CUENTAS!F121/CUENTAS!$AB121&lt;&gt;0,CUENTAS!F121/CUENTAS!$AB121,"")</f>
        <v/>
      </c>
      <c r="Y132" s="459">
        <f>IF(CUENTAS!G121/CUENTAS!$AB121&lt;&gt;0,CUENTAS!G121/CUENTAS!$AB121,"")</f>
        <v>0.09990842904</v>
      </c>
      <c r="Z132" s="459">
        <f>IF(CUENTAS!H121/CUENTAS!$AB121&lt;&gt;0,CUENTAS!H121/CUENTAS!$AB121,"")</f>
        <v>0.0369285832</v>
      </c>
      <c r="AA132" s="459">
        <f>IF(CUENTAS!I121/CUENTAS!$AB121&lt;&gt;0,CUENTAS!I121/CUENTAS!$AB121,"")</f>
        <v>0.08271555405</v>
      </c>
      <c r="AB132" s="459">
        <f>IF(CUENTAS!J121/CUENTAS!$AB121&lt;&gt;0,CUENTAS!J121/CUENTAS!$AB121,"")</f>
        <v>0.1926079045</v>
      </c>
      <c r="AC132" s="459">
        <f>IF(CUENTAS!K121/CUENTAS!$AB121&lt;&gt;0,CUENTAS!K121/CUENTAS!$AB121,"")</f>
        <v>0.06857556973</v>
      </c>
      <c r="AD132" s="459">
        <f>IF(CUENTAS!L121/CUENTAS!$AB121&lt;&gt;0,CUENTAS!L121/CUENTAS!$AB121,"")</f>
        <v>0.008420739215</v>
      </c>
      <c r="AE132" s="459">
        <f>IF(CUENTAS!M121/CUENTAS!$AB121&lt;&gt;0,CUENTAS!M121/CUENTAS!$AB121,"")</f>
        <v>0.05779940877</v>
      </c>
      <c r="AF132" s="459">
        <f>IF(CUENTAS!N121/CUENTAS!$AB121&lt;&gt;0,CUENTAS!N121/CUENTAS!$AB121,"")</f>
        <v>0.05554195213</v>
      </c>
      <c r="AG132" s="459" t="str">
        <f>IF(CUENTAS!O121/CUENTAS!$AB121&lt;&gt;0,CUENTAS!O121/CUENTAS!$AB121,"")</f>
        <v/>
      </c>
      <c r="AH132" s="459" t="str">
        <f>IF(CUENTAS!P121/CUENTAS!$AB121&lt;&gt;0,CUENTAS!P121/CUENTAS!$AB121,"")</f>
        <v/>
      </c>
      <c r="AI132" s="459">
        <f>IF(CUENTAS!R121/CUENTAS!$AB121&lt;&gt;0,CUENTAS!R121/CUENTAS!$AB121,"")</f>
        <v>0.157325135</v>
      </c>
      <c r="AJ132" s="459" t="str">
        <f>IF(CUENTAS!B121/CUENTAS!$AB121&lt;&gt;0,CUENTAS!B121/CUENTAS!$AB121,"")</f>
        <v/>
      </c>
      <c r="AK132" s="459">
        <f>IF(CUENTAS!S121/CUENTAS!$AB121&lt;&gt;0,CUENTAS!S121/CUENTAS!$AB121,"")</f>
        <v>0.02209617178</v>
      </c>
      <c r="AL132" s="459">
        <f>IF(CUENTAS!T121/CUENTAS!$AB121&lt;&gt;0,CUENTAS!T121/CUENTAS!$AB121,"")</f>
        <v>0.03863019439</v>
      </c>
      <c r="AM132" s="459">
        <f>IF(CUENTAS!U121/CUENTAS!$AB121&lt;&gt;0,CUENTAS!U121/CUENTAS!$AB121,"")</f>
        <v>0.1017291056</v>
      </c>
      <c r="AN132" s="459">
        <f>IF(CUENTAS!V121/CUENTAS!$AB121&lt;&gt;0,CUENTAS!V121/CUENTAS!$AB121,"")</f>
        <v>0.1713751838</v>
      </c>
      <c r="AO132" s="459">
        <f>IF(CUENTAS!W121/CUENTAS!$AB121&lt;&gt;0,CUENTAS!W121/CUENTAS!$AB121,"")</f>
        <v>0.06301179098</v>
      </c>
      <c r="AP132" s="459" t="str">
        <f>IF(CUENTAS!X121/CUENTAS!$AB121&lt;&gt;0,CUENTAS!X121/CUENTAS!$AB121,"")</f>
        <v/>
      </c>
      <c r="AQ132" s="459" t="str">
        <f>IF(CUENTAS!Y121/CUENTAS!$AB121&lt;&gt;0,CUENTAS!Y121/CUENTAS!$AB121,"")</f>
        <v/>
      </c>
      <c r="AR132" s="459">
        <f>IF(CUENTAS!AA121/CUENTAS!$AB121&lt;&gt;0,CUENTAS!AA121/CUENTAS!$AB121,"")</f>
        <v>0.0007076238662</v>
      </c>
    </row>
    <row r="133">
      <c r="A133" s="474"/>
      <c r="B133" s="200"/>
      <c r="C133" s="200"/>
      <c r="F133" s="200"/>
      <c r="G133" s="200"/>
      <c r="J133" s="465">
        <v>45527.0</v>
      </c>
      <c r="K133" s="466">
        <f>SUMIF(GRAFICO!A:A,J133,GRAFICO!B:B)</f>
        <v>12912.57651</v>
      </c>
      <c r="L133" s="467">
        <f t="shared" si="2"/>
        <v>0.2455474271</v>
      </c>
      <c r="M133" s="468">
        <v>45892.0</v>
      </c>
      <c r="N133" s="469">
        <f>IF(SUMIF(GRAFICO!A:A,M133,GRAFICO!B:B)=0,"",SUMIF(GRAFICO!A:A,M133,GRAFICO!B:B))</f>
        <v>18256.41495</v>
      </c>
      <c r="O133" s="467">
        <f t="shared" si="3"/>
        <v>0.2714432474</v>
      </c>
      <c r="P133" s="468">
        <v>46257.0</v>
      </c>
      <c r="Q133" s="463" t="str">
        <f>IF(SUMIF(GRAFICO!A:A,P133,GRAFICO!B:B)=0,"",SUMIF(GRAFICO!A:A,P133,GRAFICO!B:B))</f>
        <v/>
      </c>
      <c r="R133" s="463" t="str">
        <f t="shared" si="4"/>
        <v/>
      </c>
      <c r="S133" s="471">
        <f>CUENTAS!A122</f>
        <v>45980</v>
      </c>
      <c r="T133" s="459">
        <f>IF(CUENTAS!Q122/CUENTAS!$AB122&lt;&gt;0,CUENTAS!Q122/CUENTAS!$AB122,"")</f>
        <v>0.06216487069</v>
      </c>
      <c r="U133" s="459" t="str">
        <f>IF(CUENTAS!C122/CUENTAS!$AB122&lt;&gt;0,CUENTAS!C122/CUENTAS!$AB122,"")</f>
        <v/>
      </c>
      <c r="V133" s="459" t="str">
        <f>IF(CUENTAS!D122/CUENTAS!$AB122&lt;&gt;0,CUENTAS!D122/CUENTAS!$AB122,"")</f>
        <v/>
      </c>
      <c r="W133" s="459" t="str">
        <f>IF(CUENTAS!E122/CUENTAS!$AB122&lt;&gt;0,CUENTAS!E122/CUENTAS!$AB122,"")</f>
        <v/>
      </c>
      <c r="X133" s="459" t="str">
        <f>IF(CUENTAS!F122/CUENTAS!$AB122&lt;&gt;0,CUENTAS!F122/CUENTAS!$AB122,"")</f>
        <v/>
      </c>
      <c r="Y133" s="459">
        <f>IF(CUENTAS!G122/CUENTAS!$AB122&lt;&gt;0,CUENTAS!G122/CUENTAS!$AB122,"")</f>
        <v>0.09995919439</v>
      </c>
      <c r="Z133" s="459">
        <f>IF(CUENTAS!H122/CUENTAS!$AB122&lt;&gt;0,CUENTAS!H122/CUENTAS!$AB122,"")</f>
        <v>0.03671352463</v>
      </c>
      <c r="AA133" s="459">
        <f>IF(CUENTAS!I122/CUENTAS!$AB122&lt;&gt;0,CUENTAS!I122/CUENTAS!$AB122,"")</f>
        <v>0.08260543043</v>
      </c>
      <c r="AB133" s="459">
        <f>IF(CUENTAS!J122/CUENTAS!$AB122&lt;&gt;0,CUENTAS!J122/CUENTAS!$AB122,"")</f>
        <v>0.1934504162</v>
      </c>
      <c r="AC133" s="459">
        <f>IF(CUENTAS!K122/CUENTAS!$AB122&lt;&gt;0,CUENTAS!K122/CUENTAS!$AB122,"")</f>
        <v>0.07012577586</v>
      </c>
      <c r="AD133" s="459">
        <f>IF(CUENTAS!L122/CUENTAS!$AB122&lt;&gt;0,CUENTAS!L122/CUENTAS!$AB122,"")</f>
        <v>0.008341497837</v>
      </c>
      <c r="AE133" s="459">
        <f>IF(CUENTAS!M122/CUENTAS!$AB122&lt;&gt;0,CUENTAS!M122/CUENTAS!$AB122,"")</f>
        <v>0.05638553951</v>
      </c>
      <c r="AF133" s="459">
        <f>IF(CUENTAS!N122/CUENTAS!$AB122&lt;&gt;0,CUENTAS!N122/CUENTAS!$AB122,"")</f>
        <v>0.05753047159</v>
      </c>
      <c r="AG133" s="459" t="str">
        <f>IF(CUENTAS!O122/CUENTAS!$AB122&lt;&gt;0,CUENTAS!O122/CUENTAS!$AB122,"")</f>
        <v/>
      </c>
      <c r="AH133" s="459" t="str">
        <f>IF(CUENTAS!P122/CUENTAS!$AB122&lt;&gt;0,CUENTAS!P122/CUENTAS!$AB122,"")</f>
        <v/>
      </c>
      <c r="AI133" s="459">
        <f>IF(CUENTAS!R122/CUENTAS!$AB122&lt;&gt;0,CUENTAS!R122/CUENTAS!$AB122,"")</f>
        <v>0.1559647721</v>
      </c>
      <c r="AJ133" s="459" t="str">
        <f>IF(CUENTAS!B122/CUENTAS!$AB122&lt;&gt;0,CUENTAS!B122/CUENTAS!$AB122,"")</f>
        <v/>
      </c>
      <c r="AK133" s="459">
        <f>IF(CUENTAS!S122/CUENTAS!$AB122&lt;&gt;0,CUENTAS!S122/CUENTAS!$AB122,"")</f>
        <v>0.02177036571</v>
      </c>
      <c r="AL133" s="459">
        <f>IF(CUENTAS!T122/CUENTAS!$AB122&lt;&gt;0,CUENTAS!T122/CUENTAS!$AB122,"")</f>
        <v>0.03808870477</v>
      </c>
      <c r="AM133" s="459">
        <f>IF(CUENTAS!U122/CUENTAS!$AB122&lt;&gt;0,CUENTAS!U122/CUENTAS!$AB122,"")</f>
        <v>0.1001763754</v>
      </c>
      <c r="AN133" s="459">
        <f>IF(CUENTAS!V122/CUENTAS!$AB122&lt;&gt;0,CUENTAS!V122/CUENTAS!$AB122,"")</f>
        <v>0.1697521208</v>
      </c>
      <c r="AO133" s="459">
        <f>IF(CUENTAS!W122/CUENTAS!$AB122&lt;&gt;0,CUENTAS!W122/CUENTAS!$AB122,"")</f>
        <v>0.06221428466</v>
      </c>
      <c r="AP133" s="459" t="str">
        <f>IF(CUENTAS!X122/CUENTAS!$AB122&lt;&gt;0,CUENTAS!X122/CUENTAS!$AB122,"")</f>
        <v/>
      </c>
      <c r="AQ133" s="459" t="str">
        <f>IF(CUENTAS!Y122/CUENTAS!$AB122&lt;&gt;0,CUENTAS!Y122/CUENTAS!$AB122,"")</f>
        <v/>
      </c>
      <c r="AR133" s="459">
        <f>IF(CUENTAS!AA122/CUENTAS!$AB122&lt;&gt;0,CUENTAS!AA122/CUENTAS!$AB122,"")</f>
        <v>0.0006986678518</v>
      </c>
    </row>
    <row r="134">
      <c r="A134" s="474"/>
      <c r="B134" s="200"/>
      <c r="C134" s="200"/>
      <c r="F134" s="200"/>
      <c r="G134" s="200"/>
      <c r="J134" s="470">
        <v>45526.0</v>
      </c>
      <c r="K134" s="466">
        <f>SUMIF(GRAFICO!A:A,J134,GRAFICO!B:B)</f>
        <v>12922.5798</v>
      </c>
      <c r="L134" s="467">
        <f t="shared" si="2"/>
        <v>0.2463218209</v>
      </c>
      <c r="M134" s="468">
        <v>45891.0</v>
      </c>
      <c r="N134" s="469">
        <f>IF(SUMIF(GRAFICO!A:A,M134,GRAFICO!B:B)=0,"",SUMIF(GRAFICO!A:A,M134,GRAFICO!B:B))</f>
        <v>18255.69079</v>
      </c>
      <c r="O134" s="467">
        <f t="shared" si="3"/>
        <v>0.2714035807</v>
      </c>
      <c r="P134" s="465">
        <v>46256.0</v>
      </c>
      <c r="Q134" s="463" t="str">
        <f>IF(SUMIF(GRAFICO!A:A,P134,GRAFICO!B:B)=0,"",SUMIF(GRAFICO!A:A,P134,GRAFICO!B:B))</f>
        <v/>
      </c>
      <c r="R134" s="463" t="str">
        <f t="shared" si="4"/>
        <v/>
      </c>
      <c r="S134" s="471">
        <f>CUENTAS!A123</f>
        <v>45979</v>
      </c>
      <c r="T134" s="459">
        <f>IF(CUENTAS!Q123/CUENTAS!$AB123&lt;&gt;0,CUENTAS!Q123/CUENTAS!$AB123,"")</f>
        <v>0.06115242355</v>
      </c>
      <c r="U134" s="459" t="str">
        <f>IF(CUENTAS!C123/CUENTAS!$AB123&lt;&gt;0,CUENTAS!C123/CUENTAS!$AB123,"")</f>
        <v/>
      </c>
      <c r="V134" s="459" t="str">
        <f>IF(CUENTAS!D123/CUENTAS!$AB123&lt;&gt;0,CUENTAS!D123/CUENTAS!$AB123,"")</f>
        <v/>
      </c>
      <c r="W134" s="459" t="str">
        <f>IF(CUENTAS!E123/CUENTAS!$AB123&lt;&gt;0,CUENTAS!E123/CUENTAS!$AB123,"")</f>
        <v/>
      </c>
      <c r="X134" s="459" t="str">
        <f>IF(CUENTAS!F123/CUENTAS!$AB123&lt;&gt;0,CUENTAS!F123/CUENTAS!$AB123,"")</f>
        <v/>
      </c>
      <c r="Y134" s="459">
        <f>IF(CUENTAS!G123/CUENTAS!$AB123&lt;&gt;0,CUENTAS!G123/CUENTAS!$AB123,"")</f>
        <v>0.0953220717</v>
      </c>
      <c r="Z134" s="459">
        <f>IF(CUENTAS!H123/CUENTAS!$AB123&lt;&gt;0,CUENTAS!H123/CUENTAS!$AB123,"")</f>
        <v>0.03490418434</v>
      </c>
      <c r="AA134" s="459">
        <f>IF(CUENTAS!I123/CUENTAS!$AB123&lt;&gt;0,CUENTAS!I123/CUENTAS!$AB123,"")</f>
        <v>0.08037227916</v>
      </c>
      <c r="AB134" s="459">
        <f>IF(CUENTAS!J123/CUENTAS!$AB123&lt;&gt;0,CUENTAS!J123/CUENTAS!$AB123,"")</f>
        <v>0.1905933456</v>
      </c>
      <c r="AC134" s="459">
        <f>IF(CUENTAS!K123/CUENTAS!$AB123&lt;&gt;0,CUENTAS!K123/CUENTAS!$AB123,"")</f>
        <v>0.07014769798</v>
      </c>
      <c r="AD134" s="459">
        <f>IF(CUENTAS!L123/CUENTAS!$AB123&lt;&gt;0,CUENTAS!L123/CUENTAS!$AB123,"")</f>
        <v>0.008038243872</v>
      </c>
      <c r="AE134" s="459">
        <f>IF(CUENTAS!M123/CUENTAS!$AB123&lt;&gt;0,CUENTAS!M123/CUENTAS!$AB123,"")</f>
        <v>0.05436685343</v>
      </c>
      <c r="AF134" s="459">
        <f>IF(CUENTAS!N123/CUENTAS!$AB123&lt;&gt;0,CUENTAS!N123/CUENTAS!$AB123,"")</f>
        <v>0.05500792167</v>
      </c>
      <c r="AG134" s="459" t="str">
        <f>IF(CUENTAS!O123/CUENTAS!$AB123&lt;&gt;0,CUENTAS!O123/CUENTAS!$AB123,"")</f>
        <v/>
      </c>
      <c r="AH134" s="459" t="str">
        <f>IF(CUENTAS!P123/CUENTAS!$AB123&lt;&gt;0,CUENTAS!P123/CUENTAS!$AB123,"")</f>
        <v/>
      </c>
      <c r="AI134" s="459">
        <f>IF(CUENTAS!R123/CUENTAS!$AB123&lt;&gt;0,CUENTAS!R123/CUENTAS!$AB123,"")</f>
        <v>0.151322176</v>
      </c>
      <c r="AJ134" s="459" t="str">
        <f>IF(CUENTAS!B123/CUENTAS!$AB123&lt;&gt;0,CUENTAS!B123/CUENTAS!$AB123,"")</f>
        <v/>
      </c>
      <c r="AK134" s="459">
        <f>IF(CUENTAS!S123/CUENTAS!$AB123&lt;&gt;0,CUENTAS!S123/CUENTAS!$AB123,"")</f>
        <v>0.02099264813</v>
      </c>
      <c r="AL134" s="459">
        <f>IF(CUENTAS!T123/CUENTAS!$AB123&lt;&gt;0,CUENTAS!T123/CUENTAS!$AB123,"")</f>
        <v>0.03675525617</v>
      </c>
      <c r="AM134" s="459">
        <f>IF(CUENTAS!U123/CUENTAS!$AB123&lt;&gt;0,CUENTAS!U123/CUENTAS!$AB123,"")</f>
        <v>0.09654663105</v>
      </c>
      <c r="AN134" s="459">
        <f>IF(CUENTAS!V123/CUENTAS!$AB123&lt;&gt;0,CUENTAS!V123/CUENTAS!$AB123,"")</f>
        <v>0.1645629494</v>
      </c>
      <c r="AO134" s="459">
        <f>IF(CUENTAS!W123/CUENTAS!$AB123&lt;&gt;0,CUENTAS!W123/CUENTAS!$AB123,"")</f>
        <v>0.0601191963</v>
      </c>
      <c r="AP134" s="459" t="str">
        <f>IF(CUENTAS!X123/CUENTAS!$AB123&lt;&gt;0,CUENTAS!X123/CUENTAS!$AB123,"")</f>
        <v/>
      </c>
      <c r="AQ134" s="459" t="str">
        <f>IF(CUENTAS!Y123/CUENTAS!$AB123&lt;&gt;0,CUENTAS!Y123/CUENTAS!$AB123,"")</f>
        <v/>
      </c>
      <c r="AR134" s="459">
        <f>IF(CUENTAS!AA123/CUENTAS!$AB123&lt;&gt;0,CUENTAS!AA123/CUENTAS!$AB123,"")</f>
        <v>0.02830565171</v>
      </c>
    </row>
    <row r="135">
      <c r="A135" s="474"/>
      <c r="B135" s="200"/>
      <c r="C135" s="200"/>
      <c r="F135" s="200"/>
      <c r="G135" s="200"/>
      <c r="J135" s="470">
        <v>45525.0</v>
      </c>
      <c r="K135" s="466">
        <f>SUMIF(GRAFICO!A:A,J135,GRAFICO!B:B)</f>
        <v>12886.69319</v>
      </c>
      <c r="L135" s="467">
        <f t="shared" si="2"/>
        <v>0.2435409105</v>
      </c>
      <c r="M135" s="468">
        <v>45890.0</v>
      </c>
      <c r="N135" s="469">
        <f>IF(SUMIF(GRAFICO!A:A,M135,GRAFICO!B:B)=0,"",SUMIF(GRAFICO!A:A,M135,GRAFICO!B:B))</f>
        <v>18180.22448</v>
      </c>
      <c r="O135" s="467">
        <f t="shared" si="3"/>
        <v>0.2672611614</v>
      </c>
      <c r="P135" s="468">
        <v>46255.0</v>
      </c>
      <c r="Q135" s="463" t="str">
        <f>IF(SUMIF(GRAFICO!A:A,P135,GRAFICO!B:B)=0,"",SUMIF(GRAFICO!A:A,P135,GRAFICO!B:B))</f>
        <v/>
      </c>
      <c r="R135" s="463" t="str">
        <f t="shared" si="4"/>
        <v/>
      </c>
      <c r="S135" s="471">
        <f>CUENTAS!A124</f>
        <v>45978</v>
      </c>
      <c r="T135" s="459">
        <f>IF(CUENTAS!Q124/CUENTAS!$AB124&lt;&gt;0,CUENTAS!Q124/CUENTAS!$AB124,"")</f>
        <v>0.06007654005</v>
      </c>
      <c r="U135" s="459" t="str">
        <f>IF(CUENTAS!C124/CUENTAS!$AB124&lt;&gt;0,CUENTAS!C124/CUENTAS!$AB124,"")</f>
        <v/>
      </c>
      <c r="V135" s="459" t="str">
        <f>IF(CUENTAS!D124/CUENTAS!$AB124&lt;&gt;0,CUENTAS!D124/CUENTAS!$AB124,"")</f>
        <v/>
      </c>
      <c r="W135" s="459" t="str">
        <f>IF(CUENTAS!E124/CUENTAS!$AB124&lt;&gt;0,CUENTAS!E124/CUENTAS!$AB124,"")</f>
        <v/>
      </c>
      <c r="X135" s="459" t="str">
        <f>IF(CUENTAS!F124/CUENTAS!$AB124&lt;&gt;0,CUENTAS!F124/CUENTAS!$AB124,"")</f>
        <v/>
      </c>
      <c r="Y135" s="459">
        <f>IF(CUENTAS!G124/CUENTAS!$AB124&lt;&gt;0,CUENTAS!G124/CUENTAS!$AB124,"")</f>
        <v>0.09240923124</v>
      </c>
      <c r="Z135" s="459">
        <f>IF(CUENTAS!H124/CUENTAS!$AB124&lt;&gt;0,CUENTAS!H124/CUENTAS!$AB124,"")</f>
        <v>0.03636211635</v>
      </c>
      <c r="AA135" s="459">
        <f>IF(CUENTAS!I124/CUENTAS!$AB124&lt;&gt;0,CUENTAS!I124/CUENTAS!$AB124,"")</f>
        <v>0.08058343593</v>
      </c>
      <c r="AB135" s="459">
        <f>IF(CUENTAS!J124/CUENTAS!$AB124&lt;&gt;0,CUENTAS!J124/CUENTAS!$AB124,"")</f>
        <v>0.1932826876</v>
      </c>
      <c r="AC135" s="459">
        <f>IF(CUENTAS!K124/CUENTAS!$AB124&lt;&gt;0,CUENTAS!K124/CUENTAS!$AB124,"")</f>
        <v>0.07099936307</v>
      </c>
      <c r="AD135" s="459">
        <f>IF(CUENTAS!L124/CUENTAS!$AB124&lt;&gt;0,CUENTAS!L124/CUENTAS!$AB124,"")</f>
        <v>0.008000070971</v>
      </c>
      <c r="AE135" s="459">
        <f>IF(CUENTAS!M124/CUENTAS!$AB124&lt;&gt;0,CUENTAS!M124/CUENTAS!$AB124,"")</f>
        <v>0.05363412161</v>
      </c>
      <c r="AF135" s="459">
        <f>IF(CUENTAS!N124/CUENTAS!$AB124&lt;&gt;0,CUENTAS!N124/CUENTAS!$AB124,"")</f>
        <v>0.05448236831</v>
      </c>
      <c r="AG135" s="459" t="str">
        <f>IF(CUENTAS!O124/CUENTAS!$AB124&lt;&gt;0,CUENTAS!O124/CUENTAS!$AB124,"")</f>
        <v/>
      </c>
      <c r="AH135" s="459" t="str">
        <f>IF(CUENTAS!P124/CUENTAS!$AB124&lt;&gt;0,CUENTAS!P124/CUENTAS!$AB124,"")</f>
        <v/>
      </c>
      <c r="AI135" s="459">
        <f>IF(CUENTAS!R124/CUENTAS!$AB124&lt;&gt;0,CUENTAS!R124/CUENTAS!$AB124,"")</f>
        <v>0.1515550308</v>
      </c>
      <c r="AJ135" s="459" t="str">
        <f>IF(CUENTAS!B124/CUENTAS!$AB124&lt;&gt;0,CUENTAS!B124/CUENTAS!$AB124,"")</f>
        <v/>
      </c>
      <c r="AK135" s="459">
        <f>IF(CUENTAS!S124/CUENTAS!$AB124&lt;&gt;0,CUENTAS!S124/CUENTAS!$AB124,"")</f>
        <v>0.02089611416</v>
      </c>
      <c r="AL135" s="459">
        <f>IF(CUENTAS!T124/CUENTAS!$AB124&lt;&gt;0,CUENTAS!T124/CUENTAS!$AB124,"")</f>
        <v>0.0366134487</v>
      </c>
      <c r="AM135" s="459">
        <f>IF(CUENTAS!U124/CUENTAS!$AB124&lt;&gt;0,CUENTAS!U124/CUENTAS!$AB124,"")</f>
        <v>0.09605160759</v>
      </c>
      <c r="AN135" s="459">
        <f>IF(CUENTAS!V124/CUENTAS!$AB124&lt;&gt;0,CUENTAS!V124/CUENTAS!$AB124,"")</f>
        <v>0.1646806331</v>
      </c>
      <c r="AO135" s="459">
        <f>IF(CUENTAS!W124/CUENTAS!$AB124&lt;&gt;0,CUENTAS!W124/CUENTAS!$AB124,"")</f>
        <v>0.05997012918</v>
      </c>
      <c r="AP135" s="459" t="str">
        <f>IF(CUENTAS!X124/CUENTAS!$AB124&lt;&gt;0,CUENTAS!X124/CUENTAS!$AB124,"")</f>
        <v/>
      </c>
      <c r="AQ135" s="459" t="str">
        <f>IF(CUENTAS!Y124/CUENTAS!$AB124&lt;&gt;0,CUENTAS!Y124/CUENTAS!$AB124,"")</f>
        <v/>
      </c>
      <c r="AR135" s="459">
        <f>IF(CUENTAS!AA124/CUENTAS!$AB124&lt;&gt;0,CUENTAS!AA124/CUENTAS!$AB124,"")</f>
        <v>0.02823546711</v>
      </c>
    </row>
    <row r="136">
      <c r="A136" s="474"/>
      <c r="B136" s="200"/>
      <c r="C136" s="200"/>
      <c r="F136" s="200"/>
      <c r="G136" s="200"/>
      <c r="J136" s="470">
        <v>45524.0</v>
      </c>
      <c r="K136" s="466">
        <f>SUMIF(GRAFICO!A:A,J136,GRAFICO!B:B)</f>
        <v>12894.76614</v>
      </c>
      <c r="L136" s="467">
        <f t="shared" si="2"/>
        <v>0.2441671712</v>
      </c>
      <c r="M136" s="468">
        <v>45889.0</v>
      </c>
      <c r="N136" s="469">
        <f>IF(SUMIF(GRAFICO!A:A,M136,GRAFICO!B:B)=0,"",SUMIF(GRAFICO!A:A,M136,GRAFICO!B:B))</f>
        <v>18212.67727</v>
      </c>
      <c r="O136" s="467">
        <f t="shared" si="3"/>
        <v>0.26904463</v>
      </c>
      <c r="P136" s="465">
        <v>46254.0</v>
      </c>
      <c r="Q136" s="463" t="str">
        <f>IF(SUMIF(GRAFICO!A:A,P136,GRAFICO!B:B)=0,"",SUMIF(GRAFICO!A:A,P136,GRAFICO!B:B))</f>
        <v/>
      </c>
      <c r="R136" s="463" t="str">
        <f t="shared" si="4"/>
        <v/>
      </c>
      <c r="S136" s="471">
        <f>CUENTAS!A125</f>
        <v>45977</v>
      </c>
      <c r="T136" s="459">
        <f>IF(CUENTAS!Q125/CUENTAS!$AB125&lt;&gt;0,CUENTAS!Q125/CUENTAS!$AB125,"")</f>
        <v>0.06001994765</v>
      </c>
      <c r="U136" s="459" t="str">
        <f>IF(CUENTAS!C125/CUENTAS!$AB125&lt;&gt;0,CUENTAS!C125/CUENTAS!$AB125,"")</f>
        <v/>
      </c>
      <c r="V136" s="459" t="str">
        <f>IF(CUENTAS!D125/CUENTAS!$AB125&lt;&gt;0,CUENTAS!D125/CUENTAS!$AB125,"")</f>
        <v/>
      </c>
      <c r="W136" s="459" t="str">
        <f>IF(CUENTAS!E125/CUENTAS!$AB125&lt;&gt;0,CUENTAS!E125/CUENTAS!$AB125,"")</f>
        <v/>
      </c>
      <c r="X136" s="459" t="str">
        <f>IF(CUENTAS!F125/CUENTAS!$AB125&lt;&gt;0,CUENTAS!F125/CUENTAS!$AB125,"")</f>
        <v/>
      </c>
      <c r="Y136" s="459">
        <f>IF(CUENTAS!G125/CUENTAS!$AB125&lt;&gt;0,CUENTAS!G125/CUENTAS!$AB125,"")</f>
        <v>0.09232218128</v>
      </c>
      <c r="Z136" s="459">
        <f>IF(CUENTAS!H125/CUENTAS!$AB125&lt;&gt;0,CUENTAS!H125/CUENTAS!$AB125,"")</f>
        <v>0.03632786305</v>
      </c>
      <c r="AA136" s="459">
        <f>IF(CUENTAS!I125/CUENTAS!$AB125&lt;&gt;0,CUENTAS!I125/CUENTAS!$AB125,"")</f>
        <v>0.08050752593</v>
      </c>
      <c r="AB136" s="459">
        <f>IF(CUENTAS!J125/CUENTAS!$AB125&lt;&gt;0,CUENTAS!J125/CUENTAS!$AB125,"")</f>
        <v>0.1931006143</v>
      </c>
      <c r="AC136" s="459">
        <f>IF(CUENTAS!K125/CUENTAS!$AB125&lt;&gt;0,CUENTAS!K125/CUENTAS!$AB125,"")</f>
        <v>0.07093248132</v>
      </c>
      <c r="AD136" s="459">
        <f>IF(CUENTAS!L125/CUENTAS!$AB125&lt;&gt;0,CUENTAS!L125/CUENTAS!$AB125,"")</f>
        <v>0.007992534864</v>
      </c>
      <c r="AE136" s="459">
        <f>IF(CUENTAS!M125/CUENTAS!$AB125&lt;&gt;0,CUENTAS!M125/CUENTAS!$AB125,"")</f>
        <v>0.053583598</v>
      </c>
      <c r="AF136" s="459">
        <f>IF(CUENTAS!N125/CUENTAS!$AB125&lt;&gt;0,CUENTAS!N125/CUENTAS!$AB125,"")</f>
        <v>0.05443104564</v>
      </c>
      <c r="AG136" s="459" t="str">
        <f>IF(CUENTAS!O125/CUENTAS!$AB125&lt;&gt;0,CUENTAS!O125/CUENTAS!$AB125,"")</f>
        <v/>
      </c>
      <c r="AH136" s="459" t="str">
        <f>IF(CUENTAS!P125/CUENTAS!$AB125&lt;&gt;0,CUENTAS!P125/CUENTAS!$AB125,"")</f>
        <v/>
      </c>
      <c r="AI136" s="459">
        <f>IF(CUENTAS!R125/CUENTAS!$AB125&lt;&gt;0,CUENTAS!R125/CUENTAS!$AB125,"")</f>
        <v>0.1520197546</v>
      </c>
      <c r="AJ136" s="459" t="str">
        <f>IF(CUENTAS!B125/CUENTAS!$AB125&lt;&gt;0,CUENTAS!B125/CUENTAS!$AB125,"")</f>
        <v/>
      </c>
      <c r="AK136" s="459">
        <f>IF(CUENTAS!S125/CUENTAS!$AB125&lt;&gt;0,CUENTAS!S125/CUENTAS!$AB125,"")</f>
        <v>0.02083198968</v>
      </c>
      <c r="AL136" s="459">
        <f>IF(CUENTAS!T125/CUENTAS!$AB125&lt;&gt;0,CUENTAS!T125/CUENTAS!$AB125,"")</f>
        <v>0.03652833454</v>
      </c>
      <c r="AM136" s="459">
        <f>IF(CUENTAS!U125/CUENTAS!$AB125&lt;&gt;0,CUENTAS!U125/CUENTAS!$AB125,"")</f>
        <v>0.09570573375</v>
      </c>
      <c r="AN136" s="459">
        <f>IF(CUENTAS!V125/CUENTAS!$AB125&lt;&gt;0,CUENTAS!V125/CUENTAS!$AB125,"")</f>
        <v>0.1650504672</v>
      </c>
      <c r="AO136" s="459">
        <f>IF(CUENTAS!W125/CUENTAS!$AB125&lt;&gt;0,CUENTAS!W125/CUENTAS!$AB125,"")</f>
        <v>0.05991363701</v>
      </c>
      <c r="AP136" s="459" t="str">
        <f>IF(CUENTAS!X125/CUENTAS!$AB125&lt;&gt;0,CUENTAS!X125/CUENTAS!$AB125,"")</f>
        <v/>
      </c>
      <c r="AQ136" s="459" t="str">
        <f>IF(CUENTAS!Y125/CUENTAS!$AB125&lt;&gt;0,CUENTAS!Y125/CUENTAS!$AB125,"")</f>
        <v/>
      </c>
      <c r="AR136" s="459">
        <f>IF(CUENTAS!AA125/CUENTAS!$AB125&lt;&gt;0,CUENTAS!AA125/CUENTAS!$AB125,"")</f>
        <v>0.02820886915</v>
      </c>
    </row>
    <row r="137">
      <c r="A137" s="474"/>
      <c r="B137" s="200"/>
      <c r="C137" s="200"/>
      <c r="F137" s="200"/>
      <c r="G137" s="200"/>
      <c r="J137" s="465">
        <v>45523.0</v>
      </c>
      <c r="K137" s="466">
        <f>SUMIF(GRAFICO!A:A,J137,GRAFICO!B:B)</f>
        <v>12887.32995</v>
      </c>
      <c r="L137" s="467">
        <f t="shared" si="2"/>
        <v>0.2435903215</v>
      </c>
      <c r="M137" s="468">
        <v>45888.0</v>
      </c>
      <c r="N137" s="469">
        <f>IF(SUMIF(GRAFICO!A:A,M137,GRAFICO!B:B)=0,"",SUMIF(GRAFICO!A:A,M137,GRAFICO!B:B))</f>
        <v>18262.49196</v>
      </c>
      <c r="O137" s="467">
        <f t="shared" si="3"/>
        <v>0.2717760617</v>
      </c>
      <c r="P137" s="468">
        <v>46253.0</v>
      </c>
      <c r="Q137" s="463" t="str">
        <f>IF(SUMIF(GRAFICO!A:A,P137,GRAFICO!B:B)=0,"",SUMIF(GRAFICO!A:A,P137,GRAFICO!B:B))</f>
        <v/>
      </c>
      <c r="R137" s="463" t="str">
        <f t="shared" si="4"/>
        <v/>
      </c>
      <c r="S137" s="471">
        <f>CUENTAS!A126</f>
        <v>45976</v>
      </c>
      <c r="T137" s="459">
        <f>IF(CUENTAS!Q126/CUENTAS!$AB126&lt;&gt;0,CUENTAS!Q126/CUENTAS!$AB126,"")</f>
        <v>0.05996347749</v>
      </c>
      <c r="U137" s="459" t="str">
        <f>IF(CUENTAS!C126/CUENTAS!$AB126&lt;&gt;0,CUENTAS!C126/CUENTAS!$AB126,"")</f>
        <v/>
      </c>
      <c r="V137" s="459" t="str">
        <f>IF(CUENTAS!D126/CUENTAS!$AB126&lt;&gt;0,CUENTAS!D126/CUENTAS!$AB126,"")</f>
        <v/>
      </c>
      <c r="W137" s="459" t="str">
        <f>IF(CUENTAS!E126/CUENTAS!$AB126&lt;&gt;0,CUENTAS!E126/CUENTAS!$AB126,"")</f>
        <v/>
      </c>
      <c r="X137" s="459" t="str">
        <f>IF(CUENTAS!F126/CUENTAS!$AB126&lt;&gt;0,CUENTAS!F126/CUENTAS!$AB126,"")</f>
        <v/>
      </c>
      <c r="Y137" s="459">
        <f>IF(CUENTAS!G126/CUENTAS!$AB126&lt;&gt;0,CUENTAS!G126/CUENTAS!$AB126,"")</f>
        <v>0.09223531935</v>
      </c>
      <c r="Z137" s="459">
        <f>IF(CUENTAS!H126/CUENTAS!$AB126&lt;&gt;0,CUENTAS!H126/CUENTAS!$AB126,"")</f>
        <v>0.03629368374</v>
      </c>
      <c r="AA137" s="459">
        <f>IF(CUENTAS!I126/CUENTAS!$AB126&lt;&gt;0,CUENTAS!I126/CUENTAS!$AB126,"")</f>
        <v>0.0804317799</v>
      </c>
      <c r="AB137" s="459">
        <f>IF(CUENTAS!J126/CUENTAS!$AB126&lt;&gt;0,CUENTAS!J126/CUENTAS!$AB126,"")</f>
        <v>0.1929189343</v>
      </c>
      <c r="AC137" s="459">
        <f>IF(CUENTAS!K126/CUENTAS!$AB126&lt;&gt;0,CUENTAS!K126/CUENTAS!$AB126,"")</f>
        <v>0.07086574402</v>
      </c>
      <c r="AD137" s="459">
        <f>IF(CUENTAS!L126/CUENTAS!$AB126&lt;&gt;0,CUENTAS!L126/CUENTAS!$AB126,"")</f>
        <v>0.007985015035</v>
      </c>
      <c r="AE137" s="459">
        <f>IF(CUENTAS!M126/CUENTAS!$AB126&lt;&gt;0,CUENTAS!M126/CUENTAS!$AB126,"")</f>
        <v>0.05353318352</v>
      </c>
      <c r="AF137" s="459">
        <f>IF(CUENTAS!N126/CUENTAS!$AB126&lt;&gt;0,CUENTAS!N126/CUENTAS!$AB126,"")</f>
        <v>0.05437983383</v>
      </c>
      <c r="AG137" s="459" t="str">
        <f>IF(CUENTAS!O126/CUENTAS!$AB126&lt;&gt;0,CUENTAS!O126/CUENTAS!$AB126,"")</f>
        <v/>
      </c>
      <c r="AH137" s="459" t="str">
        <f>IF(CUENTAS!P126/CUENTAS!$AB126&lt;&gt;0,CUENTAS!P126/CUENTAS!$AB126,"")</f>
        <v/>
      </c>
      <c r="AI137" s="459">
        <f>IF(CUENTAS!R126/CUENTAS!$AB126&lt;&gt;0,CUENTAS!R126/CUENTAS!$AB126,"")</f>
        <v>0.1524836436</v>
      </c>
      <c r="AJ137" s="459" t="str">
        <f>IF(CUENTAS!B126/CUENTAS!$AB126&lt;&gt;0,CUENTAS!B126/CUENTAS!$AB126,"")</f>
        <v/>
      </c>
      <c r="AK137" s="459">
        <f>IF(CUENTAS!S126/CUENTAS!$AB126&lt;&gt;0,CUENTAS!S126/CUENTAS!$AB126,"")</f>
        <v>0.02076799133</v>
      </c>
      <c r="AL137" s="459">
        <f>IF(CUENTAS!T126/CUENTAS!$AB126&lt;&gt;0,CUENTAS!T126/CUENTAS!$AB126,"")</f>
        <v>0.03644339013</v>
      </c>
      <c r="AM137" s="459">
        <f>IF(CUENTAS!U126/CUENTAS!$AB126&lt;&gt;0,CUENTAS!U126/CUENTAS!$AB126,"")</f>
        <v>0.09536053593</v>
      </c>
      <c r="AN137" s="459">
        <f>IF(CUENTAS!V126/CUENTAS!$AB126&lt;&gt;0,CUENTAS!V126/CUENTAS!$AB126,"")</f>
        <v>0.1654193865</v>
      </c>
      <c r="AO137" s="459">
        <f>IF(CUENTAS!W126/CUENTAS!$AB126&lt;&gt;0,CUENTAS!W126/CUENTAS!$AB126,"")</f>
        <v>0.05985726687</v>
      </c>
      <c r="AP137" s="459" t="str">
        <f>IF(CUENTAS!X126/CUENTAS!$AB126&lt;&gt;0,CUENTAS!X126/CUENTAS!$AB126,"")</f>
        <v/>
      </c>
      <c r="AQ137" s="459" t="str">
        <f>IF(CUENTAS!Y126/CUENTAS!$AB126&lt;&gt;0,CUENTAS!Y126/CUENTAS!$AB126,"")</f>
        <v/>
      </c>
      <c r="AR137" s="459">
        <f>IF(CUENTAS!AA126/CUENTAS!$AB126&lt;&gt;0,CUENTAS!AA126/CUENTAS!$AB126,"")</f>
        <v>0.02818232865</v>
      </c>
    </row>
    <row r="138">
      <c r="A138" s="474"/>
      <c r="B138" s="200"/>
      <c r="C138" s="200"/>
      <c r="F138" s="200"/>
      <c r="G138" s="200"/>
      <c r="J138" s="465">
        <v>45522.0</v>
      </c>
      <c r="K138" s="466">
        <f>SUMIF(GRAFICO!A:A,J138,GRAFICO!B:B)</f>
        <v>12879.89817</v>
      </c>
      <c r="L138" s="467">
        <f t="shared" si="2"/>
        <v>0.243013482</v>
      </c>
      <c r="M138" s="468">
        <v>45887.0</v>
      </c>
      <c r="N138" s="469">
        <f>IF(SUMIF(GRAFICO!A:A,M138,GRAFICO!B:B)=0,"",SUMIF(GRAFICO!A:A,M138,GRAFICO!B:B))</f>
        <v>18178.91536</v>
      </c>
      <c r="O138" s="467">
        <f t="shared" si="3"/>
        <v>0.2671891509</v>
      </c>
      <c r="P138" s="465">
        <v>46252.0</v>
      </c>
      <c r="Q138" s="463" t="str">
        <f>IF(SUMIF(GRAFICO!A:A,P138,GRAFICO!B:B)=0,"",SUMIF(GRAFICO!A:A,P138,GRAFICO!B:B))</f>
        <v/>
      </c>
      <c r="R138" s="463" t="str">
        <f t="shared" si="4"/>
        <v/>
      </c>
      <c r="S138" s="471">
        <f>CUENTAS!A127</f>
        <v>45975</v>
      </c>
      <c r="T138" s="459">
        <f>IF(CUENTAS!Q127/CUENTAS!$AB127&lt;&gt;0,CUENTAS!Q127/CUENTAS!$AB127,"")</f>
        <v>0.05990712916</v>
      </c>
      <c r="U138" s="459" t="str">
        <f>IF(CUENTAS!C127/CUENTAS!$AB127&lt;&gt;0,CUENTAS!C127/CUENTAS!$AB127,"")</f>
        <v/>
      </c>
      <c r="V138" s="459" t="str">
        <f>IF(CUENTAS!D127/CUENTAS!$AB127&lt;&gt;0,CUENTAS!D127/CUENTAS!$AB127,"")</f>
        <v/>
      </c>
      <c r="W138" s="459" t="str">
        <f>IF(CUENTAS!E127/CUENTAS!$AB127&lt;&gt;0,CUENTAS!E127/CUENTAS!$AB127,"")</f>
        <v/>
      </c>
      <c r="X138" s="459" t="str">
        <f>IF(CUENTAS!F127/CUENTAS!$AB127&lt;&gt;0,CUENTAS!F127/CUENTAS!$AB127,"")</f>
        <v/>
      </c>
      <c r="Y138" s="459">
        <f>IF(CUENTAS!G127/CUENTAS!$AB127&lt;&gt;0,CUENTAS!G127/CUENTAS!$AB127,"")</f>
        <v>0.09214864483</v>
      </c>
      <c r="Z138" s="459">
        <f>IF(CUENTAS!H127/CUENTAS!$AB127&lt;&gt;0,CUENTAS!H127/CUENTAS!$AB127,"")</f>
        <v>0.03625957818</v>
      </c>
      <c r="AA138" s="459">
        <f>IF(CUENTAS!I127/CUENTAS!$AB127&lt;&gt;0,CUENTAS!I127/CUENTAS!$AB127,"")</f>
        <v>0.08035619729</v>
      </c>
      <c r="AB138" s="459">
        <f>IF(CUENTAS!J127/CUENTAS!$AB127&lt;&gt;0,CUENTAS!J127/CUENTAS!$AB127,"")</f>
        <v>0.1927376463</v>
      </c>
      <c r="AC138" s="459">
        <f>IF(CUENTAS!K127/CUENTAS!$AB127&lt;&gt;0,CUENTAS!K127/CUENTAS!$AB127,"")</f>
        <v>0.07079915072</v>
      </c>
      <c r="AD138" s="459">
        <f>IF(CUENTAS!L127/CUENTAS!$AB127&lt;&gt;0,CUENTAS!L127/CUENTAS!$AB127,"")</f>
        <v>0.007977511431</v>
      </c>
      <c r="AE138" s="459">
        <f>IF(CUENTAS!M127/CUENTAS!$AB127&lt;&gt;0,CUENTAS!M127/CUENTAS!$AB127,"")</f>
        <v>0.05348287781</v>
      </c>
      <c r="AF138" s="459">
        <f>IF(CUENTAS!N127/CUENTAS!$AB127&lt;&gt;0,CUENTAS!N127/CUENTAS!$AB127,"")</f>
        <v>0.05432873252</v>
      </c>
      <c r="AG138" s="459" t="str">
        <f>IF(CUENTAS!O127/CUENTAS!$AB127&lt;&gt;0,CUENTAS!O127/CUENTAS!$AB127,"")</f>
        <v/>
      </c>
      <c r="AH138" s="459" t="str">
        <f>IF(CUENTAS!P127/CUENTAS!$AB127&lt;&gt;0,CUENTAS!P127/CUENTAS!$AB127,"")</f>
        <v/>
      </c>
      <c r="AI138" s="459">
        <f>IF(CUENTAS!R127/CUENTAS!$AB127&lt;&gt;0,CUENTAS!R127/CUENTAS!$AB127,"")</f>
        <v>0.1529467005</v>
      </c>
      <c r="AJ138" s="459" t="str">
        <f>IF(CUENTAS!B127/CUENTAS!$AB127&lt;&gt;0,CUENTAS!B127/CUENTAS!$AB127,"")</f>
        <v/>
      </c>
      <c r="AK138" s="459">
        <f>IF(CUENTAS!S127/CUENTAS!$AB127&lt;&gt;0,CUENTAS!S127/CUENTAS!$AB127,"")</f>
        <v>0.02070411872</v>
      </c>
      <c r="AL138" s="459">
        <f>IF(CUENTAS!T127/CUENTAS!$AB127&lt;&gt;0,CUENTAS!T127/CUENTAS!$AB127,"")</f>
        <v>0.03635861493</v>
      </c>
      <c r="AM138" s="459">
        <f>IF(CUENTAS!U127/CUENTAS!$AB127&lt;&gt;0,CUENTAS!U127/CUENTAS!$AB127,"")</f>
        <v>0.09501601193</v>
      </c>
      <c r="AN138" s="459">
        <f>IF(CUENTAS!V127/CUENTAS!$AB127&lt;&gt;0,CUENTAS!V127/CUENTAS!$AB127,"")</f>
        <v>0.1657873939</v>
      </c>
      <c r="AO138" s="459">
        <f>IF(CUENTAS!W127/CUENTAS!$AB127&lt;&gt;0,CUENTAS!W127/CUENTAS!$AB127,"")</f>
        <v>0.05980101836</v>
      </c>
      <c r="AP138" s="459" t="str">
        <f>IF(CUENTAS!X127/CUENTAS!$AB127&lt;&gt;0,CUENTAS!X127/CUENTAS!$AB127,"")</f>
        <v/>
      </c>
      <c r="AQ138" s="459" t="str">
        <f>IF(CUENTAS!Y127/CUENTAS!$AB127&lt;&gt;0,CUENTAS!Y127/CUENTAS!$AB127,"")</f>
        <v/>
      </c>
      <c r="AR138" s="459">
        <f>IF(CUENTAS!AA127/CUENTAS!$AB127&lt;&gt;0,CUENTAS!AA127/CUENTAS!$AB127,"")</f>
        <v>0.02815584542</v>
      </c>
    </row>
    <row r="139">
      <c r="A139" s="474"/>
      <c r="B139" s="200"/>
      <c r="C139" s="200"/>
      <c r="F139" s="200"/>
      <c r="G139" s="200"/>
      <c r="J139" s="465">
        <v>45521.0</v>
      </c>
      <c r="K139" s="466">
        <f>SUMIF(GRAFICO!A:A,J139,GRAFICO!B:B)</f>
        <v>12847.26124</v>
      </c>
      <c r="L139" s="467">
        <f t="shared" si="2"/>
        <v>0.2404763231</v>
      </c>
      <c r="M139" s="468">
        <v>45886.0</v>
      </c>
      <c r="N139" s="469">
        <f>IF(SUMIF(GRAFICO!A:A,M139,GRAFICO!B:B)=0,"",SUMIF(GRAFICO!A:A,M139,GRAFICO!B:B))</f>
        <v>18139.91589</v>
      </c>
      <c r="O139" s="467">
        <f t="shared" si="3"/>
        <v>0.2650415333</v>
      </c>
      <c r="P139" s="468">
        <v>46251.0</v>
      </c>
      <c r="Q139" s="463" t="str">
        <f>IF(SUMIF(GRAFICO!A:A,P139,GRAFICO!B:B)=0,"",SUMIF(GRAFICO!A:A,P139,GRAFICO!B:B))</f>
        <v/>
      </c>
      <c r="R139" s="463" t="str">
        <f t="shared" si="4"/>
        <v/>
      </c>
      <c r="S139" s="471">
        <f>CUENTAS!A128</f>
        <v>45974</v>
      </c>
      <c r="T139" s="459">
        <f>IF(CUENTAS!Q128/CUENTAS!$AB128&lt;&gt;0,CUENTAS!Q128/CUENTAS!$AB128,"")</f>
        <v>0.05812505046</v>
      </c>
      <c r="U139" s="459" t="str">
        <f>IF(CUENTAS!C128/CUENTAS!$AB128&lt;&gt;0,CUENTAS!C128/CUENTAS!$AB128,"")</f>
        <v/>
      </c>
      <c r="V139" s="459" t="str">
        <f>IF(CUENTAS!D128/CUENTAS!$AB128&lt;&gt;0,CUENTAS!D128/CUENTAS!$AB128,"")</f>
        <v/>
      </c>
      <c r="W139" s="459" t="str">
        <f>IF(CUENTAS!E128/CUENTAS!$AB128&lt;&gt;0,CUENTAS!E128/CUENTAS!$AB128,"")</f>
        <v/>
      </c>
      <c r="X139" s="459" t="str">
        <f>IF(CUENTAS!F128/CUENTAS!$AB128&lt;&gt;0,CUENTAS!F128/CUENTAS!$AB128,"")</f>
        <v/>
      </c>
      <c r="Y139" s="459">
        <f>IF(CUENTAS!G128/CUENTAS!$AB128&lt;&gt;0,CUENTAS!G128/CUENTAS!$AB128,"")</f>
        <v>0.09166903671</v>
      </c>
      <c r="Z139" s="459">
        <f>IF(CUENTAS!H128/CUENTAS!$AB128&lt;&gt;0,CUENTAS!H128/CUENTAS!$AB128,"")</f>
        <v>0.03621977532</v>
      </c>
      <c r="AA139" s="459">
        <f>IF(CUENTAS!I128/CUENTAS!$AB128&lt;&gt;0,CUENTAS!I128/CUENTAS!$AB128,"")</f>
        <v>0.08008656113</v>
      </c>
      <c r="AB139" s="459">
        <f>IF(CUENTAS!J128/CUENTAS!$AB128&lt;&gt;0,CUENTAS!J128/CUENTAS!$AB128,"")</f>
        <v>0.1885424167</v>
      </c>
      <c r="AC139" s="459">
        <f>IF(CUENTAS!K128/CUENTAS!$AB128&lt;&gt;0,CUENTAS!K128/CUENTAS!$AB128,"")</f>
        <v>0.06913903588</v>
      </c>
      <c r="AD139" s="459">
        <f>IF(CUENTAS!L128/CUENTAS!$AB128&lt;&gt;0,CUENTAS!L128/CUENTAS!$AB128,"")</f>
        <v>0.00797522153</v>
      </c>
      <c r="AE139" s="459">
        <f>IF(CUENTAS!M128/CUENTAS!$AB128&lt;&gt;0,CUENTAS!M128/CUENTAS!$AB128,"")</f>
        <v>0.05670587001</v>
      </c>
      <c r="AF139" s="459">
        <f>IF(CUENTAS!N128/CUENTAS!$AB128&lt;&gt;0,CUENTAS!N128/CUENTAS!$AB128,"")</f>
        <v>0.05444417898</v>
      </c>
      <c r="AG139" s="459" t="str">
        <f>IF(CUENTAS!O128/CUENTAS!$AB128&lt;&gt;0,CUENTAS!O128/CUENTAS!$AB128,"")</f>
        <v/>
      </c>
      <c r="AH139" s="459" t="str">
        <f>IF(CUENTAS!P128/CUENTAS!$AB128&lt;&gt;0,CUENTAS!P128/CUENTAS!$AB128,"")</f>
        <v/>
      </c>
      <c r="AI139" s="459">
        <f>IF(CUENTAS!R128/CUENTAS!$AB128&lt;&gt;0,CUENTAS!R128/CUENTAS!$AB128,"")</f>
        <v>0.1553589514</v>
      </c>
      <c r="AJ139" s="459" t="str">
        <f>IF(CUENTAS!B128/CUENTAS!$AB128&lt;&gt;0,CUENTAS!B128/CUENTAS!$AB128,"")</f>
        <v/>
      </c>
      <c r="AK139" s="459">
        <f>IF(CUENTAS!S128/CUENTAS!$AB128&lt;&gt;0,CUENTAS!S128/CUENTAS!$AB128,"")</f>
        <v>0.0209027369</v>
      </c>
      <c r="AL139" s="459">
        <f>IF(CUENTAS!T128/CUENTAS!$AB128&lt;&gt;0,CUENTAS!T128/CUENTAS!$AB128,"")</f>
        <v>0.03673509733</v>
      </c>
      <c r="AM139" s="459">
        <f>IF(CUENTAS!U128/CUENTAS!$AB128&lt;&gt;0,CUENTAS!U128/CUENTAS!$AB128,"")</f>
        <v>0.09587556353</v>
      </c>
      <c r="AN139" s="459">
        <f>IF(CUENTAS!V128/CUENTAS!$AB128&lt;&gt;0,CUENTAS!V128/CUENTAS!$AB128,"")</f>
        <v>0.168266528</v>
      </c>
      <c r="AO139" s="459">
        <f>IF(CUENTAS!W128/CUENTAS!$AB128&lt;&gt;0,CUENTAS!W128/CUENTAS!$AB128,"")</f>
        <v>0.06050432488</v>
      </c>
      <c r="AP139" s="459" t="str">
        <f>IF(CUENTAS!X128/CUENTAS!$AB128&lt;&gt;0,CUENTAS!X128/CUENTAS!$AB128,"")</f>
        <v/>
      </c>
      <c r="AQ139" s="459" t="str">
        <f>IF(CUENTAS!Y128/CUENTAS!$AB128&lt;&gt;0,CUENTAS!Y128/CUENTAS!$AB128,"")</f>
        <v/>
      </c>
      <c r="AR139" s="459">
        <f>IF(CUENTAS!AA128/CUENTAS!$AB128&lt;&gt;0,CUENTAS!AA128/CUENTAS!$AB128,"")</f>
        <v>0.02848698007</v>
      </c>
    </row>
    <row r="140">
      <c r="A140" s="474"/>
      <c r="B140" s="200"/>
      <c r="C140" s="200"/>
      <c r="F140" s="200"/>
      <c r="G140" s="200"/>
      <c r="J140" s="470">
        <v>45520.0</v>
      </c>
      <c r="K140" s="466">
        <f>SUMIF(GRAFICO!A:A,J140,GRAFICO!B:B)</f>
        <v>12838.11456</v>
      </c>
      <c r="L140" s="467">
        <f t="shared" si="2"/>
        <v>0.2397641139</v>
      </c>
      <c r="M140" s="468">
        <v>45885.0</v>
      </c>
      <c r="N140" s="469">
        <f>IF(SUMIF(GRAFICO!A:A,M140,GRAFICO!B:B)=0,"",SUMIF(GRAFICO!A:A,M140,GRAFICO!B:B))</f>
        <v>18139.10998</v>
      </c>
      <c r="O140" s="467">
        <f t="shared" si="3"/>
        <v>0.2649971047</v>
      </c>
      <c r="P140" s="465">
        <v>46250.0</v>
      </c>
      <c r="Q140" s="463" t="str">
        <f>IF(SUMIF(GRAFICO!A:A,P140,GRAFICO!B:B)=0,"",SUMIF(GRAFICO!A:A,P140,GRAFICO!B:B))</f>
        <v/>
      </c>
      <c r="R140" s="463" t="str">
        <f t="shared" si="4"/>
        <v/>
      </c>
      <c r="S140" s="471">
        <f>CUENTAS!A129</f>
        <v>45973</v>
      </c>
      <c r="T140" s="459">
        <f>IF(CUENTAS!Q129/CUENTAS!$AB129&lt;&gt;0,CUENTAS!Q129/CUENTAS!$AB129,"")</f>
        <v>0.05827754587</v>
      </c>
      <c r="U140" s="459" t="str">
        <f>IF(CUENTAS!C129/CUENTAS!$AB129&lt;&gt;0,CUENTAS!C129/CUENTAS!$AB129,"")</f>
        <v/>
      </c>
      <c r="V140" s="459" t="str">
        <f>IF(CUENTAS!D129/CUENTAS!$AB129&lt;&gt;0,CUENTAS!D129/CUENTAS!$AB129,"")</f>
        <v/>
      </c>
      <c r="W140" s="459" t="str">
        <f>IF(CUENTAS!E129/CUENTAS!$AB129&lt;&gt;0,CUENTAS!E129/CUENTAS!$AB129,"")</f>
        <v/>
      </c>
      <c r="X140" s="459" t="str">
        <f>IF(CUENTAS!F129/CUENTAS!$AB129&lt;&gt;0,CUENTAS!F129/CUENTAS!$AB129,"")</f>
        <v/>
      </c>
      <c r="Y140" s="459">
        <f>IF(CUENTAS!G129/CUENTAS!$AB129&lt;&gt;0,CUENTAS!G129/CUENTAS!$AB129,"")</f>
        <v>0.09085370696</v>
      </c>
      <c r="Z140" s="459">
        <f>IF(CUENTAS!H129/CUENTAS!$AB129&lt;&gt;0,CUENTAS!H129/CUENTAS!$AB129,"")</f>
        <v>0.03670898046</v>
      </c>
      <c r="AA140" s="459">
        <f>IF(CUENTAS!I129/CUENTAS!$AB129&lt;&gt;0,CUENTAS!I129/CUENTAS!$AB129,"")</f>
        <v>0.08229235696</v>
      </c>
      <c r="AB140" s="459">
        <f>IF(CUENTAS!J129/CUENTAS!$AB129&lt;&gt;0,CUENTAS!J129/CUENTAS!$AB129,"")</f>
        <v>0.1876236779</v>
      </c>
      <c r="AC140" s="459">
        <f>IF(CUENTAS!K129/CUENTAS!$AB129&lt;&gt;0,CUENTAS!K129/CUENTAS!$AB129,"")</f>
        <v>0.06777905365</v>
      </c>
      <c r="AD140" s="459">
        <f>IF(CUENTAS!L129/CUENTAS!$AB129&lt;&gt;0,CUENTAS!L129/CUENTAS!$AB129,"")</f>
        <v>0.008055581824</v>
      </c>
      <c r="AE140" s="459">
        <f>IF(CUENTAS!M129/CUENTAS!$AB129&lt;&gt;0,CUENTAS!M129/CUENTAS!$AB129,"")</f>
        <v>0.05564979469</v>
      </c>
      <c r="AF140" s="459">
        <f>IF(CUENTAS!N129/CUENTAS!$AB129&lt;&gt;0,CUENTAS!N129/CUENTAS!$AB129,"")</f>
        <v>0.05481874416</v>
      </c>
      <c r="AG140" s="459" t="str">
        <f>IF(CUENTAS!O129/CUENTAS!$AB129&lt;&gt;0,CUENTAS!O129/CUENTAS!$AB129,"")</f>
        <v/>
      </c>
      <c r="AH140" s="459" t="str">
        <f>IF(CUENTAS!P129/CUENTAS!$AB129&lt;&gt;0,CUENTAS!P129/CUENTAS!$AB129,"")</f>
        <v/>
      </c>
      <c r="AI140" s="459">
        <f>IF(CUENTAS!R129/CUENTAS!$AB129&lt;&gt;0,CUENTAS!R129/CUENTAS!$AB129,"")</f>
        <v>0.1479021138</v>
      </c>
      <c r="AJ140" s="459" t="str">
        <f>IF(CUENTAS!B129/CUENTAS!$AB129&lt;&gt;0,CUENTAS!B129/CUENTAS!$AB129,"")</f>
        <v/>
      </c>
      <c r="AK140" s="459">
        <f>IF(CUENTAS!S129/CUENTAS!$AB129&lt;&gt;0,CUENTAS!S129/CUENTAS!$AB129,"")</f>
        <v>0.02844649857</v>
      </c>
      <c r="AL140" s="459">
        <f>IF(CUENTAS!T129/CUENTAS!$AB129&lt;&gt;0,CUENTAS!T129/CUENTAS!$AB129,"")</f>
        <v>0.03658457781</v>
      </c>
      <c r="AM140" s="459">
        <f>IF(CUENTAS!U129/CUENTAS!$AB129&lt;&gt;0,CUENTAS!U129/CUENTAS!$AB129,"")</f>
        <v>0.09535857404</v>
      </c>
      <c r="AN140" s="459">
        <f>IF(CUENTAS!V129/CUENTAS!$AB129&lt;&gt;0,CUENTAS!V129/CUENTAS!$AB129,"")</f>
        <v>0.1615210302</v>
      </c>
      <c r="AO140" s="459">
        <f>IF(CUENTAS!W129/CUENTAS!$AB129&lt;&gt;0,CUENTAS!W129/CUENTAS!$AB129,"")</f>
        <v>0.06034038664</v>
      </c>
      <c r="AP140" s="459" t="str">
        <f>IF(CUENTAS!X129/CUENTAS!$AB129&lt;&gt;0,CUENTAS!X129/CUENTAS!$AB129,"")</f>
        <v/>
      </c>
      <c r="AQ140" s="459" t="str">
        <f>IF(CUENTAS!Y129/CUENTAS!$AB129&lt;&gt;0,CUENTAS!Y129/CUENTAS!$AB129,"")</f>
        <v/>
      </c>
      <c r="AR140" s="459">
        <f>IF(CUENTAS!AA129/CUENTAS!$AB129&lt;&gt;0,CUENTAS!AA129/CUENTAS!$AB129,"")</f>
        <v>0.03609716412</v>
      </c>
    </row>
    <row r="141">
      <c r="A141" s="474"/>
      <c r="B141" s="200"/>
      <c r="C141" s="200"/>
      <c r="F141" s="200"/>
      <c r="G141" s="200"/>
      <c r="J141" s="465">
        <v>45519.0</v>
      </c>
      <c r="K141" s="466">
        <f>SUMIF(GRAFICO!A:A,J141,GRAFICO!B:B)</f>
        <v>12811.73498</v>
      </c>
      <c r="L141" s="467">
        <f t="shared" si="2"/>
        <v>0.2377072134</v>
      </c>
      <c r="M141" s="468">
        <v>45884.0</v>
      </c>
      <c r="N141" s="469">
        <f>IF(SUMIF(GRAFICO!A:A,M141,GRAFICO!B:B)=0,"",SUMIF(GRAFICO!A:A,M141,GRAFICO!B:B))</f>
        <v>18138.30407</v>
      </c>
      <c r="O141" s="467">
        <f t="shared" si="3"/>
        <v>0.264952674</v>
      </c>
      <c r="P141" s="468">
        <v>46249.0</v>
      </c>
      <c r="Q141" s="463" t="str">
        <f>IF(SUMIF(GRAFICO!A:A,P141,GRAFICO!B:B)=0,"",SUMIF(GRAFICO!A:A,P141,GRAFICO!B:B))</f>
        <v/>
      </c>
      <c r="R141" s="463" t="str">
        <f t="shared" si="4"/>
        <v/>
      </c>
      <c r="S141" s="471">
        <f>CUENTAS!A130</f>
        <v>45972</v>
      </c>
      <c r="T141" s="459">
        <f>IF(CUENTAS!Q130/CUENTAS!$AB130&lt;&gt;0,CUENTAS!Q130/CUENTAS!$AB130,"")</f>
        <v>0.05867322322</v>
      </c>
      <c r="U141" s="459" t="str">
        <f>IF(CUENTAS!C130/CUENTAS!$AB130&lt;&gt;0,CUENTAS!C130/CUENTAS!$AB130,"")</f>
        <v/>
      </c>
      <c r="V141" s="459" t="str">
        <f>IF(CUENTAS!D130/CUENTAS!$AB130&lt;&gt;0,CUENTAS!D130/CUENTAS!$AB130,"")</f>
        <v/>
      </c>
      <c r="W141" s="459" t="str">
        <f>IF(CUENTAS!E130/CUENTAS!$AB130&lt;&gt;0,CUENTAS!E130/CUENTAS!$AB130,"")</f>
        <v/>
      </c>
      <c r="X141" s="459" t="str">
        <f>IF(CUENTAS!F130/CUENTAS!$AB130&lt;&gt;0,CUENTAS!F130/CUENTAS!$AB130,"")</f>
        <v/>
      </c>
      <c r="Y141" s="459">
        <f>IF(CUENTAS!G130/CUENTAS!$AB130&lt;&gt;0,CUENTAS!G130/CUENTAS!$AB130,"")</f>
        <v>0.09027686622</v>
      </c>
      <c r="Z141" s="459">
        <f>IF(CUENTAS!H130/CUENTAS!$AB130&lt;&gt;0,CUENTAS!H130/CUENTAS!$AB130,"")</f>
        <v>0.03753468728</v>
      </c>
      <c r="AA141" s="459">
        <f>IF(CUENTAS!I130/CUENTAS!$AB130&lt;&gt;0,CUENTAS!I130/CUENTAS!$AB130,"")</f>
        <v>0.0821369981</v>
      </c>
      <c r="AB141" s="459">
        <f>IF(CUENTAS!J130/CUENTAS!$AB130&lt;&gt;0,CUENTAS!J130/CUENTAS!$AB130,"")</f>
        <v>0.1878980972</v>
      </c>
      <c r="AC141" s="459">
        <f>IF(CUENTAS!K130/CUENTAS!$AB130&lt;&gt;0,CUENTAS!K130/CUENTAS!$AB130,"")</f>
        <v>0.06703264617</v>
      </c>
      <c r="AD141" s="459">
        <f>IF(CUENTAS!L130/CUENTAS!$AB130&lt;&gt;0,CUENTAS!L130/CUENTAS!$AB130,"")</f>
        <v>0.008038770767</v>
      </c>
      <c r="AE141" s="459">
        <f>IF(CUENTAS!M130/CUENTAS!$AB130&lt;&gt;0,CUENTAS!M130/CUENTAS!$AB130,"")</f>
        <v>0.05482743934</v>
      </c>
      <c r="AF141" s="459">
        <f>IF(CUENTAS!N130/CUENTAS!$AB130&lt;&gt;0,CUENTAS!N130/CUENTAS!$AB130,"")</f>
        <v>0.05391858441</v>
      </c>
      <c r="AG141" s="459" t="str">
        <f>IF(CUENTAS!O130/CUENTAS!$AB130&lt;&gt;0,CUENTAS!O130/CUENTAS!$AB130,"")</f>
        <v/>
      </c>
      <c r="AH141" s="459" t="str">
        <f>IF(CUENTAS!P130/CUENTAS!$AB130&lt;&gt;0,CUENTAS!P130/CUENTAS!$AB130,"")</f>
        <v/>
      </c>
      <c r="AI141" s="459">
        <f>IF(CUENTAS!R130/CUENTAS!$AB130&lt;&gt;0,CUENTAS!R130/CUENTAS!$AB130,"")</f>
        <v>0.1410722575</v>
      </c>
      <c r="AJ141" s="459" t="str">
        <f>IF(CUENTAS!B130/CUENTAS!$AB130&lt;&gt;0,CUENTAS!B130/CUENTAS!$AB130,"")</f>
        <v/>
      </c>
      <c r="AK141" s="459">
        <f>IF(CUENTAS!S130/CUENTAS!$AB130&lt;&gt;0,CUENTAS!S130/CUENTAS!$AB130,"")</f>
        <v>0.03609961918</v>
      </c>
      <c r="AL141" s="459">
        <f>IF(CUENTAS!T130/CUENTAS!$AB130&lt;&gt;0,CUENTAS!T130/CUENTAS!$AB130,"")</f>
        <v>0.03658702732</v>
      </c>
      <c r="AM141" s="459">
        <f>IF(CUENTAS!U130/CUENTAS!$AB130&lt;&gt;0,CUENTAS!U130/CUENTAS!$AB130,"")</f>
        <v>0.0952404579</v>
      </c>
      <c r="AN141" s="459">
        <f>IF(CUENTAS!V130/CUENTAS!$AB130&lt;&gt;0,CUENTAS!V130/CUENTAS!$AB130,"")</f>
        <v>0.1616764333</v>
      </c>
      <c r="AO141" s="459">
        <f>IF(CUENTAS!W130/CUENTAS!$AB130&lt;&gt;0,CUENTAS!W130/CUENTAS!$AB130,"")</f>
        <v>0.06042864077</v>
      </c>
      <c r="AP141" s="459" t="str">
        <f>IF(CUENTAS!X130/CUENTAS!$AB130&lt;&gt;0,CUENTAS!X130/CUENTAS!$AB130,"")</f>
        <v/>
      </c>
      <c r="AQ141" s="459" t="str">
        <f>IF(CUENTAS!Y130/CUENTAS!$AB130&lt;&gt;0,CUENTAS!Y130/CUENTAS!$AB130,"")</f>
        <v/>
      </c>
      <c r="AR141" s="459">
        <f>IF(CUENTAS!AA130/CUENTAS!$AB130&lt;&gt;0,CUENTAS!AA130/CUENTAS!$AB130,"")</f>
        <v>0.03701796752</v>
      </c>
    </row>
    <row r="142">
      <c r="A142" s="474"/>
      <c r="B142" s="200"/>
      <c r="C142" s="200"/>
      <c r="F142" s="200"/>
      <c r="G142" s="200"/>
      <c r="J142" s="470">
        <v>45518.0</v>
      </c>
      <c r="K142" s="466">
        <f>SUMIF(GRAFICO!A:A,J142,GRAFICO!B:B)</f>
        <v>12845.04398</v>
      </c>
      <c r="L142" s="467">
        <f t="shared" si="2"/>
        <v>0.2403037222</v>
      </c>
      <c r="M142" s="468">
        <v>45883.0</v>
      </c>
      <c r="N142" s="469">
        <f>IF(SUMIF(GRAFICO!A:A,M142,GRAFICO!B:B)=0,"",SUMIF(GRAFICO!A:A,M142,GRAFICO!B:B))</f>
        <v>17740.5161</v>
      </c>
      <c r="O142" s="467">
        <f t="shared" si="3"/>
        <v>0.242777794</v>
      </c>
      <c r="P142" s="465">
        <v>46248.0</v>
      </c>
      <c r="Q142" s="463" t="str">
        <f>IF(SUMIF(GRAFICO!A:A,P142,GRAFICO!B:B)=0,"",SUMIF(GRAFICO!A:A,P142,GRAFICO!B:B))</f>
        <v/>
      </c>
      <c r="R142" s="463" t="str">
        <f t="shared" si="4"/>
        <v/>
      </c>
      <c r="S142" s="471">
        <f>CUENTAS!A131</f>
        <v>45971</v>
      </c>
      <c r="T142" s="459">
        <f>IF(CUENTAS!Q131/CUENTAS!$AB131&lt;&gt;0,CUENTAS!Q131/CUENTAS!$AB131,"")</f>
        <v>0.0577614984</v>
      </c>
      <c r="U142" s="459" t="str">
        <f>IF(CUENTAS!C131/CUENTAS!$AB131&lt;&gt;0,CUENTAS!C131/CUENTAS!$AB131,"")</f>
        <v/>
      </c>
      <c r="V142" s="459" t="str">
        <f>IF(CUENTAS!D131/CUENTAS!$AB131&lt;&gt;0,CUENTAS!D131/CUENTAS!$AB131,"")</f>
        <v/>
      </c>
      <c r="W142" s="459" t="str">
        <f>IF(CUENTAS!E131/CUENTAS!$AB131&lt;&gt;0,CUENTAS!E131/CUENTAS!$AB131,"")</f>
        <v/>
      </c>
      <c r="X142" s="459" t="str">
        <f>IF(CUENTAS!F131/CUENTAS!$AB131&lt;&gt;0,CUENTAS!F131/CUENTAS!$AB131,"")</f>
        <v/>
      </c>
      <c r="Y142" s="459">
        <f>IF(CUENTAS!G131/CUENTAS!$AB131&lt;&gt;0,CUENTAS!G131/CUENTAS!$AB131,"")</f>
        <v>0.0908754757</v>
      </c>
      <c r="Z142" s="459">
        <f>IF(CUENTAS!H131/CUENTAS!$AB131&lt;&gt;0,CUENTAS!H131/CUENTAS!$AB131,"")</f>
        <v>0.0368732146</v>
      </c>
      <c r="AA142" s="459">
        <f>IF(CUENTAS!I131/CUENTAS!$AB131&lt;&gt;0,CUENTAS!I131/CUENTAS!$AB131,"")</f>
        <v>0.08202696659</v>
      </c>
      <c r="AB142" s="459">
        <f>IF(CUENTAS!J131/CUENTAS!$AB131&lt;&gt;0,CUENTAS!J131/CUENTAS!$AB131,"")</f>
        <v>0.1879618652</v>
      </c>
      <c r="AC142" s="459">
        <f>IF(CUENTAS!K131/CUENTAS!$AB131&lt;&gt;0,CUENTAS!K131/CUENTAS!$AB131,"")</f>
        <v>0.06771326194</v>
      </c>
      <c r="AD142" s="459">
        <f>IF(CUENTAS!L131/CUENTAS!$AB131&lt;&gt;0,CUENTAS!L131/CUENTAS!$AB131,"")</f>
        <v>0.008172255009</v>
      </c>
      <c r="AE142" s="459">
        <f>IF(CUENTAS!M131/CUENTAS!$AB131&lt;&gt;0,CUENTAS!M131/CUENTAS!$AB131,"")</f>
        <v>0.05454469452</v>
      </c>
      <c r="AF142" s="459">
        <f>IF(CUENTAS!N131/CUENTAS!$AB131&lt;&gt;0,CUENTAS!N131/CUENTAS!$AB131,"")</f>
        <v>0.05308696854</v>
      </c>
      <c r="AG142" s="459" t="str">
        <f>IF(CUENTAS!O131/CUENTAS!$AB131&lt;&gt;0,CUENTAS!O131/CUENTAS!$AB131,"")</f>
        <v/>
      </c>
      <c r="AH142" s="459" t="str">
        <f>IF(CUENTAS!P131/CUENTAS!$AB131&lt;&gt;0,CUENTAS!P131/CUENTAS!$AB131,"")</f>
        <v/>
      </c>
      <c r="AI142" s="459">
        <f>IF(CUENTAS!R131/CUENTAS!$AB131&lt;&gt;0,CUENTAS!R131/CUENTAS!$AB131,"")</f>
        <v>0.134071564</v>
      </c>
      <c r="AJ142" s="459" t="str">
        <f>IF(CUENTAS!B131/CUENTAS!$AB131&lt;&gt;0,CUENTAS!B131/CUENTAS!$AB131,"")</f>
        <v/>
      </c>
      <c r="AK142" s="459">
        <f>IF(CUENTAS!S131/CUENTAS!$AB131&lt;&gt;0,CUENTAS!S131/CUENTAS!$AB131,"")</f>
        <v>0.0437259683</v>
      </c>
      <c r="AL142" s="459">
        <f>IF(CUENTAS!T131/CUENTAS!$AB131&lt;&gt;0,CUENTAS!T131/CUENTAS!$AB131,"")</f>
        <v>0.03654836746</v>
      </c>
      <c r="AM142" s="459">
        <f>IF(CUENTAS!U131/CUENTAS!$AB131&lt;&gt;0,CUENTAS!U131/CUENTAS!$AB131,"")</f>
        <v>0.09501510472</v>
      </c>
      <c r="AN142" s="459">
        <f>IF(CUENTAS!V131/CUENTAS!$AB131&lt;&gt;0,CUENTAS!V131/CUENTAS!$AB131,"")</f>
        <v>0.1616504771</v>
      </c>
      <c r="AO142" s="459">
        <f>IF(CUENTAS!W131/CUENTAS!$AB131&lt;&gt;0,CUENTAS!W131/CUENTAS!$AB131,"")</f>
        <v>0.06044914877</v>
      </c>
      <c r="AP142" s="459" t="str">
        <f>IF(CUENTAS!X131/CUENTAS!$AB131&lt;&gt;0,CUENTAS!X131/CUENTAS!$AB131,"")</f>
        <v/>
      </c>
      <c r="AQ142" s="459" t="str">
        <f>IF(CUENTAS!Y131/CUENTAS!$AB131&lt;&gt;0,CUENTAS!Y131/CUENTAS!$AB131,"")</f>
        <v/>
      </c>
      <c r="AR142" s="459">
        <f>IF(CUENTAS!AA131/CUENTAS!$AB131&lt;&gt;0,CUENTAS!AA131/CUENTAS!$AB131,"")</f>
        <v>0.0378988326</v>
      </c>
    </row>
    <row r="143">
      <c r="A143" s="474"/>
      <c r="B143" s="200"/>
      <c r="C143" s="200"/>
      <c r="F143" s="200"/>
      <c r="G143" s="200"/>
      <c r="J143" s="470">
        <v>45517.0</v>
      </c>
      <c r="K143" s="466">
        <f>SUMIF(GRAFICO!A:A,J143,GRAFICO!B:B)</f>
        <v>12837.63424</v>
      </c>
      <c r="L143" s="467">
        <f t="shared" si="2"/>
        <v>0.2397266998</v>
      </c>
      <c r="M143" s="468">
        <v>45882.0</v>
      </c>
      <c r="N143" s="469">
        <f>IF(SUMIF(GRAFICO!A:A,M143,GRAFICO!B:B)=0,"",SUMIF(GRAFICO!A:A,M143,GRAFICO!B:B))</f>
        <v>17740.16312</v>
      </c>
      <c r="O143" s="467">
        <f t="shared" si="3"/>
        <v>0.2427578969</v>
      </c>
      <c r="P143" s="468">
        <v>46247.0</v>
      </c>
      <c r="Q143" s="463" t="str">
        <f>IF(SUMIF(GRAFICO!A:A,P143,GRAFICO!B:B)=0,"",SUMIF(GRAFICO!A:A,P143,GRAFICO!B:B))</f>
        <v/>
      </c>
      <c r="R143" s="463" t="str">
        <f t="shared" si="4"/>
        <v/>
      </c>
      <c r="S143" s="471">
        <f>CUENTAS!A132</f>
        <v>45970</v>
      </c>
      <c r="T143" s="459">
        <f>IF(CUENTAS!Q132/CUENTAS!$AB132&lt;&gt;0,CUENTAS!Q132/CUENTAS!$AB132,"")</f>
        <v>0.0580483649</v>
      </c>
      <c r="U143" s="459" t="str">
        <f>IF(CUENTAS!C132/CUENTAS!$AB132&lt;&gt;0,CUENTAS!C132/CUENTAS!$AB132,"")</f>
        <v/>
      </c>
      <c r="V143" s="459" t="str">
        <f>IF(CUENTAS!D132/CUENTAS!$AB132&lt;&gt;0,CUENTAS!D132/CUENTAS!$AB132,"")</f>
        <v/>
      </c>
      <c r="W143" s="459" t="str">
        <f>IF(CUENTAS!E132/CUENTAS!$AB132&lt;&gt;0,CUENTAS!E132/CUENTAS!$AB132,"")</f>
        <v/>
      </c>
      <c r="X143" s="459" t="str">
        <f>IF(CUENTAS!F132/CUENTAS!$AB132&lt;&gt;0,CUENTAS!F132/CUENTAS!$AB132,"")</f>
        <v/>
      </c>
      <c r="Y143" s="459">
        <f>IF(CUENTAS!G132/CUENTAS!$AB132&lt;&gt;0,CUENTAS!G132/CUENTAS!$AB132,"")</f>
        <v>0.09065500871</v>
      </c>
      <c r="Z143" s="459">
        <f>IF(CUENTAS!H132/CUENTAS!$AB132&lt;&gt;0,CUENTAS!H132/CUENTAS!$AB132,"")</f>
        <v>0.03676041508</v>
      </c>
      <c r="AA143" s="459">
        <f>IF(CUENTAS!I132/CUENTAS!$AB132&lt;&gt;0,CUENTAS!I132/CUENTAS!$AB132,"")</f>
        <v>0.08293208617</v>
      </c>
      <c r="AB143" s="459">
        <f>IF(CUENTAS!J132/CUENTAS!$AB132&lt;&gt;0,CUENTAS!J132/CUENTAS!$AB132,"")</f>
        <v>0.1883889365</v>
      </c>
      <c r="AC143" s="459">
        <f>IF(CUENTAS!K132/CUENTAS!$AB132&lt;&gt;0,CUENTAS!K132/CUENTAS!$AB132,"")</f>
        <v>0.06650129458</v>
      </c>
      <c r="AD143" s="459">
        <f>IF(CUENTAS!L132/CUENTAS!$AB132&lt;&gt;0,CUENTAS!L132/CUENTAS!$AB132,"")</f>
        <v>0.007986052742</v>
      </c>
      <c r="AE143" s="459">
        <f>IF(CUENTAS!M132/CUENTAS!$AB132&lt;&gt;0,CUENTAS!M132/CUENTAS!$AB132,"")</f>
        <v>0.05358129463</v>
      </c>
      <c r="AF143" s="459">
        <f>IF(CUENTAS!N132/CUENTAS!$AB132&lt;&gt;0,CUENTAS!N132/CUENTAS!$AB132,"")</f>
        <v>0.05301100856</v>
      </c>
      <c r="AG143" s="459" t="str">
        <f>IF(CUENTAS!O132/CUENTAS!$AB132&lt;&gt;0,CUENTAS!O132/CUENTAS!$AB132,"")</f>
        <v/>
      </c>
      <c r="AH143" s="459" t="str">
        <f>IF(CUENTAS!P132/CUENTAS!$AB132&lt;&gt;0,CUENTAS!P132/CUENTAS!$AB132,"")</f>
        <v/>
      </c>
      <c r="AI143" s="459">
        <f>IF(CUENTAS!R132/CUENTAS!$AB132&lt;&gt;0,CUENTAS!R132/CUENTAS!$AB132,"")</f>
        <v>0.134990502</v>
      </c>
      <c r="AJ143" s="459" t="str">
        <f>IF(CUENTAS!B132/CUENTAS!$AB132&lt;&gt;0,CUENTAS!B132/CUENTAS!$AB132,"")</f>
        <v/>
      </c>
      <c r="AK143" s="459">
        <f>IF(CUENTAS!S132/CUENTAS!$AB132&lt;&gt;0,CUENTAS!S132/CUENTAS!$AB132,"")</f>
        <v>0.04377781984</v>
      </c>
      <c r="AL143" s="459">
        <f>IF(CUENTAS!T132/CUENTAS!$AB132&lt;&gt;0,CUENTAS!T132/CUENTAS!$AB132,"")</f>
        <v>0.03658021697</v>
      </c>
      <c r="AM143" s="459">
        <f>IF(CUENTAS!U132/CUENTAS!$AB132&lt;&gt;0,CUENTAS!U132/CUENTAS!$AB132,"")</f>
        <v>0.09497272919</v>
      </c>
      <c r="AN143" s="459">
        <f>IF(CUENTAS!V132/CUENTAS!$AB132&lt;&gt;0,CUENTAS!V132/CUENTAS!$AB132,"")</f>
        <v>0.1619367975</v>
      </c>
      <c r="AO143" s="459">
        <f>IF(CUENTAS!W132/CUENTAS!$AB132&lt;&gt;0,CUENTAS!W132/CUENTAS!$AB132,"")</f>
        <v>0.06058649628</v>
      </c>
      <c r="AP143" s="459" t="str">
        <f>IF(CUENTAS!X132/CUENTAS!$AB132&lt;&gt;0,CUENTAS!X132/CUENTAS!$AB132,"")</f>
        <v/>
      </c>
      <c r="AQ143" s="459" t="str">
        <f>IF(CUENTAS!Y132/CUENTAS!$AB132&lt;&gt;0,CUENTAS!Y132/CUENTAS!$AB132,"")</f>
        <v/>
      </c>
      <c r="AR143" s="459">
        <f>IF(CUENTAS!AA132/CUENTAS!$AB132&lt;&gt;0,CUENTAS!AA132/CUENTAS!$AB132,"")</f>
        <v>0.03798494317</v>
      </c>
    </row>
    <row r="144">
      <c r="A144" s="474"/>
      <c r="B144" s="200"/>
      <c r="C144" s="200"/>
      <c r="F144" s="200"/>
      <c r="G144" s="200"/>
      <c r="J144" s="470">
        <v>45516.0</v>
      </c>
      <c r="K144" s="466">
        <f>SUMIF(GRAFICO!A:A,J144,GRAFICO!B:B)</f>
        <v>12757.67059</v>
      </c>
      <c r="L144" s="467">
        <f t="shared" si="2"/>
        <v>0.2334783732</v>
      </c>
      <c r="M144" s="468">
        <v>45881.0</v>
      </c>
      <c r="N144" s="469">
        <f>IF(SUMIF(GRAFICO!A:A,M144,GRAFICO!B:B)=0,"",SUMIF(GRAFICO!A:A,M144,GRAFICO!B:B))</f>
        <v>17586.24289</v>
      </c>
      <c r="O144" s="467">
        <f t="shared" si="3"/>
        <v>0.2340436676</v>
      </c>
      <c r="P144" s="465">
        <v>46246.0</v>
      </c>
      <c r="Q144" s="463" t="str">
        <f>IF(SUMIF(GRAFICO!A:A,P144,GRAFICO!B:B)=0,"",SUMIF(GRAFICO!A:A,P144,GRAFICO!B:B))</f>
        <v/>
      </c>
      <c r="R144" s="463" t="str">
        <f t="shared" si="4"/>
        <v/>
      </c>
      <c r="S144" s="471">
        <f>CUENTAS!A133</f>
        <v>45969</v>
      </c>
      <c r="T144" s="459">
        <f>IF(CUENTAS!Q133/CUENTAS!$AB133&lt;&gt;0,CUENTAS!Q133/CUENTAS!$AB133,"")</f>
        <v>0.05806478155</v>
      </c>
      <c r="U144" s="459" t="str">
        <f>IF(CUENTAS!C133/CUENTAS!$AB133&lt;&gt;0,CUENTAS!C133/CUENTAS!$AB133,"")</f>
        <v/>
      </c>
      <c r="V144" s="459" t="str">
        <f>IF(CUENTAS!D133/CUENTAS!$AB133&lt;&gt;0,CUENTAS!D133/CUENTAS!$AB133,"")</f>
        <v/>
      </c>
      <c r="W144" s="459" t="str">
        <f>IF(CUENTAS!E133/CUENTAS!$AB133&lt;&gt;0,CUENTAS!E133/CUENTAS!$AB133,"")</f>
        <v/>
      </c>
      <c r="X144" s="459" t="str">
        <f>IF(CUENTAS!F133/CUENTAS!$AB133&lt;&gt;0,CUENTAS!F133/CUENTAS!$AB133,"")</f>
        <v/>
      </c>
      <c r="Y144" s="459">
        <f>IF(CUENTAS!G133/CUENTAS!$AB133&lt;&gt;0,CUENTAS!G133/CUENTAS!$AB133,"")</f>
        <v>0.09068064684</v>
      </c>
      <c r="Z144" s="459">
        <f>IF(CUENTAS!H133/CUENTAS!$AB133&lt;&gt;0,CUENTAS!H133/CUENTAS!$AB133,"")</f>
        <v>0.03677081129</v>
      </c>
      <c r="AA144" s="459">
        <f>IF(CUENTAS!I133/CUENTAS!$AB133&lt;&gt;0,CUENTAS!I133/CUENTAS!$AB133,"")</f>
        <v>0.08295554018</v>
      </c>
      <c r="AB144" s="459">
        <f>IF(CUENTAS!J133/CUENTAS!$AB133&lt;&gt;0,CUENTAS!J133/CUENTAS!$AB133,"")</f>
        <v>0.1884422147</v>
      </c>
      <c r="AC144" s="459">
        <f>IF(CUENTAS!K133/CUENTAS!$AB133&lt;&gt;0,CUENTAS!K133/CUENTAS!$AB133,"")</f>
        <v>0.0665201018</v>
      </c>
      <c r="AD144" s="459">
        <f>IF(CUENTAS!L133/CUENTAS!$AB133&lt;&gt;0,CUENTAS!L133/CUENTAS!$AB133,"")</f>
        <v>0.007988311276</v>
      </c>
      <c r="AE144" s="459">
        <f>IF(CUENTAS!M133/CUENTAS!$AB133&lt;&gt;0,CUENTAS!M133/CUENTAS!$AB133,"")</f>
        <v>0.05359644795</v>
      </c>
      <c r="AF144" s="459">
        <f>IF(CUENTAS!N133/CUENTAS!$AB133&lt;&gt;0,CUENTAS!N133/CUENTAS!$AB133,"")</f>
        <v>0.0530260006</v>
      </c>
      <c r="AG144" s="459" t="str">
        <f>IF(CUENTAS!O133/CUENTAS!$AB133&lt;&gt;0,CUENTAS!O133/CUENTAS!$AB133,"")</f>
        <v/>
      </c>
      <c r="AH144" s="459" t="str">
        <f>IF(CUENTAS!P133/CUENTAS!$AB133&lt;&gt;0,CUENTAS!P133/CUENTAS!$AB133,"")</f>
        <v/>
      </c>
      <c r="AI144" s="459">
        <f>IF(CUENTAS!R133/CUENTAS!$AB133&lt;&gt;0,CUENTAS!R133/CUENTAS!$AB133,"")</f>
        <v>0.1350286786</v>
      </c>
      <c r="AJ144" s="459" t="str">
        <f>IF(CUENTAS!B133/CUENTAS!$AB133&lt;&gt;0,CUENTAS!B133/CUENTAS!$AB133,"")</f>
        <v/>
      </c>
      <c r="AK144" s="459">
        <f>IF(CUENTAS!S133/CUENTAS!$AB133&lt;&gt;0,CUENTAS!S133/CUENTAS!$AB133,"")</f>
        <v>0.04374268825</v>
      </c>
      <c r="AL144" s="459">
        <f>IF(CUENTAS!T133/CUENTAS!$AB133&lt;&gt;0,CUENTAS!T133/CUENTAS!$AB133,"")</f>
        <v>0.03653935509</v>
      </c>
      <c r="AM144" s="459">
        <f>IF(CUENTAS!U133/CUENTAS!$AB133&lt;&gt;0,CUENTAS!U133/CUENTAS!$AB133,"")</f>
        <v>0.09474125445</v>
      </c>
      <c r="AN144" s="459">
        <f>IF(CUENTAS!V133/CUENTAS!$AB133&lt;&gt;0,CUENTAS!V133/CUENTAS!$AB133,"")</f>
        <v>0.161901644</v>
      </c>
      <c r="AO144" s="459">
        <f>IF(CUENTAS!W133/CUENTAS!$AB133&lt;&gt;0,CUENTAS!W133/CUENTAS!$AB133,"")</f>
        <v>0.06060363074</v>
      </c>
      <c r="AP144" s="459" t="str">
        <f>IF(CUENTAS!X133/CUENTAS!$AB133&lt;&gt;0,CUENTAS!X133/CUENTAS!$AB133,"")</f>
        <v/>
      </c>
      <c r="AQ144" s="459" t="str">
        <f>IF(CUENTAS!Y133/CUENTAS!$AB133&lt;&gt;0,CUENTAS!Y133/CUENTAS!$AB133,"")</f>
        <v/>
      </c>
      <c r="AR144" s="459">
        <f>IF(CUENTAS!AA133/CUENTAS!$AB133&lt;&gt;0,CUENTAS!AA133/CUENTAS!$AB133,"")</f>
        <v>0.03799568569</v>
      </c>
    </row>
    <row r="145">
      <c r="A145" s="474"/>
      <c r="B145" s="200"/>
      <c r="C145" s="200"/>
      <c r="F145" s="200"/>
      <c r="G145" s="200"/>
      <c r="J145" s="465">
        <v>45515.0</v>
      </c>
      <c r="K145" s="466">
        <f>SUMIF(GRAFICO!A:A,J145,GRAFICO!B:B)</f>
        <v>12706.74542</v>
      </c>
      <c r="L145" s="467">
        <f t="shared" si="2"/>
        <v>0.2294786558</v>
      </c>
      <c r="M145" s="468">
        <v>45880.0</v>
      </c>
      <c r="N145" s="469">
        <f>IF(SUMIF(GRAFICO!A:A,M145,GRAFICO!B:B)=0,"",SUMIF(GRAFICO!A:A,M145,GRAFICO!B:B))</f>
        <v>17556.00823</v>
      </c>
      <c r="O145" s="467">
        <f t="shared" si="3"/>
        <v>0.2323229657</v>
      </c>
      <c r="P145" s="468">
        <v>46245.0</v>
      </c>
      <c r="Q145" s="463" t="str">
        <f>IF(SUMIF(GRAFICO!A:A,P145,GRAFICO!B:B)=0,"",SUMIF(GRAFICO!A:A,P145,GRAFICO!B:B))</f>
        <v/>
      </c>
      <c r="R145" s="463" t="str">
        <f t="shared" si="4"/>
        <v/>
      </c>
      <c r="S145" s="471">
        <f>CUENTAS!A134</f>
        <v>45968</v>
      </c>
      <c r="T145" s="459">
        <f>IF(CUENTAS!Q134/CUENTAS!$AB134&lt;&gt;0,CUENTAS!Q134/CUENTAS!$AB134,"")</f>
        <v>0.05808120514</v>
      </c>
      <c r="U145" s="459" t="str">
        <f>IF(CUENTAS!C134/CUENTAS!$AB134&lt;&gt;0,CUENTAS!C134/CUENTAS!$AB134,"")</f>
        <v/>
      </c>
      <c r="V145" s="459" t="str">
        <f>IF(CUENTAS!D134/CUENTAS!$AB134&lt;&gt;0,CUENTAS!D134/CUENTAS!$AB134,"")</f>
        <v/>
      </c>
      <c r="W145" s="459" t="str">
        <f>IF(CUENTAS!E134/CUENTAS!$AB134&lt;&gt;0,CUENTAS!E134/CUENTAS!$AB134,"")</f>
        <v/>
      </c>
      <c r="X145" s="459" t="str">
        <f>IF(CUENTAS!F134/CUENTAS!$AB134&lt;&gt;0,CUENTAS!F134/CUENTAS!$AB134,"")</f>
        <v/>
      </c>
      <c r="Y145" s="459">
        <f>IF(CUENTAS!G134/CUENTAS!$AB134&lt;&gt;0,CUENTAS!G134/CUENTAS!$AB134,"")</f>
        <v>0.09070629581</v>
      </c>
      <c r="Z145" s="459">
        <f>IF(CUENTAS!H134/CUENTAS!$AB134&lt;&gt;0,CUENTAS!H134/CUENTAS!$AB134,"")</f>
        <v>0.03678121189</v>
      </c>
      <c r="AA145" s="459">
        <f>IF(CUENTAS!I134/CUENTAS!$AB134&lt;&gt;0,CUENTAS!I134/CUENTAS!$AB134,"")</f>
        <v>0.0829790041</v>
      </c>
      <c r="AB145" s="459">
        <f>IF(CUENTAS!J134/CUENTAS!$AB134&lt;&gt;0,CUENTAS!J134/CUENTAS!$AB134,"")</f>
        <v>0.1884955155</v>
      </c>
      <c r="AC145" s="459">
        <f>IF(CUENTAS!K134/CUENTAS!$AB134&lt;&gt;0,CUENTAS!K134/CUENTAS!$AB134,"")</f>
        <v>0.06653891697</v>
      </c>
      <c r="AD145" s="459">
        <f>IF(CUENTAS!L134/CUENTAS!$AB134&lt;&gt;0,CUENTAS!L134/CUENTAS!$AB134,"")</f>
        <v>0.007990570765</v>
      </c>
      <c r="AE145" s="459">
        <f>IF(CUENTAS!M134/CUENTAS!$AB134&lt;&gt;0,CUENTAS!M134/CUENTAS!$AB134,"")</f>
        <v>0.05361160768</v>
      </c>
      <c r="AF145" s="459">
        <f>IF(CUENTAS!N134/CUENTAS!$AB134&lt;&gt;0,CUENTAS!N134/CUENTAS!$AB134,"")</f>
        <v>0.05304099897</v>
      </c>
      <c r="AG145" s="459" t="str">
        <f>IF(CUENTAS!O134/CUENTAS!$AB134&lt;&gt;0,CUENTAS!O134/CUENTAS!$AB134,"")</f>
        <v/>
      </c>
      <c r="AH145" s="459" t="str">
        <f>IF(CUENTAS!P134/CUENTAS!$AB134&lt;&gt;0,CUENTAS!P134/CUENTAS!$AB134,"")</f>
        <v/>
      </c>
      <c r="AI145" s="459">
        <f>IF(CUENTAS!R134/CUENTAS!$AB134&lt;&gt;0,CUENTAS!R134/CUENTAS!$AB134,"")</f>
        <v>0.1350668714</v>
      </c>
      <c r="AJ145" s="459" t="str">
        <f>IF(CUENTAS!B134/CUENTAS!$AB134&lt;&gt;0,CUENTAS!B134/CUENTAS!$AB134,"")</f>
        <v/>
      </c>
      <c r="AK145" s="459">
        <f>IF(CUENTAS!S134/CUENTAS!$AB134&lt;&gt;0,CUENTAS!S134/CUENTAS!$AB134,"")</f>
        <v>0.04370753501</v>
      </c>
      <c r="AL145" s="459">
        <f>IF(CUENTAS!T134/CUENTAS!$AB134&lt;&gt;0,CUENTAS!T134/CUENTAS!$AB134,"")</f>
        <v>0.03649846862</v>
      </c>
      <c r="AM145" s="459">
        <f>IF(CUENTAS!U134/CUENTAS!$AB134&lt;&gt;0,CUENTAS!U134/CUENTAS!$AB134,"")</f>
        <v>0.09450964492</v>
      </c>
      <c r="AN145" s="459">
        <f>IF(CUENTAS!V134/CUENTAS!$AB134&lt;&gt;0,CUENTAS!V134/CUENTAS!$AB134,"")</f>
        <v>0.1618665045</v>
      </c>
      <c r="AO145" s="459">
        <f>IF(CUENTAS!W134/CUENTAS!$AB134&lt;&gt;0,CUENTAS!W134/CUENTAS!$AB134,"")</f>
        <v>0.06062077244</v>
      </c>
      <c r="AP145" s="459" t="str">
        <f>IF(CUENTAS!X134/CUENTAS!$AB134&lt;&gt;0,CUENTAS!X134/CUENTAS!$AB134,"")</f>
        <v/>
      </c>
      <c r="AQ145" s="459" t="str">
        <f>IF(CUENTAS!Y134/CUENTAS!$AB134&lt;&gt;0,CUENTAS!Y134/CUENTAS!$AB134,"")</f>
        <v/>
      </c>
      <c r="AR145" s="459">
        <f>IF(CUENTAS!AA134/CUENTAS!$AB134&lt;&gt;0,CUENTAS!AA134/CUENTAS!$AB134,"")</f>
        <v>0.03800643274</v>
      </c>
    </row>
    <row r="146">
      <c r="A146" s="474"/>
      <c r="B146" s="200"/>
      <c r="C146" s="200"/>
      <c r="F146" s="200"/>
      <c r="G146" s="200"/>
      <c r="J146" s="465">
        <v>45514.0</v>
      </c>
      <c r="K146" s="466">
        <f>SUMIF(GRAFICO!A:A,J146,GRAFICO!B:B)</f>
        <v>12699.34885</v>
      </c>
      <c r="L146" s="467">
        <f t="shared" si="2"/>
        <v>0.2288963883</v>
      </c>
      <c r="M146" s="468">
        <v>45879.0</v>
      </c>
      <c r="N146" s="469">
        <f>IF(SUMIF(GRAFICO!A:A,M146,GRAFICO!B:B)=0,"",SUMIF(GRAFICO!A:A,M146,GRAFICO!B:B))</f>
        <v>17577.94539</v>
      </c>
      <c r="O146" s="467">
        <f t="shared" si="3"/>
        <v>0.2335717383</v>
      </c>
      <c r="P146" s="465">
        <v>46244.0</v>
      </c>
      <c r="Q146" s="463" t="str">
        <f>IF(SUMIF(GRAFICO!A:A,P146,GRAFICO!B:B)=0,"",SUMIF(GRAFICO!A:A,P146,GRAFICO!B:B))</f>
        <v/>
      </c>
      <c r="R146" s="463" t="str">
        <f t="shared" si="4"/>
        <v/>
      </c>
      <c r="S146" s="471">
        <f>CUENTAS!A135</f>
        <v>45967</v>
      </c>
      <c r="T146" s="459">
        <f>IF(CUENTAS!Q135/CUENTAS!$AB135&lt;&gt;0,CUENTAS!Q135/CUENTAS!$AB135,"")</f>
        <v>0.0573098915</v>
      </c>
      <c r="U146" s="459" t="str">
        <f>IF(CUENTAS!C135/CUENTAS!$AB135&lt;&gt;0,CUENTAS!C135/CUENTAS!$AB135,"")</f>
        <v/>
      </c>
      <c r="V146" s="459" t="str">
        <f>IF(CUENTAS!D135/CUENTAS!$AB135&lt;&gt;0,CUENTAS!D135/CUENTAS!$AB135,"")</f>
        <v/>
      </c>
      <c r="W146" s="459" t="str">
        <f>IF(CUENTAS!E135/CUENTAS!$AB135&lt;&gt;0,CUENTAS!E135/CUENTAS!$AB135,"")</f>
        <v/>
      </c>
      <c r="X146" s="459" t="str">
        <f>IF(CUENTAS!F135/CUENTAS!$AB135&lt;&gt;0,CUENTAS!F135/CUENTAS!$AB135,"")</f>
        <v/>
      </c>
      <c r="Y146" s="459">
        <f>IF(CUENTAS!G135/CUENTAS!$AB135&lt;&gt;0,CUENTAS!G135/CUENTAS!$AB135,"")</f>
        <v>0.09021115902</v>
      </c>
      <c r="Z146" s="459">
        <f>IF(CUENTAS!H135/CUENTAS!$AB135&lt;&gt;0,CUENTAS!H135/CUENTAS!$AB135,"")</f>
        <v>0.03844559158</v>
      </c>
      <c r="AA146" s="459">
        <f>IF(CUENTAS!I135/CUENTAS!$AB135&lt;&gt;0,CUENTAS!I135/CUENTAS!$AB135,"")</f>
        <v>0.08066157076</v>
      </c>
      <c r="AB146" s="459">
        <f>IF(CUENTAS!J135/CUENTAS!$AB135&lt;&gt;0,CUENTAS!J135/CUENTAS!$AB135,"")</f>
        <v>0.1870771552</v>
      </c>
      <c r="AC146" s="459">
        <f>IF(CUENTAS!K135/CUENTAS!$AB135&lt;&gt;0,CUENTAS!K135/CUENTAS!$AB135,"")</f>
        <v>0.06586846531</v>
      </c>
      <c r="AD146" s="459">
        <f>IF(CUENTAS!L135/CUENTAS!$AB135&lt;&gt;0,CUENTAS!L135/CUENTAS!$AB135,"")</f>
        <v>0.008200077947</v>
      </c>
      <c r="AE146" s="459">
        <f>IF(CUENTAS!M135/CUENTAS!$AB135&lt;&gt;0,CUENTAS!M135/CUENTAS!$AB135,"")</f>
        <v>0.05530931972</v>
      </c>
      <c r="AF146" s="459">
        <f>IF(CUENTAS!N135/CUENTAS!$AB135&lt;&gt;0,CUENTAS!N135/CUENTAS!$AB135,"")</f>
        <v>0.05340352271</v>
      </c>
      <c r="AG146" s="459" t="str">
        <f>IF(CUENTAS!O135/CUENTAS!$AB135&lt;&gt;0,CUENTAS!O135/CUENTAS!$AB135,"")</f>
        <v/>
      </c>
      <c r="AH146" s="459" t="str">
        <f>IF(CUENTAS!P135/CUENTAS!$AB135&lt;&gt;0,CUENTAS!P135/CUENTAS!$AB135,"")</f>
        <v/>
      </c>
      <c r="AI146" s="459">
        <f>IF(CUENTAS!R135/CUENTAS!$AB135&lt;&gt;0,CUENTAS!R135/CUENTAS!$AB135,"")</f>
        <v>0.1255205298</v>
      </c>
      <c r="AJ146" s="459" t="str">
        <f>IF(CUENTAS!B135/CUENTAS!$AB135&lt;&gt;0,CUENTAS!B135/CUENTAS!$AB135,"")</f>
        <v/>
      </c>
      <c r="AK146" s="459">
        <f>IF(CUENTAS!S135/CUENTAS!$AB135&lt;&gt;0,CUENTAS!S135/CUENTAS!$AB135,"")</f>
        <v>0.04390414624</v>
      </c>
      <c r="AL146" s="459">
        <f>IF(CUENTAS!T135/CUENTAS!$AB135&lt;&gt;0,CUENTAS!T135/CUENTAS!$AB135,"")</f>
        <v>0.03665105191</v>
      </c>
      <c r="AM146" s="459">
        <f>IF(CUENTAS!U135/CUENTAS!$AB135&lt;&gt;0,CUENTAS!U135/CUENTAS!$AB135,"")</f>
        <v>0.09477826984</v>
      </c>
      <c r="AN146" s="459">
        <f>IF(CUENTAS!V135/CUENTAS!$AB135&lt;&gt;0,CUENTAS!V135/CUENTAS!$AB135,"")</f>
        <v>0.1626902808</v>
      </c>
      <c r="AO146" s="459">
        <f>IF(CUENTAS!W135/CUENTAS!$AB135&lt;&gt;0,CUENTAS!W135/CUENTAS!$AB135,"")</f>
        <v>0.06095975031</v>
      </c>
      <c r="AP146" s="459" t="str">
        <f>IF(CUENTAS!X135/CUENTAS!$AB135&lt;&gt;0,CUENTAS!X135/CUENTAS!$AB135,"")</f>
        <v/>
      </c>
      <c r="AQ146" s="459" t="str">
        <f>IF(CUENTAS!Y135/CUENTAS!$AB135&lt;&gt;0,CUENTAS!Y135/CUENTAS!$AB135,"")</f>
        <v/>
      </c>
      <c r="AR146" s="459">
        <f>IF(CUENTAS!AA135/CUENTAS!$AB135&lt;&gt;0,CUENTAS!AA135/CUENTAS!$AB135,"")</f>
        <v>0.04852056172</v>
      </c>
    </row>
    <row r="147">
      <c r="A147" s="474"/>
      <c r="B147" s="200"/>
      <c r="C147" s="200"/>
      <c r="F147" s="200"/>
      <c r="G147" s="200"/>
      <c r="J147" s="465">
        <v>45513.0</v>
      </c>
      <c r="K147" s="466">
        <f>SUMIF(GRAFICO!A:A,J147,GRAFICO!B:B)</f>
        <v>12691.95666</v>
      </c>
      <c r="L147" s="467">
        <f t="shared" si="2"/>
        <v>0.2283141268</v>
      </c>
      <c r="M147" s="468">
        <v>45878.0</v>
      </c>
      <c r="N147" s="469">
        <f>IF(SUMIF(GRAFICO!A:A,M147,GRAFICO!B:B)=0,"",SUMIF(GRAFICO!A:A,M147,GRAFICO!B:B))</f>
        <v>17577.73671</v>
      </c>
      <c r="O147" s="467">
        <f t="shared" si="3"/>
        <v>0.2335598669</v>
      </c>
      <c r="P147" s="468">
        <v>46243.0</v>
      </c>
      <c r="Q147" s="463" t="str">
        <f>IF(SUMIF(GRAFICO!A:A,P147,GRAFICO!B:B)=0,"",SUMIF(GRAFICO!A:A,P147,GRAFICO!B:B))</f>
        <v/>
      </c>
      <c r="R147" s="463" t="str">
        <f t="shared" si="4"/>
        <v/>
      </c>
      <c r="S147" s="471">
        <f>CUENTAS!A136</f>
        <v>45966</v>
      </c>
      <c r="T147" s="459">
        <f>IF(CUENTAS!Q136/CUENTAS!$AB136&lt;&gt;0,CUENTAS!Q136/CUENTAS!$AB136,"")</f>
        <v>0.05757686263</v>
      </c>
      <c r="U147" s="459" t="str">
        <f>IF(CUENTAS!C136/CUENTAS!$AB136&lt;&gt;0,CUENTAS!C136/CUENTAS!$AB136,"")</f>
        <v/>
      </c>
      <c r="V147" s="459" t="str">
        <f>IF(CUENTAS!D136/CUENTAS!$AB136&lt;&gt;0,CUENTAS!D136/CUENTAS!$AB136,"")</f>
        <v/>
      </c>
      <c r="W147" s="459" t="str">
        <f>IF(CUENTAS!E136/CUENTAS!$AB136&lt;&gt;0,CUENTAS!E136/CUENTAS!$AB136,"")</f>
        <v/>
      </c>
      <c r="X147" s="459" t="str">
        <f>IF(CUENTAS!F136/CUENTAS!$AB136&lt;&gt;0,CUENTAS!F136/CUENTAS!$AB136,"")</f>
        <v/>
      </c>
      <c r="Y147" s="459">
        <f>IF(CUENTAS!G136/CUENTAS!$AB136&lt;&gt;0,CUENTAS!G136/CUENTAS!$AB136,"")</f>
        <v>0.09048753732</v>
      </c>
      <c r="Z147" s="459">
        <f>IF(CUENTAS!H136/CUENTAS!$AB136&lt;&gt;0,CUENTAS!H136/CUENTAS!$AB136,"")</f>
        <v>0.03889791496</v>
      </c>
      <c r="AA147" s="459">
        <f>IF(CUENTAS!I136/CUENTAS!$AB136&lt;&gt;0,CUENTAS!I136/CUENTAS!$AB136,"")</f>
        <v>0.07894153</v>
      </c>
      <c r="AB147" s="459">
        <f>IF(CUENTAS!J136/CUENTAS!$AB136&lt;&gt;0,CUENTAS!J136/CUENTAS!$AB136,"")</f>
        <v>0.1862098994</v>
      </c>
      <c r="AC147" s="459">
        <f>IF(CUENTAS!K136/CUENTAS!$AB136&lt;&gt;0,CUENTAS!K136/CUENTAS!$AB136,"")</f>
        <v>0.06627052178</v>
      </c>
      <c r="AD147" s="459">
        <f>IF(CUENTAS!L136/CUENTAS!$AB136&lt;&gt;0,CUENTAS!L136/CUENTAS!$AB136,"")</f>
        <v>0.008443198974</v>
      </c>
      <c r="AE147" s="459">
        <f>IF(CUENTAS!M136/CUENTAS!$AB136&lt;&gt;0,CUENTAS!M136/CUENTAS!$AB136,"")</f>
        <v>0.0552616584</v>
      </c>
      <c r="AF147" s="459">
        <f>IF(CUENTAS!N136/CUENTAS!$AB136&lt;&gt;0,CUENTAS!N136/CUENTAS!$AB136,"")</f>
        <v>0.05298992246</v>
      </c>
      <c r="AG147" s="459" t="str">
        <f>IF(CUENTAS!O136/CUENTAS!$AB136&lt;&gt;0,CUENTAS!O136/CUENTAS!$AB136,"")</f>
        <v/>
      </c>
      <c r="AH147" s="459" t="str">
        <f>IF(CUENTAS!P136/CUENTAS!$AB136&lt;&gt;0,CUENTAS!P136/CUENTAS!$AB136,"")</f>
        <v/>
      </c>
      <c r="AI147" s="459">
        <f>IF(CUENTAS!R136/CUENTAS!$AB136&lt;&gt;0,CUENTAS!R136/CUENTAS!$AB136,"")</f>
        <v>0.1261052519</v>
      </c>
      <c r="AJ147" s="459" t="str">
        <f>IF(CUENTAS!B136/CUENTAS!$AB136&lt;&gt;0,CUENTAS!B136/CUENTAS!$AB136,"")</f>
        <v/>
      </c>
      <c r="AK147" s="459">
        <f>IF(CUENTAS!S136/CUENTAS!$AB136&lt;&gt;0,CUENTAS!S136/CUENTAS!$AB136,"")</f>
        <v>0.04406065412</v>
      </c>
      <c r="AL147" s="459">
        <f>IF(CUENTAS!T136/CUENTAS!$AB136&lt;&gt;0,CUENTAS!T136/CUENTAS!$AB136,"")</f>
        <v>0.03677003839</v>
      </c>
      <c r="AM147" s="459">
        <f>IF(CUENTAS!U136/CUENTAS!$AB136&lt;&gt;0,CUENTAS!U136/CUENTAS!$AB136,"")</f>
        <v>0.09495872036</v>
      </c>
      <c r="AN147" s="459">
        <f>IF(CUENTAS!V136/CUENTAS!$AB136&lt;&gt;0,CUENTAS!V136/CUENTAS!$AB136,"")</f>
        <v>0.1633664704</v>
      </c>
      <c r="AO147" s="459">
        <f>IF(CUENTAS!W136/CUENTAS!$AB136&lt;&gt;0,CUENTAS!W136/CUENTAS!$AB136,"")</f>
        <v>0.06124372386</v>
      </c>
      <c r="AP147" s="459" t="str">
        <f>IF(CUENTAS!X136/CUENTAS!$AB136&lt;&gt;0,CUENTAS!X136/CUENTAS!$AB136,"")</f>
        <v/>
      </c>
      <c r="AQ147" s="459" t="str">
        <f>IF(CUENTAS!Y136/CUENTAS!$AB136&lt;&gt;0,CUENTAS!Y136/CUENTAS!$AB136,"")</f>
        <v/>
      </c>
      <c r="AR147" s="459">
        <f>IF(CUENTAS!AA136/CUENTAS!$AB136&lt;&gt;0,CUENTAS!AA136/CUENTAS!$AB136,"")</f>
        <v>0.04874658883</v>
      </c>
    </row>
    <row r="148">
      <c r="A148" s="474"/>
      <c r="B148" s="200"/>
      <c r="C148" s="200"/>
      <c r="F148" s="200"/>
      <c r="G148" s="200"/>
      <c r="J148" s="470">
        <v>45512.0</v>
      </c>
      <c r="K148" s="466">
        <f>SUMIF(GRAFICO!A:A,J148,GRAFICO!B:B)</f>
        <v>12637.72872</v>
      </c>
      <c r="L148" s="467">
        <f t="shared" si="2"/>
        <v>0.2240323505</v>
      </c>
      <c r="M148" s="468">
        <v>45877.0</v>
      </c>
      <c r="N148" s="469">
        <f>IF(SUMIF(GRAFICO!A:A,M148,GRAFICO!B:B)=0,"",SUMIF(GRAFICO!A:A,M148,GRAFICO!B:B))</f>
        <v>17577.52804</v>
      </c>
      <c r="O148" s="467">
        <f t="shared" si="3"/>
        <v>0.2335479953</v>
      </c>
      <c r="P148" s="465">
        <v>46242.0</v>
      </c>
      <c r="Q148" s="463" t="str">
        <f>IF(SUMIF(GRAFICO!A:A,P148,GRAFICO!B:B)=0,"",SUMIF(GRAFICO!A:A,P148,GRAFICO!B:B))</f>
        <v/>
      </c>
      <c r="R148" s="463" t="str">
        <f t="shared" si="4"/>
        <v/>
      </c>
      <c r="S148" s="471">
        <f>CUENTAS!A137</f>
        <v>45965</v>
      </c>
      <c r="T148" s="459">
        <f>IF(CUENTAS!Q137/CUENTAS!$AB137&lt;&gt;0,CUENTAS!Q137/CUENTAS!$AB137,"")</f>
        <v>0.05768169731</v>
      </c>
      <c r="U148" s="459" t="str">
        <f>IF(CUENTAS!C137/CUENTAS!$AB137&lt;&gt;0,CUENTAS!C137/CUENTAS!$AB137,"")</f>
        <v/>
      </c>
      <c r="V148" s="459" t="str">
        <f>IF(CUENTAS!D137/CUENTAS!$AB137&lt;&gt;0,CUENTAS!D137/CUENTAS!$AB137,"")</f>
        <v/>
      </c>
      <c r="W148" s="459" t="str">
        <f>IF(CUENTAS!E137/CUENTAS!$AB137&lt;&gt;0,CUENTAS!E137/CUENTAS!$AB137,"")</f>
        <v/>
      </c>
      <c r="X148" s="459" t="str">
        <f>IF(CUENTAS!F137/CUENTAS!$AB137&lt;&gt;0,CUENTAS!F137/CUENTAS!$AB137,"")</f>
        <v/>
      </c>
      <c r="Y148" s="459">
        <f>IF(CUENTAS!G137/CUENTAS!$AB137&lt;&gt;0,CUENTAS!G137/CUENTAS!$AB137,"")</f>
        <v>0.08835356038</v>
      </c>
      <c r="Z148" s="459">
        <f>IF(CUENTAS!H137/CUENTAS!$AB137&lt;&gt;0,CUENTAS!H137/CUENTAS!$AB137,"")</f>
        <v>0.03866950629</v>
      </c>
      <c r="AA148" s="459">
        <f>IF(CUENTAS!I137/CUENTAS!$AB137&lt;&gt;0,CUENTAS!I137/CUENTAS!$AB137,"")</f>
        <v>0.08020412321</v>
      </c>
      <c r="AB148" s="459">
        <f>IF(CUENTAS!J137/CUENTAS!$AB137&lt;&gt;0,CUENTAS!J137/CUENTAS!$AB137,"")</f>
        <v>0.1770929304</v>
      </c>
      <c r="AC148" s="459">
        <f>IF(CUENTAS!K137/CUENTAS!$AB137&lt;&gt;0,CUENTAS!K137/CUENTAS!$AB137,"")</f>
        <v>0.06793411303</v>
      </c>
      <c r="AD148" s="459">
        <f>IF(CUENTAS!L137/CUENTAS!$AB137&lt;&gt;0,CUENTAS!L137/CUENTAS!$AB137,"")</f>
        <v>0.008420347188</v>
      </c>
      <c r="AE148" s="459">
        <f>IF(CUENTAS!M137/CUENTAS!$AB137&lt;&gt;0,CUENTAS!M137/CUENTAS!$AB137,"")</f>
        <v>0.05628498224</v>
      </c>
      <c r="AF148" s="459">
        <f>IF(CUENTAS!N137/CUENTAS!$AB137&lt;&gt;0,CUENTAS!N137/CUENTAS!$AB137,"")</f>
        <v>0.05397117877</v>
      </c>
      <c r="AG148" s="459" t="str">
        <f>IF(CUENTAS!O137/CUENTAS!$AB137&lt;&gt;0,CUENTAS!O137/CUENTAS!$AB137,"")</f>
        <v/>
      </c>
      <c r="AH148" s="459" t="str">
        <f>IF(CUENTAS!P137/CUENTAS!$AB137&lt;&gt;0,CUENTAS!P137/CUENTAS!$AB137,"")</f>
        <v/>
      </c>
      <c r="AI148" s="459">
        <f>IF(CUENTAS!R137/CUENTAS!$AB137&lt;&gt;0,CUENTAS!R137/CUENTAS!$AB137,"")</f>
        <v>0.1284404426</v>
      </c>
      <c r="AJ148" s="459" t="str">
        <f>IF(CUENTAS!B137/CUENTAS!$AB137&lt;&gt;0,CUENTAS!B137/CUENTAS!$AB137,"")</f>
        <v/>
      </c>
      <c r="AK148" s="459">
        <f>IF(CUENTAS!S137/CUENTAS!$AB137&lt;&gt;0,CUENTAS!S137/CUENTAS!$AB137,"")</f>
        <v>0.04482765678</v>
      </c>
      <c r="AL148" s="459">
        <f>IF(CUENTAS!T137/CUENTAS!$AB137&lt;&gt;0,CUENTAS!T137/CUENTAS!$AB137,"")</f>
        <v>0.03739823204</v>
      </c>
      <c r="AM148" s="459">
        <f>IF(CUENTAS!U137/CUENTAS!$AB137&lt;&gt;0,CUENTAS!U137/CUENTAS!$AB137,"")</f>
        <v>0.09645124932</v>
      </c>
      <c r="AN148" s="459">
        <f>IF(CUENTAS!V137/CUENTAS!$AB137&lt;&gt;0,CUENTAS!V137/CUENTAS!$AB137,"")</f>
        <v>0.1663085023</v>
      </c>
      <c r="AO148" s="459">
        <f>IF(CUENTAS!W137/CUENTAS!$AB137&lt;&gt;0,CUENTAS!W137/CUENTAS!$AB137,"")</f>
        <v>0.06237782234</v>
      </c>
      <c r="AP148" s="459" t="str">
        <f>IF(CUENTAS!X137/CUENTAS!$AB137&lt;&gt;0,CUENTAS!X137/CUENTAS!$AB137,"")</f>
        <v/>
      </c>
      <c r="AQ148" s="459" t="str">
        <f>IF(CUENTAS!Y137/CUENTAS!$AB137&lt;&gt;0,CUENTAS!Y137/CUENTAS!$AB137,"")</f>
        <v/>
      </c>
      <c r="AR148" s="459">
        <f>IF(CUENTAS!AA137/CUENTAS!$AB137&lt;&gt;0,CUENTAS!AA137/CUENTAS!$AB137,"")</f>
        <v>0.04964926797</v>
      </c>
    </row>
    <row r="149">
      <c r="A149" s="474"/>
      <c r="B149" s="200"/>
      <c r="C149" s="200"/>
      <c r="F149" s="200"/>
      <c r="G149" s="200"/>
      <c r="J149" s="465">
        <v>45511.0</v>
      </c>
      <c r="K149" s="466">
        <f>SUMIF(GRAFICO!A:A,J149,GRAFICO!B:B)</f>
        <v>12711.11699</v>
      </c>
      <c r="L149" s="467">
        <f t="shared" si="2"/>
        <v>0.2298226318</v>
      </c>
      <c r="M149" s="468">
        <v>45876.0</v>
      </c>
      <c r="N149" s="469">
        <f>IF(SUMIF(GRAFICO!A:A,M149,GRAFICO!B:B)=0,"",SUMIF(GRAFICO!A:A,M149,GRAFICO!B:B))</f>
        <v>17458.33647</v>
      </c>
      <c r="O149" s="467">
        <f t="shared" si="3"/>
        <v>0.2267439946</v>
      </c>
      <c r="P149" s="468">
        <v>46241.0</v>
      </c>
      <c r="Q149" s="463" t="str">
        <f>IF(SUMIF(GRAFICO!A:A,P149,GRAFICO!B:B)=0,"",SUMIF(GRAFICO!A:A,P149,GRAFICO!B:B))</f>
        <v/>
      </c>
      <c r="R149" s="463" t="str">
        <f t="shared" si="4"/>
        <v/>
      </c>
      <c r="S149" s="471">
        <f>CUENTAS!A138</f>
        <v>45964</v>
      </c>
      <c r="T149" s="459">
        <f>IF(CUENTAS!Q138/CUENTAS!$AB138&lt;&gt;0,CUENTAS!Q138/CUENTAS!$AB138,"")</f>
        <v>0.05723608735</v>
      </c>
      <c r="U149" s="459" t="str">
        <f>IF(CUENTAS!C138/CUENTAS!$AB138&lt;&gt;0,CUENTAS!C138/CUENTAS!$AB138,"")</f>
        <v/>
      </c>
      <c r="V149" s="459" t="str">
        <f>IF(CUENTAS!D138/CUENTAS!$AB138&lt;&gt;0,CUENTAS!D138/CUENTAS!$AB138,"")</f>
        <v/>
      </c>
      <c r="W149" s="459" t="str">
        <f>IF(CUENTAS!E138/CUENTAS!$AB138&lt;&gt;0,CUENTAS!E138/CUENTAS!$AB138,"")</f>
        <v/>
      </c>
      <c r="X149" s="459" t="str">
        <f>IF(CUENTAS!F138/CUENTAS!$AB138&lt;&gt;0,CUENTAS!F138/CUENTAS!$AB138,"")</f>
        <v/>
      </c>
      <c r="Y149" s="459">
        <f>IF(CUENTAS!G138/CUENTAS!$AB138&lt;&gt;0,CUENTAS!G138/CUENTAS!$AB138,"")</f>
        <v>0.08880309265</v>
      </c>
      <c r="Z149" s="459">
        <f>IF(CUENTAS!H138/CUENTAS!$AB138&lt;&gt;0,CUENTAS!H138/CUENTAS!$AB138,"")</f>
        <v>0.03947462263</v>
      </c>
      <c r="AA149" s="459">
        <f>IF(CUENTAS!I138/CUENTAS!$AB138&lt;&gt;0,CUENTAS!I138/CUENTAS!$AB138,"")</f>
        <v>0.0803930518</v>
      </c>
      <c r="AB149" s="459">
        <f>IF(CUENTAS!J138/CUENTAS!$AB138&lt;&gt;0,CUENTAS!J138/CUENTAS!$AB138,"")</f>
        <v>0.1730452375</v>
      </c>
      <c r="AC149" s="459">
        <f>IF(CUENTAS!K138/CUENTAS!$AB138&lt;&gt;0,CUENTAS!K138/CUENTAS!$AB138,"")</f>
        <v>0.06768015015</v>
      </c>
      <c r="AD149" s="459">
        <f>IF(CUENTAS!L138/CUENTAS!$AB138&lt;&gt;0,CUENTAS!L138/CUENTAS!$AB138,"")</f>
        <v>0.00837302017</v>
      </c>
      <c r="AE149" s="459">
        <f>IF(CUENTAS!M138/CUENTAS!$AB138&lt;&gt;0,CUENTAS!M138/CUENTAS!$AB138,"")</f>
        <v>0.05691453629</v>
      </c>
      <c r="AF149" s="459">
        <f>IF(CUENTAS!N138/CUENTAS!$AB138&lt;&gt;0,CUENTAS!N138/CUENTAS!$AB138,"")</f>
        <v>0.05571295078</v>
      </c>
      <c r="AG149" s="459" t="str">
        <f>IF(CUENTAS!O138/CUENTAS!$AB138&lt;&gt;0,CUENTAS!O138/CUENTAS!$AB138,"")</f>
        <v/>
      </c>
      <c r="AH149" s="459" t="str">
        <f>IF(CUENTAS!P138/CUENTAS!$AB138&lt;&gt;0,CUENTAS!P138/CUENTAS!$AB138,"")</f>
        <v/>
      </c>
      <c r="AI149" s="459">
        <f>IF(CUENTAS!R138/CUENTAS!$AB138&lt;&gt;0,CUENTAS!R138/CUENTAS!$AB138,"")</f>
        <v>0.1098409933</v>
      </c>
      <c r="AJ149" s="459" t="str">
        <f>IF(CUENTAS!B138/CUENTAS!$AB138&lt;&gt;0,CUENTAS!B138/CUENTAS!$AB138,"")</f>
        <v/>
      </c>
      <c r="AK149" s="459">
        <f>IF(CUENTAS!S138/CUENTAS!$AB138&lt;&gt;0,CUENTAS!S138/CUENTAS!$AB138,"")</f>
        <v>0.04493206814</v>
      </c>
      <c r="AL149" s="459">
        <f>IF(CUENTAS!T138/CUENTAS!$AB138&lt;&gt;0,CUENTAS!T138/CUENTAS!$AB138,"")</f>
        <v>0.03747339042</v>
      </c>
      <c r="AM149" s="459">
        <f>IF(CUENTAS!U138/CUENTAS!$AB138&lt;&gt;0,CUENTAS!U138/CUENTAS!$AB138,"")</f>
        <v>0.09651467452</v>
      </c>
      <c r="AN149" s="459">
        <f>IF(CUENTAS!V138/CUENTAS!$AB138&lt;&gt;0,CUENTAS!V138/CUENTAS!$AB138,"")</f>
        <v>0.1667945165</v>
      </c>
      <c r="AO149" s="459">
        <f>IF(CUENTAS!W138/CUENTAS!$AB138&lt;&gt;0,CUENTAS!W138/CUENTAS!$AB138,"")</f>
        <v>0.0625913932</v>
      </c>
      <c r="AP149" s="459" t="str">
        <f>IF(CUENTAS!X138/CUENTAS!$AB138&lt;&gt;0,CUENTAS!X138/CUENTAS!$AB138,"")</f>
        <v/>
      </c>
      <c r="AQ149" s="459" t="str">
        <f>IF(CUENTAS!Y138/CUENTAS!$AB138&lt;&gt;0,CUENTAS!Y138/CUENTAS!$AB138,"")</f>
        <v/>
      </c>
      <c r="AR149" s="459">
        <f>IF(CUENTAS!AA138/CUENTAS!$AB138&lt;&gt;0,CUENTAS!AA138/CUENTAS!$AB138,"")</f>
        <v>0.06885846552</v>
      </c>
    </row>
    <row r="150">
      <c r="A150" s="474"/>
      <c r="B150" s="200"/>
      <c r="C150" s="200"/>
      <c r="F150" s="200"/>
      <c r="G150" s="200"/>
      <c r="J150" s="470">
        <v>45510.0</v>
      </c>
      <c r="K150" s="466">
        <f>SUMIF(GRAFICO!A:A,J150,GRAFICO!B:B)</f>
        <v>12704.8428</v>
      </c>
      <c r="L150" s="467">
        <f t="shared" si="2"/>
        <v>0.2293289113</v>
      </c>
      <c r="M150" s="468">
        <v>45875.0</v>
      </c>
      <c r="N150" s="469">
        <f>IF(SUMIF(GRAFICO!A:A,M150,GRAFICO!B:B)=0,"",SUMIF(GRAFICO!A:A,M150,GRAFICO!B:B))</f>
        <v>17499.11964</v>
      </c>
      <c r="O150" s="467">
        <f t="shared" si="3"/>
        <v>0.2290772985</v>
      </c>
      <c r="P150" s="465">
        <v>46240.0</v>
      </c>
      <c r="Q150" s="463" t="str">
        <f>IF(SUMIF(GRAFICO!A:A,P150,GRAFICO!B:B)=0,"",SUMIF(GRAFICO!A:A,P150,GRAFICO!B:B))</f>
        <v/>
      </c>
      <c r="R150" s="463" t="str">
        <f t="shared" si="4"/>
        <v/>
      </c>
      <c r="S150" s="471">
        <f>CUENTAS!A139</f>
        <v>45963</v>
      </c>
      <c r="T150" s="459">
        <f>IF(CUENTAS!Q139/CUENTAS!$AB139&lt;&gt;0,CUENTAS!Q139/CUENTAS!$AB139,"")</f>
        <v>0.05919206337</v>
      </c>
      <c r="U150" s="459" t="str">
        <f>IF(CUENTAS!C139/CUENTAS!$AB139&lt;&gt;0,CUENTAS!C139/CUENTAS!$AB139,"")</f>
        <v/>
      </c>
      <c r="V150" s="459" t="str">
        <f>IF(CUENTAS!D139/CUENTAS!$AB139&lt;&gt;0,CUENTAS!D139/CUENTAS!$AB139,"")</f>
        <v/>
      </c>
      <c r="W150" s="459" t="str">
        <f>IF(CUENTAS!E139/CUENTAS!$AB139&lt;&gt;0,CUENTAS!E139/CUENTAS!$AB139,"")</f>
        <v/>
      </c>
      <c r="X150" s="459" t="str">
        <f>IF(CUENTAS!F139/CUENTAS!$AB139&lt;&gt;0,CUENTAS!F139/CUENTAS!$AB139,"")</f>
        <v/>
      </c>
      <c r="Y150" s="459">
        <f>IF(CUENTAS!G139/CUENTAS!$AB139&lt;&gt;0,CUENTAS!G139/CUENTAS!$AB139,"")</f>
        <v>0.09183783397</v>
      </c>
      <c r="Z150" s="459">
        <f>IF(CUENTAS!H139/CUENTAS!$AB139&lt;&gt;0,CUENTAS!H139/CUENTAS!$AB139,"")</f>
        <v>0.04082362147</v>
      </c>
      <c r="AA150" s="459">
        <f>IF(CUENTAS!I139/CUENTAS!$AB139&lt;&gt;0,CUENTAS!I139/CUENTAS!$AB139,"")</f>
        <v>0.08314038986</v>
      </c>
      <c r="AB150" s="459">
        <f>IF(CUENTAS!J139/CUENTAS!$AB139&lt;&gt;0,CUENTAS!J139/CUENTAS!$AB139,"")</f>
        <v>0.1789588551</v>
      </c>
      <c r="AC150" s="459">
        <f>IF(CUENTAS!K139/CUENTAS!$AB139&lt;&gt;0,CUENTAS!K139/CUENTAS!$AB139,"")</f>
        <v>0.06999303974</v>
      </c>
      <c r="AD150" s="459">
        <f>IF(CUENTAS!L139/CUENTAS!$AB139&lt;&gt;0,CUENTAS!L139/CUENTAS!$AB139,"")</f>
        <v>0.008751044259</v>
      </c>
      <c r="AE150" s="459">
        <f>IF(CUENTAS!M139/CUENTAS!$AB139&lt;&gt;0,CUENTAS!M139/CUENTAS!$AB139,"")</f>
        <v>0.05879498473</v>
      </c>
      <c r="AF150" s="459">
        <f>IF(CUENTAS!N139/CUENTAS!$AB139&lt;&gt;0,CUENTAS!N139/CUENTAS!$AB139,"")</f>
        <v>0.0576168754</v>
      </c>
      <c r="AG150" s="459" t="str">
        <f>IF(CUENTAS!O139/CUENTAS!$AB139&lt;&gt;0,CUENTAS!O139/CUENTAS!$AB139,"")</f>
        <v/>
      </c>
      <c r="AH150" s="459" t="str">
        <f>IF(CUENTAS!P139/CUENTAS!$AB139&lt;&gt;0,CUENTAS!P139/CUENTAS!$AB139,"")</f>
        <v/>
      </c>
      <c r="AI150" s="459">
        <f>IF(CUENTAS!R139/CUENTAS!$AB139&lt;&gt;0,CUENTAS!R139/CUENTAS!$AB139,"")</f>
        <v>0.1042966957</v>
      </c>
      <c r="AJ150" s="459" t="str">
        <f>IF(CUENTAS!B139/CUENTAS!$AB139&lt;&gt;0,CUENTAS!B139/CUENTAS!$AB139,"")</f>
        <v/>
      </c>
      <c r="AK150" s="459">
        <f>IF(CUENTAS!S139/CUENTAS!$AB139&lt;&gt;0,CUENTAS!S139/CUENTAS!$AB139,"")</f>
        <v>0.04641682105</v>
      </c>
      <c r="AL150" s="459">
        <f>IF(CUENTAS!T139/CUENTAS!$AB139&lt;&gt;0,CUENTAS!T139/CUENTAS!$AB139,"")</f>
        <v>0.03869930547</v>
      </c>
      <c r="AM150" s="459">
        <f>IF(CUENTAS!U139/CUENTAS!$AB139&lt;&gt;0,CUENTAS!U139/CUENTAS!$AB139,"")</f>
        <v>0.09953702511</v>
      </c>
      <c r="AN150" s="459">
        <f>IF(CUENTAS!V139/CUENTAS!$AB139&lt;&gt;0,CUENTAS!V139/CUENTAS!$AB139,"")</f>
        <v>0.1505416417</v>
      </c>
      <c r="AO150" s="459">
        <f>IF(CUENTAS!W139/CUENTAS!$AB139&lt;&gt;0,CUENTAS!W139/CUENTAS!$AB139,"")</f>
        <v>0.0647303805</v>
      </c>
      <c r="AP150" s="459" t="str">
        <f>IF(CUENTAS!X139/CUENTAS!$AB139&lt;&gt;0,CUENTAS!X139/CUENTAS!$AB139,"")</f>
        <v/>
      </c>
      <c r="AQ150" s="459" t="str">
        <f>IF(CUENTAS!Y139/CUENTAS!$AB139&lt;&gt;0,CUENTAS!Y139/CUENTAS!$AB139,"")</f>
        <v/>
      </c>
      <c r="AR150" s="459">
        <f>IF(CUENTAS!AA139/CUENTAS!$AB139&lt;&gt;0,CUENTAS!AA139/CUENTAS!$AB139,"")</f>
        <v>0.06847692132</v>
      </c>
    </row>
    <row r="151">
      <c r="A151" s="474"/>
      <c r="B151" s="200"/>
      <c r="C151" s="200"/>
      <c r="F151" s="200"/>
      <c r="G151" s="200"/>
      <c r="J151" s="470">
        <v>45509.0</v>
      </c>
      <c r="K151" s="466">
        <f>SUMIF(GRAFICO!A:A,J151,GRAFICO!B:B)</f>
        <v>12730.46387</v>
      </c>
      <c r="L151" s="467">
        <f t="shared" si="2"/>
        <v>0.2313435183</v>
      </c>
      <c r="M151" s="468">
        <v>45874.0</v>
      </c>
      <c r="N151" s="469">
        <f>IF(SUMIF(GRAFICO!A:A,M151,GRAFICO!B:B)=0,"",SUMIF(GRAFICO!A:A,M151,GRAFICO!B:B))</f>
        <v>17408.55769</v>
      </c>
      <c r="O151" s="467">
        <f t="shared" si="3"/>
        <v>0.2238886317</v>
      </c>
      <c r="P151" s="468">
        <v>46239.0</v>
      </c>
      <c r="Q151" s="463" t="str">
        <f>IF(SUMIF(GRAFICO!A:A,P151,GRAFICO!B:B)=0,"",SUMIF(GRAFICO!A:A,P151,GRAFICO!B:B))</f>
        <v/>
      </c>
      <c r="R151" s="463" t="str">
        <f t="shared" si="4"/>
        <v/>
      </c>
      <c r="S151" s="471">
        <f>CUENTAS!A140</f>
        <v>45962</v>
      </c>
      <c r="T151" s="459">
        <f>IF(CUENTAS!Q140/CUENTAS!$AB140&lt;&gt;0,CUENTAS!Q140/CUENTAS!$AB140,"")</f>
        <v>0.05943690893</v>
      </c>
      <c r="U151" s="459" t="str">
        <f>IF(CUENTAS!C140/CUENTAS!$AB140&lt;&gt;0,CUENTAS!C140/CUENTAS!$AB140,"")</f>
        <v/>
      </c>
      <c r="V151" s="459" t="str">
        <f>IF(CUENTAS!D140/CUENTAS!$AB140&lt;&gt;0,CUENTAS!D140/CUENTAS!$AB140,"")</f>
        <v/>
      </c>
      <c r="W151" s="459" t="str">
        <f>IF(CUENTAS!E140/CUENTAS!$AB140&lt;&gt;0,CUENTAS!E140/CUENTAS!$AB140,"")</f>
        <v/>
      </c>
      <c r="X151" s="459" t="str">
        <f>IF(CUENTAS!F140/CUENTAS!$AB140&lt;&gt;0,CUENTAS!F140/CUENTAS!$AB140,"")</f>
        <v/>
      </c>
      <c r="Y151" s="459">
        <f>IF(CUENTAS!G140/CUENTAS!$AB140&lt;&gt;0,CUENTAS!G140/CUENTAS!$AB140,"")</f>
        <v>0.09221771744</v>
      </c>
      <c r="Z151" s="459">
        <f>IF(CUENTAS!H140/CUENTAS!$AB140&lt;&gt;0,CUENTAS!H140/CUENTAS!$AB140,"")</f>
        <v>0.04099248672</v>
      </c>
      <c r="AA151" s="459">
        <f>IF(CUENTAS!I140/CUENTAS!$AB140&lt;&gt;0,CUENTAS!I140/CUENTAS!$AB140,"")</f>
        <v>0.0834842967</v>
      </c>
      <c r="AB151" s="459">
        <f>IF(CUENTAS!J140/CUENTAS!$AB140&lt;&gt;0,CUENTAS!J140/CUENTAS!$AB140,"")</f>
        <v>0.1796991111</v>
      </c>
      <c r="AC151" s="459">
        <f>IF(CUENTAS!K140/CUENTAS!$AB140&lt;&gt;0,CUENTAS!K140/CUENTAS!$AB140,"")</f>
        <v>0.0702825631</v>
      </c>
      <c r="AD151" s="459">
        <f>IF(CUENTAS!L140/CUENTAS!$AB140&lt;&gt;0,CUENTAS!L140/CUENTAS!$AB140,"")</f>
        <v>0.008787242597</v>
      </c>
      <c r="AE151" s="459">
        <f>IF(CUENTAS!M140/CUENTAS!$AB140&lt;&gt;0,CUENTAS!M140/CUENTAS!$AB140,"")</f>
        <v>0.0590381878</v>
      </c>
      <c r="AF151" s="459">
        <f>IF(CUENTAS!N140/CUENTAS!$AB140&lt;&gt;0,CUENTAS!N140/CUENTAS!$AB140,"")</f>
        <v>0.05785520526</v>
      </c>
      <c r="AG151" s="459" t="str">
        <f>IF(CUENTAS!O140/CUENTAS!$AB140&lt;&gt;0,CUENTAS!O140/CUENTAS!$AB140,"")</f>
        <v/>
      </c>
      <c r="AH151" s="459" t="str">
        <f>IF(CUENTAS!P140/CUENTAS!$AB140&lt;&gt;0,CUENTAS!P140/CUENTAS!$AB140,"")</f>
        <v/>
      </c>
      <c r="AI151" s="459">
        <f>IF(CUENTAS!R140/CUENTAS!$AB140&lt;&gt;0,CUENTAS!R140/CUENTAS!$AB140,"")</f>
        <v>0.1047281147</v>
      </c>
      <c r="AJ151" s="459" t="str">
        <f>IF(CUENTAS!B140/CUENTAS!$AB140&lt;&gt;0,CUENTAS!B140/CUENTAS!$AB140,"")</f>
        <v/>
      </c>
      <c r="AK151" s="459">
        <f>IF(CUENTAS!S140/CUENTAS!$AB140&lt;&gt;0,CUENTAS!S140/CUENTAS!$AB140,"")</f>
        <v>0.04655786473</v>
      </c>
      <c r="AL151" s="459">
        <f>IF(CUENTAS!T140/CUENTAS!$AB140&lt;&gt;0,CUENTAS!T140/CUENTAS!$AB140,"")</f>
        <v>0.03880446331</v>
      </c>
      <c r="AM151" s="459">
        <f>IF(CUENTAS!U140/CUENTAS!$AB140&lt;&gt;0,CUENTAS!U140/CUENTAS!$AB140,"")</f>
        <v>0.09967168963</v>
      </c>
      <c r="AN151" s="459">
        <f>IF(CUENTAS!V140/CUENTAS!$AB140&lt;&gt;0,CUENTAS!V140/CUENTAS!$AB140,"")</f>
        <v>0.1510888066</v>
      </c>
      <c r="AO151" s="459">
        <f>IF(CUENTAS!W140/CUENTAS!$AB140&lt;&gt;0,CUENTAS!W140/CUENTAS!$AB140,"")</f>
        <v>0.06499813509</v>
      </c>
      <c r="AP151" s="459" t="str">
        <f>IF(CUENTAS!X140/CUENTAS!$AB140&lt;&gt;0,CUENTAS!X140/CUENTAS!$AB140,"")</f>
        <v/>
      </c>
      <c r="AQ151" s="459" t="str">
        <f>IF(CUENTAS!Y140/CUENTAS!$AB140&lt;&gt;0,CUENTAS!Y140/CUENTAS!$AB140,"")</f>
        <v/>
      </c>
      <c r="AR151" s="459">
        <f>IF(CUENTAS!AA140/CUENTAS!$AB140&lt;&gt;0,CUENTAS!AA140/CUENTAS!$AB140,"")</f>
        <v>0.06491575469</v>
      </c>
    </row>
    <row r="152">
      <c r="A152" s="474"/>
      <c r="B152" s="200"/>
      <c r="C152" s="200"/>
      <c r="F152" s="200"/>
      <c r="G152" s="200"/>
      <c r="J152" s="470">
        <v>45508.0</v>
      </c>
      <c r="K152" s="466">
        <f>SUMIF(GRAFICO!A:A,J152,GRAFICO!B:B)</f>
        <v>12783.23992</v>
      </c>
      <c r="L152" s="467">
        <f t="shared" si="2"/>
        <v>0.2354805993</v>
      </c>
      <c r="M152" s="468">
        <v>45873.0</v>
      </c>
      <c r="N152" s="469">
        <f>IF(SUMIF(GRAFICO!A:A,M152,GRAFICO!B:B)=0,"",SUMIF(GRAFICO!A:A,M152,GRAFICO!B:B))</f>
        <v>17351.58811</v>
      </c>
      <c r="O152" s="467">
        <f t="shared" si="3"/>
        <v>0.2206107612</v>
      </c>
      <c r="P152" s="465">
        <v>46238.0</v>
      </c>
      <c r="Q152" s="463" t="str">
        <f>IF(SUMIF(GRAFICO!A:A,P152,GRAFICO!B:B)=0,"",SUMIF(GRAFICO!A:A,P152,GRAFICO!B:B))</f>
        <v/>
      </c>
      <c r="R152" s="463" t="str">
        <f t="shared" si="4"/>
        <v/>
      </c>
      <c r="S152" s="471">
        <f>CUENTAS!A141</f>
        <v>45961</v>
      </c>
      <c r="T152" s="459">
        <f>IF(CUENTAS!Q141/CUENTAS!$AB141&lt;&gt;0,CUENTAS!Q141/CUENTAS!$AB141,"")</f>
        <v>0.05945426975</v>
      </c>
      <c r="U152" s="459" t="str">
        <f>IF(CUENTAS!C141/CUENTAS!$AB141&lt;&gt;0,CUENTAS!C141/CUENTAS!$AB141,"")</f>
        <v/>
      </c>
      <c r="V152" s="459" t="str">
        <f>IF(CUENTAS!D141/CUENTAS!$AB141&lt;&gt;0,CUENTAS!D141/CUENTAS!$AB141,"")</f>
        <v/>
      </c>
      <c r="W152" s="459" t="str">
        <f>IF(CUENTAS!E141/CUENTAS!$AB141&lt;&gt;0,CUENTAS!E141/CUENTAS!$AB141,"")</f>
        <v/>
      </c>
      <c r="X152" s="459" t="str">
        <f>IF(CUENTAS!F141/CUENTAS!$AB141&lt;&gt;0,CUENTAS!F141/CUENTAS!$AB141,"")</f>
        <v/>
      </c>
      <c r="Y152" s="459">
        <f>IF(CUENTAS!G141/CUENTAS!$AB141&lt;&gt;0,CUENTAS!G141/CUENTAS!$AB141,"")</f>
        <v>0.09224465315</v>
      </c>
      <c r="Z152" s="459">
        <f>IF(CUENTAS!H141/CUENTAS!$AB141&lt;&gt;0,CUENTAS!H141/CUENTAS!$AB141,"")</f>
        <v>0.04100446014</v>
      </c>
      <c r="AA152" s="459">
        <f>IF(CUENTAS!I141/CUENTAS!$AB141&lt;&gt;0,CUENTAS!I141/CUENTAS!$AB141,"")</f>
        <v>0.08350868148</v>
      </c>
      <c r="AB152" s="459">
        <f>IF(CUENTAS!J141/CUENTAS!$AB141&lt;&gt;0,CUENTAS!J141/CUENTAS!$AB141,"")</f>
        <v>0.1797515991</v>
      </c>
      <c r="AC152" s="459">
        <f>IF(CUENTAS!K141/CUENTAS!$AB141&lt;&gt;0,CUENTAS!K141/CUENTAS!$AB141,"")</f>
        <v>0.07030309181</v>
      </c>
      <c r="AD152" s="459">
        <f>IF(CUENTAS!L141/CUENTAS!$AB141&lt;&gt;0,CUENTAS!L141/CUENTAS!$AB141,"")</f>
        <v>0.008789809248</v>
      </c>
      <c r="AE152" s="459">
        <f>IF(CUENTAS!M141/CUENTAS!$AB141&lt;&gt;0,CUENTAS!M141/CUENTAS!$AB141,"")</f>
        <v>0.05905543216</v>
      </c>
      <c r="AF152" s="459">
        <f>IF(CUENTAS!N141/CUENTAS!$AB141&lt;&gt;0,CUENTAS!N141/CUENTAS!$AB141,"")</f>
        <v>0.05787210409</v>
      </c>
      <c r="AG152" s="459" t="str">
        <f>IF(CUENTAS!O141/CUENTAS!$AB141&lt;&gt;0,CUENTAS!O141/CUENTAS!$AB141,"")</f>
        <v/>
      </c>
      <c r="AH152" s="459" t="str">
        <f>IF(CUENTAS!P141/CUENTAS!$AB141&lt;&gt;0,CUENTAS!P141/CUENTAS!$AB141,"")</f>
        <v/>
      </c>
      <c r="AI152" s="459">
        <f>IF(CUENTAS!R141/CUENTAS!$AB141&lt;&gt;0,CUENTAS!R141/CUENTAS!$AB141,"")</f>
        <v>0.1047587046</v>
      </c>
      <c r="AJ152" s="459" t="str">
        <f>IF(CUENTAS!B141/CUENTAS!$AB141&lt;&gt;0,CUENTAS!B141/CUENTAS!$AB141,"")</f>
        <v/>
      </c>
      <c r="AK152" s="459">
        <f>IF(CUENTAS!S141/CUENTAS!$AB141&lt;&gt;0,CUENTAS!S141/CUENTAS!$AB141,"")</f>
        <v>0.04652049123</v>
      </c>
      <c r="AL152" s="459">
        <f>IF(CUENTAS!T141/CUENTAS!$AB141&lt;&gt;0,CUENTAS!T141/CUENTAS!$AB141,"")</f>
        <v>0.03876086133</v>
      </c>
      <c r="AM152" s="459">
        <f>IF(CUENTAS!U141/CUENTAS!$AB141&lt;&gt;0,CUENTAS!U141/CUENTAS!$AB141,"")</f>
        <v>0.0994236553</v>
      </c>
      <c r="AN152" s="459">
        <f>IF(CUENTAS!V141/CUENTAS!$AB141&lt;&gt;0,CUENTAS!V141/CUENTAS!$AB141,"")</f>
        <v>0.1510574092</v>
      </c>
      <c r="AO152" s="459">
        <f>IF(CUENTAS!W141/CUENTAS!$AB141&lt;&gt;0,CUENTAS!W141/CUENTAS!$AB141,"")</f>
        <v>0.06501712028</v>
      </c>
      <c r="AP152" s="459" t="str">
        <f>IF(CUENTAS!X141/CUENTAS!$AB141&lt;&gt;0,CUENTAS!X141/CUENTAS!$AB141,"")</f>
        <v/>
      </c>
      <c r="AQ152" s="459" t="str">
        <f>IF(CUENTAS!Y141/CUENTAS!$AB141&lt;&gt;0,CUENTAS!Y141/CUENTAS!$AB141,"")</f>
        <v/>
      </c>
      <c r="AR152" s="459">
        <f>IF(CUENTAS!AA141/CUENTAS!$AB141&lt;&gt;0,CUENTAS!AA141/CUENTAS!$AB141,"")</f>
        <v>0.06493471582</v>
      </c>
    </row>
    <row r="153">
      <c r="A153" s="474"/>
      <c r="B153" s="200"/>
      <c r="C153" s="200"/>
      <c r="F153" s="200"/>
      <c r="G153" s="200"/>
      <c r="J153" s="465">
        <v>45507.0</v>
      </c>
      <c r="K153" s="466">
        <f>SUMIF(GRAFICO!A:A,J153,GRAFICO!B:B)</f>
        <v>12771.38228</v>
      </c>
      <c r="L153" s="467">
        <f t="shared" si="2"/>
        <v>0.2345525759</v>
      </c>
      <c r="M153" s="468">
        <v>45872.0</v>
      </c>
      <c r="N153" s="469">
        <f>IF(SUMIF(GRAFICO!A:A,M153,GRAFICO!B:B)=0,"",SUMIF(GRAFICO!A:A,M153,GRAFICO!B:B))</f>
        <v>17348.67472</v>
      </c>
      <c r="O153" s="467">
        <f t="shared" si="3"/>
        <v>0.2204428436</v>
      </c>
      <c r="P153" s="468">
        <v>46237.0</v>
      </c>
      <c r="Q153" s="463" t="str">
        <f>IF(SUMIF(GRAFICO!A:A,P153,GRAFICO!B:B)=0,"",SUMIF(GRAFICO!A:A,P153,GRAFICO!B:B))</f>
        <v/>
      </c>
      <c r="R153" s="463" t="str">
        <f t="shared" si="4"/>
        <v/>
      </c>
      <c r="S153" s="471">
        <f>CUENTAS!A142</f>
        <v>45960</v>
      </c>
      <c r="T153" s="459">
        <f>IF(CUENTAS!Q142/CUENTAS!$AB142&lt;&gt;0,CUENTAS!Q142/CUENTAS!$AB142,"")</f>
        <v>0.060270551</v>
      </c>
      <c r="U153" s="459" t="str">
        <f>IF(CUENTAS!C142/CUENTAS!$AB142&lt;&gt;0,CUENTAS!C142/CUENTAS!$AB142,"")</f>
        <v/>
      </c>
      <c r="V153" s="459" t="str">
        <f>IF(CUENTAS!D142/CUENTAS!$AB142&lt;&gt;0,CUENTAS!D142/CUENTAS!$AB142,"")</f>
        <v/>
      </c>
      <c r="W153" s="459" t="str">
        <f>IF(CUENTAS!E142/CUENTAS!$AB142&lt;&gt;0,CUENTAS!E142/CUENTAS!$AB142,"")</f>
        <v/>
      </c>
      <c r="X153" s="459" t="str">
        <f>IF(CUENTAS!F142/CUENTAS!$AB142&lt;&gt;0,CUENTAS!F142/CUENTAS!$AB142,"")</f>
        <v/>
      </c>
      <c r="Y153" s="459">
        <f>IF(CUENTAS!G142/CUENTAS!$AB142&lt;&gt;0,CUENTAS!G142/CUENTAS!$AB142,"")</f>
        <v>0.09262521904</v>
      </c>
      <c r="Z153" s="459">
        <f>IF(CUENTAS!H142/CUENTAS!$AB142&lt;&gt;0,CUENTAS!H142/CUENTAS!$AB142,"")</f>
        <v>0.04105270425</v>
      </c>
      <c r="AA153" s="459">
        <f>IF(CUENTAS!I142/CUENTAS!$AB142&lt;&gt;0,CUENTAS!I142/CUENTAS!$AB142,"")</f>
        <v>0.08323878564</v>
      </c>
      <c r="AB153" s="459">
        <f>IF(CUENTAS!J142/CUENTAS!$AB142&lt;&gt;0,CUENTAS!J142/CUENTAS!$AB142,"")</f>
        <v>0.1753485329</v>
      </c>
      <c r="AC153" s="459">
        <f>IF(CUENTAS!K142/CUENTAS!$AB142&lt;&gt;0,CUENTAS!K142/CUENTAS!$AB142,"")</f>
        <v>0.07245242772</v>
      </c>
      <c r="AD153" s="459">
        <f>IF(CUENTAS!L142/CUENTAS!$AB142&lt;&gt;0,CUENTAS!L142/CUENTAS!$AB142,"")</f>
        <v>0.008727774965</v>
      </c>
      <c r="AE153" s="459">
        <f>IF(CUENTAS!M142/CUENTAS!$AB142&lt;&gt;0,CUENTAS!M142/CUENTAS!$AB142,"")</f>
        <v>0.06011084285</v>
      </c>
      <c r="AF153" s="459">
        <f>IF(CUENTAS!N142/CUENTAS!$AB142&lt;&gt;0,CUENTAS!N142/CUENTAS!$AB142,"")</f>
        <v>0.05759185984</v>
      </c>
      <c r="AG153" s="459" t="str">
        <f>IF(CUENTAS!O142/CUENTAS!$AB142&lt;&gt;0,CUENTAS!O142/CUENTAS!$AB142,"")</f>
        <v/>
      </c>
      <c r="AH153" s="459" t="str">
        <f>IF(CUENTAS!P142/CUENTAS!$AB142&lt;&gt;0,CUENTAS!P142/CUENTAS!$AB142,"")</f>
        <v/>
      </c>
      <c r="AI153" s="459">
        <f>IF(CUENTAS!R142/CUENTAS!$AB142&lt;&gt;0,CUENTAS!R142/CUENTAS!$AB142,"")</f>
        <v>0.1050170294</v>
      </c>
      <c r="AJ153" s="459" t="str">
        <f>IF(CUENTAS!B142/CUENTAS!$AB142&lt;&gt;0,CUENTAS!B142/CUENTAS!$AB142,"")</f>
        <v/>
      </c>
      <c r="AK153" s="459">
        <f>IF(CUENTAS!S142/CUENTAS!$AB142&lt;&gt;0,CUENTAS!S142/CUENTAS!$AB142,"")</f>
        <v>0.04658410804</v>
      </c>
      <c r="AL153" s="459">
        <f>IF(CUENTAS!T142/CUENTAS!$AB142&lt;&gt;0,CUENTAS!T142/CUENTAS!$AB142,"")</f>
        <v>0.03880137008</v>
      </c>
      <c r="AM153" s="459">
        <f>IF(CUENTAS!U142/CUENTAS!$AB142&lt;&gt;0,CUENTAS!U142/CUENTAS!$AB142,"")</f>
        <v>0.0993909937</v>
      </c>
      <c r="AN153" s="459">
        <f>IF(CUENTAS!V142/CUENTAS!$AB142&lt;&gt;0,CUENTAS!V142/CUENTAS!$AB142,"")</f>
        <v>0.151354225</v>
      </c>
      <c r="AO153" s="459">
        <f>IF(CUENTAS!W142/CUENTAS!$AB142&lt;&gt;0,CUENTAS!W142/CUENTAS!$AB142,"")</f>
        <v>0.06517744618</v>
      </c>
      <c r="AP153" s="459" t="str">
        <f>IF(CUENTAS!X142/CUENTAS!$AB142&lt;&gt;0,CUENTAS!X142/CUENTAS!$AB142,"")</f>
        <v/>
      </c>
      <c r="AQ153" s="459" t="str">
        <f>IF(CUENTAS!Y142/CUENTAS!$AB142&lt;&gt;0,CUENTAS!Y142/CUENTAS!$AB142,"")</f>
        <v/>
      </c>
      <c r="AR153" s="459">
        <f>IF(CUENTAS!AA142/CUENTAS!$AB142&lt;&gt;0,CUENTAS!AA142/CUENTAS!$AB142,"")</f>
        <v>0.06509483852</v>
      </c>
    </row>
    <row r="154">
      <c r="A154" s="474"/>
      <c r="B154" s="200"/>
      <c r="C154" s="200"/>
      <c r="F154" s="200"/>
      <c r="G154" s="200"/>
      <c r="J154" s="465">
        <v>45506.0</v>
      </c>
      <c r="K154" s="466">
        <f>SUMIF(GRAFICO!A:A,J154,GRAFICO!B:B)</f>
        <v>12764.27111</v>
      </c>
      <c r="L154" s="467">
        <f t="shared" si="2"/>
        <v>0.2339956158</v>
      </c>
      <c r="M154" s="468">
        <v>45871.0</v>
      </c>
      <c r="N154" s="469">
        <f>IF(SUMIF(GRAFICO!A:A,M154,GRAFICO!B:B)=0,"",SUMIF(GRAFICO!A:A,M154,GRAFICO!B:B))</f>
        <v>17348.46489</v>
      </c>
      <c r="O154" s="467">
        <f t="shared" si="3"/>
        <v>0.2204307484</v>
      </c>
      <c r="P154" s="465">
        <v>46236.0</v>
      </c>
      <c r="Q154" s="463" t="str">
        <f>IF(SUMIF(GRAFICO!A:A,P154,GRAFICO!B:B)=0,"",SUMIF(GRAFICO!A:A,P154,GRAFICO!B:B))</f>
        <v/>
      </c>
      <c r="R154" s="463" t="str">
        <f t="shared" si="4"/>
        <v/>
      </c>
      <c r="S154" s="471">
        <f>CUENTAS!A143</f>
        <v>45959</v>
      </c>
      <c r="T154" s="459">
        <f>IF(CUENTAS!Q143/CUENTAS!$AB143&lt;&gt;0,CUENTAS!Q143/CUENTAS!$AB143,"")</f>
        <v>0.06051011795</v>
      </c>
      <c r="U154" s="459" t="str">
        <f>IF(CUENTAS!C143/CUENTAS!$AB143&lt;&gt;0,CUENTAS!C143/CUENTAS!$AB143,"")</f>
        <v/>
      </c>
      <c r="V154" s="459" t="str">
        <f>IF(CUENTAS!D143/CUENTAS!$AB143&lt;&gt;0,CUENTAS!D143/CUENTAS!$AB143,"")</f>
        <v/>
      </c>
      <c r="W154" s="459" t="str">
        <f>IF(CUENTAS!E143/CUENTAS!$AB143&lt;&gt;0,CUENTAS!E143/CUENTAS!$AB143,"")</f>
        <v/>
      </c>
      <c r="X154" s="459" t="str">
        <f>IF(CUENTAS!F143/CUENTAS!$AB143&lt;&gt;0,CUENTAS!F143/CUENTAS!$AB143,"")</f>
        <v/>
      </c>
      <c r="Y154" s="459">
        <f>IF(CUENTAS!G143/CUENTAS!$AB143&lt;&gt;0,CUENTAS!G143/CUENTAS!$AB143,"")</f>
        <v>0.09079816804</v>
      </c>
      <c r="Z154" s="459">
        <f>IF(CUENTAS!H143/CUENTAS!$AB143&lt;&gt;0,CUENTAS!H143/CUENTAS!$AB143,"")</f>
        <v>0.04097497446</v>
      </c>
      <c r="AA154" s="459">
        <f>IF(CUENTAS!I143/CUENTAS!$AB143&lt;&gt;0,CUENTAS!I143/CUENTAS!$AB143,"")</f>
        <v>0.08281101722</v>
      </c>
      <c r="AB154" s="459">
        <f>IF(CUENTAS!J143/CUENTAS!$AB143&lt;&gt;0,CUENTAS!J143/CUENTAS!$AB143,"")</f>
        <v>0.1758646784</v>
      </c>
      <c r="AC154" s="459">
        <f>IF(CUENTAS!K143/CUENTAS!$AB143&lt;&gt;0,CUENTAS!K143/CUENTAS!$AB143,"")</f>
        <v>0.07486785457</v>
      </c>
      <c r="AD154" s="459">
        <f>IF(CUENTAS!L143/CUENTAS!$AB143&lt;&gt;0,CUENTAS!L143/CUENTAS!$AB143,"")</f>
        <v>0.008604084814</v>
      </c>
      <c r="AE154" s="459">
        <f>IF(CUENTAS!M143/CUENTAS!$AB143&lt;&gt;0,CUENTAS!M143/CUENTAS!$AB143,"")</f>
        <v>0.05982170319</v>
      </c>
      <c r="AF154" s="459">
        <f>IF(CUENTAS!N143/CUENTAS!$AB143&lt;&gt;0,CUENTAS!N143/CUENTAS!$AB143,"")</f>
        <v>0.05806437605</v>
      </c>
      <c r="AG154" s="459" t="str">
        <f>IF(CUENTAS!O143/CUENTAS!$AB143&lt;&gt;0,CUENTAS!O143/CUENTAS!$AB143,"")</f>
        <v/>
      </c>
      <c r="AH154" s="459" t="str">
        <f>IF(CUENTAS!P143/CUENTAS!$AB143&lt;&gt;0,CUENTAS!P143/CUENTAS!$AB143,"")</f>
        <v/>
      </c>
      <c r="AI154" s="459">
        <f>IF(CUENTAS!R143/CUENTAS!$AB143&lt;&gt;0,CUENTAS!R143/CUENTAS!$AB143,"")</f>
        <v>0.1048519465</v>
      </c>
      <c r="AJ154" s="459" t="str">
        <f>IF(CUENTAS!B143/CUENTAS!$AB143&lt;&gt;0,CUENTAS!B143/CUENTAS!$AB143,"")</f>
        <v/>
      </c>
      <c r="AK154" s="459">
        <f>IF(CUENTAS!S143/CUENTAS!$AB143&lt;&gt;0,CUENTAS!S143/CUENTAS!$AB143,"")</f>
        <v>0.04645986166</v>
      </c>
      <c r="AL154" s="459">
        <f>IF(CUENTAS!T143/CUENTAS!$AB143&lt;&gt;0,CUENTAS!T143/CUENTAS!$AB143,"")</f>
        <v>0.03868539054</v>
      </c>
      <c r="AM154" s="459">
        <f>IF(CUENTAS!U143/CUENTAS!$AB143&lt;&gt;0,CUENTAS!U143/CUENTAS!$AB143,"")</f>
        <v>0.1359957788</v>
      </c>
      <c r="AN154" s="459">
        <f>IF(CUENTAS!V143/CUENTAS!$AB143&lt;&gt;0,CUENTAS!V143/CUENTAS!$AB143,"")</f>
        <v>0.1139443164</v>
      </c>
      <c r="AO154" s="459">
        <f>IF(CUENTAS!W143/CUENTAS!$AB143&lt;&gt;0,CUENTAS!W143/CUENTAS!$AB143,"")</f>
        <v>0.06507498963</v>
      </c>
      <c r="AP154" s="459" t="str">
        <f>IF(CUENTAS!X143/CUENTAS!$AB143&lt;&gt;0,CUENTAS!X143/CUENTAS!$AB143,"")</f>
        <v/>
      </c>
      <c r="AQ154" s="459" t="str">
        <f>IF(CUENTAS!Y143/CUENTAS!$AB143&lt;&gt;0,CUENTAS!Y143/CUENTAS!$AB143,"")</f>
        <v/>
      </c>
      <c r="AR154" s="459">
        <f>IF(CUENTAS!AA143/CUENTAS!$AB143&lt;&gt;0,CUENTAS!AA143/CUENTAS!$AB143,"")</f>
        <v>0.06499251183</v>
      </c>
    </row>
    <row r="155">
      <c r="A155" s="474"/>
      <c r="B155" s="200"/>
      <c r="C155" s="200"/>
      <c r="F155" s="200"/>
      <c r="G155" s="200"/>
      <c r="J155" s="465">
        <v>45505.0</v>
      </c>
      <c r="K155" s="466">
        <f>SUMIF(GRAFICO!A:A,J155,GRAFICO!B:B)</f>
        <v>12841.62897</v>
      </c>
      <c r="L155" s="467">
        <f t="shared" si="2"/>
        <v>0.2400378242</v>
      </c>
      <c r="M155" s="468">
        <v>45870.0</v>
      </c>
      <c r="N155" s="469">
        <f>IF(SUMIF(GRAFICO!A:A,M155,GRAFICO!B:B)=0,"",SUMIF(GRAFICO!A:A,M155,GRAFICO!B:B))</f>
        <v>17348.25519</v>
      </c>
      <c r="O155" s="467">
        <f t="shared" si="3"/>
        <v>0.2204186608</v>
      </c>
      <c r="P155" s="468">
        <v>46235.0</v>
      </c>
      <c r="Q155" s="463" t="str">
        <f>IF(SUMIF(GRAFICO!A:A,P155,GRAFICO!B:B)=0,"",SUMIF(GRAFICO!A:A,P155,GRAFICO!B:B))</f>
        <v/>
      </c>
      <c r="R155" s="463" t="str">
        <f t="shared" si="4"/>
        <v/>
      </c>
      <c r="S155" s="471">
        <f>CUENTAS!A144</f>
        <v>45958</v>
      </c>
      <c r="T155" s="459">
        <f>IF(CUENTAS!Q144/CUENTAS!$AB144&lt;&gt;0,CUENTAS!Q144/CUENTAS!$AB144,"")</f>
        <v>0.06067427969</v>
      </c>
      <c r="U155" s="459" t="str">
        <f>IF(CUENTAS!C144/CUENTAS!$AB144&lt;&gt;0,CUENTAS!C144/CUENTAS!$AB144,"")</f>
        <v/>
      </c>
      <c r="V155" s="459" t="str">
        <f>IF(CUENTAS!D144/CUENTAS!$AB144&lt;&gt;0,CUENTAS!D144/CUENTAS!$AB144,"")</f>
        <v/>
      </c>
      <c r="W155" s="459" t="str">
        <f>IF(CUENTAS!E144/CUENTAS!$AB144&lt;&gt;0,CUENTAS!E144/CUENTAS!$AB144,"")</f>
        <v/>
      </c>
      <c r="X155" s="459" t="str">
        <f>IF(CUENTAS!F144/CUENTAS!$AB144&lt;&gt;0,CUENTAS!F144/CUENTAS!$AB144,"")</f>
        <v/>
      </c>
      <c r="Y155" s="459">
        <f>IF(CUENTAS!G144/CUENTAS!$AB144&lt;&gt;0,CUENTAS!G144/CUENTAS!$AB144,"")</f>
        <v>0.08991341765</v>
      </c>
      <c r="Z155" s="459">
        <f>IF(CUENTAS!H144/CUENTAS!$AB144&lt;&gt;0,CUENTAS!H144/CUENTAS!$AB144,"")</f>
        <v>0.04073553841</v>
      </c>
      <c r="AA155" s="459">
        <f>IF(CUENTAS!I144/CUENTAS!$AB144&lt;&gt;0,CUENTAS!I144/CUENTAS!$AB144,"")</f>
        <v>0.08210134982</v>
      </c>
      <c r="AB155" s="459">
        <f>IF(CUENTAS!J144/CUENTAS!$AB144&lt;&gt;0,CUENTAS!J144/CUENTAS!$AB144,"")</f>
        <v>0.1748841682</v>
      </c>
      <c r="AC155" s="459">
        <f>IF(CUENTAS!K144/CUENTAS!$AB144&lt;&gt;0,CUENTAS!K144/CUENTAS!$AB144,"")</f>
        <v>0.07655052455</v>
      </c>
      <c r="AD155" s="459">
        <f>IF(CUENTAS!L144/CUENTAS!$AB144&lt;&gt;0,CUENTAS!L144/CUENTAS!$AB144,"")</f>
        <v>0.008733150988</v>
      </c>
      <c r="AE155" s="459">
        <f>IF(CUENTAS!M144/CUENTAS!$AB144&lt;&gt;0,CUENTAS!M144/CUENTAS!$AB144,"")</f>
        <v>0.06001968038</v>
      </c>
      <c r="AF155" s="459">
        <f>IF(CUENTAS!N144/CUENTAS!$AB144&lt;&gt;0,CUENTAS!N144/CUENTAS!$AB144,"")</f>
        <v>0.05703859972</v>
      </c>
      <c r="AG155" s="459" t="str">
        <f>IF(CUENTAS!O144/CUENTAS!$AB144&lt;&gt;0,CUENTAS!O144/CUENTAS!$AB144,"")</f>
        <v/>
      </c>
      <c r="AH155" s="459" t="str">
        <f>IF(CUENTAS!P144/CUENTAS!$AB144&lt;&gt;0,CUENTAS!P144/CUENTAS!$AB144,"")</f>
        <v/>
      </c>
      <c r="AI155" s="459">
        <f>IF(CUENTAS!R144/CUENTAS!$AB144&lt;&gt;0,CUENTAS!R144/CUENTAS!$AB144,"")</f>
        <v>0.1054276425</v>
      </c>
      <c r="AJ155" s="459" t="str">
        <f>IF(CUENTAS!B144/CUENTAS!$AB144&lt;&gt;0,CUENTAS!B144/CUENTAS!$AB144,"")</f>
        <v/>
      </c>
      <c r="AK155" s="459">
        <f>IF(CUENTAS!S144/CUENTAS!$AB144&lt;&gt;0,CUENTAS!S144/CUENTAS!$AB144,"")</f>
        <v>0.04666365441</v>
      </c>
      <c r="AL155" s="459">
        <f>IF(CUENTAS!T144/CUENTAS!$AB144&lt;&gt;0,CUENTAS!T144/CUENTAS!$AB144,"")</f>
        <v>0.03884250796</v>
      </c>
      <c r="AM155" s="459">
        <f>IF(CUENTAS!U144/CUENTAS!$AB144&lt;&gt;0,CUENTAS!U144/CUENTAS!$AB144,"")</f>
        <v>0.1364960439</v>
      </c>
      <c r="AN155" s="459">
        <f>IF(CUENTAS!V144/CUENTAS!$AB144&lt;&gt;0,CUENTAS!V144/CUENTAS!$AB144,"")</f>
        <v>0.1145126784</v>
      </c>
      <c r="AO155" s="459">
        <f>IF(CUENTAS!W144/CUENTAS!$AB144&lt;&gt;0,CUENTAS!W144/CUENTAS!$AB144,"")</f>
        <v>0.06543228789</v>
      </c>
      <c r="AP155" s="459" t="str">
        <f>IF(CUENTAS!X144/CUENTAS!$AB144&lt;&gt;0,CUENTAS!X144/CUENTAS!$AB144,"")</f>
        <v/>
      </c>
      <c r="AQ155" s="459" t="str">
        <f>IF(CUENTAS!Y144/CUENTAS!$AB144&lt;&gt;0,CUENTAS!Y144/CUENTAS!$AB144,"")</f>
        <v/>
      </c>
      <c r="AR155" s="459">
        <f>IF(CUENTAS!AA144/CUENTAS!$AB144&lt;&gt;0,CUENTAS!AA144/CUENTAS!$AB144,"")</f>
        <v>0.06534935723</v>
      </c>
    </row>
    <row r="156">
      <c r="A156" s="474"/>
      <c r="B156" s="200"/>
      <c r="C156" s="200"/>
      <c r="F156" s="200"/>
      <c r="G156" s="200"/>
      <c r="J156" s="470">
        <v>45504.0</v>
      </c>
      <c r="K156" s="466">
        <f>SUMIF(GRAFICO!A:A,J156,GRAFICO!B:B)</f>
        <v>12819.60915</v>
      </c>
      <c r="L156" s="467">
        <f t="shared" si="2"/>
        <v>0.2383216313</v>
      </c>
      <c r="M156" s="468">
        <v>45869.0</v>
      </c>
      <c r="N156" s="469">
        <f>IF(SUMIF(GRAFICO!A:A,M156,GRAFICO!B:B)=0,"",SUMIF(GRAFICO!A:A,M156,GRAFICO!B:B))</f>
        <v>17578.95567</v>
      </c>
      <c r="O156" s="467">
        <f t="shared" si="3"/>
        <v>0.2336292113</v>
      </c>
      <c r="P156" s="465">
        <v>46234.0</v>
      </c>
      <c r="Q156" s="463" t="str">
        <f>IF(SUMIF(GRAFICO!A:A,P156,GRAFICO!B:B)=0,"",SUMIF(GRAFICO!A:A,P156,GRAFICO!B:B))</f>
        <v/>
      </c>
      <c r="R156" s="463" t="str">
        <f t="shared" si="4"/>
        <v/>
      </c>
      <c r="S156" s="471">
        <f>CUENTAS!A145</f>
        <v>45957</v>
      </c>
      <c r="T156" s="459">
        <f>IF(CUENTAS!Q145/CUENTAS!$AB145&lt;&gt;0,CUENTAS!Q145/CUENTAS!$AB145,"")</f>
        <v>0.06003682044</v>
      </c>
      <c r="U156" s="459" t="str">
        <f>IF(CUENTAS!C145/CUENTAS!$AB145&lt;&gt;0,CUENTAS!C145/CUENTAS!$AB145,"")</f>
        <v/>
      </c>
      <c r="V156" s="459" t="str">
        <f>IF(CUENTAS!D145/CUENTAS!$AB145&lt;&gt;0,CUENTAS!D145/CUENTAS!$AB145,"")</f>
        <v/>
      </c>
      <c r="W156" s="459" t="str">
        <f>IF(CUENTAS!E145/CUENTAS!$AB145&lt;&gt;0,CUENTAS!E145/CUENTAS!$AB145,"")</f>
        <v/>
      </c>
      <c r="X156" s="459">
        <f>IF(CUENTAS!F145/CUENTAS!$AB145&lt;&gt;0,CUENTAS!F145/CUENTAS!$AB145,"")</f>
        <v>0.04026123855</v>
      </c>
      <c r="Y156" s="459">
        <f>IF(CUENTAS!G145/CUENTAS!$AB145&lt;&gt;0,CUENTAS!G145/CUENTAS!$AB145,"")</f>
        <v>0.08960144852</v>
      </c>
      <c r="Z156" s="459">
        <f>IF(CUENTAS!H145/CUENTAS!$AB145&lt;&gt;0,CUENTAS!H145/CUENTAS!$AB145,"")</f>
        <v>0.04090030583</v>
      </c>
      <c r="AA156" s="459">
        <f>IF(CUENTAS!I145/CUENTAS!$AB145&lt;&gt;0,CUENTAS!I145/CUENTAS!$AB145,"")</f>
        <v>0.08208020358</v>
      </c>
      <c r="AB156" s="459">
        <f>IF(CUENTAS!J145/CUENTAS!$AB145&lt;&gt;0,CUENTAS!J145/CUENTAS!$AB145,"")</f>
        <v>0.1791163567</v>
      </c>
      <c r="AC156" s="459">
        <f>IF(CUENTAS!K145/CUENTAS!$AB145&lt;&gt;0,CUENTAS!K145/CUENTAS!$AB145,"")</f>
        <v>0.07578938506</v>
      </c>
      <c r="AD156" s="459">
        <f>IF(CUENTAS!L145/CUENTAS!$AB145&lt;&gt;0,CUENTAS!L145/CUENTAS!$AB145,"")</f>
        <v>0.008654036063</v>
      </c>
      <c r="AE156" s="459">
        <f>IF(CUENTAS!M145/CUENTAS!$AB145&lt;&gt;0,CUENTAS!M145/CUENTAS!$AB145,"")</f>
        <v>0.05793211449</v>
      </c>
      <c r="AF156" s="459">
        <f>IF(CUENTAS!N145/CUENTAS!$AB145&lt;&gt;0,CUENTAS!N145/CUENTAS!$AB145,"")</f>
        <v>0.05559885323</v>
      </c>
      <c r="AG156" s="459" t="str">
        <f>IF(CUENTAS!O145/CUENTAS!$AB145&lt;&gt;0,CUENTAS!O145/CUENTAS!$AB145,"")</f>
        <v/>
      </c>
      <c r="AH156" s="459" t="str">
        <f>IF(CUENTAS!P145/CUENTAS!$AB145&lt;&gt;0,CUENTAS!P145/CUENTAS!$AB145,"")</f>
        <v/>
      </c>
      <c r="AI156" s="459">
        <f>IF(CUENTAS!R145/CUENTAS!$AB145&lt;&gt;0,CUENTAS!R145/CUENTAS!$AB145,"")</f>
        <v>0.1057851617</v>
      </c>
      <c r="AJ156" s="459" t="str">
        <f>IF(CUENTAS!B145/CUENTAS!$AB145&lt;&gt;0,CUENTAS!B145/CUENTAS!$AB145,"")</f>
        <v/>
      </c>
      <c r="AK156" s="459">
        <f>IF(CUENTAS!S145/CUENTAS!$AB145&lt;&gt;0,CUENTAS!S145/CUENTAS!$AB145,"")</f>
        <v>0.0467704251</v>
      </c>
      <c r="AL156" s="459">
        <f>IF(CUENTAS!T145/CUENTAS!$AB145&lt;&gt;0,CUENTAS!T145/CUENTAS!$AB145,"")</f>
        <v>0.03891875346</v>
      </c>
      <c r="AM156" s="459">
        <f>IF(CUENTAS!U145/CUENTAS!$AB145&lt;&gt;0,CUENTAS!U145/CUENTAS!$AB145,"")</f>
        <v>0.1367116563</v>
      </c>
      <c r="AN156" s="459">
        <f>IF(CUENTAS!V145/CUENTAS!$AB145&lt;&gt;0,CUENTAS!V145/CUENTAS!$AB145,"")</f>
        <v>0.1148435843</v>
      </c>
      <c r="AO156" s="459">
        <f>IF(CUENTAS!W145/CUENTAS!$AB145&lt;&gt;0,CUENTAS!W145/CUENTAS!$AB145,"")</f>
        <v>0.06565417744</v>
      </c>
      <c r="AP156" s="459" t="str">
        <f>IF(CUENTAS!X145/CUENTAS!$AB145&lt;&gt;0,CUENTAS!X145/CUENTAS!$AB145,"")</f>
        <v/>
      </c>
      <c r="AQ156" s="459" t="str">
        <f>IF(CUENTAS!Y145/CUENTAS!$AB145&lt;&gt;0,CUENTAS!Y145/CUENTAS!$AB145,"")</f>
        <v/>
      </c>
      <c r="AR156" s="459">
        <f>IF(CUENTAS!AA145/CUENTAS!$AB145&lt;&gt;0,CUENTAS!AA145/CUENTAS!$AB145,"")</f>
        <v>0.06557096556</v>
      </c>
    </row>
    <row r="157">
      <c r="A157" s="474"/>
      <c r="B157" s="200"/>
      <c r="C157" s="200"/>
      <c r="F157" s="200"/>
      <c r="G157" s="200"/>
      <c r="J157" s="465">
        <v>45503.0</v>
      </c>
      <c r="K157" s="466">
        <f>SUMIF(GRAFICO!A:A,J157,GRAFICO!B:B)</f>
        <v>12779.06543</v>
      </c>
      <c r="L157" s="467">
        <f t="shared" si="2"/>
        <v>0.235153986</v>
      </c>
      <c r="M157" s="468">
        <v>45868.0</v>
      </c>
      <c r="N157" s="469">
        <f>IF(SUMIF(GRAFICO!A:A,M157,GRAFICO!B:B)=0,"",SUMIF(GRAFICO!A:A,M157,GRAFICO!B:B))</f>
        <v>17546.31956</v>
      </c>
      <c r="O157" s="467">
        <f t="shared" si="3"/>
        <v>0.2317709413</v>
      </c>
      <c r="P157" s="468">
        <v>46233.0</v>
      </c>
      <c r="Q157" s="463" t="str">
        <f>IF(SUMIF(GRAFICO!A:A,P157,GRAFICO!B:B)=0,"",SUMIF(GRAFICO!A:A,P157,GRAFICO!B:B))</f>
        <v/>
      </c>
      <c r="R157" s="463" t="str">
        <f t="shared" si="4"/>
        <v/>
      </c>
      <c r="S157" s="471">
        <f>CUENTAS!A146</f>
        <v>45956</v>
      </c>
      <c r="T157" s="459">
        <f>IF(CUENTAS!Q146/CUENTAS!$AB146&lt;&gt;0,CUENTAS!Q146/CUENTAS!$AB146,"")</f>
        <v>0.06026293764</v>
      </c>
      <c r="U157" s="459" t="str">
        <f>IF(CUENTAS!C146/CUENTAS!$AB146&lt;&gt;0,CUENTAS!C146/CUENTAS!$AB146,"")</f>
        <v/>
      </c>
      <c r="V157" s="459" t="str">
        <f>IF(CUENTAS!D146/CUENTAS!$AB146&lt;&gt;0,CUENTAS!D146/CUENTAS!$AB146,"")</f>
        <v/>
      </c>
      <c r="W157" s="459" t="str">
        <f>IF(CUENTAS!E146/CUENTAS!$AB146&lt;&gt;0,CUENTAS!E146/CUENTAS!$AB146,"")</f>
        <v/>
      </c>
      <c r="X157" s="459">
        <f>IF(CUENTAS!F146/CUENTAS!$AB146&lt;&gt;0,CUENTAS!F146/CUENTAS!$AB146,"")</f>
        <v>0.04064119613</v>
      </c>
      <c r="Y157" s="459">
        <f>IF(CUENTAS!G146/CUENTAS!$AB146&lt;&gt;0,CUENTAS!G146/CUENTAS!$AB146,"")</f>
        <v>0.08857894739</v>
      </c>
      <c r="Z157" s="459">
        <f>IF(CUENTAS!H146/CUENTAS!$AB146&lt;&gt;0,CUENTAS!H146/CUENTAS!$AB146,"")</f>
        <v>0.04125941538</v>
      </c>
      <c r="AA157" s="459">
        <f>IF(CUENTAS!I146/CUENTAS!$AB146&lt;&gt;0,CUENTAS!I146/CUENTAS!$AB146,"")</f>
        <v>0.08231051775</v>
      </c>
      <c r="AB157" s="459">
        <f>IF(CUENTAS!J146/CUENTAS!$AB146&lt;&gt;0,CUENTAS!J146/CUENTAS!$AB146,"")</f>
        <v>0.1768644646</v>
      </c>
      <c r="AC157" s="459">
        <f>IF(CUENTAS!K146/CUENTAS!$AB146&lt;&gt;0,CUENTAS!K146/CUENTAS!$AB146,"")</f>
        <v>0.07495908446</v>
      </c>
      <c r="AD157" s="459">
        <f>IF(CUENTAS!L146/CUENTAS!$AB146&lt;&gt;0,CUENTAS!L146/CUENTAS!$AB146,"")</f>
        <v>0.008753626238</v>
      </c>
      <c r="AE157" s="459">
        <f>IF(CUENTAS!M146/CUENTAS!$AB146&lt;&gt;0,CUENTAS!M146/CUENTAS!$AB146,"")</f>
        <v>0.05775198191</v>
      </c>
      <c r="AF157" s="459">
        <f>IF(CUENTAS!N146/CUENTAS!$AB146&lt;&gt;0,CUENTAS!N146/CUENTAS!$AB146,"")</f>
        <v>0.05590852377</v>
      </c>
      <c r="AG157" s="459" t="str">
        <f>IF(CUENTAS!O146/CUENTAS!$AB146&lt;&gt;0,CUENTAS!O146/CUENTAS!$AB146,"")</f>
        <v/>
      </c>
      <c r="AH157" s="459" t="str">
        <f>IF(CUENTAS!P146/CUENTAS!$AB146&lt;&gt;0,CUENTAS!P146/CUENTAS!$AB146,"")</f>
        <v/>
      </c>
      <c r="AI157" s="459">
        <f>IF(CUENTAS!R146/CUENTAS!$AB146&lt;&gt;0,CUENTAS!R146/CUENTAS!$AB146,"")</f>
        <v>0.1067834885</v>
      </c>
      <c r="AJ157" s="459" t="str">
        <f>IF(CUENTAS!B146/CUENTAS!$AB146&lt;&gt;0,CUENTAS!B146/CUENTAS!$AB146,"")</f>
        <v/>
      </c>
      <c r="AK157" s="459">
        <f>IF(CUENTAS!S146/CUENTAS!$AB146&lt;&gt;0,CUENTAS!S146/CUENTAS!$AB146,"")</f>
        <v>0.04715985415</v>
      </c>
      <c r="AL157" s="459">
        <f>IF(CUENTAS!T146/CUENTAS!$AB146&lt;&gt;0,CUENTAS!T146/CUENTAS!$AB146,"")</f>
        <v>0.03923004348</v>
      </c>
      <c r="AM157" s="459">
        <f>IF(CUENTAS!U146/CUENTAS!$AB146&lt;&gt;0,CUENTAS!U146/CUENTAS!$AB146,"")</f>
        <v>0.1377522485</v>
      </c>
      <c r="AN157" s="459">
        <f>IF(CUENTAS!V146/CUENTAS!$AB146&lt;&gt;0,CUENTAS!V146/CUENTAS!$AB146,"")</f>
        <v>0.1158694635</v>
      </c>
      <c r="AO157" s="459">
        <f>IF(CUENTAS!W146/CUENTAS!$AB146&lt;&gt;0,CUENTAS!W146/CUENTAS!$AB146,"")</f>
        <v>0.06627377593</v>
      </c>
      <c r="AP157" s="459" t="str">
        <f>IF(CUENTAS!X146/CUENTAS!$AB146&lt;&gt;0,CUENTAS!X146/CUENTAS!$AB146,"")</f>
        <v/>
      </c>
      <c r="AQ157" s="459" t="str">
        <f>IF(CUENTAS!Y146/CUENTAS!$AB146&lt;&gt;0,CUENTAS!Y146/CUENTAS!$AB146,"")</f>
        <v/>
      </c>
      <c r="AR157" s="459">
        <f>IF(CUENTAS!AA146/CUENTAS!$AB146&lt;&gt;0,CUENTAS!AA146/CUENTAS!$AB146,"")</f>
        <v>0.06618977875</v>
      </c>
    </row>
    <row r="158">
      <c r="A158" s="474"/>
      <c r="B158" s="200"/>
      <c r="C158" s="200"/>
      <c r="F158" s="200"/>
      <c r="G158" s="200"/>
      <c r="J158" s="470">
        <v>45502.0</v>
      </c>
      <c r="K158" s="466">
        <f>SUMIF(GRAFICO!A:A,J158,GRAFICO!B:B)</f>
        <v>12757.5428</v>
      </c>
      <c r="L158" s="467">
        <f t="shared" si="2"/>
        <v>0.233468356</v>
      </c>
      <c r="M158" s="468">
        <v>45867.0</v>
      </c>
      <c r="N158" s="469">
        <f>IF(SUMIF(GRAFICO!A:A,M158,GRAFICO!B:B)=0,"",SUMIF(GRAFICO!A:A,M158,GRAFICO!B:B))</f>
        <v>17445.24665</v>
      </c>
      <c r="O158" s="467">
        <f t="shared" si="3"/>
        <v>0.2259939384</v>
      </c>
      <c r="P158" s="465">
        <v>46232.0</v>
      </c>
      <c r="Q158" s="463" t="str">
        <f>IF(SUMIF(GRAFICO!A:A,P158,GRAFICO!B:B)=0,"",SUMIF(GRAFICO!A:A,P158,GRAFICO!B:B))</f>
        <v/>
      </c>
      <c r="R158" s="463" t="str">
        <f t="shared" si="4"/>
        <v/>
      </c>
      <c r="S158" s="471">
        <f>CUENTAS!A147</f>
        <v>45955</v>
      </c>
      <c r="T158" s="459">
        <f>IF(CUENTAS!Q147/CUENTAS!$AB147&lt;&gt;0,CUENTAS!Q147/CUENTAS!$AB147,"")</f>
        <v>0.06027717775</v>
      </c>
      <c r="U158" s="459" t="str">
        <f>IF(CUENTAS!C147/CUENTAS!$AB147&lt;&gt;0,CUENTAS!C147/CUENTAS!$AB147,"")</f>
        <v/>
      </c>
      <c r="V158" s="459" t="str">
        <f>IF(CUENTAS!D147/CUENTAS!$AB147&lt;&gt;0,CUENTAS!D147/CUENTAS!$AB147,"")</f>
        <v/>
      </c>
      <c r="W158" s="459" t="str">
        <f>IF(CUENTAS!E147/CUENTAS!$AB147&lt;&gt;0,CUENTAS!E147/CUENTAS!$AB147,"")</f>
        <v/>
      </c>
      <c r="X158" s="459">
        <f>IF(CUENTAS!F147/CUENTAS!$AB147&lt;&gt;0,CUENTAS!F147/CUENTAS!$AB147,"")</f>
        <v>0.04134982131</v>
      </c>
      <c r="Y158" s="459">
        <f>IF(CUENTAS!G147/CUENTAS!$AB147&lt;&gt;0,CUENTAS!G147/CUENTAS!$AB147,"")</f>
        <v>0.08859987856</v>
      </c>
      <c r="Z158" s="459">
        <f>IF(CUENTAS!H147/CUENTAS!$AB147&lt;&gt;0,CUENTAS!H147/CUENTAS!$AB147,"")</f>
        <v>0.04126916496</v>
      </c>
      <c r="AA158" s="459">
        <f>IF(CUENTAS!I147/CUENTAS!$AB147&lt;&gt;0,CUENTAS!I147/CUENTAS!$AB147,"")</f>
        <v>0.08232996769</v>
      </c>
      <c r="AB158" s="459">
        <f>IF(CUENTAS!J147/CUENTAS!$AB147&lt;&gt;0,CUENTAS!J147/CUENTAS!$AB147,"")</f>
        <v>0.1769062576</v>
      </c>
      <c r="AC158" s="459">
        <f>IF(CUENTAS!K147/CUENTAS!$AB147&lt;&gt;0,CUENTAS!K147/CUENTAS!$AB147,"")</f>
        <v>0.07497679726</v>
      </c>
      <c r="AD158" s="459">
        <f>IF(CUENTAS!L147/CUENTAS!$AB147&lt;&gt;0,CUENTAS!L147/CUENTAS!$AB147,"")</f>
        <v>0.008755694716</v>
      </c>
      <c r="AE158" s="459">
        <f>IF(CUENTAS!M147/CUENTAS!$AB147&lt;&gt;0,CUENTAS!M147/CUENTAS!$AB147,"")</f>
        <v>0.05776562868</v>
      </c>
      <c r="AF158" s="459">
        <f>IF(CUENTAS!N147/CUENTAS!$AB147&lt;&gt;0,CUENTAS!N147/CUENTAS!$AB147,"")</f>
        <v>0.05592173493</v>
      </c>
      <c r="AG158" s="459" t="str">
        <f>IF(CUENTAS!O147/CUENTAS!$AB147&lt;&gt;0,CUENTAS!O147/CUENTAS!$AB147,"")</f>
        <v/>
      </c>
      <c r="AH158" s="459" t="str">
        <f>IF(CUENTAS!P147/CUENTAS!$AB147&lt;&gt;0,CUENTAS!P147/CUENTAS!$AB147,"")</f>
        <v/>
      </c>
      <c r="AI158" s="459">
        <f>IF(CUENTAS!R147/CUENTAS!$AB147&lt;&gt;0,CUENTAS!R147/CUENTAS!$AB147,"")</f>
        <v>0.08099241658</v>
      </c>
      <c r="AJ158" s="459" t="str">
        <f>IF(CUENTAS!B147/CUENTAS!$AB147&lt;&gt;0,CUENTAS!B147/CUENTAS!$AB147,"")</f>
        <v/>
      </c>
      <c r="AK158" s="459">
        <f>IF(CUENTAS!S147/CUENTAS!$AB147&lt;&gt;0,CUENTAS!S147/CUENTAS!$AB147,"")</f>
        <v>0.04711902802</v>
      </c>
      <c r="AL158" s="459">
        <f>IF(CUENTAS!T147/CUENTAS!$AB147&lt;&gt;0,CUENTAS!T147/CUENTAS!$AB147,"")</f>
        <v>0.03920570671</v>
      </c>
      <c r="AM158" s="459">
        <f>IF(CUENTAS!U147/CUENTAS!$AB147&lt;&gt;0,CUENTAS!U147/CUENTAS!$AB147,"")</f>
        <v>0.137535143</v>
      </c>
      <c r="AN158" s="459">
        <f>IF(CUENTAS!V147/CUENTAS!$AB147&lt;&gt;0,CUENTAS!V147/CUENTAS!$AB147,"")</f>
        <v>0.141642327</v>
      </c>
      <c r="AO158" s="459">
        <f>IF(CUENTAS!W147/CUENTAS!$AB147&lt;&gt;0,CUENTAS!W147/CUENTAS!$AB147,"")</f>
        <v>0.06628943639</v>
      </c>
      <c r="AP158" s="459" t="str">
        <f>IF(CUENTAS!X147/CUENTAS!$AB147&lt;&gt;0,CUENTAS!X147/CUENTAS!$AB147,"")</f>
        <v/>
      </c>
      <c r="AQ158" s="459" t="str">
        <f>IF(CUENTAS!Y147/CUENTAS!$AB147&lt;&gt;0,CUENTAS!Y147/CUENTAS!$AB147,"")</f>
        <v/>
      </c>
      <c r="AR158" s="459">
        <f>IF(CUENTAS!AA147/CUENTAS!$AB147&lt;&gt;0,CUENTAS!AA147/CUENTAS!$AB147,"")</f>
        <v>0.06620541936</v>
      </c>
    </row>
    <row r="159">
      <c r="A159" s="474"/>
      <c r="B159" s="200"/>
      <c r="C159" s="200"/>
      <c r="F159" s="200"/>
      <c r="G159" s="200"/>
      <c r="J159" s="470">
        <v>45501.0</v>
      </c>
      <c r="K159" s="466">
        <f>SUMIF(GRAFICO!A:A,J159,GRAFICO!B:B)</f>
        <v>12739.20447</v>
      </c>
      <c r="L159" s="467">
        <f t="shared" si="2"/>
        <v>0.2320298725</v>
      </c>
      <c r="M159" s="468">
        <v>45866.0</v>
      </c>
      <c r="N159" s="469">
        <f>IF(SUMIF(GRAFICO!A:A,M159,GRAFICO!B:B)=0,"",SUMIF(GRAFICO!A:A,M159,GRAFICO!B:B))</f>
        <v>17385.19657</v>
      </c>
      <c r="O159" s="467">
        <f t="shared" si="3"/>
        <v>0.2225457972</v>
      </c>
      <c r="P159" s="468">
        <v>46231.0</v>
      </c>
      <c r="Q159" s="463" t="str">
        <f>IF(SUMIF(GRAFICO!A:A,P159,GRAFICO!B:B)=0,"",SUMIF(GRAFICO!A:A,P159,GRAFICO!B:B))</f>
        <v/>
      </c>
      <c r="R159" s="463" t="str">
        <f t="shared" si="4"/>
        <v/>
      </c>
      <c r="S159" s="471">
        <f>CUENTAS!A148</f>
        <v>45954</v>
      </c>
      <c r="T159" s="459">
        <f>IF(CUENTAS!Q148/CUENTAS!$AB148&lt;&gt;0,CUENTAS!Q148/CUENTAS!$AB148,"")</f>
        <v>0.06029142245</v>
      </c>
      <c r="U159" s="459" t="str">
        <f>IF(CUENTAS!C148/CUENTAS!$AB148&lt;&gt;0,CUENTAS!C148/CUENTAS!$AB148,"")</f>
        <v/>
      </c>
      <c r="V159" s="459" t="str">
        <f>IF(CUENTAS!D148/CUENTAS!$AB148&lt;&gt;0,CUENTAS!D148/CUENTAS!$AB148,"")</f>
        <v/>
      </c>
      <c r="W159" s="459" t="str">
        <f>IF(CUENTAS!E148/CUENTAS!$AB148&lt;&gt;0,CUENTAS!E148/CUENTAS!$AB148,"")</f>
        <v/>
      </c>
      <c r="X159" s="459">
        <f>IF(CUENTAS!F148/CUENTAS!$AB148&lt;&gt;0,CUENTAS!F148/CUENTAS!$AB148,"")</f>
        <v>0.04055283901</v>
      </c>
      <c r="Y159" s="459">
        <f>IF(CUENTAS!G148/CUENTAS!$AB148&lt;&gt;0,CUENTAS!G148/CUENTAS!$AB148,"")</f>
        <v>0.08862081648</v>
      </c>
      <c r="Z159" s="459">
        <f>IF(CUENTAS!H148/CUENTAS!$AB148&lt;&gt;0,CUENTAS!H148/CUENTAS!$AB148,"")</f>
        <v>0.04127891769</v>
      </c>
      <c r="AA159" s="459">
        <f>IF(CUENTAS!I148/CUENTAS!$AB148&lt;&gt;0,CUENTAS!I148/CUENTAS!$AB148,"")</f>
        <v>0.08234942391</v>
      </c>
      <c r="AB159" s="459">
        <f>IF(CUENTAS!J148/CUENTAS!$AB148&lt;&gt;0,CUENTAS!J148/CUENTAS!$AB148,"")</f>
        <v>0.1769480641</v>
      </c>
      <c r="AC159" s="459">
        <f>IF(CUENTAS!K148/CUENTAS!$AB148&lt;&gt;0,CUENTAS!K148/CUENTAS!$AB148,"")</f>
        <v>0.07499451577</v>
      </c>
      <c r="AD159" s="459">
        <f>IF(CUENTAS!L148/CUENTAS!$AB148&lt;&gt;0,CUENTAS!L148/CUENTAS!$AB148,"")</f>
        <v>0.008757763862</v>
      </c>
      <c r="AE159" s="459">
        <f>IF(CUENTAS!M148/CUENTAS!$AB148&lt;&gt;0,CUENTAS!M148/CUENTAS!$AB148,"")</f>
        <v>0.05777927985</v>
      </c>
      <c r="AF159" s="459">
        <f>IF(CUENTAS!N148/CUENTAS!$AB148&lt;&gt;0,CUENTAS!N148/CUENTAS!$AB148,"")</f>
        <v>0.05593495036</v>
      </c>
      <c r="AG159" s="459" t="str">
        <f>IF(CUENTAS!O148/CUENTAS!$AB148&lt;&gt;0,CUENTAS!O148/CUENTAS!$AB148,"")</f>
        <v/>
      </c>
      <c r="AH159" s="459" t="str">
        <f>IF(CUENTAS!P148/CUENTAS!$AB148&lt;&gt;0,CUENTAS!P148/CUENTAS!$AB148,"")</f>
        <v/>
      </c>
      <c r="AI159" s="459">
        <f>IF(CUENTAS!R148/CUENTAS!$AB148&lt;&gt;0,CUENTAS!R148/CUENTAS!$AB148,"")</f>
        <v>0.08101155671</v>
      </c>
      <c r="AJ159" s="459" t="str">
        <f>IF(CUENTAS!B148/CUENTAS!$AB148&lt;&gt;0,CUENTAS!B148/CUENTAS!$AB148,"")</f>
        <v/>
      </c>
      <c r="AK159" s="459">
        <f>IF(CUENTAS!S148/CUENTAS!$AB148&lt;&gt;0,CUENTAS!S148/CUENTAS!$AB148,"")</f>
        <v>0.04707818093</v>
      </c>
      <c r="AL159" s="459">
        <f>IF(CUENTAS!T148/CUENTAS!$AB148&lt;&gt;0,CUENTAS!T148/CUENTAS!$AB148,"")</f>
        <v>0.03918135705</v>
      </c>
      <c r="AM159" s="459">
        <f>IF(CUENTAS!U148/CUENTAS!$AB148&lt;&gt;0,CUENTAS!U148/CUENTAS!$AB148,"")</f>
        <v>0.13731793</v>
      </c>
      <c r="AN159" s="459">
        <f>IF(CUENTAS!V148/CUENTAS!$AB148&lt;&gt;0,CUENTAS!V148/CUENTAS!$AB148,"")</f>
        <v>0.1416049974</v>
      </c>
      <c r="AO159" s="459">
        <f>IF(CUENTAS!W148/CUENTAS!$AB148&lt;&gt;0,CUENTAS!W148/CUENTAS!$AB148,"")</f>
        <v>0.06630510191</v>
      </c>
      <c r="AP159" s="459" t="str">
        <f>IF(CUENTAS!X148/CUENTAS!$AB148&lt;&gt;0,CUENTAS!X148/CUENTAS!$AB148,"")</f>
        <v/>
      </c>
      <c r="AQ159" s="459" t="str">
        <f>IF(CUENTAS!Y148/CUENTAS!$AB148&lt;&gt;0,CUENTAS!Y148/CUENTAS!$AB148,"")</f>
        <v/>
      </c>
      <c r="AR159" s="459">
        <f>IF(CUENTAS!AA148/CUENTAS!$AB148&lt;&gt;0,CUENTAS!AA148/CUENTAS!$AB148,"")</f>
        <v>0.06622106503</v>
      </c>
    </row>
    <row r="160">
      <c r="A160" s="474"/>
      <c r="B160" s="200"/>
      <c r="C160" s="200"/>
      <c r="F160" s="200"/>
      <c r="G160" s="200"/>
      <c r="J160" s="470">
        <v>45500.0</v>
      </c>
      <c r="K160" s="466">
        <f>SUMIF(GRAFICO!A:A,J160,GRAFICO!B:B)</f>
        <v>12732.13045</v>
      </c>
      <c r="L160" s="467">
        <f t="shared" si="2"/>
        <v>0.2314744224</v>
      </c>
      <c r="M160" s="468">
        <v>45865.0</v>
      </c>
      <c r="N160" s="469">
        <f>IF(SUMIF(GRAFICO!A:A,M160,GRAFICO!B:B)=0,"",SUMIF(GRAFICO!A:A,M160,GRAFICO!B:B))</f>
        <v>17200.97551</v>
      </c>
      <c r="O160" s="467">
        <f t="shared" si="3"/>
        <v>0.2118928231</v>
      </c>
      <c r="P160" s="465">
        <v>46230.0</v>
      </c>
      <c r="Q160" s="463" t="str">
        <f>IF(SUMIF(GRAFICO!A:A,P160,GRAFICO!B:B)=0,"",SUMIF(GRAFICO!A:A,P160,GRAFICO!B:B))</f>
        <v/>
      </c>
      <c r="R160" s="463" t="str">
        <f t="shared" si="4"/>
        <v/>
      </c>
      <c r="S160" s="471">
        <f>CUENTAS!A149</f>
        <v>45953</v>
      </c>
      <c r="T160" s="459">
        <f>IF(CUENTAS!Q149/CUENTAS!$AB149&lt;&gt;0,CUENTAS!Q149/CUENTAS!$AB149,"")</f>
        <v>0.06140307269</v>
      </c>
      <c r="U160" s="459" t="str">
        <f>IF(CUENTAS!C149/CUENTAS!$AB149&lt;&gt;0,CUENTAS!C149/CUENTAS!$AB149,"")</f>
        <v/>
      </c>
      <c r="V160" s="459" t="str">
        <f>IF(CUENTAS!D149/CUENTAS!$AB149&lt;&gt;0,CUENTAS!D149/CUENTAS!$AB149,"")</f>
        <v/>
      </c>
      <c r="W160" s="459" t="str">
        <f>IF(CUENTAS!E149/CUENTAS!$AB149&lt;&gt;0,CUENTAS!E149/CUENTAS!$AB149,"")</f>
        <v/>
      </c>
      <c r="X160" s="459">
        <f>IF(CUENTAS!F149/CUENTAS!$AB149&lt;&gt;0,CUENTAS!F149/CUENTAS!$AB149,"")</f>
        <v>0.04118421065</v>
      </c>
      <c r="Y160" s="459">
        <f>IF(CUENTAS!G149/CUENTAS!$AB149&lt;&gt;0,CUENTAS!G149/CUENTAS!$AB149,"")</f>
        <v>0.09000056379</v>
      </c>
      <c r="Z160" s="459">
        <f>IF(CUENTAS!H149/CUENTAS!$AB149&lt;&gt;0,CUENTAS!H149/CUENTAS!$AB149,"")</f>
        <v>0.04201718043</v>
      </c>
      <c r="AA160" s="459">
        <f>IF(CUENTAS!I149/CUENTAS!$AB149&lt;&gt;0,CUENTAS!I149/CUENTAS!$AB149,"")</f>
        <v>0.08323211537</v>
      </c>
      <c r="AB160" s="459">
        <f>IF(CUENTAS!J149/CUENTAS!$AB149&lt;&gt;0,CUENTAS!J149/CUENTAS!$AB149,"")</f>
        <v>0.1729664019</v>
      </c>
      <c r="AC160" s="459">
        <f>IF(CUENTAS!K149/CUENTAS!$AB149&lt;&gt;0,CUENTAS!K149/CUENTAS!$AB149,"")</f>
        <v>0.07433003536</v>
      </c>
      <c r="AD160" s="459">
        <f>IF(CUENTAS!L149/CUENTAS!$AB149&lt;&gt;0,CUENTAS!L149/CUENTAS!$AB149,"")</f>
        <v>0.008721148055</v>
      </c>
      <c r="AE160" s="459">
        <f>IF(CUENTAS!M149/CUENTAS!$AB149&lt;&gt;0,CUENTAS!M149/CUENTAS!$AB149,"")</f>
        <v>0.05827602221</v>
      </c>
      <c r="AF160" s="459">
        <f>IF(CUENTAS!N149/CUENTAS!$AB149&lt;&gt;0,CUENTAS!N149/CUENTAS!$AB149,"")</f>
        <v>0.056441668</v>
      </c>
      <c r="AG160" s="459" t="str">
        <f>IF(CUENTAS!O149/CUENTAS!$AB149&lt;&gt;0,CUENTAS!O149/CUENTAS!$AB149,"")</f>
        <v/>
      </c>
      <c r="AH160" s="459" t="str">
        <f>IF(CUENTAS!P149/CUENTAS!$AB149&lt;&gt;0,CUENTAS!P149/CUENTAS!$AB149,"")</f>
        <v/>
      </c>
      <c r="AI160" s="459">
        <f>IF(CUENTAS!R149/CUENTAS!$AB149&lt;&gt;0,CUENTAS!R149/CUENTAS!$AB149,"")</f>
        <v>0.0822728346</v>
      </c>
      <c r="AJ160" s="459" t="str">
        <f>IF(CUENTAS!B149/CUENTAS!$AB149&lt;&gt;0,CUENTAS!B149/CUENTAS!$AB149,"")</f>
        <v/>
      </c>
      <c r="AK160" s="459">
        <f>IF(CUENTAS!S149/CUENTAS!$AB149&lt;&gt;0,CUENTAS!S149/CUENTAS!$AB149,"")</f>
        <v>0.04775835476</v>
      </c>
      <c r="AL160" s="459">
        <f>IF(CUENTAS!T149/CUENTAS!$AB149&lt;&gt;0,CUENTAS!T149/CUENTAS!$AB149,"")</f>
        <v>0.03975723783</v>
      </c>
      <c r="AM160" s="459">
        <f>IF(CUENTAS!U149/CUENTAS!$AB149&lt;&gt;0,CUENTAS!U149/CUENTAS!$AB149,"")</f>
        <v>0.1392022449</v>
      </c>
      <c r="AN160" s="459">
        <f>IF(CUENTAS!V149/CUENTAS!$AB149&lt;&gt;0,CUENTAS!V149/CUENTAS!$AB149,"")</f>
        <v>0.1437377924</v>
      </c>
      <c r="AO160" s="459">
        <f>IF(CUENTAS!W149/CUENTAS!$AB149&lt;&gt;0,CUENTAS!W149/CUENTAS!$AB149,"")</f>
        <v>0.06733741338</v>
      </c>
      <c r="AP160" s="459" t="str">
        <f>IF(CUENTAS!X149/CUENTAS!$AB149&lt;&gt;0,CUENTAS!X149/CUENTAS!$AB149,"")</f>
        <v/>
      </c>
      <c r="AQ160" s="459" t="str">
        <f>IF(CUENTAS!Y149/CUENTAS!$AB149&lt;&gt;0,CUENTAS!Y149/CUENTAS!$AB149,"")</f>
        <v/>
      </c>
      <c r="AR160" s="459">
        <f>IF(CUENTAS!AA149/CUENTAS!$AB149&lt;&gt;0,CUENTAS!AA149/CUENTAS!$AB149,"")</f>
        <v>0.06156238385</v>
      </c>
    </row>
    <row r="161">
      <c r="A161" s="474"/>
      <c r="B161" s="200"/>
      <c r="C161" s="200"/>
      <c r="F161" s="200"/>
      <c r="G161" s="200"/>
      <c r="J161" s="465">
        <v>45499.0</v>
      </c>
      <c r="K161" s="466">
        <f>SUMIF(GRAFICO!A:A,J161,GRAFICO!B:B)</f>
        <v>12728.07912</v>
      </c>
      <c r="L161" s="467">
        <f t="shared" si="2"/>
        <v>0.2311561745</v>
      </c>
      <c r="M161" s="468">
        <v>45864.0</v>
      </c>
      <c r="N161" s="469">
        <f>IF(SUMIF(GRAFICO!A:A,M161,GRAFICO!B:B)=0,"",SUMIF(GRAFICO!A:A,M161,GRAFICO!B:B))</f>
        <v>17205.77781</v>
      </c>
      <c r="O161" s="467">
        <f t="shared" si="3"/>
        <v>0.2121719715</v>
      </c>
      <c r="P161" s="468">
        <v>46229.0</v>
      </c>
      <c r="Q161" s="463" t="str">
        <f>IF(SUMIF(GRAFICO!A:A,P161,GRAFICO!B:B)=0,"",SUMIF(GRAFICO!A:A,P161,GRAFICO!B:B))</f>
        <v/>
      </c>
      <c r="R161" s="463" t="str">
        <f t="shared" si="4"/>
        <v/>
      </c>
      <c r="S161" s="471">
        <f>CUENTAS!A150</f>
        <v>45952</v>
      </c>
      <c r="T161" s="459">
        <f>IF(CUENTAS!Q150/CUENTAS!$AB150&lt;&gt;0,CUENTAS!Q150/CUENTAS!$AB150,"")</f>
        <v>0.05985220966</v>
      </c>
      <c r="U161" s="459" t="str">
        <f>IF(CUENTAS!C150/CUENTAS!$AB150&lt;&gt;0,CUENTAS!C150/CUENTAS!$AB150,"")</f>
        <v/>
      </c>
      <c r="V161" s="459" t="str">
        <f>IF(CUENTAS!D150/CUENTAS!$AB150&lt;&gt;0,CUENTAS!D150/CUENTAS!$AB150,"")</f>
        <v/>
      </c>
      <c r="W161" s="459" t="str">
        <f>IF(CUENTAS!E150/CUENTAS!$AB150&lt;&gt;0,CUENTAS!E150/CUENTAS!$AB150,"")</f>
        <v/>
      </c>
      <c r="X161" s="459">
        <f>IF(CUENTAS!F150/CUENTAS!$AB150&lt;&gt;0,CUENTAS!F150/CUENTAS!$AB150,"")</f>
        <v>0.04142769224</v>
      </c>
      <c r="Y161" s="459">
        <f>IF(CUENTAS!G150/CUENTAS!$AB150&lt;&gt;0,CUENTAS!G150/CUENTAS!$AB150,"")</f>
        <v>0.0905326483</v>
      </c>
      <c r="Z161" s="459">
        <f>IF(CUENTAS!H150/CUENTAS!$AB150&lt;&gt;0,CUENTAS!H150/CUENTAS!$AB150,"")</f>
        <v>0.04091946127</v>
      </c>
      <c r="AA161" s="459">
        <f>IF(CUENTAS!I150/CUENTAS!$AB150&lt;&gt;0,CUENTAS!I150/CUENTAS!$AB150,"")</f>
        <v>0.08344603129</v>
      </c>
      <c r="AB161" s="459">
        <f>IF(CUENTAS!J150/CUENTAS!$AB150&lt;&gt;0,CUENTAS!J150/CUENTAS!$AB150,"")</f>
        <v>0.1726153843</v>
      </c>
      <c r="AC161" s="459">
        <f>IF(CUENTAS!K150/CUENTAS!$AB150&lt;&gt;0,CUENTAS!K150/CUENTAS!$AB150,"")</f>
        <v>0.07382169342</v>
      </c>
      <c r="AD161" s="459">
        <f>IF(CUENTAS!L150/CUENTAS!$AB150&lt;&gt;0,CUENTAS!L150/CUENTAS!$AB150,"")</f>
        <v>0.008758971625</v>
      </c>
      <c r="AE161" s="459">
        <f>IF(CUENTAS!M150/CUENTAS!$AB150&lt;&gt;0,CUENTAS!M150/CUENTAS!$AB150,"")</f>
        <v>0.05882315641</v>
      </c>
      <c r="AF161" s="459">
        <f>IF(CUENTAS!N150/CUENTAS!$AB150&lt;&gt;0,CUENTAS!N150/CUENTAS!$AB150,"")</f>
        <v>0.05677535188</v>
      </c>
      <c r="AG161" s="459" t="str">
        <f>IF(CUENTAS!O150/CUENTAS!$AB150&lt;&gt;0,CUENTAS!O150/CUENTAS!$AB150,"")</f>
        <v/>
      </c>
      <c r="AH161" s="459" t="str">
        <f>IF(CUENTAS!P150/CUENTAS!$AB150&lt;&gt;0,CUENTAS!P150/CUENTAS!$AB150,"")</f>
        <v/>
      </c>
      <c r="AI161" s="459">
        <f>IF(CUENTAS!R150/CUENTAS!$AB150&lt;&gt;0,CUENTAS!R150/CUENTAS!$AB150,"")</f>
        <v>0.08275923268</v>
      </c>
      <c r="AJ161" s="459" t="str">
        <f>IF(CUENTAS!B150/CUENTAS!$AB150&lt;&gt;0,CUENTAS!B150/CUENTAS!$AB150,"")</f>
        <v/>
      </c>
      <c r="AK161" s="459">
        <f>IF(CUENTAS!S150/CUENTAS!$AB150&lt;&gt;0,CUENTAS!S150/CUENTAS!$AB150,"")</f>
        <v>0.04798759909</v>
      </c>
      <c r="AL161" s="459">
        <f>IF(CUENTAS!T150/CUENTAS!$AB150&lt;&gt;0,CUENTAS!T150/CUENTAS!$AB150,"")</f>
        <v>0.03995794321</v>
      </c>
      <c r="AM161" s="459">
        <f>IF(CUENTAS!U150/CUENTAS!$AB150&lt;&gt;0,CUENTAS!U150/CUENTAS!$AB150,"")</f>
        <v>0.139770108</v>
      </c>
      <c r="AN161" s="459">
        <f>IF(CUENTAS!V150/CUENTAS!$AB150&lt;&gt;0,CUENTAS!V150/CUENTAS!$AB150,"")</f>
        <v>0.1445153144</v>
      </c>
      <c r="AO161" s="459">
        <f>IF(CUENTAS!W150/CUENTAS!$AB150&lt;&gt;0,CUENTAS!W150/CUENTAS!$AB150,"")</f>
        <v>0.06773551305</v>
      </c>
      <c r="AP161" s="459" t="str">
        <f>IF(CUENTAS!X150/CUENTAS!$AB150&lt;&gt;0,CUENTAS!X150/CUENTAS!$AB150,"")</f>
        <v/>
      </c>
      <c r="AQ161" s="459" t="str">
        <f>IF(CUENTAS!Y150/CUENTAS!$AB150&lt;&gt;0,CUENTAS!Y150/CUENTAS!$AB150,"")</f>
        <v/>
      </c>
      <c r="AR161" s="459">
        <f>IF(CUENTAS!AA150/CUENTAS!$AB150&lt;&gt;0,CUENTAS!AA150/CUENTAS!$AB150,"")</f>
        <v>0.06192634147</v>
      </c>
    </row>
    <row r="162">
      <c r="A162" s="474"/>
      <c r="B162" s="200"/>
      <c r="C162" s="200"/>
      <c r="F162" s="200"/>
      <c r="G162" s="200"/>
      <c r="J162" s="465">
        <v>45498.0</v>
      </c>
      <c r="K162" s="466">
        <f>SUMIF(GRAFICO!A:A,J162,GRAFICO!B:B)</f>
        <v>12722.25635</v>
      </c>
      <c r="L162" s="467">
        <f t="shared" si="2"/>
        <v>0.2306985959</v>
      </c>
      <c r="M162" s="468">
        <v>45863.0</v>
      </c>
      <c r="N162" s="469">
        <f>IF(SUMIF(GRAFICO!A:A,M162,GRAFICO!B:B)=0,"",SUMIF(GRAFICO!A:A,M162,GRAFICO!B:B))</f>
        <v>17210.58013</v>
      </c>
      <c r="O162" s="467">
        <f t="shared" si="3"/>
        <v>0.2124510437</v>
      </c>
      <c r="P162" s="465">
        <v>46228.0</v>
      </c>
      <c r="Q162" s="463" t="str">
        <f>IF(SUMIF(GRAFICO!A:A,P162,GRAFICO!B:B)=0,"",SUMIF(GRAFICO!A:A,P162,GRAFICO!B:B))</f>
        <v/>
      </c>
      <c r="R162" s="463" t="str">
        <f t="shared" si="4"/>
        <v/>
      </c>
      <c r="S162" s="471">
        <f>CUENTAS!A151</f>
        <v>45951</v>
      </c>
      <c r="T162" s="459">
        <f>IF(CUENTAS!Q151/CUENTAS!$AB151&lt;&gt;0,CUENTAS!Q151/CUENTAS!$AB151,"")</f>
        <v>0.05915341283</v>
      </c>
      <c r="U162" s="459" t="str">
        <f>IF(CUENTAS!C151/CUENTAS!$AB151&lt;&gt;0,CUENTAS!C151/CUENTAS!$AB151,"")</f>
        <v/>
      </c>
      <c r="V162" s="459" t="str">
        <f>IF(CUENTAS!D151/CUENTAS!$AB151&lt;&gt;0,CUENTAS!D151/CUENTAS!$AB151,"")</f>
        <v/>
      </c>
      <c r="W162" s="459" t="str">
        <f>IF(CUENTAS!E151/CUENTAS!$AB151&lt;&gt;0,CUENTAS!E151/CUENTAS!$AB151,"")</f>
        <v/>
      </c>
      <c r="X162" s="459">
        <f>IF(CUENTAS!F151/CUENTAS!$AB151&lt;&gt;0,CUENTAS!F151/CUENTAS!$AB151,"")</f>
        <v>0.04179447754</v>
      </c>
      <c r="Y162" s="459">
        <f>IF(CUENTAS!G151/CUENTAS!$AB151&lt;&gt;0,CUENTAS!G151/CUENTAS!$AB151,"")</f>
        <v>0.0913341905</v>
      </c>
      <c r="Z162" s="459">
        <f>IF(CUENTAS!H151/CUENTAS!$AB151&lt;&gt;0,CUENTAS!H151/CUENTAS!$AB151,"")</f>
        <v>0.04139260756</v>
      </c>
      <c r="AA162" s="459">
        <f>IF(CUENTAS!I151/CUENTAS!$AB151&lt;&gt;0,CUENTAS!I151/CUENTAS!$AB151,"")</f>
        <v>0.08250113462</v>
      </c>
      <c r="AB162" s="459">
        <f>IF(CUENTAS!J151/CUENTAS!$AB151&lt;&gt;0,CUENTAS!J151/CUENTAS!$AB151,"")</f>
        <v>0.1699863808</v>
      </c>
      <c r="AC162" s="459">
        <f>IF(CUENTAS!K151/CUENTAS!$AB151&lt;&gt;0,CUENTAS!K151/CUENTAS!$AB151,"")</f>
        <v>0.07362535118</v>
      </c>
      <c r="AD162" s="459">
        <f>IF(CUENTAS!L151/CUENTAS!$AB151&lt;&gt;0,CUENTAS!L151/CUENTAS!$AB151,"")</f>
        <v>0.009007430503</v>
      </c>
      <c r="AE162" s="459">
        <f>IF(CUENTAS!M151/CUENTAS!$AB151&lt;&gt;0,CUENTAS!M151/CUENTAS!$AB151,"")</f>
        <v>0.05948022089</v>
      </c>
      <c r="AF162" s="459">
        <f>IF(CUENTAS!N151/CUENTAS!$AB151&lt;&gt;0,CUENTAS!N151/CUENTAS!$AB151,"")</f>
        <v>0.05616941278</v>
      </c>
      <c r="AG162" s="459" t="str">
        <f>IF(CUENTAS!O151/CUENTAS!$AB151&lt;&gt;0,CUENTAS!O151/CUENTAS!$AB151,"")</f>
        <v/>
      </c>
      <c r="AH162" s="459" t="str">
        <f>IF(CUENTAS!P151/CUENTAS!$AB151&lt;&gt;0,CUENTAS!P151/CUENTAS!$AB151,"")</f>
        <v/>
      </c>
      <c r="AI162" s="459">
        <f>IF(CUENTAS!R151/CUENTAS!$AB151&lt;&gt;0,CUENTAS!R151/CUENTAS!$AB151,"")</f>
        <v>0.08349195197</v>
      </c>
      <c r="AJ162" s="459" t="str">
        <f>IF(CUENTAS!B151/CUENTAS!$AB151&lt;&gt;0,CUENTAS!B151/CUENTAS!$AB151,"")</f>
        <v/>
      </c>
      <c r="AK162" s="459">
        <f>IF(CUENTAS!S151/CUENTAS!$AB151&lt;&gt;0,CUENTAS!S151/CUENTAS!$AB151,"")</f>
        <v>0.0483588895</v>
      </c>
      <c r="AL162" s="459">
        <f>IF(CUENTAS!T151/CUENTAS!$AB151&lt;&gt;0,CUENTAS!T151/CUENTAS!$AB151,"")</f>
        <v>0.04027707193</v>
      </c>
      <c r="AM162" s="459">
        <f>IF(CUENTAS!U151/CUENTAS!$AB151&lt;&gt;0,CUENTAS!U151/CUENTAS!$AB151,"")</f>
        <v>0.1407502192</v>
      </c>
      <c r="AN162" s="459">
        <f>IF(CUENTAS!V151/CUENTAS!$AB151&lt;&gt;0,CUENTAS!V151/CUENTAS!$AB151,"")</f>
        <v>0.145721938</v>
      </c>
      <c r="AO162" s="459">
        <f>IF(CUENTAS!W151/CUENTAS!$AB151&lt;&gt;0,CUENTAS!W151/CUENTAS!$AB151,"")</f>
        <v>0.06833521795</v>
      </c>
      <c r="AP162" s="459" t="str">
        <f>IF(CUENTAS!X151/CUENTAS!$AB151&lt;&gt;0,CUENTAS!X151/CUENTAS!$AB151,"")</f>
        <v/>
      </c>
      <c r="AQ162" s="459" t="str">
        <f>IF(CUENTAS!Y151/CUENTAS!$AB151&lt;&gt;0,CUENTAS!Y151/CUENTAS!$AB151,"")</f>
        <v/>
      </c>
      <c r="AR162" s="459">
        <f>IF(CUENTAS!AA151/CUENTAS!$AB151&lt;&gt;0,CUENTAS!AA151/CUENTAS!$AB151,"")</f>
        <v>0.06247461413</v>
      </c>
    </row>
    <row r="163">
      <c r="A163" s="474"/>
      <c r="B163" s="200"/>
      <c r="C163" s="200"/>
      <c r="F163" s="200"/>
      <c r="G163" s="200"/>
      <c r="J163" s="465">
        <v>45497.0</v>
      </c>
      <c r="K163" s="466">
        <f>SUMIF(GRAFICO!A:A,J163,GRAFICO!B:B)</f>
        <v>12722.68827</v>
      </c>
      <c r="L163" s="467">
        <f t="shared" si="2"/>
        <v>0.2307325451</v>
      </c>
      <c r="M163" s="468">
        <v>45862.0</v>
      </c>
      <c r="N163" s="469">
        <f>IF(SUMIF(GRAFICO!A:A,M163,GRAFICO!B:B)=0,"",SUMIF(GRAFICO!A:A,M163,GRAFICO!B:B))</f>
        <v>17316.00579</v>
      </c>
      <c r="O163" s="467">
        <f t="shared" si="3"/>
        <v>0.2185579891</v>
      </c>
      <c r="P163" s="468">
        <v>46227.0</v>
      </c>
      <c r="Q163" s="463" t="str">
        <f>IF(SUMIF(GRAFICO!A:A,P163,GRAFICO!B:B)=0,"",SUMIF(GRAFICO!A:A,P163,GRAFICO!B:B))</f>
        <v/>
      </c>
      <c r="R163" s="463" t="str">
        <f t="shared" si="4"/>
        <v/>
      </c>
      <c r="S163" s="471">
        <f>CUENTAS!A152</f>
        <v>45950</v>
      </c>
      <c r="T163" s="459">
        <f>IF(CUENTAS!Q152/CUENTAS!$AB152&lt;&gt;0,CUENTAS!Q152/CUENTAS!$AB152,"")</f>
        <v>0.06003464979</v>
      </c>
      <c r="U163" s="459" t="str">
        <f>IF(CUENTAS!C152/CUENTAS!$AB152&lt;&gt;0,CUENTAS!C152/CUENTAS!$AB152,"")</f>
        <v/>
      </c>
      <c r="V163" s="459" t="str">
        <f>IF(CUENTAS!D152/CUENTAS!$AB152&lt;&gt;0,CUENTAS!D152/CUENTAS!$AB152,"")</f>
        <v/>
      </c>
      <c r="W163" s="459" t="str">
        <f>IF(CUENTAS!E152/CUENTAS!$AB152&lt;&gt;0,CUENTAS!E152/CUENTAS!$AB152,"")</f>
        <v/>
      </c>
      <c r="X163" s="459">
        <f>IF(CUENTAS!F152/CUENTAS!$AB152&lt;&gt;0,CUENTAS!F152/CUENTAS!$AB152,"")</f>
        <v>0.04179697686</v>
      </c>
      <c r="Y163" s="459">
        <f>IF(CUENTAS!G152/CUENTAS!$AB152&lt;&gt;0,CUENTAS!G152/CUENTAS!$AB152,"")</f>
        <v>0.09133965233</v>
      </c>
      <c r="Z163" s="459">
        <f>IF(CUENTAS!H152/CUENTAS!$AB152&lt;&gt;0,CUENTAS!H152/CUENTAS!$AB152,"")</f>
        <v>0.04150595017</v>
      </c>
      <c r="AA163" s="459">
        <f>IF(CUENTAS!I152/CUENTAS!$AB152&lt;&gt;0,CUENTAS!I152/CUENTAS!$AB152,"")</f>
        <v>0.08372214405</v>
      </c>
      <c r="AB163" s="459">
        <f>IF(CUENTAS!J152/CUENTAS!$AB152&lt;&gt;0,CUENTAS!J152/CUENTAS!$AB152,"")</f>
        <v>0.1686107046</v>
      </c>
      <c r="AC163" s="459">
        <f>IF(CUENTAS!K152/CUENTAS!$AB152&lt;&gt;0,CUENTAS!K152/CUENTAS!$AB152,"")</f>
        <v>0.07283289519</v>
      </c>
      <c r="AD163" s="459">
        <f>IF(CUENTAS!L152/CUENTAS!$AB152&lt;&gt;0,CUENTAS!L152/CUENTAS!$AB152,"")</f>
        <v>0.009169650649</v>
      </c>
      <c r="AE163" s="459">
        <f>IF(CUENTAS!M152/CUENTAS!$AB152&lt;&gt;0,CUENTAS!M152/CUENTAS!$AB152,"")</f>
        <v>0.05948377783</v>
      </c>
      <c r="AF163" s="459">
        <f>IF(CUENTAS!N152/CUENTAS!$AB152&lt;&gt;0,CUENTAS!N152/CUENTAS!$AB152,"")</f>
        <v>0.05617277173</v>
      </c>
      <c r="AG163" s="459" t="str">
        <f>IF(CUENTAS!O152/CUENTAS!$AB152&lt;&gt;0,CUENTAS!O152/CUENTAS!$AB152,"")</f>
        <v/>
      </c>
      <c r="AH163" s="459" t="str">
        <f>IF(CUENTAS!P152/CUENTAS!$AB152&lt;&gt;0,CUENTAS!P152/CUENTAS!$AB152,"")</f>
        <v/>
      </c>
      <c r="AI163" s="459">
        <f>IF(CUENTAS!R152/CUENTAS!$AB152&lt;&gt;0,CUENTAS!R152/CUENTAS!$AB152,"")</f>
        <v>0.08349694483</v>
      </c>
      <c r="AJ163" s="459" t="str">
        <f>IF(CUENTAS!B152/CUENTAS!$AB152&lt;&gt;0,CUENTAS!B152/CUENTAS!$AB152,"")</f>
        <v/>
      </c>
      <c r="AK163" s="459">
        <f>IF(CUENTAS!S152/CUENTAS!$AB152&lt;&gt;0,CUENTAS!S152/CUENTAS!$AB152,"")</f>
        <v>0.04830820433</v>
      </c>
      <c r="AL163" s="459">
        <f>IF(CUENTAS!T152/CUENTAS!$AB152&lt;&gt;0,CUENTAS!T152/CUENTAS!$AB152,"")</f>
        <v>0.04024483449</v>
      </c>
      <c r="AM163" s="459">
        <f>IF(CUENTAS!U152/CUENTAS!$AB152&lt;&gt;0,CUENTAS!U152/CUENTAS!$AB152,"")</f>
        <v>0.1405012597</v>
      </c>
      <c r="AN163" s="459">
        <f>IF(CUENTAS!V152/CUENTAS!$AB152&lt;&gt;0,CUENTAS!V152/CUENTAS!$AB152,"")</f>
        <v>0.1456578233</v>
      </c>
      <c r="AO163" s="459">
        <f>IF(CUENTAS!W152/CUENTAS!$AB152&lt;&gt;0,CUENTAS!W152/CUENTAS!$AB152,"")</f>
        <v>0.06833930443</v>
      </c>
      <c r="AP163" s="459" t="str">
        <f>IF(CUENTAS!X152/CUENTAS!$AB152&lt;&gt;0,CUENTAS!X152/CUENTAS!$AB152,"")</f>
        <v/>
      </c>
      <c r="AQ163" s="459" t="str">
        <f>IF(CUENTAS!Y152/CUENTAS!$AB152&lt;&gt;0,CUENTAS!Y152/CUENTAS!$AB152,"")</f>
        <v/>
      </c>
      <c r="AR163" s="459">
        <f>IF(CUENTAS!AA152/CUENTAS!$AB152&lt;&gt;0,CUENTAS!AA152/CUENTAS!$AB152,"")</f>
        <v>0.06247835014</v>
      </c>
    </row>
    <row r="164">
      <c r="A164" s="474"/>
      <c r="B164" s="200"/>
      <c r="C164" s="200"/>
      <c r="F164" s="200"/>
      <c r="G164" s="200"/>
      <c r="J164" s="470">
        <v>45496.0</v>
      </c>
      <c r="K164" s="466">
        <f>SUMIF(GRAFICO!A:A,J164,GRAFICO!B:B)</f>
        <v>12717.84741</v>
      </c>
      <c r="L164" s="467">
        <f t="shared" si="2"/>
        <v>0.2303519825</v>
      </c>
      <c r="M164" s="468">
        <v>45861.0</v>
      </c>
      <c r="N164" s="469">
        <f>IF(SUMIF(GRAFICO!A:A,M164,GRAFICO!B:B)=0,"",SUMIF(GRAFICO!A:A,M164,GRAFICO!B:B))</f>
        <v>17312.82842</v>
      </c>
      <c r="O164" s="467">
        <f t="shared" si="3"/>
        <v>0.2183744792</v>
      </c>
      <c r="P164" s="465">
        <v>46226.0</v>
      </c>
      <c r="Q164" s="463" t="str">
        <f>IF(SUMIF(GRAFICO!A:A,P164,GRAFICO!B:B)=0,"",SUMIF(GRAFICO!A:A,P164,GRAFICO!B:B))</f>
        <v/>
      </c>
      <c r="R164" s="463" t="str">
        <f t="shared" si="4"/>
        <v/>
      </c>
      <c r="S164" s="471">
        <f>CUENTAS!A153</f>
        <v>45949</v>
      </c>
      <c r="T164" s="459">
        <f>IF(CUENTAS!Q153/CUENTAS!$AB153&lt;&gt;0,CUENTAS!Q153/CUENTAS!$AB153,"")</f>
        <v>0.06404570406</v>
      </c>
      <c r="U164" s="459" t="str">
        <f>IF(CUENTAS!C153/CUENTAS!$AB153&lt;&gt;0,CUENTAS!C153/CUENTAS!$AB153,"")</f>
        <v/>
      </c>
      <c r="V164" s="459" t="str">
        <f>IF(CUENTAS!D153/CUENTAS!$AB153&lt;&gt;0,CUENTAS!D153/CUENTAS!$AB153,"")</f>
        <v/>
      </c>
      <c r="W164" s="459" t="str">
        <f>IF(CUENTAS!E153/CUENTAS!$AB153&lt;&gt;0,CUENTAS!E153/CUENTAS!$AB153,"")</f>
        <v/>
      </c>
      <c r="X164" s="459">
        <f>IF(CUENTAS!F153/CUENTAS!$AB153&lt;&gt;0,CUENTAS!F153/CUENTAS!$AB153,"")</f>
        <v>0.04382074488</v>
      </c>
      <c r="Y164" s="459">
        <f>IF(CUENTAS!G153/CUENTAS!$AB153&lt;&gt;0,CUENTAS!G153/CUENTAS!$AB153,"")</f>
        <v>0.09576222738</v>
      </c>
      <c r="Z164" s="459">
        <f>IF(CUENTAS!H153/CUENTAS!$AB153&lt;&gt;0,CUENTAS!H153/CUENTAS!$AB153,"")</f>
        <v>0.04194644909</v>
      </c>
      <c r="AA164" s="459">
        <f>IF(CUENTAS!I153/CUENTAS!$AB153&lt;&gt;0,CUENTAS!I153/CUENTAS!$AB153,"")</f>
        <v>0.08954121204</v>
      </c>
      <c r="AB164" s="459">
        <f>IF(CUENTAS!J153/CUENTAS!$AB153&lt;&gt;0,CUENTAS!J153/CUENTAS!$AB153,"")</f>
        <v>0.176290353</v>
      </c>
      <c r="AC164" s="459">
        <f>IF(CUENTAS!K153/CUENTAS!$AB153&lt;&gt;0,CUENTAS!K153/CUENTAS!$AB153,"")</f>
        <v>0.07602521472</v>
      </c>
      <c r="AD164" s="459">
        <f>IF(CUENTAS!L153/CUENTAS!$AB153&lt;&gt;0,CUENTAS!L153/CUENTAS!$AB153,"")</f>
        <v>0.009613636007</v>
      </c>
      <c r="AE164" s="459">
        <f>IF(CUENTAS!M153/CUENTAS!$AB153&lt;&gt;0,CUENTAS!M153/CUENTAS!$AB153,"")</f>
        <v>0.06214961413</v>
      </c>
      <c r="AF164" s="459">
        <f>IF(CUENTAS!N153/CUENTAS!$AB153&lt;&gt;0,CUENTAS!N153/CUENTAS!$AB153,"")</f>
        <v>0.05889260143</v>
      </c>
      <c r="AG164" s="459" t="str">
        <f>IF(CUENTAS!O153/CUENTAS!$AB153&lt;&gt;0,CUENTAS!O153/CUENTAS!$AB153,"")</f>
        <v/>
      </c>
      <c r="AH164" s="459" t="str">
        <f>IF(CUENTAS!P153/CUENTAS!$AB153&lt;&gt;0,CUENTAS!P153/CUENTAS!$AB153,"")</f>
        <v/>
      </c>
      <c r="AI164" s="459">
        <f>IF(CUENTAS!R153/CUENTAS!$AB153&lt;&gt;0,CUENTAS!R153/CUENTAS!$AB153,"")</f>
        <v>0.08753978379</v>
      </c>
      <c r="AJ164" s="459" t="str">
        <f>IF(CUENTAS!B153/CUENTAS!$AB153&lt;&gt;0,CUENTAS!B153/CUENTAS!$AB153,"")</f>
        <v/>
      </c>
      <c r="AK164" s="459">
        <f>IF(CUENTAS!S153/CUENTAS!$AB153&lt;&gt;0,CUENTAS!S153/CUENTAS!$AB153,"")</f>
        <v>0.0505910683</v>
      </c>
      <c r="AL164" s="459">
        <f>IF(CUENTAS!T153/CUENTAS!$AB153&lt;&gt;0,CUENTAS!T153/CUENTAS!$AB153,"")</f>
        <v>0.04215712575</v>
      </c>
      <c r="AM164" s="459">
        <f>IF(CUENTAS!U153/CUENTAS!$AB153&lt;&gt;0,CUENTAS!U153/CUENTAS!$AB153,"")</f>
        <v>0.1470343525</v>
      </c>
      <c r="AN164" s="459">
        <f>IF(CUENTAS!V153/CUENTAS!$AB153&lt;&gt;0,CUENTAS!V153/CUENTAS!$AB153,"")</f>
        <v>0.1526341131</v>
      </c>
      <c r="AO164" s="459">
        <f>IF(CUENTAS!W153/CUENTAS!$AB153&lt;&gt;0,CUENTAS!W153/CUENTAS!$AB153,"")</f>
        <v>0.07164822553</v>
      </c>
      <c r="AP164" s="459" t="str">
        <f>IF(CUENTAS!X153/CUENTAS!$AB153&lt;&gt;0,CUENTAS!X153/CUENTAS!$AB153,"")</f>
        <v/>
      </c>
      <c r="AQ164" s="459" t="str">
        <f>IF(CUENTAS!Y153/CUENTAS!$AB153&lt;&gt;0,CUENTAS!Y153/CUENTAS!$AB153,"")</f>
        <v/>
      </c>
      <c r="AR164" s="459">
        <f>IF(CUENTAS!AA153/CUENTAS!$AB153&lt;&gt;0,CUENTAS!AA153/CUENTAS!$AB153,"")</f>
        <v>0.01707207402</v>
      </c>
    </row>
    <row r="165">
      <c r="A165" s="474"/>
      <c r="B165" s="200"/>
      <c r="C165" s="200"/>
      <c r="F165" s="200"/>
      <c r="G165" s="200"/>
      <c r="J165" s="465">
        <v>45495.0</v>
      </c>
      <c r="K165" s="466">
        <f>SUMIF(GRAFICO!A:A,J165,GRAFICO!B:B)</f>
        <v>12705.04044</v>
      </c>
      <c r="L165" s="467">
        <f t="shared" si="2"/>
        <v>0.2293444675</v>
      </c>
      <c r="M165" s="468">
        <v>45860.0</v>
      </c>
      <c r="N165" s="469">
        <f>IF(SUMIF(GRAFICO!A:A,M165,GRAFICO!B:B)=0,"",SUMIF(GRAFICO!A:A,M165,GRAFICO!B:B))</f>
        <v>17307.55709</v>
      </c>
      <c r="O165" s="467">
        <f t="shared" si="3"/>
        <v>0.2180699575</v>
      </c>
      <c r="P165" s="468">
        <v>46225.0</v>
      </c>
      <c r="Q165" s="463" t="str">
        <f>IF(SUMIF(GRAFICO!A:A,P165,GRAFICO!B:B)=0,"",SUMIF(GRAFICO!A:A,P165,GRAFICO!B:B))</f>
        <v/>
      </c>
      <c r="R165" s="463" t="str">
        <f t="shared" si="4"/>
        <v/>
      </c>
      <c r="S165" s="471">
        <f>CUENTAS!A154</f>
        <v>45948</v>
      </c>
      <c r="T165" s="459">
        <f>IF(CUENTAS!Q154/CUENTAS!$AB154&lt;&gt;0,CUENTAS!Q154/CUENTAS!$AB154,"")</f>
        <v>0.06402234949</v>
      </c>
      <c r="U165" s="459" t="str">
        <f>IF(CUENTAS!C154/CUENTAS!$AB154&lt;&gt;0,CUENTAS!C154/CUENTAS!$AB154,"")</f>
        <v/>
      </c>
      <c r="V165" s="459" t="str">
        <f>IF(CUENTAS!D154/CUENTAS!$AB154&lt;&gt;0,CUENTAS!D154/CUENTAS!$AB154,"")</f>
        <v/>
      </c>
      <c r="W165" s="459" t="str">
        <f>IF(CUENTAS!E154/CUENTAS!$AB154&lt;&gt;0,CUENTAS!E154/CUENTAS!$AB154,"")</f>
        <v/>
      </c>
      <c r="X165" s="459">
        <f>IF(CUENTAS!F154/CUENTAS!$AB154&lt;&gt;0,CUENTAS!F154/CUENTAS!$AB154,"")</f>
        <v>0.04380476544</v>
      </c>
      <c r="Y165" s="459">
        <f>IF(CUENTAS!G154/CUENTAS!$AB154&lt;&gt;0,CUENTAS!G154/CUENTAS!$AB154,"")</f>
        <v>0.09572730724</v>
      </c>
      <c r="Z165" s="459">
        <f>IF(CUENTAS!H154/CUENTAS!$AB154&lt;&gt;0,CUENTAS!H154/CUENTAS!$AB154,"")</f>
        <v>0.04193115313</v>
      </c>
      <c r="AA165" s="459">
        <f>IF(CUENTAS!I154/CUENTAS!$AB154&lt;&gt;0,CUENTAS!I154/CUENTAS!$AB154,"")</f>
        <v>0.08950856042</v>
      </c>
      <c r="AB165" s="459">
        <f>IF(CUENTAS!J154/CUENTAS!$AB154&lt;&gt;0,CUENTAS!J154/CUENTAS!$AB154,"")</f>
        <v>0.1762260679</v>
      </c>
      <c r="AC165" s="459">
        <f>IF(CUENTAS!K154/CUENTAS!$AB154&lt;&gt;0,CUENTAS!K154/CUENTAS!$AB154,"")</f>
        <v>0.07599749177</v>
      </c>
      <c r="AD165" s="459">
        <f>IF(CUENTAS!L154/CUENTAS!$AB154&lt;&gt;0,CUENTAS!L154/CUENTAS!$AB154,"")</f>
        <v>0.00961013035</v>
      </c>
      <c r="AE165" s="459">
        <f>IF(CUENTAS!M154/CUENTAS!$AB154&lt;&gt;0,CUENTAS!M154/CUENTAS!$AB154,"")</f>
        <v>0.06212695099</v>
      </c>
      <c r="AF165" s="459">
        <f>IF(CUENTAS!N154/CUENTAS!$AB154&lt;&gt;0,CUENTAS!N154/CUENTAS!$AB154,"")</f>
        <v>0.05949082203</v>
      </c>
      <c r="AG165" s="459" t="str">
        <f>IF(CUENTAS!O154/CUENTAS!$AB154&lt;&gt;0,CUENTAS!O154/CUENTAS!$AB154,"")</f>
        <v/>
      </c>
      <c r="AH165" s="459" t="str">
        <f>IF(CUENTAS!P154/CUENTAS!$AB154&lt;&gt;0,CUENTAS!P154/CUENTAS!$AB154,"")</f>
        <v/>
      </c>
      <c r="AI165" s="459">
        <f>IF(CUENTAS!R154/CUENTAS!$AB154&lt;&gt;0,CUENTAS!R154/CUENTAS!$AB154,"")</f>
        <v>0.087507862</v>
      </c>
      <c r="AJ165" s="459" t="str">
        <f>IF(CUENTAS!B154/CUENTAS!$AB154&lt;&gt;0,CUENTAS!B154/CUENTAS!$AB154,"")</f>
        <v/>
      </c>
      <c r="AK165" s="459">
        <f>IF(CUENTAS!S154/CUENTAS!$AB154&lt;&gt;0,CUENTAS!S154/CUENTAS!$AB154,"")</f>
        <v>0.05051646932</v>
      </c>
      <c r="AL165" s="459">
        <f>IF(CUENTAS!T154/CUENTAS!$AB154&lt;&gt;0,CUENTAS!T154/CUENTAS!$AB154,"")</f>
        <v>0.04210544265</v>
      </c>
      <c r="AM165" s="459">
        <f>IF(CUENTAS!U154/CUENTAS!$AB154&lt;&gt;0,CUENTAS!U154/CUENTAS!$AB154,"")</f>
        <v>0.1467109958</v>
      </c>
      <c r="AN165" s="459">
        <f>IF(CUENTAS!V154/CUENTAS!$AB154&lt;&gt;0,CUENTAS!V154/CUENTAS!$AB154,"")</f>
        <v>0.1525022033</v>
      </c>
      <c r="AO165" s="459">
        <f>IF(CUENTAS!W154/CUENTAS!$AB154&lt;&gt;0,CUENTAS!W154/CUENTAS!$AB154,"")</f>
        <v>0.07162209867</v>
      </c>
      <c r="AP165" s="459" t="str">
        <f>IF(CUENTAS!X154/CUENTAS!$AB154&lt;&gt;0,CUENTAS!X154/CUENTAS!$AB154,"")</f>
        <v/>
      </c>
      <c r="AQ165" s="459" t="str">
        <f>IF(CUENTAS!Y154/CUENTAS!$AB154&lt;&gt;0,CUENTAS!Y154/CUENTAS!$AB154,"")</f>
        <v/>
      </c>
      <c r="AR165" s="459">
        <f>IF(CUENTAS!AA154/CUENTAS!$AB154&lt;&gt;0,CUENTAS!AA154/CUENTAS!$AB154,"")</f>
        <v>0.01706584861</v>
      </c>
    </row>
    <row r="166">
      <c r="A166" s="474"/>
      <c r="B166" s="200"/>
      <c r="C166" s="200"/>
      <c r="F166" s="200"/>
      <c r="G166" s="200"/>
      <c r="J166" s="470">
        <v>45494.0</v>
      </c>
      <c r="K166" s="466">
        <f>SUMIF(GRAFICO!A:A,J166,GRAFICO!B:B)</f>
        <v>12677.48016</v>
      </c>
      <c r="L166" s="467">
        <f t="shared" si="2"/>
        <v>0.2271728716</v>
      </c>
      <c r="M166" s="468">
        <v>45859.0</v>
      </c>
      <c r="N166" s="469">
        <f>IF(SUMIF(GRAFICO!A:A,M166,GRAFICO!B:B)=0,"",SUMIF(GRAFICO!A:A,M166,GRAFICO!B:B))</f>
        <v>17365.95351</v>
      </c>
      <c r="O166" s="467">
        <f t="shared" si="3"/>
        <v>0.2214383198</v>
      </c>
      <c r="P166" s="465">
        <v>46224.0</v>
      </c>
      <c r="Q166" s="463" t="str">
        <f>IF(SUMIF(GRAFICO!A:A,P166,GRAFICO!B:B)=0,"",SUMIF(GRAFICO!A:A,P166,GRAFICO!B:B))</f>
        <v/>
      </c>
      <c r="R166" s="463" t="str">
        <f t="shared" si="4"/>
        <v/>
      </c>
      <c r="S166" s="471">
        <f>CUENTAS!A155</f>
        <v>45947</v>
      </c>
      <c r="T166" s="459">
        <f>IF(CUENTAS!Q155/CUENTAS!$AB155&lt;&gt;0,CUENTAS!Q155/CUENTAS!$AB155,"")</f>
        <v>0.06403867957</v>
      </c>
      <c r="U166" s="459" t="str">
        <f>IF(CUENTAS!C155/CUENTAS!$AB155&lt;&gt;0,CUENTAS!C155/CUENTAS!$AB155,"")</f>
        <v/>
      </c>
      <c r="V166" s="459" t="str">
        <f>IF(CUENTAS!D155/CUENTAS!$AB155&lt;&gt;0,CUENTAS!D155/CUENTAS!$AB155,"")</f>
        <v/>
      </c>
      <c r="W166" s="459" t="str">
        <f>IF(CUENTAS!E155/CUENTAS!$AB155&lt;&gt;0,CUENTAS!E155/CUENTAS!$AB155,"")</f>
        <v/>
      </c>
      <c r="X166" s="459">
        <f>IF(CUENTAS!F155/CUENTAS!$AB155&lt;&gt;0,CUENTAS!F155/CUENTAS!$AB155,"")</f>
        <v>0.04381593865</v>
      </c>
      <c r="Y166" s="459">
        <f>IF(CUENTAS!G155/CUENTAS!$AB155&lt;&gt;0,CUENTAS!G155/CUENTAS!$AB155,"")</f>
        <v>0.09575172425</v>
      </c>
      <c r="Z166" s="459">
        <f>IF(CUENTAS!H155/CUENTAS!$AB155&lt;&gt;0,CUENTAS!H155/CUENTAS!$AB155,"")</f>
        <v>0.04194184844</v>
      </c>
      <c r="AA166" s="459">
        <f>IF(CUENTAS!I155/CUENTAS!$AB155&lt;&gt;0,CUENTAS!I155/CUENTAS!$AB155,"")</f>
        <v>0.08953139122</v>
      </c>
      <c r="AB166" s="459">
        <f>IF(CUENTAS!J155/CUENTAS!$AB155&lt;&gt;0,CUENTAS!J155/CUENTAS!$AB155,"")</f>
        <v>0.1762710176</v>
      </c>
      <c r="AC166" s="459">
        <f>IF(CUENTAS!K155/CUENTAS!$AB155&lt;&gt;0,CUENTAS!K155/CUENTAS!$AB155,"")</f>
        <v>0.07601687633</v>
      </c>
      <c r="AD166" s="459">
        <f>IF(CUENTAS!L155/CUENTAS!$AB155&lt;&gt;0,CUENTAS!L155/CUENTAS!$AB155,"")</f>
        <v>0.00961258159</v>
      </c>
      <c r="AE166" s="459">
        <f>IF(CUENTAS!M155/CUENTAS!$AB155&lt;&gt;0,CUENTAS!M155/CUENTAS!$AB155,"")</f>
        <v>0.06214279761</v>
      </c>
      <c r="AF166" s="459">
        <f>IF(CUENTAS!N155/CUENTAS!$AB155&lt;&gt;0,CUENTAS!N155/CUENTAS!$AB155,"")</f>
        <v>0.05950599626</v>
      </c>
      <c r="AG166" s="459" t="str">
        <f>IF(CUENTAS!O155/CUENTAS!$AB155&lt;&gt;0,CUENTAS!O155/CUENTAS!$AB155,"")</f>
        <v/>
      </c>
      <c r="AH166" s="459" t="str">
        <f>IF(CUENTAS!P155/CUENTAS!$AB155&lt;&gt;0,CUENTAS!P155/CUENTAS!$AB155,"")</f>
        <v/>
      </c>
      <c r="AI166" s="459">
        <f>IF(CUENTAS!R155/CUENTAS!$AB155&lt;&gt;0,CUENTAS!R155/CUENTAS!$AB155,"")</f>
        <v>0.08753018249</v>
      </c>
      <c r="AJ166" s="459" t="str">
        <f>IF(CUENTAS!B155/CUENTAS!$AB155&lt;&gt;0,CUENTAS!B155/CUENTAS!$AB155,"")</f>
        <v/>
      </c>
      <c r="AK166" s="459">
        <f>IF(CUENTAS!S155/CUENTAS!$AB155&lt;&gt;0,CUENTAS!S155/CUENTAS!$AB155,"")</f>
        <v>0.05047318944</v>
      </c>
      <c r="AL166" s="459">
        <f>IF(CUENTAS!T155/CUENTAS!$AB155&lt;&gt;0,CUENTAS!T155/CUENTAS!$AB155,"")</f>
        <v>0.04207986283</v>
      </c>
      <c r="AM166" s="459">
        <f>IF(CUENTAS!U155/CUENTAS!$AB155&lt;&gt;0,CUENTAS!U155/CUENTAS!$AB155,"")</f>
        <v>0.1464786084</v>
      </c>
      <c r="AN166" s="459">
        <f>IF(CUENTAS!V155/CUENTAS!$AB155&lt;&gt;0,CUENTAS!V155/CUENTAS!$AB155,"")</f>
        <v>0.1524648693</v>
      </c>
      <c r="AO166" s="459">
        <f>IF(CUENTAS!W155/CUENTAS!$AB155&lt;&gt;0,CUENTAS!W155/CUENTAS!$AB155,"")</f>
        <v>0.0716403672</v>
      </c>
      <c r="AP166" s="459" t="str">
        <f>IF(CUENTAS!X155/CUENTAS!$AB155&lt;&gt;0,CUENTAS!X155/CUENTAS!$AB155,"")</f>
        <v/>
      </c>
      <c r="AQ166" s="459" t="str">
        <f>IF(CUENTAS!Y155/CUENTAS!$AB155&lt;&gt;0,CUENTAS!Y155/CUENTAS!$AB155,"")</f>
        <v/>
      </c>
      <c r="AR166" s="459">
        <f>IF(CUENTAS!AA155/CUENTAS!$AB155&lt;&gt;0,CUENTAS!AA155/CUENTAS!$AB155,"")</f>
        <v>0.01707020156</v>
      </c>
    </row>
    <row r="167">
      <c r="A167" s="474"/>
      <c r="B167" s="200"/>
      <c r="C167" s="200"/>
      <c r="F167" s="200"/>
      <c r="G167" s="200"/>
      <c r="J167" s="470">
        <v>45493.0</v>
      </c>
      <c r="K167" s="466">
        <f>SUMIF(GRAFICO!A:A,J167,GRAFICO!B:B)</f>
        <v>12673.46572</v>
      </c>
      <c r="L167" s="467">
        <f t="shared" si="2"/>
        <v>0.226856162</v>
      </c>
      <c r="M167" s="468">
        <v>45858.0</v>
      </c>
      <c r="N167" s="469">
        <f>IF(SUMIF(GRAFICO!A:A,M167,GRAFICO!B:B)=0,"",SUMIF(GRAFICO!A:A,M167,GRAFICO!B:B))</f>
        <v>17383.60257</v>
      </c>
      <c r="O167" s="467">
        <f t="shared" si="3"/>
        <v>0.2224541061</v>
      </c>
      <c r="P167" s="468">
        <v>46223.0</v>
      </c>
      <c r="Q167" s="463" t="str">
        <f>IF(SUMIF(GRAFICO!A:A,P167,GRAFICO!B:B)=0,"",SUMIF(GRAFICO!A:A,P167,GRAFICO!B:B))</f>
        <v/>
      </c>
      <c r="R167" s="463" t="str">
        <f t="shared" si="4"/>
        <v/>
      </c>
      <c r="S167" s="471">
        <f>CUENTAS!A156</f>
        <v>45946</v>
      </c>
      <c r="T167" s="459">
        <f>IF(CUENTAS!Q156/CUENTAS!$AB156&lt;&gt;0,CUENTAS!Q156/CUENTAS!$AB156,"")</f>
        <v>0.0639560446</v>
      </c>
      <c r="U167" s="459" t="str">
        <f>IF(CUENTAS!C156/CUENTAS!$AB156&lt;&gt;0,CUENTAS!C156/CUENTAS!$AB156,"")</f>
        <v/>
      </c>
      <c r="V167" s="459" t="str">
        <f>IF(CUENTAS!D156/CUENTAS!$AB156&lt;&gt;0,CUENTAS!D156/CUENTAS!$AB156,"")</f>
        <v/>
      </c>
      <c r="W167" s="459" t="str">
        <f>IF(CUENTAS!E156/CUENTAS!$AB156&lt;&gt;0,CUENTAS!E156/CUENTAS!$AB156,"")</f>
        <v/>
      </c>
      <c r="X167" s="459">
        <f>IF(CUENTAS!F156/CUENTAS!$AB156&lt;&gt;0,CUENTAS!F156/CUENTAS!$AB156,"")</f>
        <v>0.0428520134</v>
      </c>
      <c r="Y167" s="459">
        <f>IF(CUENTAS!G156/CUENTAS!$AB156&lt;&gt;0,CUENTAS!G156/CUENTAS!$AB156,"")</f>
        <v>0.09679876628</v>
      </c>
      <c r="Z167" s="459">
        <f>IF(CUENTAS!H156/CUENTAS!$AB156&lt;&gt;0,CUENTAS!H156/CUENTAS!$AB156,"")</f>
        <v>0.04147629986</v>
      </c>
      <c r="AA167" s="459">
        <f>IF(CUENTAS!I156/CUENTAS!$AB156&lt;&gt;0,CUENTAS!I156/CUENTAS!$AB156,"")</f>
        <v>0.08881035872</v>
      </c>
      <c r="AB167" s="459">
        <f>IF(CUENTAS!J156/CUENTAS!$AB156&lt;&gt;0,CUENTAS!J156/CUENTAS!$AB156,"")</f>
        <v>0.1752327324</v>
      </c>
      <c r="AC167" s="459">
        <f>IF(CUENTAS!K156/CUENTAS!$AB156&lt;&gt;0,CUENTAS!K156/CUENTAS!$AB156,"")</f>
        <v>0.07506419971</v>
      </c>
      <c r="AD167" s="459">
        <f>IF(CUENTAS!L156/CUENTAS!$AB156&lt;&gt;0,CUENTAS!L156/CUENTAS!$AB156,"")</f>
        <v>0.009642190858</v>
      </c>
      <c r="AE167" s="459">
        <f>IF(CUENTAS!M156/CUENTAS!$AB156&lt;&gt;0,CUENTAS!M156/CUENTAS!$AB156,"")</f>
        <v>0.06173880415</v>
      </c>
      <c r="AF167" s="459">
        <f>IF(CUENTAS!N156/CUENTAS!$AB156&lt;&gt;0,CUENTAS!N156/CUENTAS!$AB156,"")</f>
        <v>0.05994598597</v>
      </c>
      <c r="AG167" s="459" t="str">
        <f>IF(CUENTAS!O156/CUENTAS!$AB156&lt;&gt;0,CUENTAS!O156/CUENTAS!$AB156,"")</f>
        <v/>
      </c>
      <c r="AH167" s="459" t="str">
        <f>IF(CUENTAS!P156/CUENTAS!$AB156&lt;&gt;0,CUENTAS!P156/CUENTAS!$AB156,"")</f>
        <v/>
      </c>
      <c r="AI167" s="459">
        <f>IF(CUENTAS!R156/CUENTAS!$AB156&lt;&gt;0,CUENTAS!R156/CUENTAS!$AB156,"")</f>
        <v>0.08817738414</v>
      </c>
      <c r="AJ167" s="459" t="str">
        <f>IF(CUENTAS!B156/CUENTAS!$AB156&lt;&gt;0,CUENTAS!B156/CUENTAS!$AB156,"")</f>
        <v/>
      </c>
      <c r="AK167" s="459">
        <f>IF(CUENTAS!S156/CUENTAS!$AB156&lt;&gt;0,CUENTAS!S156/CUENTAS!$AB156,"")</f>
        <v>0.05078980988</v>
      </c>
      <c r="AL167" s="459">
        <f>IF(CUENTAS!T156/CUENTAS!$AB156&lt;&gt;0,CUENTAS!T156/CUENTAS!$AB156,"")</f>
        <v>0.04235441489</v>
      </c>
      <c r="AM167" s="459">
        <f>IF(CUENTAS!U156/CUENTAS!$AB156&lt;&gt;0,CUENTAS!U156/CUENTAS!$AB156,"")</f>
        <v>0.1472898733</v>
      </c>
      <c r="AN167" s="459">
        <f>IF(CUENTAS!V156/CUENTAS!$AB156&lt;&gt;0,CUENTAS!V156/CUENTAS!$AB156,"")</f>
        <v>0.1535154429</v>
      </c>
      <c r="AO167" s="459">
        <f>IF(CUENTAS!W156/CUENTAS!$AB156&lt;&gt;0,CUENTAS!W156/CUENTAS!$AB156,"")</f>
        <v>0.07217007893</v>
      </c>
      <c r="AP167" s="459" t="str">
        <f>IF(CUENTAS!X156/CUENTAS!$AB156&lt;&gt;0,CUENTAS!X156/CUENTAS!$AB156,"")</f>
        <v/>
      </c>
      <c r="AQ167" s="459" t="str">
        <f>IF(CUENTAS!Y156/CUENTAS!$AB156&lt;&gt;0,CUENTAS!Y156/CUENTAS!$AB156,"")</f>
        <v/>
      </c>
      <c r="AR167" s="459">
        <f>IF(CUENTAS!AA156/CUENTAS!$AB156&lt;&gt;0,CUENTAS!AA156/CUENTAS!$AB156,"")</f>
        <v>0.01719641931</v>
      </c>
    </row>
    <row r="168">
      <c r="A168" s="474"/>
      <c r="B168" s="200"/>
      <c r="C168" s="200"/>
      <c r="F168" s="200"/>
      <c r="G168" s="200"/>
      <c r="J168" s="470">
        <v>45492.0</v>
      </c>
      <c r="K168" s="466">
        <f>SUMIF(GRAFICO!A:A,J168,GRAFICO!B:B)</f>
        <v>12666.00994</v>
      </c>
      <c r="L168" s="467">
        <f t="shared" si="2"/>
        <v>0.2262676904</v>
      </c>
      <c r="M168" s="468">
        <v>45857.0</v>
      </c>
      <c r="N168" s="469">
        <f>IF(SUMIF(GRAFICO!A:A,M168,GRAFICO!B:B)=0,"",SUMIF(GRAFICO!A:A,M168,GRAFICO!B:B))</f>
        <v>17388.4049</v>
      </c>
      <c r="O168" s="467">
        <f t="shared" si="3"/>
        <v>0.2227303239</v>
      </c>
      <c r="P168" s="465">
        <v>46222.0</v>
      </c>
      <c r="Q168" s="463" t="str">
        <f>IF(SUMIF(GRAFICO!A:A,P168,GRAFICO!B:B)=0,"",SUMIF(GRAFICO!A:A,P168,GRAFICO!B:B))</f>
        <v/>
      </c>
      <c r="R168" s="463" t="str">
        <f t="shared" si="4"/>
        <v/>
      </c>
      <c r="S168" s="471">
        <f>CUENTAS!A157</f>
        <v>45945</v>
      </c>
      <c r="T168" s="459">
        <f>IF(CUENTAS!Q157/CUENTAS!$AB157&lt;&gt;0,CUENTAS!Q157/CUENTAS!$AB157,"")</f>
        <v>0.06474858353</v>
      </c>
      <c r="U168" s="459" t="str">
        <f>IF(CUENTAS!C157/CUENTAS!$AB157&lt;&gt;0,CUENTAS!C157/CUENTAS!$AB157,"")</f>
        <v/>
      </c>
      <c r="V168" s="459" t="str">
        <f>IF(CUENTAS!D157/CUENTAS!$AB157&lt;&gt;0,CUENTAS!D157/CUENTAS!$AB157,"")</f>
        <v/>
      </c>
      <c r="W168" s="459" t="str">
        <f>IF(CUENTAS!E157/CUENTAS!$AB157&lt;&gt;0,CUENTAS!E157/CUENTAS!$AB157,"")</f>
        <v/>
      </c>
      <c r="X168" s="459">
        <f>IF(CUENTAS!F157/CUENTAS!$AB157&lt;&gt;0,CUENTAS!F157/CUENTAS!$AB157,"")</f>
        <v>0.04300904097</v>
      </c>
      <c r="Y168" s="459">
        <f>IF(CUENTAS!G157/CUENTAS!$AB157&lt;&gt;0,CUENTAS!G157/CUENTAS!$AB157,"")</f>
        <v>0.09681318474</v>
      </c>
      <c r="Z168" s="459">
        <f>IF(CUENTAS!H157/CUENTAS!$AB157&lt;&gt;0,CUENTAS!H157/CUENTAS!$AB157,"")</f>
        <v>0.04350846289</v>
      </c>
      <c r="AA168" s="459">
        <f>IF(CUENTAS!I157/CUENTAS!$AB157&lt;&gt;0,CUENTAS!I157/CUENTAS!$AB157,"")</f>
        <v>0.08854089709</v>
      </c>
      <c r="AB168" s="459">
        <f>IF(CUENTAS!J157/CUENTAS!$AB157&lt;&gt;0,CUENTAS!J157/CUENTAS!$AB157,"")</f>
        <v>0.174308044</v>
      </c>
      <c r="AC168" s="459">
        <f>IF(CUENTAS!K157/CUENTAS!$AB157&lt;&gt;0,CUENTAS!K157/CUENTAS!$AB157,"")</f>
        <v>0.07190451629</v>
      </c>
      <c r="AD168" s="459">
        <f>IF(CUENTAS!L157/CUENTAS!$AB157&lt;&gt;0,CUENTAS!L157/CUENTAS!$AB157,"")</f>
        <v>0.00969710902</v>
      </c>
      <c r="AE168" s="459">
        <f>IF(CUENTAS!M157/CUENTAS!$AB157&lt;&gt;0,CUENTAS!M157/CUENTAS!$AB157,"")</f>
        <v>0.06203726108</v>
      </c>
      <c r="AF168" s="459">
        <f>IF(CUENTAS!N157/CUENTAS!$AB157&lt;&gt;0,CUENTAS!N157/CUENTAS!$AB157,"")</f>
        <v>0.06016565294</v>
      </c>
      <c r="AG168" s="459" t="str">
        <f>IF(CUENTAS!O157/CUENTAS!$AB157&lt;&gt;0,CUENTAS!O157/CUENTAS!$AB157,"")</f>
        <v/>
      </c>
      <c r="AH168" s="459" t="str">
        <f>IF(CUENTAS!P157/CUENTAS!$AB157&lt;&gt;0,CUENTAS!P157/CUENTAS!$AB157,"")</f>
        <v/>
      </c>
      <c r="AI168" s="459">
        <f>IF(CUENTAS!R157/CUENTAS!$AB157&lt;&gt;0,CUENTAS!R157/CUENTAS!$AB157,"")</f>
        <v>0.08850050267</v>
      </c>
      <c r="AJ168" s="459" t="str">
        <f>IF(CUENTAS!B157/CUENTAS!$AB157&lt;&gt;0,CUENTAS!B157/CUENTAS!$AB157,"")</f>
        <v/>
      </c>
      <c r="AK168" s="459">
        <f>IF(CUENTAS!S157/CUENTAS!$AB157&lt;&gt;0,CUENTAS!S157/CUENTAS!$AB157,"")</f>
        <v>0.05091913717</v>
      </c>
      <c r="AL168" s="459">
        <f>IF(CUENTAS!T157/CUENTAS!$AB157&lt;&gt;0,CUENTAS!T157/CUENTAS!$AB157,"")</f>
        <v>0.04247289684</v>
      </c>
      <c r="AM168" s="459">
        <f>IF(CUENTAS!U157/CUENTAS!$AB157&lt;&gt;0,CUENTAS!U157/CUENTAS!$AB157,"")</f>
        <v>0.1475568048</v>
      </c>
      <c r="AN168" s="459">
        <f>IF(CUENTAS!V157/CUENTAS!$AB157&lt;&gt;0,CUENTAS!V157/CUENTAS!$AB157,"")</f>
        <v>0.1540009867</v>
      </c>
      <c r="AO168" s="459">
        <f>IF(CUENTAS!W157/CUENTAS!$AB157&lt;&gt;0,CUENTAS!W157/CUENTAS!$AB157,"")</f>
        <v>0.07243454005</v>
      </c>
      <c r="AP168" s="459" t="str">
        <f>IF(CUENTAS!X157/CUENTAS!$AB157&lt;&gt;0,CUENTAS!X157/CUENTAS!$AB157,"")</f>
        <v/>
      </c>
      <c r="AQ168" s="459" t="str">
        <f>IF(CUENTAS!Y157/CUENTAS!$AB157&lt;&gt;0,CUENTAS!Y157/CUENTAS!$AB157,"")</f>
        <v/>
      </c>
      <c r="AR168" s="459">
        <f>IF(CUENTAS!AA157/CUENTAS!$AB157&lt;&gt;0,CUENTAS!AA157/CUENTAS!$AB157,"")</f>
        <v>0.01725943413</v>
      </c>
    </row>
    <row r="169">
      <c r="A169" s="474"/>
      <c r="B169" s="200"/>
      <c r="C169" s="200"/>
      <c r="F169" s="200"/>
      <c r="G169" s="200"/>
      <c r="J169" s="465">
        <v>45491.0</v>
      </c>
      <c r="K169" s="466">
        <f>SUMIF(GRAFICO!A:A,J169,GRAFICO!B:B)</f>
        <v>12660.60721</v>
      </c>
      <c r="L169" s="467">
        <f t="shared" si="2"/>
        <v>0.2258410461</v>
      </c>
      <c r="M169" s="468">
        <v>45856.0</v>
      </c>
      <c r="N169" s="469">
        <f>IF(SUMIF(GRAFICO!A:A,M169,GRAFICO!B:B)=0,"",SUMIF(GRAFICO!A:A,M169,GRAFICO!B:B))</f>
        <v>17378.4929</v>
      </c>
      <c r="O169" s="467">
        <f t="shared" si="3"/>
        <v>0.2221601264</v>
      </c>
      <c r="P169" s="468">
        <v>46221.0</v>
      </c>
      <c r="Q169" s="463" t="str">
        <f>IF(SUMIF(GRAFICO!A:A,P169,GRAFICO!B:B)=0,"",SUMIF(GRAFICO!A:A,P169,GRAFICO!B:B))</f>
        <v/>
      </c>
      <c r="R169" s="463" t="str">
        <f t="shared" si="4"/>
        <v/>
      </c>
      <c r="S169" s="471">
        <f>CUENTAS!A158</f>
        <v>45944</v>
      </c>
      <c r="T169" s="459">
        <f>IF(CUENTAS!Q158/CUENTAS!$AB158&lt;&gt;0,CUENTAS!Q158/CUENTAS!$AB158,"")</f>
        <v>0.0643504358</v>
      </c>
      <c r="U169" s="459" t="str">
        <f>IF(CUENTAS!C158/CUENTAS!$AB158&lt;&gt;0,CUENTAS!C158/CUENTAS!$AB158,"")</f>
        <v/>
      </c>
      <c r="V169" s="459" t="str">
        <f>IF(CUENTAS!D158/CUENTAS!$AB158&lt;&gt;0,CUENTAS!D158/CUENTAS!$AB158,"")</f>
        <v/>
      </c>
      <c r="W169" s="459" t="str">
        <f>IF(CUENTAS!E158/CUENTAS!$AB158&lt;&gt;0,CUENTAS!E158/CUENTAS!$AB158,"")</f>
        <v/>
      </c>
      <c r="X169" s="459">
        <f>IF(CUENTAS!F158/CUENTAS!$AB158&lt;&gt;0,CUENTAS!F158/CUENTAS!$AB158,"")</f>
        <v>0.04311626454</v>
      </c>
      <c r="Y169" s="459">
        <f>IF(CUENTAS!G158/CUENTAS!$AB158&lt;&gt;0,CUENTAS!G158/CUENTAS!$AB158,"")</f>
        <v>0.09637226307</v>
      </c>
      <c r="Z169" s="459">
        <f>IF(CUENTAS!H158/CUENTAS!$AB158&lt;&gt;0,CUENTAS!H158/CUENTAS!$AB158,"")</f>
        <v>0.04307208803</v>
      </c>
      <c r="AA169" s="459">
        <f>IF(CUENTAS!I158/CUENTAS!$AB158&lt;&gt;0,CUENTAS!I158/CUENTAS!$AB158,"")</f>
        <v>0.0886622366</v>
      </c>
      <c r="AB169" s="459">
        <f>IF(CUENTAS!J158/CUENTAS!$AB158&lt;&gt;0,CUENTAS!J158/CUENTAS!$AB158,"")</f>
        <v>0.1752334522</v>
      </c>
      <c r="AC169" s="459">
        <f>IF(CUENTAS!K158/CUENTAS!$AB158&lt;&gt;0,CUENTAS!K158/CUENTAS!$AB158,"")</f>
        <v>0.07151930014</v>
      </c>
      <c r="AD169" s="459">
        <f>IF(CUENTAS!L158/CUENTAS!$AB158&lt;&gt;0,CUENTAS!L158/CUENTAS!$AB158,"")</f>
        <v>0.00967956212</v>
      </c>
      <c r="AE169" s="459">
        <f>IF(CUENTAS!M158/CUENTAS!$AB158&lt;&gt;0,CUENTAS!M158/CUENTAS!$AB158,"")</f>
        <v>0.06146791914</v>
      </c>
      <c r="AF169" s="459">
        <f>IF(CUENTAS!N158/CUENTAS!$AB158&lt;&gt;0,CUENTAS!N158/CUENTAS!$AB158,"")</f>
        <v>0.06078686475</v>
      </c>
      <c r="AG169" s="459" t="str">
        <f>IF(CUENTAS!O158/CUENTAS!$AB158&lt;&gt;0,CUENTAS!O158/CUENTAS!$AB158,"")</f>
        <v/>
      </c>
      <c r="AH169" s="459" t="str">
        <f>IF(CUENTAS!P158/CUENTAS!$AB158&lt;&gt;0,CUENTAS!P158/CUENTAS!$AB158,"")</f>
        <v/>
      </c>
      <c r="AI169" s="459">
        <f>IF(CUENTAS!R158/CUENTAS!$AB158&lt;&gt;0,CUENTAS!R158/CUENTAS!$AB158,"")</f>
        <v>0.04331751304</v>
      </c>
      <c r="AJ169" s="459" t="str">
        <f>IF(CUENTAS!B158/CUENTAS!$AB158&lt;&gt;0,CUENTAS!B158/CUENTAS!$AB158,"")</f>
        <v/>
      </c>
      <c r="AK169" s="459">
        <f>IF(CUENTAS!S158/CUENTAS!$AB158&lt;&gt;0,CUENTAS!S158/CUENTAS!$AB158,"")</f>
        <v>0.05098915175</v>
      </c>
      <c r="AL169" s="459">
        <f>IF(CUENTAS!T158/CUENTAS!$AB158&lt;&gt;0,CUENTAS!T158/CUENTAS!$AB158,"")</f>
        <v>0.04254197003</v>
      </c>
      <c r="AM169" s="459">
        <f>IF(CUENTAS!U158/CUENTAS!$AB158&lt;&gt;0,CUENTAS!U158/CUENTAS!$AB158,"")</f>
        <v>0.1476511911</v>
      </c>
      <c r="AN169" s="459">
        <f>IF(CUENTAS!V158/CUENTAS!$AB158&lt;&gt;0,CUENTAS!V158/CUENTAS!$AB158,"")</f>
        <v>0.1150986366</v>
      </c>
      <c r="AO169" s="459">
        <f>IF(CUENTAS!W158/CUENTAS!$AB158&lt;&gt;0,CUENTAS!W158/CUENTAS!$AB158,"")</f>
        <v>0.07261512278</v>
      </c>
      <c r="AP169" s="459" t="str">
        <f>IF(CUENTAS!X158/CUENTAS!$AB158&lt;&gt;0,CUENTAS!X158/CUENTAS!$AB158,"")</f>
        <v/>
      </c>
      <c r="AQ169" s="459" t="str">
        <f>IF(CUENTAS!Y158/CUENTAS!$AB158&lt;&gt;0,CUENTAS!Y158/CUENTAS!$AB158,"")</f>
        <v/>
      </c>
      <c r="AR169" s="459">
        <f>IF(CUENTAS!AA158/CUENTAS!$AB158&lt;&gt;0,CUENTAS!AA158/CUENTAS!$AB158,"")</f>
        <v>0.1019348208</v>
      </c>
    </row>
    <row r="170">
      <c r="A170" s="474"/>
      <c r="B170" s="200"/>
      <c r="C170" s="200"/>
      <c r="F170" s="200"/>
      <c r="G170" s="200"/>
      <c r="J170" s="465">
        <v>45490.0</v>
      </c>
      <c r="K170" s="466">
        <f>SUMIF(GRAFICO!A:A,J170,GRAFICO!B:B)</f>
        <v>12657.14979</v>
      </c>
      <c r="L170" s="467">
        <f t="shared" si="2"/>
        <v>0.2255679241</v>
      </c>
      <c r="M170" s="468">
        <v>45855.0</v>
      </c>
      <c r="N170" s="469">
        <f>IF(SUMIF(GRAFICO!A:A,M170,GRAFICO!B:B)=0,"",SUMIF(GRAFICO!A:A,M170,GRAFICO!B:B))</f>
        <v>17720.46523</v>
      </c>
      <c r="O170" s="467">
        <f t="shared" si="3"/>
        <v>0.2416469245</v>
      </c>
      <c r="P170" s="465">
        <v>46220.0</v>
      </c>
      <c r="Q170" s="463" t="str">
        <f>IF(SUMIF(GRAFICO!A:A,P170,GRAFICO!B:B)=0,"",SUMIF(GRAFICO!A:A,P170,GRAFICO!B:B))</f>
        <v/>
      </c>
      <c r="R170" s="463" t="str">
        <f t="shared" si="4"/>
        <v/>
      </c>
      <c r="S170" s="471">
        <f>CUENTAS!A159</f>
        <v>45943</v>
      </c>
      <c r="T170" s="459">
        <f>IF(CUENTAS!Q159/CUENTAS!$AB159&lt;&gt;0,CUENTAS!Q159/CUENTAS!$AB159,"")</f>
        <v>0.06492163815</v>
      </c>
      <c r="U170" s="459" t="str">
        <f>IF(CUENTAS!C159/CUENTAS!$AB159&lt;&gt;0,CUENTAS!C159/CUENTAS!$AB159,"")</f>
        <v/>
      </c>
      <c r="V170" s="459" t="str">
        <f>IF(CUENTAS!D159/CUENTAS!$AB159&lt;&gt;0,CUENTAS!D159/CUENTAS!$AB159,"")</f>
        <v/>
      </c>
      <c r="W170" s="459" t="str">
        <f>IF(CUENTAS!E159/CUENTAS!$AB159&lt;&gt;0,CUENTAS!E159/CUENTAS!$AB159,"")</f>
        <v/>
      </c>
      <c r="X170" s="459">
        <f>IF(CUENTAS!F159/CUENTAS!$AB159&lt;&gt;0,CUENTAS!F159/CUENTAS!$AB159,"")</f>
        <v>0.0431955043</v>
      </c>
      <c r="Y170" s="459">
        <f>IF(CUENTAS!G159/CUENTAS!$AB159&lt;&gt;0,CUENTAS!G159/CUENTAS!$AB159,"")</f>
        <v>0.0969467001</v>
      </c>
      <c r="Z170" s="459">
        <f>IF(CUENTAS!H159/CUENTAS!$AB159&lt;&gt;0,CUENTAS!H159/CUENTAS!$AB159,"")</f>
        <v>0.0437435954</v>
      </c>
      <c r="AA170" s="459">
        <f>IF(CUENTAS!I159/CUENTAS!$AB159&lt;&gt;0,CUENTAS!I159/CUENTAS!$AB159,"")</f>
        <v>0.08585773076</v>
      </c>
      <c r="AB170" s="459">
        <f>IF(CUENTAS!J159/CUENTAS!$AB159&lt;&gt;0,CUENTAS!J159/CUENTAS!$AB159,"")</f>
        <v>0.1769692357</v>
      </c>
      <c r="AC170" s="459">
        <f>IF(CUENTAS!K159/CUENTAS!$AB159&lt;&gt;0,CUENTAS!K159/CUENTAS!$AB159,"")</f>
        <v>0.07154810897</v>
      </c>
      <c r="AD170" s="459">
        <f>IF(CUENTAS!L159/CUENTAS!$AB159&lt;&gt;0,CUENTAS!L159/CUENTAS!$AB159,"")</f>
        <v>0.009752071443</v>
      </c>
      <c r="AE170" s="459">
        <f>IF(CUENTAS!M159/CUENTAS!$AB159&lt;&gt;0,CUENTAS!M159/CUENTAS!$AB159,"")</f>
        <v>0.06154297744</v>
      </c>
      <c r="AF170" s="459">
        <f>IF(CUENTAS!N159/CUENTAS!$AB159&lt;&gt;0,CUENTAS!N159/CUENTAS!$AB159,"")</f>
        <v>0.06122819539</v>
      </c>
      <c r="AG170" s="459" t="str">
        <f>IF(CUENTAS!O159/CUENTAS!$AB159&lt;&gt;0,CUENTAS!O159/CUENTAS!$AB159,"")</f>
        <v/>
      </c>
      <c r="AH170" s="459" t="str">
        <f>IF(CUENTAS!P159/CUENTAS!$AB159&lt;&gt;0,CUENTAS!P159/CUENTAS!$AB159,"")</f>
        <v/>
      </c>
      <c r="AI170" s="459">
        <f>IF(CUENTAS!R159/CUENTAS!$AB159&lt;&gt;0,CUENTAS!R159/CUENTAS!$AB159,"")</f>
        <v>0.04357571164</v>
      </c>
      <c r="AJ170" s="459" t="str">
        <f>IF(CUENTAS!B159/CUENTAS!$AB159&lt;&gt;0,CUENTAS!B159/CUENTAS!$AB159,"")</f>
        <v/>
      </c>
      <c r="AK170" s="459">
        <f>IF(CUENTAS!S159/CUENTAS!$AB159&lt;&gt;0,CUENTAS!S159/CUENTAS!$AB159,"")</f>
        <v>0.0512358094</v>
      </c>
      <c r="AL170" s="459">
        <f>IF(CUENTAS!T159/CUENTAS!$AB159&lt;&gt;0,CUENTAS!T159/CUENTAS!$AB159,"")</f>
        <v>0.04275851274</v>
      </c>
      <c r="AM170" s="459">
        <f>IF(CUENTAS!U159/CUENTAS!$AB159&lt;&gt;0,CUENTAS!U159/CUENTAS!$AB159,"")</f>
        <v>0.1482561716</v>
      </c>
      <c r="AN170" s="459">
        <f>IF(CUENTAS!V159/CUENTAS!$AB159&lt;&gt;0,CUENTAS!V159/CUENTAS!$AB159,"")</f>
        <v>0.1157268308</v>
      </c>
      <c r="AO170" s="459">
        <f>IF(CUENTAS!W159/CUENTAS!$AB159&lt;&gt;0,CUENTAS!W159/CUENTAS!$AB159,"")</f>
        <v>0.07304795287</v>
      </c>
      <c r="AP170" s="459" t="str">
        <f>IF(CUENTAS!X159/CUENTAS!$AB159&lt;&gt;0,CUENTAS!X159/CUENTAS!$AB159,"")</f>
        <v/>
      </c>
      <c r="AQ170" s="459" t="str">
        <f>IF(CUENTAS!Y159/CUENTAS!$AB159&lt;&gt;0,CUENTAS!Y159/CUENTAS!$AB159,"")</f>
        <v/>
      </c>
      <c r="AR170" s="459">
        <f>IF(CUENTAS!AA159/CUENTAS!$AB159&lt;&gt;0,CUENTAS!AA159/CUENTAS!$AB159,"")</f>
        <v>0.09945631545</v>
      </c>
    </row>
    <row r="171">
      <c r="A171" s="474"/>
      <c r="B171" s="200"/>
      <c r="C171" s="200"/>
      <c r="F171" s="200"/>
      <c r="G171" s="200"/>
      <c r="J171" s="465">
        <v>45489.0</v>
      </c>
      <c r="K171" s="466">
        <f>SUMIF(GRAFICO!A:A,J171,GRAFICO!B:B)</f>
        <v>12667.48833</v>
      </c>
      <c r="L171" s="467">
        <f t="shared" si="2"/>
        <v>0.2263844049</v>
      </c>
      <c r="M171" s="468">
        <v>45854.0</v>
      </c>
      <c r="N171" s="469">
        <f>IF(SUMIF(GRAFICO!A:A,M171,GRAFICO!B:B)=0,"",SUMIF(GRAFICO!A:A,M171,GRAFICO!B:B))</f>
        <v>17584.79774</v>
      </c>
      <c r="O171" s="467">
        <f t="shared" si="3"/>
        <v>0.2339614893</v>
      </c>
      <c r="P171" s="468">
        <v>46219.0</v>
      </c>
      <c r="Q171" s="463" t="str">
        <f>IF(SUMIF(GRAFICO!A:A,P171,GRAFICO!B:B)=0,"",SUMIF(GRAFICO!A:A,P171,GRAFICO!B:B))</f>
        <v/>
      </c>
      <c r="R171" s="463" t="str">
        <f t="shared" si="4"/>
        <v/>
      </c>
      <c r="S171" s="471">
        <f>CUENTAS!A160</f>
        <v>45942</v>
      </c>
      <c r="T171" s="459">
        <f>IF(CUENTAS!Q160/CUENTAS!$AB160&lt;&gt;0,CUENTAS!Q160/CUENTAS!$AB160,"")</f>
        <v>0.06700559039</v>
      </c>
      <c r="U171" s="459" t="str">
        <f>IF(CUENTAS!C160/CUENTAS!$AB160&lt;&gt;0,CUENTAS!C160/CUENTAS!$AB160,"")</f>
        <v/>
      </c>
      <c r="V171" s="459" t="str">
        <f>IF(CUENTAS!D160/CUENTAS!$AB160&lt;&gt;0,CUENTAS!D160/CUENTAS!$AB160,"")</f>
        <v/>
      </c>
      <c r="W171" s="459" t="str">
        <f>IF(CUENTAS!E160/CUENTAS!$AB160&lt;&gt;0,CUENTAS!E160/CUENTAS!$AB160,"")</f>
        <v/>
      </c>
      <c r="X171" s="459">
        <f>IF(CUENTAS!F160/CUENTAS!$AB160&lt;&gt;0,CUENTAS!F160/CUENTAS!$AB160,"")</f>
        <v>0.04464321355</v>
      </c>
      <c r="Y171" s="459">
        <f>IF(CUENTAS!G160/CUENTAS!$AB160&lt;&gt;0,CUENTAS!G160/CUENTAS!$AB160,"")</f>
        <v>0.1000586409</v>
      </c>
      <c r="Z171" s="459">
        <f>IF(CUENTAS!H160/CUENTAS!$AB160&lt;&gt;0,CUENTAS!H160/CUENTAS!$AB160,"")</f>
        <v>0.04514774302</v>
      </c>
      <c r="AA171" s="459">
        <f>IF(CUENTAS!I160/CUENTAS!$AB160&lt;&gt;0,CUENTAS!I160/CUENTAS!$AB160,"")</f>
        <v>0.08861372115</v>
      </c>
      <c r="AB171" s="459">
        <f>IF(CUENTAS!J160/CUENTAS!$AB160&lt;&gt;0,CUENTAS!J160/CUENTAS!$AB160,"")</f>
        <v>0.18264986</v>
      </c>
      <c r="AC171" s="459">
        <f>IF(CUENTAS!K160/CUENTAS!$AB160&lt;&gt;0,CUENTAS!K160/CUENTAS!$AB160,"")</f>
        <v>0.07384476762</v>
      </c>
      <c r="AD171" s="459">
        <f>IF(CUENTAS!L160/CUENTAS!$AB160&lt;&gt;0,CUENTAS!L160/CUENTAS!$AB160,"")</f>
        <v>0.01006510808</v>
      </c>
      <c r="AE171" s="459">
        <f>IF(CUENTAS!M160/CUENTAS!$AB160&lt;&gt;0,CUENTAS!M160/CUENTAS!$AB160,"")</f>
        <v>0.06351847636</v>
      </c>
      <c r="AF171" s="459">
        <f>IF(CUENTAS!N160/CUENTAS!$AB160&lt;&gt;0,CUENTAS!N160/CUENTAS!$AB160,"")</f>
        <v>0.06319358996</v>
      </c>
      <c r="AG171" s="459" t="str">
        <f>IF(CUENTAS!O160/CUENTAS!$AB160&lt;&gt;0,CUENTAS!O160/CUENTAS!$AB160,"")</f>
        <v/>
      </c>
      <c r="AH171" s="459" t="str">
        <f>IF(CUENTAS!P160/CUENTAS!$AB160&lt;&gt;0,CUENTAS!P160/CUENTAS!$AB160,"")</f>
        <v/>
      </c>
      <c r="AI171" s="459">
        <f>IF(CUENTAS!R160/CUENTAS!$AB160&lt;&gt;0,CUENTAS!R160/CUENTAS!$AB160,"")</f>
        <v>0.04497447028</v>
      </c>
      <c r="AJ171" s="459" t="str">
        <f>IF(CUENTAS!B160/CUENTAS!$AB160&lt;&gt;0,CUENTAS!B160/CUENTAS!$AB160,"")</f>
        <v/>
      </c>
      <c r="AK171" s="459">
        <f>IF(CUENTAS!S160/CUENTAS!$AB160&lt;&gt;0,CUENTAS!S160/CUENTAS!$AB160,"")</f>
        <v>0.0528213465</v>
      </c>
      <c r="AL171" s="459">
        <f>IF(CUENTAS!T160/CUENTAS!$AB160&lt;&gt;0,CUENTAS!T160/CUENTAS!$AB160,"")</f>
        <v>0.04409281777</v>
      </c>
      <c r="AM171" s="459">
        <f>IF(CUENTAS!U160/CUENTAS!$AB160&lt;&gt;0,CUENTAS!U160/CUENTAS!$AB160,"")</f>
        <v>0.1527311801</v>
      </c>
      <c r="AN171" s="459">
        <f>IF(CUENTAS!V160/CUENTAS!$AB160&lt;&gt;0,CUENTAS!V160/CUENTAS!$AB160,"")</f>
        <v>0.1193819134</v>
      </c>
      <c r="AO171" s="459">
        <f>IF(CUENTAS!W160/CUENTAS!$AB160&lt;&gt;0,CUENTAS!W160/CUENTAS!$AB160,"")</f>
        <v>0.07539275577</v>
      </c>
      <c r="AP171" s="459" t="str">
        <f>IF(CUENTAS!X160/CUENTAS!$AB160&lt;&gt;0,CUENTAS!X160/CUENTAS!$AB160,"")</f>
        <v/>
      </c>
      <c r="AQ171" s="459" t="str">
        <f>IF(CUENTAS!Y160/CUENTAS!$AB160&lt;&gt;0,CUENTAS!Y160/CUENTAS!$AB160,"")</f>
        <v/>
      </c>
      <c r="AR171" s="459">
        <f>IF(CUENTAS!AA160/CUENTAS!$AB160&lt;&gt;0,CUENTAS!AA160/CUENTAS!$AB160,"")</f>
        <v>0.07079720579</v>
      </c>
    </row>
    <row r="172">
      <c r="A172" s="474"/>
      <c r="B172" s="200"/>
      <c r="C172" s="200"/>
      <c r="F172" s="200"/>
      <c r="G172" s="200"/>
      <c r="J172" s="470">
        <v>45488.0</v>
      </c>
      <c r="K172" s="466">
        <f>SUMIF(GRAFICO!A:A,J172,GRAFICO!B:B)</f>
        <v>12644.11248</v>
      </c>
      <c r="L172" s="467">
        <f t="shared" si="2"/>
        <v>0.2245373581</v>
      </c>
      <c r="M172" s="468">
        <v>45853.0</v>
      </c>
      <c r="N172" s="469">
        <f>IF(SUMIF(GRAFICO!A:A,M172,GRAFICO!B:B)=0,"",SUMIF(GRAFICO!A:A,M172,GRAFICO!B:B))</f>
        <v>17506.30358</v>
      </c>
      <c r="O172" s="467">
        <f t="shared" si="3"/>
        <v>0.2294877456</v>
      </c>
      <c r="P172" s="465">
        <v>46218.0</v>
      </c>
      <c r="Q172" s="463" t="str">
        <f>IF(SUMIF(GRAFICO!A:A,P172,GRAFICO!B:B)=0,"",SUMIF(GRAFICO!A:A,P172,GRAFICO!B:B))</f>
        <v/>
      </c>
      <c r="R172" s="463" t="str">
        <f t="shared" si="4"/>
        <v/>
      </c>
      <c r="S172" s="471">
        <f>CUENTAS!A161</f>
        <v>45941</v>
      </c>
      <c r="T172" s="459">
        <f>IF(CUENTAS!Q161/CUENTAS!$AB161&lt;&gt;0,CUENTAS!Q161/CUENTAS!$AB161,"")</f>
        <v>0.06702220279</v>
      </c>
      <c r="U172" s="459" t="str">
        <f>IF(CUENTAS!C161/CUENTAS!$AB161&lt;&gt;0,CUENTAS!C161/CUENTAS!$AB161,"")</f>
        <v/>
      </c>
      <c r="V172" s="459" t="str">
        <f>IF(CUENTAS!D161/CUENTAS!$AB161&lt;&gt;0,CUENTAS!D161/CUENTAS!$AB161,"")</f>
        <v/>
      </c>
      <c r="W172" s="459" t="str">
        <f>IF(CUENTAS!E161/CUENTAS!$AB161&lt;&gt;0,CUENTAS!E161/CUENTAS!$AB161,"")</f>
        <v/>
      </c>
      <c r="X172" s="459">
        <f>IF(CUENTAS!F161/CUENTAS!$AB161&lt;&gt;0,CUENTAS!F161/CUENTAS!$AB161,"")</f>
        <v>0.04465428175</v>
      </c>
      <c r="Y172" s="459">
        <f>IF(CUENTAS!G161/CUENTAS!$AB161&lt;&gt;0,CUENTAS!G161/CUENTAS!$AB161,"")</f>
        <v>0.100083448</v>
      </c>
      <c r="Z172" s="459">
        <f>IF(CUENTAS!H161/CUENTAS!$AB161&lt;&gt;0,CUENTAS!H161/CUENTAS!$AB161,"")</f>
        <v>0.0451589363</v>
      </c>
      <c r="AA172" s="459">
        <f>IF(CUENTAS!I161/CUENTAS!$AB161&lt;&gt;0,CUENTAS!I161/CUENTAS!$AB161,"")</f>
        <v>0.08863569076</v>
      </c>
      <c r="AB172" s="459">
        <f>IF(CUENTAS!J161/CUENTAS!$AB161&lt;&gt;0,CUENTAS!J161/CUENTAS!$AB161,"")</f>
        <v>0.1826951436</v>
      </c>
      <c r="AC172" s="459">
        <f>IF(CUENTAS!K161/CUENTAS!$AB161&lt;&gt;0,CUENTAS!K161/CUENTAS!$AB161,"")</f>
        <v>0.07386307563</v>
      </c>
      <c r="AD172" s="459">
        <f>IF(CUENTAS!L161/CUENTAS!$AB161&lt;&gt;0,CUENTAS!L161/CUENTAS!$AB161,"")</f>
        <v>0.01006760348</v>
      </c>
      <c r="AE172" s="459">
        <f>IF(CUENTAS!M161/CUENTAS!$AB161&lt;&gt;0,CUENTAS!M161/CUENTAS!$AB161,"")</f>
        <v>0.06353422422</v>
      </c>
      <c r="AF172" s="459">
        <f>IF(CUENTAS!N161/CUENTAS!$AB161&lt;&gt;0,CUENTAS!N161/CUENTAS!$AB161,"")</f>
        <v>0.06320925727</v>
      </c>
      <c r="AG172" s="459" t="str">
        <f>IF(CUENTAS!O161/CUENTAS!$AB161&lt;&gt;0,CUENTAS!O161/CUENTAS!$AB161,"")</f>
        <v/>
      </c>
      <c r="AH172" s="459" t="str">
        <f>IF(CUENTAS!P161/CUENTAS!$AB161&lt;&gt;0,CUENTAS!P161/CUENTAS!$AB161,"")</f>
        <v/>
      </c>
      <c r="AI172" s="459">
        <f>IF(CUENTAS!R161/CUENTAS!$AB161&lt;&gt;0,CUENTAS!R161/CUENTAS!$AB161,"")</f>
        <v>0.0449856206</v>
      </c>
      <c r="AJ172" s="459" t="str">
        <f>IF(CUENTAS!B161/CUENTAS!$AB161&lt;&gt;0,CUENTAS!B161/CUENTAS!$AB161,"")</f>
        <v/>
      </c>
      <c r="AK172" s="459">
        <f>IF(CUENTAS!S161/CUENTAS!$AB161&lt;&gt;0,CUENTAS!S161/CUENTAS!$AB161,"")</f>
        <v>0.05277532075</v>
      </c>
      <c r="AL172" s="459">
        <f>IF(CUENTAS!T161/CUENTAS!$AB161&lt;&gt;0,CUENTAS!T161/CUENTAS!$AB161,"")</f>
        <v>0.0440655181</v>
      </c>
      <c r="AM172" s="459">
        <f>IF(CUENTAS!U161/CUENTAS!$AB161&lt;&gt;0,CUENTAS!U161/CUENTAS!$AB161,"")</f>
        <v>0.1524850348</v>
      </c>
      <c r="AN172" s="459">
        <f>IF(CUENTAS!V161/CUENTAS!$AB161&lt;&gt;0,CUENTAS!V161/CUENTAS!$AB161,"")</f>
        <v>0.1193518354</v>
      </c>
      <c r="AO172" s="459">
        <f>IF(CUENTAS!W161/CUENTAS!$AB161&lt;&gt;0,CUENTAS!W161/CUENTAS!$AB161,"")</f>
        <v>0.07541144756</v>
      </c>
      <c r="AP172" s="459" t="str">
        <f>IF(CUENTAS!X161/CUENTAS!$AB161&lt;&gt;0,CUENTAS!X161/CUENTAS!$AB161,"")</f>
        <v/>
      </c>
      <c r="AQ172" s="459" t="str">
        <f>IF(CUENTAS!Y161/CUENTAS!$AB161&lt;&gt;0,CUENTAS!Y161/CUENTAS!$AB161,"")</f>
        <v/>
      </c>
      <c r="AR172" s="459">
        <f>IF(CUENTAS!AA161/CUENTAS!$AB161&lt;&gt;0,CUENTAS!AA161/CUENTAS!$AB161,"")</f>
        <v>0.07081475823</v>
      </c>
    </row>
    <row r="173">
      <c r="A173" s="474"/>
      <c r="B173" s="200"/>
      <c r="C173" s="200"/>
      <c r="F173" s="200"/>
      <c r="G173" s="200"/>
      <c r="J173" s="465">
        <v>45487.0</v>
      </c>
      <c r="K173" s="466">
        <f>SUMIF(GRAFICO!A:A,J173,GRAFICO!B:B)</f>
        <v>12636.79498</v>
      </c>
      <c r="L173" s="467">
        <f t="shared" si="2"/>
        <v>0.2239584622</v>
      </c>
      <c r="M173" s="468">
        <v>45852.0</v>
      </c>
      <c r="N173" s="469">
        <f>IF(SUMIF(GRAFICO!A:A,M173,GRAFICO!B:B)=0,"",SUMIF(GRAFICO!A:A,M173,GRAFICO!B:B))</f>
        <v>17243.2594</v>
      </c>
      <c r="O173" s="467">
        <f t="shared" si="3"/>
        <v>0.2143480328</v>
      </c>
      <c r="P173" s="468">
        <v>46217.0</v>
      </c>
      <c r="Q173" s="463" t="str">
        <f>IF(SUMIF(GRAFICO!A:A,P173,GRAFICO!B:B)=0,"",SUMIF(GRAFICO!A:A,P173,GRAFICO!B:B))</f>
        <v/>
      </c>
      <c r="R173" s="463" t="str">
        <f t="shared" si="4"/>
        <v/>
      </c>
      <c r="S173" s="471">
        <f>CUENTAS!A162</f>
        <v>45940</v>
      </c>
      <c r="T173" s="459">
        <f>IF(CUENTAS!Q162/CUENTAS!$AB162&lt;&gt;0,CUENTAS!Q162/CUENTAS!$AB162,"")</f>
        <v>0.06703882143</v>
      </c>
      <c r="U173" s="459" t="str">
        <f>IF(CUENTAS!C162/CUENTAS!$AB162&lt;&gt;0,CUENTAS!C162/CUENTAS!$AB162,"")</f>
        <v/>
      </c>
      <c r="V173" s="459" t="str">
        <f>IF(CUENTAS!D162/CUENTAS!$AB162&lt;&gt;0,CUENTAS!D162/CUENTAS!$AB162,"")</f>
        <v/>
      </c>
      <c r="W173" s="459" t="str">
        <f>IF(CUENTAS!E162/CUENTAS!$AB162&lt;&gt;0,CUENTAS!E162/CUENTAS!$AB162,"")</f>
        <v/>
      </c>
      <c r="X173" s="459">
        <f>IF(CUENTAS!F162/CUENTAS!$AB162&lt;&gt;0,CUENTAS!F162/CUENTAS!$AB162,"")</f>
        <v>0.04423705619</v>
      </c>
      <c r="Y173" s="459">
        <f>IF(CUENTAS!G162/CUENTAS!$AB162&lt;&gt;0,CUENTAS!G162/CUENTAS!$AB162,"")</f>
        <v>0.1001082644</v>
      </c>
      <c r="Z173" s="459">
        <f>IF(CUENTAS!H162/CUENTAS!$AB162&lt;&gt;0,CUENTAS!H162/CUENTAS!$AB162,"")</f>
        <v>0.04517013379</v>
      </c>
      <c r="AA173" s="459">
        <f>IF(CUENTAS!I162/CUENTAS!$AB162&lt;&gt;0,CUENTAS!I162/CUENTAS!$AB162,"")</f>
        <v>0.08865766862</v>
      </c>
      <c r="AB173" s="459">
        <f>IF(CUENTAS!J162/CUENTAS!$AB162&lt;&gt;0,CUENTAS!J162/CUENTAS!$AB162,"")</f>
        <v>0.1827404442</v>
      </c>
      <c r="AC173" s="459">
        <f>IF(CUENTAS!K162/CUENTAS!$AB162&lt;&gt;0,CUENTAS!K162/CUENTAS!$AB162,"")</f>
        <v>0.07388139052</v>
      </c>
      <c r="AD173" s="459">
        <f>IF(CUENTAS!L162/CUENTAS!$AB162&lt;&gt;0,CUENTAS!L162/CUENTAS!$AB162,"")</f>
        <v>0.01007009981</v>
      </c>
      <c r="AE173" s="459">
        <f>IF(CUENTAS!M162/CUENTAS!$AB162&lt;&gt;0,CUENTAS!M162/CUENTAS!$AB162,"")</f>
        <v>0.06354997799</v>
      </c>
      <c r="AF173" s="459">
        <f>IF(CUENTAS!N162/CUENTAS!$AB162&lt;&gt;0,CUENTAS!N162/CUENTAS!$AB162,"")</f>
        <v>0.06322493046</v>
      </c>
      <c r="AG173" s="459" t="str">
        <f>IF(CUENTAS!O162/CUENTAS!$AB162&lt;&gt;0,CUENTAS!O162/CUENTAS!$AB162,"")</f>
        <v/>
      </c>
      <c r="AH173" s="459" t="str">
        <f>IF(CUENTAS!P162/CUENTAS!$AB162&lt;&gt;0,CUENTAS!P162/CUENTAS!$AB162,"")</f>
        <v/>
      </c>
      <c r="AI173" s="459">
        <f>IF(CUENTAS!R162/CUENTAS!$AB162&lt;&gt;0,CUENTAS!R162/CUENTAS!$AB162,"")</f>
        <v>0.04499677511</v>
      </c>
      <c r="AJ173" s="459" t="str">
        <f>IF(CUENTAS!B162/CUENTAS!$AB162&lt;&gt;0,CUENTAS!B162/CUENTAS!$AB162,"")</f>
        <v/>
      </c>
      <c r="AK173" s="459">
        <f>IF(CUENTAS!S162/CUENTAS!$AB162&lt;&gt;0,CUENTAS!S162/CUENTAS!$AB162,"")</f>
        <v>0.05272927061</v>
      </c>
      <c r="AL173" s="459">
        <f>IF(CUENTAS!T162/CUENTAS!$AB162&lt;&gt;0,CUENTAS!T162/CUENTAS!$AB162,"")</f>
        <v>0.04403820358</v>
      </c>
      <c r="AM173" s="459">
        <f>IF(CUENTAS!U162/CUENTAS!$AB162&lt;&gt;0,CUENTAS!U162/CUENTAS!$AB162,"")</f>
        <v>0.1522387629</v>
      </c>
      <c r="AN173" s="459">
        <f>IF(CUENTAS!V162/CUENTAS!$AB162&lt;&gt;0,CUENTAS!V162/CUENTAS!$AB162,"")</f>
        <v>0.1193217686</v>
      </c>
      <c r="AO173" s="459">
        <f>IF(CUENTAS!W162/CUENTAS!$AB162&lt;&gt;0,CUENTAS!W162/CUENTAS!$AB162,"")</f>
        <v>0.07543014638</v>
      </c>
      <c r="AP173" s="459" t="str">
        <f>IF(CUENTAS!X162/CUENTAS!$AB162&lt;&gt;0,CUENTAS!X162/CUENTAS!$AB162,"")</f>
        <v/>
      </c>
      <c r="AQ173" s="459" t="str">
        <f>IF(CUENTAS!Y162/CUENTAS!$AB162&lt;&gt;0,CUENTAS!Y162/CUENTAS!$AB162,"")</f>
        <v/>
      </c>
      <c r="AR173" s="459">
        <f>IF(CUENTAS!AA162/CUENTAS!$AB162&lt;&gt;0,CUENTAS!AA162/CUENTAS!$AB162,"")</f>
        <v>0.07083231726</v>
      </c>
    </row>
    <row r="174">
      <c r="A174" s="474"/>
      <c r="B174" s="200"/>
      <c r="C174" s="200"/>
      <c r="F174" s="200"/>
      <c r="G174" s="200"/>
      <c r="J174" s="470">
        <v>45486.0</v>
      </c>
      <c r="K174" s="466">
        <f>SUMIF(GRAFICO!A:A,J174,GRAFICO!B:B)</f>
        <v>12630.66863</v>
      </c>
      <c r="L174" s="467">
        <f t="shared" si="2"/>
        <v>0.223473542</v>
      </c>
      <c r="M174" s="468">
        <v>45851.0</v>
      </c>
      <c r="N174" s="469">
        <f>IF(SUMIF(GRAFICO!A:A,M174,GRAFICO!B:B)=0,"",SUMIF(GRAFICO!A:A,M174,GRAFICO!B:B))</f>
        <v>17202.72001</v>
      </c>
      <c r="O174" s="467">
        <f t="shared" si="3"/>
        <v>0.2119942365</v>
      </c>
      <c r="P174" s="465">
        <v>46216.0</v>
      </c>
      <c r="Q174" s="463" t="str">
        <f>IF(SUMIF(GRAFICO!A:A,P174,GRAFICO!B:B)=0,"",SUMIF(GRAFICO!A:A,P174,GRAFICO!B:B))</f>
        <v/>
      </c>
      <c r="R174" s="463" t="str">
        <f t="shared" si="4"/>
        <v/>
      </c>
      <c r="S174" s="471">
        <f>CUENTAS!A163</f>
        <v>45939</v>
      </c>
      <c r="T174" s="459">
        <f>IF(CUENTAS!Q163/CUENTAS!$AB163&lt;&gt;0,CUENTAS!Q163/CUENTAS!$AB163,"")</f>
        <v>0.06778135042</v>
      </c>
      <c r="U174" s="459" t="str">
        <f>IF(CUENTAS!C163/CUENTAS!$AB163&lt;&gt;0,CUENTAS!C163/CUENTAS!$AB163,"")</f>
        <v/>
      </c>
      <c r="V174" s="459" t="str">
        <f>IF(CUENTAS!D163/CUENTAS!$AB163&lt;&gt;0,CUENTAS!D163/CUENTAS!$AB163,"")</f>
        <v/>
      </c>
      <c r="W174" s="459" t="str">
        <f>IF(CUENTAS!E163/CUENTAS!$AB163&lt;&gt;0,CUENTAS!E163/CUENTAS!$AB163,"")</f>
        <v/>
      </c>
      <c r="X174" s="459">
        <f>IF(CUENTAS!F163/CUENTAS!$AB163&lt;&gt;0,CUENTAS!F163/CUENTAS!$AB163,"")</f>
        <v>0.04408989325</v>
      </c>
      <c r="Y174" s="459">
        <f>IF(CUENTAS!G163/CUENTAS!$AB163&lt;&gt;0,CUENTAS!G163/CUENTAS!$AB163,"")</f>
        <v>0.100658202</v>
      </c>
      <c r="Z174" s="459">
        <f>IF(CUENTAS!H163/CUENTAS!$AB163&lt;&gt;0,CUENTAS!H163/CUENTAS!$AB163,"")</f>
        <v>0.04596508581</v>
      </c>
      <c r="AA174" s="459">
        <f>IF(CUENTAS!I163/CUENTAS!$AB163&lt;&gt;0,CUENTAS!I163/CUENTAS!$AB163,"")</f>
        <v>0.09069528871</v>
      </c>
      <c r="AB174" s="459">
        <f>IF(CUENTAS!J163/CUENTAS!$AB163&lt;&gt;0,CUENTAS!J163/CUENTAS!$AB163,"")</f>
        <v>0.1804047038</v>
      </c>
      <c r="AC174" s="459">
        <f>IF(CUENTAS!K163/CUENTAS!$AB163&lt;&gt;0,CUENTAS!K163/CUENTAS!$AB163,"")</f>
        <v>0.0733434053</v>
      </c>
      <c r="AD174" s="459">
        <f>IF(CUENTAS!L163/CUENTAS!$AB163&lt;&gt;0,CUENTAS!L163/CUENTAS!$AB163,"")</f>
        <v>0.0100543861</v>
      </c>
      <c r="AE174" s="459">
        <f>IF(CUENTAS!M163/CUENTAS!$AB163&lt;&gt;0,CUENTAS!M163/CUENTAS!$AB163,"")</f>
        <v>0.06378830827</v>
      </c>
      <c r="AF174" s="459">
        <f>IF(CUENTAS!N163/CUENTAS!$AB163&lt;&gt;0,CUENTAS!N163/CUENTAS!$AB163,"")</f>
        <v>0.06301460078</v>
      </c>
      <c r="AG174" s="459" t="str">
        <f>IF(CUENTAS!O163/CUENTAS!$AB163&lt;&gt;0,CUENTAS!O163/CUENTAS!$AB163,"")</f>
        <v/>
      </c>
      <c r="AH174" s="459" t="str">
        <f>IF(CUENTAS!P163/CUENTAS!$AB163&lt;&gt;0,CUENTAS!P163/CUENTAS!$AB163,"")</f>
        <v/>
      </c>
      <c r="AI174" s="459">
        <f>IF(CUENTAS!R163/CUENTAS!$AB163&lt;&gt;0,CUENTAS!R163/CUENTAS!$AB163,"")</f>
        <v>0.04484708483</v>
      </c>
      <c r="AJ174" s="459" t="str">
        <f>IF(CUENTAS!B163/CUENTAS!$AB163&lt;&gt;0,CUENTAS!B163/CUENTAS!$AB163,"")</f>
        <v/>
      </c>
      <c r="AK174" s="459">
        <f>IF(CUENTAS!S163/CUENTAS!$AB163&lt;&gt;0,CUENTAS!S163/CUENTAS!$AB163,"")</f>
        <v>0.05249491727</v>
      </c>
      <c r="AL174" s="459">
        <f>IF(CUENTAS!T163/CUENTAS!$AB163&lt;&gt;0,CUENTAS!T163/CUENTAS!$AB163,"")</f>
        <v>0.0438535885</v>
      </c>
      <c r="AM174" s="459">
        <f>IF(CUENTAS!U163/CUENTAS!$AB163&lt;&gt;0,CUENTAS!U163/CUENTAS!$AB163,"")</f>
        <v>0.1514491753</v>
      </c>
      <c r="AN174" s="459">
        <f>IF(CUENTAS!V163/CUENTAS!$AB163&lt;&gt;0,CUENTAS!V163/CUENTAS!$AB163,"")</f>
        <v>0.1188653895</v>
      </c>
      <c r="AO174" s="459">
        <f>IF(CUENTAS!W163/CUENTAS!$AB163&lt;&gt;0,CUENTAS!W163/CUENTAS!$AB163,"")</f>
        <v>0.07517921373</v>
      </c>
      <c r="AP174" s="459" t="str">
        <f>IF(CUENTAS!X163/CUENTAS!$AB163&lt;&gt;0,CUENTAS!X163/CUENTAS!$AB163,"")</f>
        <v/>
      </c>
      <c r="AQ174" s="459" t="str">
        <f>IF(CUENTAS!Y163/CUENTAS!$AB163&lt;&gt;0,CUENTAS!Y163/CUENTAS!$AB163,"")</f>
        <v/>
      </c>
      <c r="AR174" s="459">
        <f>IF(CUENTAS!AA163/CUENTAS!$AB163&lt;&gt;0,CUENTAS!AA163/CUENTAS!$AB163,"")</f>
        <v>0.07059668016</v>
      </c>
    </row>
    <row r="175">
      <c r="A175" s="474"/>
      <c r="B175" s="200"/>
      <c r="C175" s="200"/>
      <c r="F175" s="200"/>
      <c r="G175" s="200"/>
      <c r="J175" s="470">
        <v>45485.0</v>
      </c>
      <c r="K175" s="466">
        <f>SUMIF(GRAFICO!A:A,J175,GRAFICO!B:B)</f>
        <v>12624.54836</v>
      </c>
      <c r="L175" s="467">
        <f t="shared" si="2"/>
        <v>0.2229888684</v>
      </c>
      <c r="M175" s="468">
        <v>45850.0</v>
      </c>
      <c r="N175" s="469">
        <f>IF(SUMIF(GRAFICO!A:A,M175,GRAFICO!B:B)=0,"",SUMIF(GRAFICO!A:A,M175,GRAFICO!B:B))</f>
        <v>17188.59021</v>
      </c>
      <c r="O175" s="467">
        <f t="shared" si="3"/>
        <v>0.2111725292</v>
      </c>
      <c r="P175" s="468">
        <v>46215.0</v>
      </c>
      <c r="Q175" s="463" t="str">
        <f>IF(SUMIF(GRAFICO!A:A,P175,GRAFICO!B:B)=0,"",SUMIF(GRAFICO!A:A,P175,GRAFICO!B:B))</f>
        <v/>
      </c>
      <c r="R175" s="463" t="str">
        <f t="shared" si="4"/>
        <v/>
      </c>
      <c r="S175" s="471">
        <f>CUENTAS!A164</f>
        <v>45938</v>
      </c>
      <c r="T175" s="459">
        <f>IF(CUENTAS!Q164/CUENTAS!$AB164&lt;&gt;0,CUENTAS!Q164/CUENTAS!$AB164,"")</f>
        <v>0.06818048392</v>
      </c>
      <c r="U175" s="459" t="str">
        <f>IF(CUENTAS!C164/CUENTAS!$AB164&lt;&gt;0,CUENTAS!C164/CUENTAS!$AB164,"")</f>
        <v/>
      </c>
      <c r="V175" s="459" t="str">
        <f>IF(CUENTAS!D164/CUENTAS!$AB164&lt;&gt;0,CUENTAS!D164/CUENTAS!$AB164,"")</f>
        <v/>
      </c>
      <c r="W175" s="459" t="str">
        <f>IF(CUENTAS!E164/CUENTAS!$AB164&lt;&gt;0,CUENTAS!E164/CUENTAS!$AB164,"")</f>
        <v/>
      </c>
      <c r="X175" s="459">
        <f>IF(CUENTAS!F164/CUENTAS!$AB164&lt;&gt;0,CUENTAS!F164/CUENTAS!$AB164,"")</f>
        <v>0.04422352561</v>
      </c>
      <c r="Y175" s="459">
        <f>IF(CUENTAS!G164/CUENTAS!$AB164&lt;&gt;0,CUENTAS!G164/CUENTAS!$AB164,"")</f>
        <v>0.1009632876</v>
      </c>
      <c r="Z175" s="459">
        <f>IF(CUENTAS!H164/CUENTAS!$AB164&lt;&gt;0,CUENTAS!H164/CUENTAS!$AB164,"")</f>
        <v>0.04602794332</v>
      </c>
      <c r="AA175" s="459">
        <f>IF(CUENTAS!I164/CUENTAS!$AB164&lt;&gt;0,CUENTAS!I164/CUENTAS!$AB164,"")</f>
        <v>0.0884241137</v>
      </c>
      <c r="AB175" s="459">
        <f>IF(CUENTAS!J164/CUENTAS!$AB164&lt;&gt;0,CUENTAS!J164/CUENTAS!$AB164,"")</f>
        <v>0.1809514937</v>
      </c>
      <c r="AC175" s="459">
        <f>IF(CUENTAS!K164/CUENTAS!$AB164&lt;&gt;0,CUENTAS!K164/CUENTAS!$AB164,"")</f>
        <v>0.07268643098</v>
      </c>
      <c r="AD175" s="459">
        <f>IF(CUENTAS!L164/CUENTAS!$AB164&lt;&gt;0,CUENTAS!L164/CUENTAS!$AB164,"")</f>
        <v>0.01013328365</v>
      </c>
      <c r="AE175" s="459">
        <f>IF(CUENTAS!M164/CUENTAS!$AB164&lt;&gt;0,CUENTAS!M164/CUENTAS!$AB164,"")</f>
        <v>0.06413201283</v>
      </c>
      <c r="AF175" s="459">
        <f>IF(CUENTAS!N164/CUENTAS!$AB164&lt;&gt;0,CUENTAS!N164/CUENTAS!$AB164,"")</f>
        <v>0.06353181457</v>
      </c>
      <c r="AG175" s="459" t="str">
        <f>IF(CUENTAS!O164/CUENTAS!$AB164&lt;&gt;0,CUENTAS!O164/CUENTAS!$AB164,"")</f>
        <v/>
      </c>
      <c r="AH175" s="459" t="str">
        <f>IF(CUENTAS!P164/CUENTAS!$AB164&lt;&gt;0,CUENTAS!P164/CUENTAS!$AB164,"")</f>
        <v/>
      </c>
      <c r="AI175" s="459">
        <f>IF(CUENTAS!R164/CUENTAS!$AB164&lt;&gt;0,CUENTAS!R164/CUENTAS!$AB164,"")</f>
        <v>0.04498301216</v>
      </c>
      <c r="AJ175" s="459" t="str">
        <f>IF(CUENTAS!B164/CUENTAS!$AB164&lt;&gt;0,CUENTAS!B164/CUENTAS!$AB164,"")</f>
        <v/>
      </c>
      <c r="AK175" s="459">
        <f>IF(CUENTAS!S164/CUENTAS!$AB164&lt;&gt;0,CUENTAS!S164/CUENTAS!$AB164,"")</f>
        <v>0.05259490639</v>
      </c>
      <c r="AL175" s="459">
        <f>IF(CUENTAS!T164/CUENTAS!$AB164&lt;&gt;0,CUENTAS!T164/CUENTAS!$AB164,"")</f>
        <v>0.04394827545</v>
      </c>
      <c r="AM175" s="459">
        <f>IF(CUENTAS!U164/CUENTAS!$AB164&lt;&gt;0,CUENTAS!U164/CUENTAS!$AB164,"")</f>
        <v>0.1516242089</v>
      </c>
      <c r="AN175" s="459">
        <f>IF(CUENTAS!V164/CUENTAS!$AB164&lt;&gt;0,CUENTAS!V164/CUENTAS!$AB164,"")</f>
        <v>0.1191660764</v>
      </c>
      <c r="AO175" s="459">
        <f>IF(CUENTAS!W164/CUENTAS!$AB164&lt;&gt;0,CUENTAS!W164/CUENTAS!$AB164,"")</f>
        <v>0.07540707491</v>
      </c>
      <c r="AP175" s="459" t="str">
        <f>IF(CUENTAS!X164/CUENTAS!$AB164&lt;&gt;0,CUENTAS!X164/CUENTAS!$AB164,"")</f>
        <v/>
      </c>
      <c r="AQ175" s="459" t="str">
        <f>IF(CUENTAS!Y164/CUENTAS!$AB164&lt;&gt;0,CUENTAS!Y164/CUENTAS!$AB164,"")</f>
        <v/>
      </c>
      <c r="AR175" s="459">
        <f>IF(CUENTAS!AA164/CUENTAS!$AB164&lt;&gt;0,CUENTAS!AA164/CUENTAS!$AB164,"")</f>
        <v>0.07081065211</v>
      </c>
    </row>
    <row r="176">
      <c r="A176" s="474"/>
      <c r="B176" s="200"/>
      <c r="C176" s="200"/>
      <c r="F176" s="200"/>
      <c r="G176" s="200"/>
      <c r="J176" s="470">
        <v>45484.0</v>
      </c>
      <c r="K176" s="466">
        <f>SUMIF(GRAFICO!A:A,J176,GRAFICO!B:B)</f>
        <v>12560.04278</v>
      </c>
      <c r="L176" s="467">
        <f t="shared" si="2"/>
        <v>0.2178662344</v>
      </c>
      <c r="M176" s="468">
        <v>45849.0</v>
      </c>
      <c r="N176" s="469">
        <f>IF(SUMIF(GRAFICO!A:A,M176,GRAFICO!B:B)=0,"",SUMIF(GRAFICO!A:A,M176,GRAFICO!B:B))</f>
        <v>17174.46042</v>
      </c>
      <c r="O176" s="467">
        <f t="shared" si="3"/>
        <v>0.210350146</v>
      </c>
      <c r="P176" s="465">
        <v>46214.0</v>
      </c>
      <c r="Q176" s="463" t="str">
        <f>IF(SUMIF(GRAFICO!A:A,P176,GRAFICO!B:B)=0,"",SUMIF(GRAFICO!A:A,P176,GRAFICO!B:B))</f>
        <v/>
      </c>
      <c r="R176" s="463" t="str">
        <f t="shared" si="4"/>
        <v/>
      </c>
      <c r="S176" s="471">
        <f>CUENTAS!A165</f>
        <v>45937</v>
      </c>
      <c r="T176" s="459">
        <f>IF(CUENTAS!Q165/CUENTAS!$AB165&lt;&gt;0,CUENTAS!Q165/CUENTAS!$AB165,"")</f>
        <v>0.06829330807</v>
      </c>
      <c r="U176" s="459" t="str">
        <f>IF(CUENTAS!C165/CUENTAS!$AB165&lt;&gt;0,CUENTAS!C165/CUENTAS!$AB165,"")</f>
        <v/>
      </c>
      <c r="V176" s="459" t="str">
        <f>IF(CUENTAS!D165/CUENTAS!$AB165&lt;&gt;0,CUENTAS!D165/CUENTAS!$AB165,"")</f>
        <v/>
      </c>
      <c r="W176" s="459" t="str">
        <f>IF(CUENTAS!E165/CUENTAS!$AB165&lt;&gt;0,CUENTAS!E165/CUENTAS!$AB165,"")</f>
        <v/>
      </c>
      <c r="X176" s="459">
        <f>IF(CUENTAS!F165/CUENTAS!$AB165&lt;&gt;0,CUENTAS!F165/CUENTAS!$AB165,"")</f>
        <v>0.0442967061</v>
      </c>
      <c r="Y176" s="459">
        <f>IF(CUENTAS!G165/CUENTAS!$AB165&lt;&gt;0,CUENTAS!G165/CUENTAS!$AB165,"")</f>
        <v>0.1011303603</v>
      </c>
      <c r="Z176" s="459">
        <f>IF(CUENTAS!H165/CUENTAS!$AB165&lt;&gt;0,CUENTAS!H165/CUENTAS!$AB165,"")</f>
        <v>0.04610410974</v>
      </c>
      <c r="AA176" s="459">
        <f>IF(CUENTAS!I165/CUENTAS!$AB165&lt;&gt;0,CUENTAS!I165/CUENTAS!$AB165,"")</f>
        <v>0.08857043674</v>
      </c>
      <c r="AB176" s="459">
        <f>IF(CUENTAS!J165/CUENTAS!$AB165&lt;&gt;0,CUENTAS!J165/CUENTAS!$AB165,"")</f>
        <v>0.1812509298</v>
      </c>
      <c r="AC176" s="459">
        <f>IF(CUENTAS!K165/CUENTAS!$AB165&lt;&gt;0,CUENTAS!K165/CUENTAS!$AB165,"")</f>
        <v>0.07280671151</v>
      </c>
      <c r="AD176" s="459">
        <f>IF(CUENTAS!L165/CUENTAS!$AB165&lt;&gt;0,CUENTAS!L165/CUENTAS!$AB165,"")</f>
        <v>0.01015005207</v>
      </c>
      <c r="AE176" s="459">
        <f>IF(CUENTAS!M165/CUENTAS!$AB165&lt;&gt;0,CUENTAS!M165/CUENTAS!$AB165,"")</f>
        <v>0.06423813762</v>
      </c>
      <c r="AF176" s="459">
        <f>IF(CUENTAS!N165/CUENTAS!$AB165&lt;&gt;0,CUENTAS!N165/CUENTAS!$AB165,"")</f>
        <v>0.06363694616</v>
      </c>
      <c r="AG176" s="459" t="str">
        <f>IF(CUENTAS!O165/CUENTAS!$AB165&lt;&gt;0,CUENTAS!O165/CUENTAS!$AB165,"")</f>
        <v/>
      </c>
      <c r="AH176" s="459" t="str">
        <f>IF(CUENTAS!P165/CUENTAS!$AB165&lt;&gt;0,CUENTAS!P165/CUENTAS!$AB165,"")</f>
        <v/>
      </c>
      <c r="AI176" s="459">
        <f>IF(CUENTAS!R165/CUENTAS!$AB165&lt;&gt;0,CUENTAS!R165/CUENTAS!$AB165,"")</f>
        <v>0.06286343867</v>
      </c>
      <c r="AJ176" s="459" t="str">
        <f>IF(CUENTAS!B165/CUENTAS!$AB165&lt;&gt;0,CUENTAS!B165/CUENTAS!$AB165,"")</f>
        <v/>
      </c>
      <c r="AK176" s="459">
        <f>IF(CUENTAS!S165/CUENTAS!$AB165&lt;&gt;0,CUENTAS!S165/CUENTAS!$AB165,"")</f>
        <v>0.05262272382</v>
      </c>
      <c r="AL176" s="459">
        <f>IF(CUENTAS!T165/CUENTAS!$AB165&lt;&gt;0,CUENTAS!T165/CUENTAS!$AB165,"")</f>
        <v>0.04398270801</v>
      </c>
      <c r="AM176" s="459">
        <f>IF(CUENTAS!U165/CUENTAS!$AB165&lt;&gt;0,CUENTAS!U165/CUENTAS!$AB165,"")</f>
        <v>0.1514463193</v>
      </c>
      <c r="AN176" s="459">
        <f>IF(CUENTAS!V165/CUENTAS!$AB165&lt;&gt;0,CUENTAS!V165/CUENTAS!$AB165,"")</f>
        <v>0.09098136715</v>
      </c>
      <c r="AO176" s="459">
        <f>IF(CUENTAS!W165/CUENTAS!$AB165&lt;&gt;0,CUENTAS!W165/CUENTAS!$AB165,"")</f>
        <v>0.07553185753</v>
      </c>
      <c r="AP176" s="459" t="str">
        <f>IF(CUENTAS!X165/CUENTAS!$AB165&lt;&gt;0,CUENTAS!X165/CUENTAS!$AB165,"")</f>
        <v/>
      </c>
      <c r="AQ176" s="459" t="str">
        <f>IF(CUENTAS!Y165/CUENTAS!$AB165&lt;&gt;0,CUENTAS!Y165/CUENTAS!$AB165,"")</f>
        <v/>
      </c>
      <c r="AR176" s="459">
        <f>IF(CUENTAS!AA165/CUENTAS!$AB165&lt;&gt;0,CUENTAS!AA165/CUENTAS!$AB165,"")</f>
        <v>0.08018183737</v>
      </c>
    </row>
    <row r="177">
      <c r="A177" s="474"/>
      <c r="B177" s="200"/>
      <c r="C177" s="200"/>
      <c r="F177" s="200"/>
      <c r="G177" s="200"/>
      <c r="J177" s="465">
        <v>45483.0</v>
      </c>
      <c r="K177" s="466">
        <f>SUMIF(GRAFICO!A:A,J177,GRAFICO!B:B)</f>
        <v>12553.9766</v>
      </c>
      <c r="L177" s="467">
        <f t="shared" si="2"/>
        <v>0.2173831437</v>
      </c>
      <c r="M177" s="468">
        <v>45848.0</v>
      </c>
      <c r="N177" s="469">
        <f>IF(SUMIF(GRAFICO!A:A,M177,GRAFICO!B:B)=0,"",SUMIF(GRAFICO!A:A,M177,GRAFICO!B:B))</f>
        <v>17151.08654</v>
      </c>
      <c r="O177" s="467">
        <f t="shared" si="3"/>
        <v>0.2089882517</v>
      </c>
      <c r="P177" s="468">
        <v>46213.0</v>
      </c>
      <c r="Q177" s="463" t="str">
        <f>IF(SUMIF(GRAFICO!A:A,P177,GRAFICO!B:B)=0,"",SUMIF(GRAFICO!A:A,P177,GRAFICO!B:B))</f>
        <v/>
      </c>
      <c r="R177" s="463" t="str">
        <f t="shared" si="4"/>
        <v/>
      </c>
      <c r="S177" s="471">
        <f>CUENTAS!A166</f>
        <v>45936</v>
      </c>
      <c r="T177" s="459">
        <f>IF(CUENTAS!Q166/CUENTAS!$AB166&lt;&gt;0,CUENTAS!Q166/CUENTAS!$AB166,"")</f>
        <v>0.0684807511</v>
      </c>
      <c r="U177" s="459" t="str">
        <f>IF(CUENTAS!C166/CUENTAS!$AB166&lt;&gt;0,CUENTAS!C166/CUENTAS!$AB166,"")</f>
        <v/>
      </c>
      <c r="V177" s="459" t="str">
        <f>IF(CUENTAS!D166/CUENTAS!$AB166&lt;&gt;0,CUENTAS!D166/CUENTAS!$AB166,"")</f>
        <v/>
      </c>
      <c r="W177" s="459" t="str">
        <f>IF(CUENTAS!E166/CUENTAS!$AB166&lt;&gt;0,CUENTAS!E166/CUENTAS!$AB166,"")</f>
        <v/>
      </c>
      <c r="X177" s="459">
        <f>IF(CUENTAS!F166/CUENTAS!$AB166&lt;&gt;0,CUENTAS!F166/CUENTAS!$AB166,"")</f>
        <v>0.04441828623</v>
      </c>
      <c r="Y177" s="459">
        <f>IF(CUENTAS!G166/CUENTAS!$AB166&lt;&gt;0,CUENTAS!G166/CUENTAS!$AB166,"")</f>
        <v>0.1014079304</v>
      </c>
      <c r="Z177" s="459">
        <f>IF(CUENTAS!H166/CUENTAS!$AB166&lt;&gt;0,CUENTAS!H166/CUENTAS!$AB166,"")</f>
        <v>0.04524767331</v>
      </c>
      <c r="AA177" s="459">
        <f>IF(CUENTAS!I166/CUENTAS!$AB166&lt;&gt;0,CUENTAS!I166/CUENTAS!$AB166,"")</f>
        <v>0.08725843314</v>
      </c>
      <c r="AB177" s="459">
        <f>IF(CUENTAS!J166/CUENTAS!$AB166&lt;&gt;0,CUENTAS!J166/CUENTAS!$AB166,"")</f>
        <v>0.1817484049</v>
      </c>
      <c r="AC177" s="459">
        <f>IF(CUENTAS!K166/CUENTAS!$AB166&lt;&gt;0,CUENTAS!K166/CUENTAS!$AB166,"")</f>
        <v>0.07294766613</v>
      </c>
      <c r="AD177" s="459">
        <f>IF(CUENTAS!L166/CUENTAS!$AB166&lt;&gt;0,CUENTAS!L166/CUENTAS!$AB166,"")</f>
        <v>0.01012671394</v>
      </c>
      <c r="AE177" s="459">
        <f>IF(CUENTAS!M166/CUENTAS!$AB166&lt;&gt;0,CUENTAS!M166/CUENTAS!$AB166,"")</f>
        <v>0.0649430568</v>
      </c>
      <c r="AF177" s="459">
        <f>IF(CUENTAS!N166/CUENTAS!$AB166&lt;&gt;0,CUENTAS!N166/CUENTAS!$AB166,"")</f>
        <v>0.06356586466</v>
      </c>
      <c r="AG177" s="459" t="str">
        <f>IF(CUENTAS!O166/CUENTAS!$AB166&lt;&gt;0,CUENTAS!O166/CUENTAS!$AB166,"")</f>
        <v/>
      </c>
      <c r="AH177" s="459" t="str">
        <f>IF(CUENTAS!P166/CUENTAS!$AB166&lt;&gt;0,CUENTAS!P166/CUENTAS!$AB166,"")</f>
        <v/>
      </c>
      <c r="AI177" s="459">
        <f>IF(CUENTAS!R166/CUENTAS!$AB166&lt;&gt;0,CUENTAS!R166/CUENTAS!$AB166,"")</f>
        <v>0.05375657047</v>
      </c>
      <c r="AJ177" s="459" t="str">
        <f>IF(CUENTAS!B166/CUENTAS!$AB166&lt;&gt;0,CUENTAS!B166/CUENTAS!$AB166,"")</f>
        <v/>
      </c>
      <c r="AK177" s="459">
        <f>IF(CUENTAS!S166/CUENTAS!$AB166&lt;&gt;0,CUENTAS!S166/CUENTAS!$AB166,"")</f>
        <v>0.05270777773</v>
      </c>
      <c r="AL177" s="459">
        <f>IF(CUENTAS!T166/CUENTAS!$AB166&lt;&gt;0,CUENTAS!T166/CUENTAS!$AB166,"")</f>
        <v>0.04406502876</v>
      </c>
      <c r="AM177" s="459">
        <f>IF(CUENTAS!U166/CUENTAS!$AB166&lt;&gt;0,CUENTAS!U166/CUENTAS!$AB166,"")</f>
        <v>0.1514320182</v>
      </c>
      <c r="AN177" s="459">
        <f>IF(CUENTAS!V166/CUENTAS!$AB166&lt;&gt;0,CUENTAS!V166/CUENTAS!$AB166,"")</f>
        <v>0.09118548881</v>
      </c>
      <c r="AO177" s="459">
        <f>IF(CUENTAS!W166/CUENTAS!$AB166&lt;&gt;0,CUENTAS!W166/CUENTAS!$AB166,"")</f>
        <v>0.07573916804</v>
      </c>
      <c r="AP177" s="459" t="str">
        <f>IF(CUENTAS!X166/CUENTAS!$AB166&lt;&gt;0,CUENTAS!X166/CUENTAS!$AB166,"")</f>
        <v/>
      </c>
      <c r="AQ177" s="459" t="str">
        <f>IF(CUENTAS!Y166/CUENTAS!$AB166&lt;&gt;0,CUENTAS!Y166/CUENTAS!$AB166,"")</f>
        <v/>
      </c>
      <c r="AR177" s="459">
        <f>IF(CUENTAS!AA166/CUENTAS!$AB166&lt;&gt;0,CUENTAS!AA166/CUENTAS!$AB166,"")</f>
        <v>0.08968131856</v>
      </c>
    </row>
    <row r="178">
      <c r="A178" s="474"/>
      <c r="B178" s="200"/>
      <c r="C178" s="200"/>
      <c r="F178" s="200"/>
      <c r="G178" s="200"/>
      <c r="J178" s="465">
        <v>45482.0</v>
      </c>
      <c r="K178" s="466">
        <f>SUMIF(GRAFICO!A:A,J178,GRAFICO!B:B)</f>
        <v>12588.91761</v>
      </c>
      <c r="L178" s="467">
        <f t="shared" si="2"/>
        <v>0.2201625393</v>
      </c>
      <c r="M178" s="468">
        <v>45847.0</v>
      </c>
      <c r="N178" s="469">
        <f>IF(SUMIF(GRAFICO!A:A,M178,GRAFICO!B:B)=0,"",SUMIF(GRAFICO!A:A,M178,GRAFICO!B:B))</f>
        <v>17117.11796</v>
      </c>
      <c r="O178" s="467">
        <f t="shared" si="3"/>
        <v>0.2070057381</v>
      </c>
      <c r="P178" s="465">
        <v>46212.0</v>
      </c>
      <c r="Q178" s="463" t="str">
        <f>IF(SUMIF(GRAFICO!A:A,P178,GRAFICO!B:B)=0,"",SUMIF(GRAFICO!A:A,P178,GRAFICO!B:B))</f>
        <v/>
      </c>
      <c r="R178" s="463" t="str">
        <f t="shared" si="4"/>
        <v/>
      </c>
      <c r="S178" s="471">
        <f>CUENTAS!A167</f>
        <v>45935</v>
      </c>
      <c r="T178" s="459">
        <f>IF(CUENTAS!Q167/CUENTAS!$AB167&lt;&gt;0,CUENTAS!Q167/CUENTAS!$AB167,"")</f>
        <v>0.06900198891</v>
      </c>
      <c r="U178" s="459" t="str">
        <f>IF(CUENTAS!C167/CUENTAS!$AB167&lt;&gt;0,CUENTAS!C167/CUENTAS!$AB167,"")</f>
        <v/>
      </c>
      <c r="V178" s="459" t="str">
        <f>IF(CUENTAS!D167/CUENTAS!$AB167&lt;&gt;0,CUENTAS!D167/CUENTAS!$AB167,"")</f>
        <v/>
      </c>
      <c r="W178" s="459" t="str">
        <f>IF(CUENTAS!E167/CUENTAS!$AB167&lt;&gt;0,CUENTAS!E167/CUENTAS!$AB167,"")</f>
        <v/>
      </c>
      <c r="X178" s="459">
        <f>IF(CUENTAS!F167/CUENTAS!$AB167&lt;&gt;0,CUENTAS!F167/CUENTAS!$AB167,"")</f>
        <v>0.04437815091</v>
      </c>
      <c r="Y178" s="459">
        <f>IF(CUENTAS!G167/CUENTAS!$AB167&lt;&gt;0,CUENTAS!G167/CUENTAS!$AB167,"")</f>
        <v>0.1020272922</v>
      </c>
      <c r="Z178" s="459">
        <f>IF(CUENTAS!H167/CUENTAS!$AB167&lt;&gt;0,CUENTAS!H167/CUENTAS!$AB167,"")</f>
        <v>0.04522213373</v>
      </c>
      <c r="AA178" s="459">
        <f>IF(CUENTAS!I167/CUENTAS!$AB167&lt;&gt;0,CUENTAS!I167/CUENTAS!$AB167,"")</f>
        <v>0.08728316818</v>
      </c>
      <c r="AB178" s="459">
        <f>IF(CUENTAS!J167/CUENTAS!$AB167&lt;&gt;0,CUENTAS!J167/CUENTAS!$AB167,"")</f>
        <v>0.1830163946</v>
      </c>
      <c r="AC178" s="459">
        <f>IF(CUENTAS!K167/CUENTAS!$AB167&lt;&gt;0,CUENTAS!K167/CUENTAS!$AB167,"")</f>
        <v>0.07182293753</v>
      </c>
      <c r="AD178" s="459">
        <f>IF(CUENTAS!L167/CUENTAS!$AB167&lt;&gt;0,CUENTAS!L167/CUENTAS!$AB167,"")</f>
        <v>0.01021730711</v>
      </c>
      <c r="AE178" s="459">
        <f>IF(CUENTAS!M167/CUENTAS!$AB167&lt;&gt;0,CUENTAS!M167/CUENTAS!$AB167,"")</f>
        <v>0.0642808002</v>
      </c>
      <c r="AF178" s="459" t="str">
        <f>IF(CUENTAS!N167/CUENTAS!$AB167&lt;&gt;0,CUENTAS!N167/CUENTAS!$AB167,"")</f>
        <v/>
      </c>
      <c r="AG178" s="459" t="str">
        <f>IF(CUENTAS!O167/CUENTAS!$AB167&lt;&gt;0,CUENTAS!O167/CUENTAS!$AB167,"")</f>
        <v/>
      </c>
      <c r="AH178" s="459" t="str">
        <f>IF(CUENTAS!P167/CUENTAS!$AB167&lt;&gt;0,CUENTAS!P167/CUENTAS!$AB167,"")</f>
        <v/>
      </c>
      <c r="AI178" s="459">
        <f>IF(CUENTAS!R167/CUENTAS!$AB167&lt;&gt;0,CUENTAS!R167/CUENTAS!$AB167,"")</f>
        <v>0.0537079973</v>
      </c>
      <c r="AJ178" s="459" t="str">
        <f>IF(CUENTAS!B167/CUENTAS!$AB167&lt;&gt;0,CUENTAS!B167/CUENTAS!$AB167,"")</f>
        <v/>
      </c>
      <c r="AK178" s="459">
        <f>IF(CUENTAS!S167/CUENTAS!$AB167&lt;&gt;0,CUENTAS!S167/CUENTAS!$AB167,"")</f>
        <v>0.05260082744</v>
      </c>
      <c r="AL178" s="459">
        <f>IF(CUENTAS!T167/CUENTAS!$AB167&lt;&gt;0,CUENTAS!T167/CUENTAS!$AB167,"")</f>
        <v>0.04398684979</v>
      </c>
      <c r="AM178" s="459">
        <f>IF(CUENTAS!U167/CUENTAS!$AB167&lt;&gt;0,CUENTAS!U167/CUENTAS!$AB167,"")</f>
        <v>0.1508656041</v>
      </c>
      <c r="AN178" s="459">
        <f>IF(CUENTAS!V167/CUENTAS!$AB167&lt;&gt;0,CUENTAS!V167/CUENTAS!$AB167,"")</f>
        <v>0.09105756697</v>
      </c>
      <c r="AO178" s="459">
        <f>IF(CUENTAS!W167/CUENTAS!$AB167&lt;&gt;0,CUENTAS!W167/CUENTAS!$AB167,"")</f>
        <v>0.07567073191</v>
      </c>
      <c r="AP178" s="459" t="str">
        <f>IF(CUENTAS!X167/CUENTAS!$AB167&lt;&gt;0,CUENTAS!X167/CUENTAS!$AB167,"")</f>
        <v/>
      </c>
      <c r="AQ178" s="459" t="str">
        <f>IF(CUENTAS!Y167/CUENTAS!$AB167&lt;&gt;0,CUENTAS!Y167/CUENTAS!$AB167,"")</f>
        <v/>
      </c>
      <c r="AR178" s="459">
        <f>IF(CUENTAS!AA167/CUENTAS!$AB167&lt;&gt;0,CUENTAS!AA167/CUENTAS!$AB167,"")</f>
        <v>0.1531087127</v>
      </c>
    </row>
    <row r="179">
      <c r="A179" s="474"/>
      <c r="B179" s="200"/>
      <c r="C179" s="200"/>
      <c r="F179" s="200"/>
      <c r="G179" s="200"/>
      <c r="J179" s="465">
        <v>45481.0</v>
      </c>
      <c r="K179" s="466">
        <f>SUMIF(GRAFICO!A:A,J179,GRAFICO!B:B)</f>
        <v>12622.56822</v>
      </c>
      <c r="L179" s="467">
        <f t="shared" si="2"/>
        <v>0.2228320078</v>
      </c>
      <c r="M179" s="468">
        <v>45846.0</v>
      </c>
      <c r="N179" s="469">
        <f>IF(SUMIF(GRAFICO!A:A,M179,GRAFICO!B:B)=0,"",SUMIF(GRAFICO!A:A,M179,GRAFICO!B:B))</f>
        <v>17405.15274</v>
      </c>
      <c r="O179" s="467">
        <f t="shared" si="3"/>
        <v>0.2236930218</v>
      </c>
      <c r="P179" s="468">
        <v>46211.0</v>
      </c>
      <c r="Q179" s="463" t="str">
        <f>IF(SUMIF(GRAFICO!A:A,P179,GRAFICO!B:B)=0,"",SUMIF(GRAFICO!A:A,P179,GRAFICO!B:B))</f>
        <v/>
      </c>
      <c r="R179" s="463" t="str">
        <f t="shared" si="4"/>
        <v/>
      </c>
      <c r="S179" s="471">
        <f>CUENTAS!A168</f>
        <v>45934</v>
      </c>
      <c r="T179" s="459">
        <f>IF(CUENTAS!Q168/CUENTAS!$AB168&lt;&gt;0,CUENTAS!Q168/CUENTAS!$AB168,"")</f>
        <v>0.06903003449</v>
      </c>
      <c r="U179" s="459" t="str">
        <f>IF(CUENTAS!C168/CUENTAS!$AB168&lt;&gt;0,CUENTAS!C168/CUENTAS!$AB168,"")</f>
        <v/>
      </c>
      <c r="V179" s="459" t="str">
        <f>IF(CUENTAS!D168/CUENTAS!$AB168&lt;&gt;0,CUENTAS!D168/CUENTAS!$AB168,"")</f>
        <v/>
      </c>
      <c r="W179" s="459" t="str">
        <f>IF(CUENTAS!E168/CUENTAS!$AB168&lt;&gt;0,CUENTAS!E168/CUENTAS!$AB168,"")</f>
        <v/>
      </c>
      <c r="X179" s="459">
        <f>IF(CUENTAS!F168/CUENTAS!$AB168&lt;&gt;0,CUENTAS!F168/CUENTAS!$AB168,"")</f>
        <v>0.04439618823</v>
      </c>
      <c r="Y179" s="459">
        <f>IF(CUENTAS!G168/CUENTAS!$AB168&lt;&gt;0,CUENTAS!G168/CUENTAS!$AB168,"")</f>
        <v>0.1020687608</v>
      </c>
      <c r="Z179" s="459">
        <f>IF(CUENTAS!H168/CUENTAS!$AB168&lt;&gt;0,CUENTAS!H168/CUENTAS!$AB168,"")</f>
        <v>0.04524051408</v>
      </c>
      <c r="AA179" s="459">
        <f>IF(CUENTAS!I168/CUENTAS!$AB168&lt;&gt;0,CUENTAS!I168/CUENTAS!$AB168,"")</f>
        <v>0.08731864407</v>
      </c>
      <c r="AB179" s="459">
        <f>IF(CUENTAS!J168/CUENTAS!$AB168&lt;&gt;0,CUENTAS!J168/CUENTAS!$AB168,"")</f>
        <v>0.1830907809</v>
      </c>
      <c r="AC179" s="459">
        <f>IF(CUENTAS!K168/CUENTAS!$AB168&lt;&gt;0,CUENTAS!K168/CUENTAS!$AB168,"")</f>
        <v>0.07185212967</v>
      </c>
      <c r="AD179" s="459">
        <f>IF(CUENTAS!L168/CUENTAS!$AB168&lt;&gt;0,CUENTAS!L168/CUENTAS!$AB168,"")</f>
        <v>0.01022145989</v>
      </c>
      <c r="AE179" s="459">
        <f>IF(CUENTAS!M168/CUENTAS!$AB168&lt;&gt;0,CUENTAS!M168/CUENTAS!$AB168,"")</f>
        <v>0.06430692686</v>
      </c>
      <c r="AF179" s="459" t="str">
        <f>IF(CUENTAS!N168/CUENTAS!$AB168&lt;&gt;0,CUENTAS!N168/CUENTAS!$AB168,"")</f>
        <v/>
      </c>
      <c r="AG179" s="459" t="str">
        <f>IF(CUENTAS!O168/CUENTAS!$AB168&lt;&gt;0,CUENTAS!O168/CUENTAS!$AB168,"")</f>
        <v/>
      </c>
      <c r="AH179" s="459" t="str">
        <f>IF(CUENTAS!P168/CUENTAS!$AB168&lt;&gt;0,CUENTAS!P168/CUENTAS!$AB168,"")</f>
        <v/>
      </c>
      <c r="AI179" s="459">
        <f>IF(CUENTAS!R168/CUENTAS!$AB168&lt;&gt;0,CUENTAS!R168/CUENTAS!$AB168,"")</f>
        <v>0.05372982669</v>
      </c>
      <c r="AJ179" s="459" t="str">
        <f>IF(CUENTAS!B168/CUENTAS!$AB168&lt;&gt;0,CUENTAS!B168/CUENTAS!$AB168,"")</f>
        <v/>
      </c>
      <c r="AK179" s="459">
        <f>IF(CUENTAS!S168/CUENTAS!$AB168&lt;&gt;0,CUENTAS!S168/CUENTAS!$AB168,"")</f>
        <v>0.05256285793</v>
      </c>
      <c r="AL179" s="459">
        <f>IF(CUENTAS!T168/CUENTAS!$AB168&lt;&gt;0,CUENTAS!T168/CUENTAS!$AB168,"")</f>
        <v>0.04396634961</v>
      </c>
      <c r="AM179" s="459">
        <f>IF(CUENTAS!U168/CUENTAS!$AB168&lt;&gt;0,CUENTAS!U168/CUENTAS!$AB168,"")</f>
        <v>0.1504971644</v>
      </c>
      <c r="AN179" s="459">
        <f>IF(CUENTAS!V168/CUENTAS!$AB168&lt;&gt;0,CUENTAS!V168/CUENTAS!$AB168,"")</f>
        <v>0.09102175954</v>
      </c>
      <c r="AO179" s="459">
        <f>IF(CUENTAS!W168/CUENTAS!$AB168&lt;&gt;0,CUENTAS!W168/CUENTAS!$AB168,"")</f>
        <v>0.07570148797</v>
      </c>
      <c r="AP179" s="459" t="str">
        <f>IF(CUENTAS!X168/CUENTAS!$AB168&lt;&gt;0,CUENTAS!X168/CUENTAS!$AB168,"")</f>
        <v/>
      </c>
      <c r="AQ179" s="459" t="str">
        <f>IF(CUENTAS!Y168/CUENTAS!$AB168&lt;&gt;0,CUENTAS!Y168/CUENTAS!$AB168,"")</f>
        <v/>
      </c>
      <c r="AR179" s="459">
        <f>IF(CUENTAS!AA168/CUENTAS!$AB168&lt;&gt;0,CUENTAS!AA168/CUENTAS!$AB168,"")</f>
        <v>0.1531709431</v>
      </c>
    </row>
    <row r="180">
      <c r="A180" s="474"/>
      <c r="B180" s="200"/>
      <c r="C180" s="200"/>
      <c r="F180" s="200"/>
      <c r="G180" s="200"/>
      <c r="J180" s="470">
        <v>45480.0</v>
      </c>
      <c r="K180" s="466">
        <f>SUMIF(GRAFICO!A:A,J180,GRAFICO!B:B)</f>
        <v>12487.288</v>
      </c>
      <c r="L180" s="467">
        <f t="shared" si="2"/>
        <v>0.2120568343</v>
      </c>
      <c r="M180" s="468">
        <v>45845.0</v>
      </c>
      <c r="N180" s="469">
        <f>IF(SUMIF(GRAFICO!A:A,M180,GRAFICO!B:B)=0,"",SUMIF(GRAFICO!A:A,M180,GRAFICO!B:B))</f>
        <v>17267.15123</v>
      </c>
      <c r="O180" s="467">
        <f t="shared" si="3"/>
        <v>0.2157326486</v>
      </c>
      <c r="P180" s="465">
        <v>46210.0</v>
      </c>
      <c r="Q180" s="463" t="str">
        <f>IF(SUMIF(GRAFICO!A:A,P180,GRAFICO!B:B)=0,"",SUMIF(GRAFICO!A:A,P180,GRAFICO!B:B))</f>
        <v/>
      </c>
      <c r="R180" s="463" t="str">
        <f t="shared" si="4"/>
        <v/>
      </c>
      <c r="S180" s="471">
        <f>CUENTAS!A169</f>
        <v>45933</v>
      </c>
      <c r="T180" s="459">
        <f>IF(CUENTAS!Q169/CUENTAS!$AB169&lt;&gt;0,CUENTAS!Q169/CUENTAS!$AB169,"")</f>
        <v>0.06905809885</v>
      </c>
      <c r="U180" s="459" t="str">
        <f>IF(CUENTAS!C169/CUENTAS!$AB169&lt;&gt;0,CUENTAS!C169/CUENTAS!$AB169,"")</f>
        <v/>
      </c>
      <c r="V180" s="459" t="str">
        <f>IF(CUENTAS!D169/CUENTAS!$AB169&lt;&gt;0,CUENTAS!D169/CUENTAS!$AB169,"")</f>
        <v/>
      </c>
      <c r="W180" s="459" t="str">
        <f>IF(CUENTAS!E169/CUENTAS!$AB169&lt;&gt;0,CUENTAS!E169/CUENTAS!$AB169,"")</f>
        <v/>
      </c>
      <c r="X180" s="459">
        <f>IF(CUENTAS!F169/CUENTAS!$AB169&lt;&gt;0,CUENTAS!F169/CUENTAS!$AB169,"")</f>
        <v>0.04441423763</v>
      </c>
      <c r="Y180" s="459">
        <f>IF(CUENTAS!G169/CUENTAS!$AB169&lt;&gt;0,CUENTAS!G169/CUENTAS!$AB169,"")</f>
        <v>0.1021102571</v>
      </c>
      <c r="Z180" s="459">
        <f>IF(CUENTAS!H169/CUENTAS!$AB169&lt;&gt;0,CUENTAS!H169/CUENTAS!$AB169,"")</f>
        <v>0.04525890674</v>
      </c>
      <c r="AA180" s="459">
        <f>IF(CUENTAS!I169/CUENTAS!$AB169&lt;&gt;0,CUENTAS!I169/CUENTAS!$AB169,"")</f>
        <v>0.08735414372</v>
      </c>
      <c r="AB180" s="459">
        <f>IF(CUENTAS!J169/CUENTAS!$AB169&lt;&gt;0,CUENTAS!J169/CUENTAS!$AB169,"")</f>
        <v>0.183165217</v>
      </c>
      <c r="AC180" s="459">
        <f>IF(CUENTAS!K169/CUENTAS!$AB169&lt;&gt;0,CUENTAS!K169/CUENTAS!$AB169,"")</f>
        <v>0.07188134136</v>
      </c>
      <c r="AD180" s="459">
        <f>IF(CUENTAS!L169/CUENTAS!$AB169&lt;&gt;0,CUENTAS!L169/CUENTAS!$AB169,"")</f>
        <v>0.01022561545</v>
      </c>
      <c r="AE180" s="459">
        <f>IF(CUENTAS!M169/CUENTAS!$AB169&lt;&gt;0,CUENTAS!M169/CUENTAS!$AB169,"")</f>
        <v>0.06433307103</v>
      </c>
      <c r="AF180" s="459" t="str">
        <f>IF(CUENTAS!N169/CUENTAS!$AB169&lt;&gt;0,CUENTAS!N169/CUENTAS!$AB169,"")</f>
        <v/>
      </c>
      <c r="AG180" s="459" t="str">
        <f>IF(CUENTAS!O169/CUENTAS!$AB169&lt;&gt;0,CUENTAS!O169/CUENTAS!$AB169,"")</f>
        <v/>
      </c>
      <c r="AH180" s="459" t="str">
        <f>IF(CUENTAS!P169/CUENTAS!$AB169&lt;&gt;0,CUENTAS!P169/CUENTAS!$AB169,"")</f>
        <v/>
      </c>
      <c r="AI180" s="459">
        <f>IF(CUENTAS!R169/CUENTAS!$AB169&lt;&gt;0,CUENTAS!R169/CUENTAS!$AB169,"")</f>
        <v>0.05375167071</v>
      </c>
      <c r="AJ180" s="459" t="str">
        <f>IF(CUENTAS!B169/CUENTAS!$AB169&lt;&gt;0,CUENTAS!B169/CUENTAS!$AB169,"")</f>
        <v/>
      </c>
      <c r="AK180" s="459">
        <f>IF(CUENTAS!S169/CUENTAS!$AB169&lt;&gt;0,CUENTAS!S169/CUENTAS!$AB169,"")</f>
        <v>0.05252485449</v>
      </c>
      <c r="AL180" s="459">
        <f>IF(CUENTAS!T169/CUENTAS!$AB169&lt;&gt;0,CUENTAS!T169/CUENTAS!$AB169,"")</f>
        <v>0.04394583021</v>
      </c>
      <c r="AM180" s="459">
        <f>IF(CUENTAS!U169/CUENTAS!$AB169&lt;&gt;0,CUENTAS!U169/CUENTAS!$AB169,"")</f>
        <v>0.1501284165</v>
      </c>
      <c r="AN180" s="459">
        <f>IF(CUENTAS!V169/CUENTAS!$AB169&lt;&gt;0,CUENTAS!V169/CUENTAS!$AB169,"")</f>
        <v>0.09098597592</v>
      </c>
      <c r="AO180" s="459">
        <f>IF(CUENTAS!W169/CUENTAS!$AB169&lt;&gt;0,CUENTAS!W169/CUENTAS!$AB169,"")</f>
        <v>0.07573226463</v>
      </c>
      <c r="AP180" s="459" t="str">
        <f>IF(CUENTAS!X169/CUENTAS!$AB169&lt;&gt;0,CUENTAS!X169/CUENTAS!$AB169,"")</f>
        <v/>
      </c>
      <c r="AQ180" s="459" t="str">
        <f>IF(CUENTAS!Y169/CUENTAS!$AB169&lt;&gt;0,CUENTAS!Y169/CUENTAS!$AB169,"")</f>
        <v/>
      </c>
      <c r="AR180" s="459">
        <f>IF(CUENTAS!AA169/CUENTAS!$AB169&lt;&gt;0,CUENTAS!AA169/CUENTAS!$AB169,"")</f>
        <v>0.1532332152</v>
      </c>
    </row>
    <row r="181">
      <c r="A181" s="474"/>
      <c r="B181" s="200"/>
      <c r="C181" s="200"/>
      <c r="F181" s="200"/>
      <c r="G181" s="200"/>
      <c r="J181" s="465">
        <v>45479.0</v>
      </c>
      <c r="K181" s="466">
        <f>SUMIF(GRAFICO!A:A,J181,GRAFICO!B:B)</f>
        <v>12481.4289</v>
      </c>
      <c r="L181" s="467">
        <f t="shared" si="2"/>
        <v>0.2115875194</v>
      </c>
      <c r="M181" s="468">
        <v>45844.0</v>
      </c>
      <c r="N181" s="469">
        <f>IF(SUMIF(GRAFICO!A:A,M181,GRAFICO!B:B)=0,"",SUMIF(GRAFICO!A:A,M181,GRAFICO!B:B))</f>
        <v>17241.75884</v>
      </c>
      <c r="O181" s="467">
        <f t="shared" si="3"/>
        <v>0.2142610058</v>
      </c>
      <c r="P181" s="468">
        <v>46209.0</v>
      </c>
      <c r="Q181" s="463" t="str">
        <f>IF(SUMIF(GRAFICO!A:A,P181,GRAFICO!B:B)=0,"",SUMIF(GRAFICO!A:A,P181,GRAFICO!B:B))</f>
        <v/>
      </c>
      <c r="R181" s="463" t="str">
        <f t="shared" si="4"/>
        <v/>
      </c>
      <c r="S181" s="471">
        <f>CUENTAS!A170</f>
        <v>45932</v>
      </c>
      <c r="T181" s="459">
        <f>IF(CUENTAS!Q170/CUENTAS!$AB170&lt;&gt;0,CUENTAS!Q170/CUENTAS!$AB170,"")</f>
        <v>0.06946025646</v>
      </c>
      <c r="U181" s="459" t="str">
        <f>IF(CUENTAS!C170/CUENTAS!$AB170&lt;&gt;0,CUENTAS!C170/CUENTAS!$AB170,"")</f>
        <v/>
      </c>
      <c r="V181" s="459" t="str">
        <f>IF(CUENTAS!D170/CUENTAS!$AB170&lt;&gt;0,CUENTAS!D170/CUENTAS!$AB170,"")</f>
        <v/>
      </c>
      <c r="W181" s="459" t="str">
        <f>IF(CUENTAS!E170/CUENTAS!$AB170&lt;&gt;0,CUENTAS!E170/CUENTAS!$AB170,"")</f>
        <v/>
      </c>
      <c r="X181" s="459">
        <f>IF(CUENTAS!F170/CUENTAS!$AB170&lt;&gt;0,CUENTAS!F170/CUENTAS!$AB170,"")</f>
        <v>0.04454739688</v>
      </c>
      <c r="Y181" s="459">
        <f>IF(CUENTAS!G170/CUENTAS!$AB170&lt;&gt;0,CUENTAS!G170/CUENTAS!$AB170,"")</f>
        <v>0.1015242671</v>
      </c>
      <c r="Z181" s="459">
        <f>IF(CUENTAS!H170/CUENTAS!$AB170&lt;&gt;0,CUENTAS!H170/CUENTAS!$AB170,"")</f>
        <v>0.04590291933</v>
      </c>
      <c r="AA181" s="459">
        <f>IF(CUENTAS!I170/CUENTAS!$AB170&lt;&gt;0,CUENTAS!I170/CUENTAS!$AB170,"")</f>
        <v>0.08647231993</v>
      </c>
      <c r="AB181" s="459">
        <f>IF(CUENTAS!J170/CUENTAS!$AB170&lt;&gt;0,CUENTAS!J170/CUENTAS!$AB170,"")</f>
        <v>0.1823793842</v>
      </c>
      <c r="AC181" s="459">
        <f>IF(CUENTAS!K170/CUENTAS!$AB170&lt;&gt;0,CUENTAS!K170/CUENTAS!$AB170,"")</f>
        <v>0.07227399245</v>
      </c>
      <c r="AD181" s="459">
        <f>IF(CUENTAS!L170/CUENTAS!$AB170&lt;&gt;0,CUENTAS!L170/CUENTAS!$AB170,"")</f>
        <v>0.01012534194</v>
      </c>
      <c r="AE181" s="459" t="str">
        <f>IF(CUENTAS!M170/CUENTAS!$AB170&lt;&gt;0,CUENTAS!M170/CUENTAS!$AB170,"")</f>
        <v/>
      </c>
      <c r="AF181" s="459" t="str">
        <f>IF(CUENTAS!N170/CUENTAS!$AB170&lt;&gt;0,CUENTAS!N170/CUENTAS!$AB170,"")</f>
        <v/>
      </c>
      <c r="AG181" s="459" t="str">
        <f>IF(CUENTAS!O170/CUENTAS!$AB170&lt;&gt;0,CUENTAS!O170/CUENTAS!$AB170,"")</f>
        <v/>
      </c>
      <c r="AH181" s="459" t="str">
        <f>IF(CUENTAS!P170/CUENTAS!$AB170&lt;&gt;0,CUENTAS!P170/CUENTAS!$AB170,"")</f>
        <v/>
      </c>
      <c r="AI181" s="459">
        <f>IF(CUENTAS!R170/CUENTAS!$AB170&lt;&gt;0,CUENTAS!R170/CUENTAS!$AB170,"")</f>
        <v>0.05391282472</v>
      </c>
      <c r="AJ181" s="459" t="str">
        <f>IF(CUENTAS!B170/CUENTAS!$AB170&lt;&gt;0,CUENTAS!B170/CUENTAS!$AB170,"")</f>
        <v/>
      </c>
      <c r="AK181" s="459">
        <f>IF(CUENTAS!S170/CUENTAS!$AB170&lt;&gt;0,CUENTAS!S170/CUENTAS!$AB170,"")</f>
        <v>0.05262277932</v>
      </c>
      <c r="AL181" s="459">
        <f>IF(CUENTAS!T170/CUENTAS!$AB170&lt;&gt;0,CUENTAS!T170/CUENTAS!$AB170,"")</f>
        <v>0.04403907596</v>
      </c>
      <c r="AM181" s="459">
        <f>IF(CUENTAS!U170/CUENTAS!$AB170&lt;&gt;0,CUENTAS!U170/CUENTAS!$AB170,"")</f>
        <v>0.1501472976</v>
      </c>
      <c r="AN181" s="459">
        <f>IF(CUENTAS!V170/CUENTAS!$AB170&lt;&gt;0,CUENTAS!V170/CUENTAS!$AB170,"")</f>
        <v>0.05270743641</v>
      </c>
      <c r="AO181" s="459">
        <f>IF(CUENTAS!W170/CUENTAS!$AB170&lt;&gt;0,CUENTAS!W170/CUENTAS!$AB170,"")</f>
        <v>0.07595931911</v>
      </c>
      <c r="AP181" s="459" t="str">
        <f>IF(CUENTAS!X170/CUENTAS!$AB170&lt;&gt;0,CUENTAS!X170/CUENTAS!$AB170,"")</f>
        <v/>
      </c>
      <c r="AQ181" s="459" t="str">
        <f>IF(CUENTAS!Y170/CUENTAS!$AB170&lt;&gt;0,CUENTAS!Y170/CUENTAS!$AB170,"")</f>
        <v/>
      </c>
      <c r="AR181" s="459">
        <f>IF(CUENTAS!AA170/CUENTAS!$AB170&lt;&gt;0,CUENTAS!AA170/CUENTAS!$AB170,"")</f>
        <v>0.2567277368</v>
      </c>
    </row>
    <row r="182">
      <c r="A182" s="474"/>
      <c r="B182" s="200"/>
      <c r="C182" s="200"/>
      <c r="F182" s="200"/>
      <c r="G182" s="200"/>
      <c r="J182" s="470">
        <v>45478.0</v>
      </c>
      <c r="K182" s="466">
        <f>SUMIF(GRAFICO!A:A,J182,GRAFICO!B:B)</f>
        <v>12475.57563</v>
      </c>
      <c r="L182" s="467">
        <f t="shared" si="2"/>
        <v>0.2111184505</v>
      </c>
      <c r="M182" s="468">
        <v>45843.0</v>
      </c>
      <c r="N182" s="469">
        <f>IF(SUMIF(GRAFICO!A:A,M182,GRAFICO!B:B)=0,"",SUMIF(GRAFICO!A:A,M182,GRAFICO!B:B))</f>
        <v>17249.01657</v>
      </c>
      <c r="O182" s="467">
        <f t="shared" si="3"/>
        <v>0.2146818563</v>
      </c>
      <c r="P182" s="465">
        <v>46208.0</v>
      </c>
      <c r="Q182" s="463" t="str">
        <f>IF(SUMIF(GRAFICO!A:A,P182,GRAFICO!B:B)=0,"",SUMIF(GRAFICO!A:A,P182,GRAFICO!B:B))</f>
        <v/>
      </c>
      <c r="R182" s="463" t="str">
        <f t="shared" si="4"/>
        <v/>
      </c>
      <c r="S182" s="471">
        <f>CUENTAS!A171</f>
        <v>45931</v>
      </c>
      <c r="T182" s="459">
        <f>IF(CUENTAS!Q171/CUENTAS!$AB171&lt;&gt;0,CUENTAS!Q171/CUENTAS!$AB171,"")</f>
        <v>0.08085738417</v>
      </c>
      <c r="U182" s="459" t="str">
        <f>IF(CUENTAS!C171/CUENTAS!$AB171&lt;&gt;0,CUENTAS!C171/CUENTAS!$AB171,"")</f>
        <v/>
      </c>
      <c r="V182" s="459" t="str">
        <f>IF(CUENTAS!D171/CUENTAS!$AB171&lt;&gt;0,CUENTAS!D171/CUENTAS!$AB171,"")</f>
        <v/>
      </c>
      <c r="W182" s="459" t="str">
        <f>IF(CUENTAS!E171/CUENTAS!$AB171&lt;&gt;0,CUENTAS!E171/CUENTAS!$AB171,"")</f>
        <v/>
      </c>
      <c r="X182" s="459">
        <f>IF(CUENTAS!F171/CUENTAS!$AB171&lt;&gt;0,CUENTAS!F171/CUENTAS!$AB171,"")</f>
        <v>0.05099728592</v>
      </c>
      <c r="Y182" s="459">
        <f>IF(CUENTAS!G171/CUENTAS!$AB171&lt;&gt;0,CUENTAS!G171/CUENTAS!$AB171,"")</f>
        <v>0.1162236728</v>
      </c>
      <c r="Z182" s="459">
        <f>IF(CUENTAS!H171/CUENTAS!$AB171&lt;&gt;0,CUENTAS!H171/CUENTAS!$AB171,"")</f>
        <v>0.05210822264</v>
      </c>
      <c r="AA182" s="459">
        <f>IF(CUENTAS!I171/CUENTAS!$AB171&lt;&gt;0,CUENTAS!I171/CUENTAS!$AB171,"")</f>
        <v>0.1001826869</v>
      </c>
      <c r="AB182" s="459">
        <f>IF(CUENTAS!J171/CUENTAS!$AB171&lt;&gt;0,CUENTAS!J171/CUENTAS!$AB171,"")</f>
        <v>0.2091382472</v>
      </c>
      <c r="AC182" s="459">
        <f>IF(CUENTAS!K171/CUENTAS!$AB171&lt;&gt;0,CUENTAS!K171/CUENTAS!$AB171,"")</f>
        <v>0.0828735286</v>
      </c>
      <c r="AD182" s="459">
        <f>IF(CUENTAS!L171/CUENTAS!$AB171&lt;&gt;0,CUENTAS!L171/CUENTAS!$AB171,"")</f>
        <v>0.01160899489</v>
      </c>
      <c r="AE182" s="459" t="str">
        <f>IF(CUENTAS!M171/CUENTAS!$AB171&lt;&gt;0,CUENTAS!M171/CUENTAS!$AB171,"")</f>
        <v/>
      </c>
      <c r="AF182" s="459" t="str">
        <f>IF(CUENTAS!N171/CUENTAS!$AB171&lt;&gt;0,CUENTAS!N171/CUENTAS!$AB171,"")</f>
        <v/>
      </c>
      <c r="AG182" s="459" t="str">
        <f>IF(CUENTAS!O171/CUENTAS!$AB171&lt;&gt;0,CUENTAS!O171/CUENTAS!$AB171,"")</f>
        <v/>
      </c>
      <c r="AH182" s="459" t="str">
        <f>IF(CUENTAS!P171/CUENTAS!$AB171&lt;&gt;0,CUENTAS!P171/CUENTAS!$AB171,"")</f>
        <v/>
      </c>
      <c r="AI182" s="459">
        <f>IF(CUENTAS!R171/CUENTAS!$AB171&lt;&gt;0,CUENTAS!R171/CUENTAS!$AB171,"")</f>
        <v>0.06171870702</v>
      </c>
      <c r="AJ182" s="459" t="str">
        <f>IF(CUENTAS!B171/CUENTAS!$AB171&lt;&gt;0,CUENTAS!B171/CUENTAS!$AB171,"")</f>
        <v/>
      </c>
      <c r="AK182" s="459">
        <f>IF(CUENTAS!S171/CUENTAS!$AB171&lt;&gt;0,CUENTAS!S171/CUENTAS!$AB171,"")</f>
        <v>0.06017223692</v>
      </c>
      <c r="AL182" s="459">
        <f>IF(CUENTAS!T171/CUENTAS!$AB171&lt;&gt;0,CUENTAS!T171/CUENTAS!$AB171,"")</f>
        <v>0.05037128189</v>
      </c>
      <c r="AM182" s="459">
        <f>IF(CUENTAS!U171/CUENTAS!$AB171&lt;&gt;0,CUENTAS!U171/CUENTAS!$AB171,"")</f>
        <v>0.1713930341</v>
      </c>
      <c r="AN182" s="459">
        <f>IF(CUENTAS!V171/CUENTAS!$AB171&lt;&gt;0,CUENTAS!V171/CUENTAS!$AB171,"")</f>
        <v>0.06029056157</v>
      </c>
      <c r="AO182" s="459">
        <f>IF(CUENTAS!W171/CUENTAS!$AB171&lt;&gt;0,CUENTAS!W171/CUENTAS!$AB171,"")</f>
        <v>0.08695724972</v>
      </c>
      <c r="AP182" s="459" t="str">
        <f>IF(CUENTAS!X171/CUENTAS!$AB171&lt;&gt;0,CUENTAS!X171/CUENTAS!$AB171,"")</f>
        <v/>
      </c>
      <c r="AQ182" s="459" t="str">
        <f>IF(CUENTAS!Y171/CUENTAS!$AB171&lt;&gt;0,CUENTAS!Y171/CUENTAS!$AB171,"")</f>
        <v/>
      </c>
      <c r="AR182" s="459">
        <f>IF(CUENTAS!AA171/CUENTAS!$AB171&lt;&gt;0,CUENTAS!AA171/CUENTAS!$AB171,"")</f>
        <v>0.1469493024</v>
      </c>
    </row>
    <row r="183">
      <c r="A183" s="474"/>
      <c r="B183" s="200"/>
      <c r="C183" s="200"/>
      <c r="F183" s="200"/>
      <c r="G183" s="200"/>
      <c r="J183" s="470">
        <v>45477.0</v>
      </c>
      <c r="K183" s="466">
        <f>SUMIF(GRAFICO!A:A,J183,GRAFICO!B:B)</f>
        <v>12469.72816</v>
      </c>
      <c r="L183" s="467">
        <f t="shared" si="2"/>
        <v>0.2106496276</v>
      </c>
      <c r="M183" s="468">
        <v>45842.0</v>
      </c>
      <c r="N183" s="469">
        <f>IF(SUMIF(GRAFICO!A:A,M183,GRAFICO!B:B)=0,"",SUMIF(GRAFICO!A:A,M183,GRAFICO!B:B))</f>
        <v>17256.2743</v>
      </c>
      <c r="O183" s="467">
        <f t="shared" si="3"/>
        <v>0.2151025298</v>
      </c>
      <c r="P183" s="468">
        <v>46207.0</v>
      </c>
      <c r="Q183" s="463" t="str">
        <f>IF(SUMIF(GRAFICO!A:A,P183,GRAFICO!B:B)=0,"",SUMIF(GRAFICO!A:A,P183,GRAFICO!B:B))</f>
        <v/>
      </c>
      <c r="R183" s="463" t="str">
        <f t="shared" si="4"/>
        <v/>
      </c>
      <c r="S183" s="471">
        <f>CUENTAS!A172</f>
        <v>45930</v>
      </c>
      <c r="T183" s="459">
        <f>IF(CUENTAS!Q172/CUENTAS!$AB172&lt;&gt;0,CUENTAS!Q172/CUENTAS!$AB172,"")</f>
        <v>0.09350579871</v>
      </c>
      <c r="U183" s="459" t="str">
        <f>IF(CUENTAS!C172/CUENTAS!$AB172&lt;&gt;0,CUENTAS!C172/CUENTAS!$AB172,"")</f>
        <v/>
      </c>
      <c r="V183" s="459" t="str">
        <f>IF(CUENTAS!D172/CUENTAS!$AB172&lt;&gt;0,CUENTAS!D172/CUENTAS!$AB172,"")</f>
        <v/>
      </c>
      <c r="W183" s="459" t="str">
        <f>IF(CUENTAS!E172/CUENTAS!$AB172&lt;&gt;0,CUENTAS!E172/CUENTAS!$AB172,"")</f>
        <v/>
      </c>
      <c r="X183" s="459">
        <f>IF(CUENTAS!F172/CUENTAS!$AB172&lt;&gt;0,CUENTAS!F172/CUENTAS!$AB172,"")</f>
        <v>0.05963365992</v>
      </c>
      <c r="Y183" s="459">
        <f>IF(CUENTAS!G172/CUENTAS!$AB172&lt;&gt;0,CUENTAS!G172/CUENTAS!$AB172,"")</f>
        <v>0.1359061145</v>
      </c>
      <c r="Z183" s="459">
        <f>IF(CUENTAS!H172/CUENTAS!$AB172&lt;&gt;0,CUENTAS!H172/CUENTAS!$AB172,"")</f>
        <v>0.0640463858</v>
      </c>
      <c r="AA183" s="459">
        <f>IF(CUENTAS!I172/CUENTAS!$AB172&lt;&gt;0,CUENTAS!I172/CUENTAS!$AB172,"")</f>
        <v>0.1175661522</v>
      </c>
      <c r="AB183" s="459">
        <f>IF(CUENTAS!J172/CUENTAS!$AB172&lt;&gt;0,CUENTAS!J172/CUENTAS!$AB172,"")</f>
        <v>0.2445557423</v>
      </c>
      <c r="AC183" s="459">
        <f>IF(CUENTAS!K172/CUENTAS!$AB172&lt;&gt;0,CUENTAS!K172/CUENTAS!$AB172,"")</f>
        <v>0.09706622239</v>
      </c>
      <c r="AD183" s="459">
        <f>IF(CUENTAS!L172/CUENTAS!$AB172&lt;&gt;0,CUENTAS!L172/CUENTAS!$AB172,"")</f>
        <v>0.01392208139</v>
      </c>
      <c r="AE183" s="459" t="str">
        <f>IF(CUENTAS!M172/CUENTAS!$AB172&lt;&gt;0,CUENTAS!M172/CUENTAS!$AB172,"")</f>
        <v/>
      </c>
      <c r="AF183" s="459" t="str">
        <f>IF(CUENTAS!N172/CUENTAS!$AB172&lt;&gt;0,CUENTAS!N172/CUENTAS!$AB172,"")</f>
        <v/>
      </c>
      <c r="AG183" s="459" t="str">
        <f>IF(CUENTAS!O172/CUENTAS!$AB172&lt;&gt;0,CUENTAS!O172/CUENTAS!$AB172,"")</f>
        <v/>
      </c>
      <c r="AH183" s="459" t="str">
        <f>IF(CUENTAS!P172/CUENTAS!$AB172&lt;&gt;0,CUENTAS!P172/CUENTAS!$AB172,"")</f>
        <v/>
      </c>
      <c r="AI183" s="459">
        <f>IF(CUENTAS!R172/CUENTAS!$AB172&lt;&gt;0,CUENTAS!R172/CUENTAS!$AB172,"")</f>
        <v>0.07217075025</v>
      </c>
      <c r="AJ183" s="459" t="str">
        <f>IF(CUENTAS!B172/CUENTAS!$AB172&lt;&gt;0,CUENTAS!B172/CUENTAS!$AB172,"")</f>
        <v/>
      </c>
      <c r="AK183" s="459">
        <f>IF(CUENTAS!S172/CUENTAS!$AB172&lt;&gt;0,CUENTAS!S172/CUENTAS!$AB172,"")</f>
        <v>0.07028094921</v>
      </c>
      <c r="AL183" s="459">
        <f>IF(CUENTAS!T172/CUENTAS!$AB172&lt;&gt;0,CUENTAS!T172/CUENTAS!$AB172,"")</f>
        <v>0.05885009178</v>
      </c>
      <c r="AM183" s="459">
        <f>IF(CUENTAS!U172/CUENTAS!$AB172&lt;&gt;0,CUENTAS!U172/CUENTAS!$AB172,"")</f>
        <v>0.1998411312</v>
      </c>
      <c r="AN183" s="459">
        <f>IF(CUENTAS!V172/CUENTAS!$AB172&lt;&gt;0,CUENTAS!V172/CUENTAS!$AB172,"")</f>
        <v>0.07044439332</v>
      </c>
      <c r="AO183" s="459">
        <f>IF(CUENTAS!W172/CUENTAS!$AB172&lt;&gt;0,CUENTAS!W172/CUENTAS!$AB172,"")</f>
        <v>0.1016834321</v>
      </c>
      <c r="AP183" s="459" t="str">
        <f>IF(CUENTAS!X172/CUENTAS!$AB172&lt;&gt;0,CUENTAS!X172/CUENTAS!$AB172,"")</f>
        <v/>
      </c>
      <c r="AQ183" s="459" t="str">
        <f>IF(CUENTAS!Y172/CUENTAS!$AB172&lt;&gt;0,CUENTAS!Y172/CUENTAS!$AB172,"")</f>
        <v/>
      </c>
      <c r="AR183" s="459" t="str">
        <f>IF(CUENTAS!AA172/CUENTAS!$AB172&lt;&gt;0,CUENTAS!AA172/CUENTAS!$AB172,"")</f>
        <v/>
      </c>
    </row>
    <row r="184">
      <c r="A184" s="474"/>
      <c r="B184" s="200"/>
      <c r="C184" s="200"/>
      <c r="F184" s="200"/>
      <c r="G184" s="200"/>
      <c r="J184" s="470">
        <v>45476.0</v>
      </c>
      <c r="K184" s="466">
        <f>SUMIF(GRAFICO!A:A,J184,GRAFICO!B:B)</f>
        <v>12463.8865</v>
      </c>
      <c r="L184" s="467">
        <f t="shared" si="2"/>
        <v>0.2101810507</v>
      </c>
      <c r="M184" s="468">
        <v>45841.0</v>
      </c>
      <c r="N184" s="469">
        <f>IF(SUMIF(GRAFICO!A:A,M184,GRAFICO!B:B)=0,"",SUMIF(GRAFICO!A:A,M184,GRAFICO!B:B))</f>
        <v>17278.75011</v>
      </c>
      <c r="O184" s="467">
        <f t="shared" si="3"/>
        <v>0.216404154</v>
      </c>
      <c r="P184" s="465">
        <v>46206.0</v>
      </c>
      <c r="Q184" s="463" t="str">
        <f>IF(SUMIF(GRAFICO!A:A,P184,GRAFICO!B:B)=0,"",SUMIF(GRAFICO!A:A,P184,GRAFICO!B:B))</f>
        <v/>
      </c>
      <c r="R184" s="463" t="str">
        <f t="shared" si="4"/>
        <v/>
      </c>
      <c r="S184" s="471">
        <f>CUENTAS!A173</f>
        <v>45929</v>
      </c>
      <c r="T184" s="459">
        <f>IF(CUENTAS!Q173/CUENTAS!$AB173&lt;&gt;0,CUENTAS!Q173/CUENTAS!$AB173,"")</f>
        <v>0.09449219428</v>
      </c>
      <c r="U184" s="459" t="str">
        <f>IF(CUENTAS!C173/CUENTAS!$AB173&lt;&gt;0,CUENTAS!C173/CUENTAS!$AB173,"")</f>
        <v/>
      </c>
      <c r="V184" s="459" t="str">
        <f>IF(CUENTAS!D173/CUENTAS!$AB173&lt;&gt;0,CUENTAS!D173/CUENTAS!$AB173,"")</f>
        <v/>
      </c>
      <c r="W184" s="459" t="str">
        <f>IF(CUENTAS!E173/CUENTAS!$AB173&lt;&gt;0,CUENTAS!E173/CUENTAS!$AB173,"")</f>
        <v/>
      </c>
      <c r="X184" s="459">
        <f>IF(CUENTAS!F173/CUENTAS!$AB173&lt;&gt;0,CUENTAS!F173/CUENTAS!$AB173,"")</f>
        <v>0.05959685065</v>
      </c>
      <c r="Y184" s="459">
        <f>IF(CUENTAS!G173/CUENTAS!$AB173&lt;&gt;0,CUENTAS!G173/CUENTAS!$AB173,"")</f>
        <v>0.1358222255</v>
      </c>
      <c r="Z184" s="459">
        <f>IF(CUENTAS!H173/CUENTAS!$AB173&lt;&gt;0,CUENTAS!H173/CUENTAS!$AB173,"")</f>
        <v>0.06400685274</v>
      </c>
      <c r="AA184" s="459">
        <f>IF(CUENTAS!I173/CUENTAS!$AB173&lt;&gt;0,CUENTAS!I173/CUENTAS!$AB173,"")</f>
        <v>0.1174935837</v>
      </c>
      <c r="AB184" s="459">
        <f>IF(CUENTAS!J173/CUENTAS!$AB173&lt;&gt;0,CUENTAS!J173/CUENTAS!$AB173,"")</f>
        <v>0.2444047886</v>
      </c>
      <c r="AC184" s="459">
        <f>IF(CUENTAS!K173/CUENTAS!$AB173&lt;&gt;0,CUENTAS!K173/CUENTAS!$AB173,"")</f>
        <v>0.09708530299</v>
      </c>
      <c r="AD184" s="459">
        <f>IF(CUENTAS!L173/CUENTAS!$AB173&lt;&gt;0,CUENTAS!L173/CUENTAS!$AB173,"")</f>
        <v>0.0139134879</v>
      </c>
      <c r="AE184" s="459" t="str">
        <f>IF(CUENTAS!M173/CUENTAS!$AB173&lt;&gt;0,CUENTAS!M173/CUENTAS!$AB173,"")</f>
        <v/>
      </c>
      <c r="AF184" s="459" t="str">
        <f>IF(CUENTAS!N173/CUENTAS!$AB173&lt;&gt;0,CUENTAS!N173/CUENTAS!$AB173,"")</f>
        <v/>
      </c>
      <c r="AG184" s="459" t="str">
        <f>IF(CUENTAS!O173/CUENTAS!$AB173&lt;&gt;0,CUENTAS!O173/CUENTAS!$AB173,"")</f>
        <v/>
      </c>
      <c r="AH184" s="459" t="str">
        <f>IF(CUENTAS!P173/CUENTAS!$AB173&lt;&gt;0,CUENTAS!P173/CUENTAS!$AB173,"")</f>
        <v/>
      </c>
      <c r="AI184" s="459">
        <f>IF(CUENTAS!R173/CUENTAS!$AB173&lt;&gt;0,CUENTAS!R173/CUENTAS!$AB173,"")</f>
        <v>0.07212620238</v>
      </c>
      <c r="AJ184" s="459" t="str">
        <f>IF(CUENTAS!B173/CUENTAS!$AB173&lt;&gt;0,CUENTAS!B173/CUENTAS!$AB173,"")</f>
        <v/>
      </c>
      <c r="AK184" s="459">
        <f>IF(CUENTAS!S173/CUENTAS!$AB173&lt;&gt;0,CUENTAS!S173/CUENTAS!$AB173,"")</f>
        <v>0.07015618137</v>
      </c>
      <c r="AL184" s="459">
        <f>IF(CUENTAS!T173/CUENTAS!$AB173&lt;&gt;0,CUENTAS!T173/CUENTAS!$AB173,"")</f>
        <v>0.05876224746</v>
      </c>
      <c r="AM184" s="459">
        <f>IF(CUENTAS!U173/CUENTAS!$AB173&lt;&gt;0,CUENTAS!U173/CUENTAS!$AB173,"")</f>
        <v>0.1991408762</v>
      </c>
      <c r="AN184" s="459">
        <f>IF(CUENTAS!V173/CUENTAS!$AB173&lt;&gt;0,CUENTAS!V173/CUENTAS!$AB173,"")</f>
        <v>0.07034463534</v>
      </c>
      <c r="AO184" s="459">
        <f>IF(CUENTAS!W173/CUENTAS!$AB173&lt;&gt;0,CUENTAS!W173/CUENTAS!$AB173,"")</f>
        <v>0.1016206673</v>
      </c>
      <c r="AP184" s="459" t="str">
        <f>IF(CUENTAS!X173/CUENTAS!$AB173&lt;&gt;0,CUENTAS!X173/CUENTAS!$AB173,"")</f>
        <v/>
      </c>
      <c r="AQ184" s="459" t="str">
        <f>IF(CUENTAS!Y173/CUENTAS!$AB173&lt;&gt;0,CUENTAS!Y173/CUENTAS!$AB173,"")</f>
        <v/>
      </c>
      <c r="AR184" s="459" t="str">
        <f>IF(CUENTAS!AA173/CUENTAS!$AB173&lt;&gt;0,CUENTAS!AA173/CUENTAS!$AB173,"")</f>
        <v/>
      </c>
    </row>
    <row r="185">
      <c r="A185" s="474"/>
      <c r="B185" s="200"/>
      <c r="C185" s="200"/>
      <c r="F185" s="200"/>
      <c r="G185" s="200"/>
      <c r="J185" s="465">
        <v>45475.0</v>
      </c>
      <c r="K185" s="466">
        <f>SUMIF(GRAFICO!A:A,J185,GRAFICO!B:B)</f>
        <v>12458.05065</v>
      </c>
      <c r="L185" s="467">
        <f t="shared" si="2"/>
        <v>0.2097127198</v>
      </c>
      <c r="M185" s="468">
        <v>45840.0</v>
      </c>
      <c r="N185" s="469">
        <f>IF(SUMIF(GRAFICO!A:A,M185,GRAFICO!B:B)=0,"",SUMIF(GRAFICO!A:A,M185,GRAFICO!B:B))</f>
        <v>17382.74634</v>
      </c>
      <c r="O185" s="467">
        <f t="shared" si="3"/>
        <v>0.2224048499</v>
      </c>
      <c r="P185" s="468">
        <v>46205.0</v>
      </c>
      <c r="Q185" s="463" t="str">
        <f>IF(SUMIF(GRAFICO!A:A,P185,GRAFICO!B:B)=0,"",SUMIF(GRAFICO!A:A,P185,GRAFICO!B:B))</f>
        <v/>
      </c>
      <c r="R185" s="463" t="str">
        <f t="shared" si="4"/>
        <v/>
      </c>
      <c r="S185" s="471">
        <f>CUENTAS!A174</f>
        <v>45928</v>
      </c>
      <c r="T185" s="459">
        <f>IF(CUENTAS!Q174/CUENTAS!$AB174&lt;&gt;0,CUENTAS!Q174/CUENTAS!$AB174,"")</f>
        <v>0.09456861041</v>
      </c>
      <c r="U185" s="459" t="str">
        <f>IF(CUENTAS!C174/CUENTAS!$AB174&lt;&gt;0,CUENTAS!C174/CUENTAS!$AB174,"")</f>
        <v/>
      </c>
      <c r="V185" s="459" t="str">
        <f>IF(CUENTAS!D174/CUENTAS!$AB174&lt;&gt;0,CUENTAS!D174/CUENTAS!$AB174,"")</f>
        <v/>
      </c>
      <c r="W185" s="459" t="str">
        <f>IF(CUENTAS!E174/CUENTAS!$AB174&lt;&gt;0,CUENTAS!E174/CUENTAS!$AB174,"")</f>
        <v/>
      </c>
      <c r="X185" s="459">
        <f>IF(CUENTAS!F174/CUENTAS!$AB174&lt;&gt;0,CUENTAS!F174/CUENTAS!$AB174,"")</f>
        <v>0.05964504681</v>
      </c>
      <c r="Y185" s="459">
        <f>IF(CUENTAS!G174/CUENTAS!$AB174&lt;&gt;0,CUENTAS!G174/CUENTAS!$AB174,"")</f>
        <v>0.1359320654</v>
      </c>
      <c r="Z185" s="459">
        <f>IF(CUENTAS!H174/CUENTAS!$AB174&lt;&gt;0,CUENTAS!H174/CUENTAS!$AB174,"")</f>
        <v>0.06405861528</v>
      </c>
      <c r="AA185" s="459">
        <f>IF(CUENTAS!I174/CUENTAS!$AB174&lt;&gt;0,CUENTAS!I174/CUENTAS!$AB174,"")</f>
        <v>0.1175886011</v>
      </c>
      <c r="AB185" s="459">
        <f>IF(CUENTAS!J174/CUENTAS!$AB174&lt;&gt;0,CUENTAS!J174/CUENTAS!$AB174,"")</f>
        <v>0.2446024395</v>
      </c>
      <c r="AC185" s="459">
        <f>IF(CUENTAS!K174/CUENTAS!$AB174&lt;&gt;0,CUENTAS!K174/CUENTAS!$AB174,"")</f>
        <v>0.09724287542</v>
      </c>
      <c r="AD185" s="459">
        <f>IF(CUENTAS!L174/CUENTAS!$AB174&lt;&gt;0,CUENTAS!L174/CUENTAS!$AB174,"")</f>
        <v>0.01354319297</v>
      </c>
      <c r="AE185" s="459" t="str">
        <f>IF(CUENTAS!M174/CUENTAS!$AB174&lt;&gt;0,CUENTAS!M174/CUENTAS!$AB174,"")</f>
        <v/>
      </c>
      <c r="AF185" s="459" t="str">
        <f>IF(CUENTAS!N174/CUENTAS!$AB174&lt;&gt;0,CUENTAS!N174/CUENTAS!$AB174,"")</f>
        <v/>
      </c>
      <c r="AG185" s="459" t="str">
        <f>IF(CUENTAS!O174/CUENTAS!$AB174&lt;&gt;0,CUENTAS!O174/CUENTAS!$AB174,"")</f>
        <v/>
      </c>
      <c r="AH185" s="459" t="str">
        <f>IF(CUENTAS!P174/CUENTAS!$AB174&lt;&gt;0,CUENTAS!P174/CUENTAS!$AB174,"")</f>
        <v/>
      </c>
      <c r="AI185" s="459">
        <f>IF(CUENTAS!R174/CUENTAS!$AB174&lt;&gt;0,CUENTAS!R174/CUENTAS!$AB174,"")</f>
        <v>0.07218453106</v>
      </c>
      <c r="AJ185" s="459" t="str">
        <f>IF(CUENTAS!B174/CUENTAS!$AB174&lt;&gt;0,CUENTAS!B174/CUENTAS!$AB174,"")</f>
        <v/>
      </c>
      <c r="AK185" s="459">
        <f>IF(CUENTAS!S174/CUENTAS!$AB174&lt;&gt;0,CUENTAS!S174/CUENTAS!$AB174,"")</f>
        <v>0.07013146461</v>
      </c>
      <c r="AL185" s="459">
        <f>IF(CUENTAS!T174/CUENTAS!$AB174&lt;&gt;0,CUENTAS!T174/CUENTAS!$AB174,"")</f>
        <v>0.05875820828</v>
      </c>
      <c r="AM185" s="459">
        <f>IF(CUENTAS!U174/CUENTAS!$AB174&lt;&gt;0,CUENTAS!U174/CUENTAS!$AB174,"")</f>
        <v>0.1987245536</v>
      </c>
      <c r="AN185" s="459">
        <f>IF(CUENTAS!V174/CUENTAS!$AB174&lt;&gt;0,CUENTAS!V174/CUENTAS!$AB174,"")</f>
        <v>0.07034524706</v>
      </c>
      <c r="AO185" s="459">
        <f>IF(CUENTAS!W174/CUENTAS!$AB174&lt;&gt;0,CUENTAS!W174/CUENTAS!$AB174,"")</f>
        <v>0.1017028482</v>
      </c>
      <c r="AP185" s="459" t="str">
        <f>IF(CUENTAS!X174/CUENTAS!$AB174&lt;&gt;0,CUENTAS!X174/CUENTAS!$AB174,"")</f>
        <v/>
      </c>
      <c r="AQ185" s="459" t="str">
        <f>IF(CUENTAS!Y174/CUENTAS!$AB174&lt;&gt;0,CUENTAS!Y174/CUENTAS!$AB174,"")</f>
        <v/>
      </c>
      <c r="AR185" s="459" t="str">
        <f>IF(CUENTAS!AA174/CUENTAS!$AB174&lt;&gt;0,CUENTAS!AA174/CUENTAS!$AB174,"")</f>
        <v/>
      </c>
    </row>
    <row r="186">
      <c r="A186" s="474"/>
      <c r="B186" s="200"/>
      <c r="C186" s="200"/>
      <c r="F186" s="200"/>
      <c r="G186" s="200"/>
      <c r="J186" s="465">
        <v>45474.0</v>
      </c>
      <c r="K186" s="466">
        <f>SUMIF(GRAFICO!A:A,J186,GRAFICO!B:B)</f>
        <v>12452.22059</v>
      </c>
      <c r="L186" s="467">
        <f t="shared" si="2"/>
        <v>0.2092446349</v>
      </c>
      <c r="M186" s="468">
        <v>45839.0</v>
      </c>
      <c r="N186" s="469">
        <f>IF(SUMIF(GRAFICO!A:A,M186,GRAFICO!B:B)=0,"",SUMIF(GRAFICO!A:A,M186,GRAFICO!B:B))</f>
        <v>17300.97948</v>
      </c>
      <c r="O186" s="467">
        <f t="shared" si="3"/>
        <v>0.2176898422</v>
      </c>
      <c r="P186" s="465">
        <v>46204.0</v>
      </c>
      <c r="Q186" s="463" t="str">
        <f>IF(SUMIF(GRAFICO!A:A,P186,GRAFICO!B:B)=0,"",SUMIF(GRAFICO!A:A,P186,GRAFICO!B:B))</f>
        <v/>
      </c>
      <c r="R186" s="463" t="str">
        <f t="shared" si="4"/>
        <v/>
      </c>
      <c r="S186" s="471">
        <f>CUENTAS!A175</f>
        <v>45927</v>
      </c>
      <c r="T186" s="459">
        <f>IF(CUENTAS!Q175/CUENTAS!$AB175&lt;&gt;0,CUENTAS!Q175/CUENTAS!$AB175,"")</f>
        <v>0.09461650249</v>
      </c>
      <c r="U186" s="459" t="str">
        <f>IF(CUENTAS!C175/CUENTAS!$AB175&lt;&gt;0,CUENTAS!C175/CUENTAS!$AB175,"")</f>
        <v/>
      </c>
      <c r="V186" s="459" t="str">
        <f>IF(CUENTAS!D175/CUENTAS!$AB175&lt;&gt;0,CUENTAS!D175/CUENTAS!$AB175,"")</f>
        <v/>
      </c>
      <c r="W186" s="459" t="str">
        <f>IF(CUENTAS!E175/CUENTAS!$AB175&lt;&gt;0,CUENTAS!E175/CUENTAS!$AB175,"")</f>
        <v/>
      </c>
      <c r="X186" s="459">
        <f>IF(CUENTAS!F175/CUENTAS!$AB175&lt;&gt;0,CUENTAS!F175/CUENTAS!$AB175,"")</f>
        <v>0.0594276375</v>
      </c>
      <c r="Y186" s="459">
        <f>IF(CUENTAS!G175/CUENTAS!$AB175&lt;&gt;0,CUENTAS!G175/CUENTAS!$AB175,"")</f>
        <v>0.136000905</v>
      </c>
      <c r="Z186" s="459">
        <f>IF(CUENTAS!H175/CUENTAS!$AB175&lt;&gt;0,CUENTAS!H175/CUENTAS!$AB175,"")</f>
        <v>0.06409105628</v>
      </c>
      <c r="AA186" s="459">
        <f>IF(CUENTAS!I175/CUENTAS!$AB175&lt;&gt;0,CUENTAS!I175/CUENTAS!$AB175,"")</f>
        <v>0.1176481511</v>
      </c>
      <c r="AB186" s="459">
        <f>IF(CUENTAS!J175/CUENTAS!$AB175&lt;&gt;0,CUENTAS!J175/CUENTAS!$AB175,"")</f>
        <v>0.2447263128</v>
      </c>
      <c r="AC186" s="459">
        <f>IF(CUENTAS!K175/CUENTAS!$AB175&lt;&gt;0,CUENTAS!K175/CUENTAS!$AB175,"")</f>
        <v>0.09729212182</v>
      </c>
      <c r="AD186" s="459">
        <f>IF(CUENTAS!L175/CUENTAS!$AB175&lt;&gt;0,CUENTAS!L175/CUENTAS!$AB175,"")</f>
        <v>0.01355005161</v>
      </c>
      <c r="AE186" s="459" t="str">
        <f>IF(CUENTAS!M175/CUENTAS!$AB175&lt;&gt;0,CUENTAS!M175/CUENTAS!$AB175,"")</f>
        <v/>
      </c>
      <c r="AF186" s="459" t="str">
        <f>IF(CUENTAS!N175/CUENTAS!$AB175&lt;&gt;0,CUENTAS!N175/CUENTAS!$AB175,"")</f>
        <v/>
      </c>
      <c r="AG186" s="459" t="str">
        <f>IF(CUENTAS!O175/CUENTAS!$AB175&lt;&gt;0,CUENTAS!O175/CUENTAS!$AB175,"")</f>
        <v/>
      </c>
      <c r="AH186" s="459" t="str">
        <f>IF(CUENTAS!P175/CUENTAS!$AB175&lt;&gt;0,CUENTAS!P175/CUENTAS!$AB175,"")</f>
        <v/>
      </c>
      <c r="AI186" s="459">
        <f>IF(CUENTAS!R175/CUENTAS!$AB175&lt;&gt;0,CUENTAS!R175/CUENTAS!$AB175,"")</f>
        <v>0.07222108725</v>
      </c>
      <c r="AJ186" s="459" t="str">
        <f>IF(CUENTAS!B175/CUENTAS!$AB175&lt;&gt;0,CUENTAS!B175/CUENTAS!$AB175,"")</f>
        <v/>
      </c>
      <c r="AK186" s="459">
        <f>IF(CUENTAS!S175/CUENTAS!$AB175&lt;&gt;0,CUENTAS!S175/CUENTAS!$AB175,"")</f>
        <v>0.07008548754</v>
      </c>
      <c r="AL186" s="459">
        <f>IF(CUENTAS!T175/CUENTAS!$AB175&lt;&gt;0,CUENTAS!T175/CUENTAS!$AB175,"")</f>
        <v>0.05873637853</v>
      </c>
      <c r="AM186" s="459">
        <f>IF(CUENTAS!U175/CUENTAS!$AB175&lt;&gt;0,CUENTAS!U175/CUENTAS!$AB175,"")</f>
        <v>0.1982475323</v>
      </c>
      <c r="AN186" s="459">
        <f>IF(CUENTAS!V175/CUENTAS!$AB175&lt;&gt;0,CUENTAS!V175/CUENTAS!$AB175,"")</f>
        <v>0.0703246121</v>
      </c>
      <c r="AO186" s="459">
        <f>IF(CUENTAS!W175/CUENTAS!$AB175&lt;&gt;0,CUENTAS!W175/CUENTAS!$AB175,"")</f>
        <v>0.1017543533</v>
      </c>
      <c r="AP186" s="459" t="str">
        <f>IF(CUENTAS!X175/CUENTAS!$AB175&lt;&gt;0,CUENTAS!X175/CUENTAS!$AB175,"")</f>
        <v/>
      </c>
      <c r="AQ186" s="459" t="str">
        <f>IF(CUENTAS!Y175/CUENTAS!$AB175&lt;&gt;0,CUENTAS!Y175/CUENTAS!$AB175,"")</f>
        <v/>
      </c>
      <c r="AR186" s="459" t="str">
        <f>IF(CUENTAS!AA175/CUENTAS!$AB175&lt;&gt;0,CUENTAS!AA175/CUENTAS!$AB175,"")</f>
        <v/>
      </c>
    </row>
    <row r="187">
      <c r="A187" s="474"/>
      <c r="B187" s="200"/>
      <c r="C187" s="200"/>
      <c r="F187" s="200"/>
      <c r="G187" s="200"/>
      <c r="J187" s="465">
        <v>45473.0</v>
      </c>
      <c r="K187" s="466">
        <f>SUMIF(GRAFICO!A:A,J187,GRAFICO!B:B)</f>
        <v>12446.39631</v>
      </c>
      <c r="L187" s="467">
        <f t="shared" si="2"/>
        <v>0.2087767959</v>
      </c>
      <c r="M187" s="468">
        <v>45838.0</v>
      </c>
      <c r="N187" s="469">
        <f>IF(SUMIF(GRAFICO!A:A,M187,GRAFICO!B:B)=0,"",SUMIF(GRAFICO!A:A,M187,GRAFICO!B:B))</f>
        <v>17355.44305</v>
      </c>
      <c r="O187" s="467">
        <f t="shared" si="3"/>
        <v>0.2208329025</v>
      </c>
      <c r="P187" s="468">
        <v>46203.0</v>
      </c>
      <c r="Q187" s="463" t="str">
        <f>IF(SUMIF(GRAFICO!A:A,P187,GRAFICO!B:B)=0,"",SUMIF(GRAFICO!A:A,P187,GRAFICO!B:B))</f>
        <v/>
      </c>
      <c r="R187" s="463" t="str">
        <f t="shared" si="4"/>
        <v/>
      </c>
      <c r="S187" s="471">
        <f>CUENTAS!A176</f>
        <v>45926</v>
      </c>
      <c r="T187" s="459">
        <f>IF(CUENTAS!Q176/CUENTAS!$AB176&lt;&gt;0,CUENTAS!Q176/CUENTAS!$AB176,"")</f>
        <v>0.09466443884</v>
      </c>
      <c r="U187" s="459" t="str">
        <f>IF(CUENTAS!C176/CUENTAS!$AB176&lt;&gt;0,CUENTAS!C176/CUENTAS!$AB176,"")</f>
        <v/>
      </c>
      <c r="V187" s="459" t="str">
        <f>IF(CUENTAS!D176/CUENTAS!$AB176&lt;&gt;0,CUENTAS!D176/CUENTAS!$AB176,"")</f>
        <v/>
      </c>
      <c r="W187" s="459" t="str">
        <f>IF(CUENTAS!E176/CUENTAS!$AB176&lt;&gt;0,CUENTAS!E176/CUENTAS!$AB176,"")</f>
        <v/>
      </c>
      <c r="X187" s="459">
        <f>IF(CUENTAS!F176/CUENTAS!$AB176&lt;&gt;0,CUENTAS!F176/CUENTAS!$AB176,"")</f>
        <v>0.05945774583</v>
      </c>
      <c r="Y187" s="459">
        <f>IF(CUENTAS!G176/CUENTAS!$AB176&lt;&gt;0,CUENTAS!G176/CUENTAS!$AB176,"")</f>
        <v>0.1360698083</v>
      </c>
      <c r="Z187" s="459">
        <f>IF(CUENTAS!H176/CUENTAS!$AB176&lt;&gt;0,CUENTAS!H176/CUENTAS!$AB176,"")</f>
        <v>0.06412352727</v>
      </c>
      <c r="AA187" s="459">
        <f>IF(CUENTAS!I176/CUENTAS!$AB176&lt;&gt;0,CUENTAS!I176/CUENTAS!$AB176,"")</f>
        <v>0.1177077562</v>
      </c>
      <c r="AB187" s="459">
        <f>IF(CUENTAS!J176/CUENTAS!$AB176&lt;&gt;0,CUENTAS!J176/CUENTAS!$AB176,"")</f>
        <v>0.2448503005</v>
      </c>
      <c r="AC187" s="459">
        <f>IF(CUENTAS!K176/CUENTAS!$AB176&lt;&gt;0,CUENTAS!K176/CUENTAS!$AB176,"")</f>
        <v>0.09734141374</v>
      </c>
      <c r="AD187" s="459">
        <f>IF(CUENTAS!L176/CUENTAS!$AB176&lt;&gt;0,CUENTAS!L176/CUENTAS!$AB176,"")</f>
        <v>0.01355691658</v>
      </c>
      <c r="AE187" s="459" t="str">
        <f>IF(CUENTAS!M176/CUENTAS!$AB176&lt;&gt;0,CUENTAS!M176/CUENTAS!$AB176,"")</f>
        <v/>
      </c>
      <c r="AF187" s="459" t="str">
        <f>IF(CUENTAS!N176/CUENTAS!$AB176&lt;&gt;0,CUENTAS!N176/CUENTAS!$AB176,"")</f>
        <v/>
      </c>
      <c r="AG187" s="459" t="str">
        <f>IF(CUENTAS!O176/CUENTAS!$AB176&lt;&gt;0,CUENTAS!O176/CUENTAS!$AB176,"")</f>
        <v/>
      </c>
      <c r="AH187" s="459" t="str">
        <f>IF(CUENTAS!P176/CUENTAS!$AB176&lt;&gt;0,CUENTAS!P176/CUENTAS!$AB176,"")</f>
        <v/>
      </c>
      <c r="AI187" s="459">
        <f>IF(CUENTAS!R176/CUENTAS!$AB176&lt;&gt;0,CUENTAS!R176/CUENTAS!$AB176,"")</f>
        <v>0.07225767722</v>
      </c>
      <c r="AJ187" s="459" t="str">
        <f>IF(CUENTAS!B176/CUENTAS!$AB176&lt;&gt;0,CUENTAS!B176/CUENTAS!$AB176,"")</f>
        <v/>
      </c>
      <c r="AK187" s="459">
        <f>IF(CUENTAS!S176/CUENTAS!$AB176&lt;&gt;0,CUENTAS!S176/CUENTAS!$AB176,"")</f>
        <v>0.028596242</v>
      </c>
      <c r="AL187" s="459">
        <f>IF(CUENTAS!T176/CUENTAS!$AB176&lt;&gt;0,CUENTAS!T176/CUENTAS!$AB176,"")</f>
        <v>0.05871452401</v>
      </c>
      <c r="AM187" s="459">
        <f>IF(CUENTAS!U176/CUENTAS!$AB176&lt;&gt;0,CUENTAS!U176/CUENTAS!$AB176,"")</f>
        <v>0.1977700187</v>
      </c>
      <c r="AN187" s="459">
        <f>IF(CUENTAS!V176/CUENTAS!$AB176&lt;&gt;0,CUENTAS!V176/CUENTAS!$AB176,"")</f>
        <v>0.07030399805</v>
      </c>
      <c r="AO187" s="459">
        <f>IF(CUENTAS!W176/CUENTAS!$AB176&lt;&gt;0,CUENTAS!W176/CUENTAS!$AB176,"")</f>
        <v>0.1018059059</v>
      </c>
      <c r="AP187" s="459" t="str">
        <f>IF(CUENTAS!X176/CUENTAS!$AB176&lt;&gt;0,CUENTAS!X176/CUENTAS!$AB176,"")</f>
        <v/>
      </c>
      <c r="AQ187" s="459" t="str">
        <f>IF(CUENTAS!Y176/CUENTAS!$AB176&lt;&gt;0,CUENTAS!Y176/CUENTAS!$AB176,"")</f>
        <v/>
      </c>
      <c r="AR187" s="459">
        <f>IF(CUENTAS!AA176/CUENTAS!$AB176&lt;&gt;0,CUENTAS!AA176/CUENTAS!$AB176,"")</f>
        <v>0.04144321873</v>
      </c>
    </row>
    <row r="188">
      <c r="A188" s="474"/>
      <c r="B188" s="200"/>
      <c r="C188" s="200"/>
      <c r="F188" s="200"/>
      <c r="G188" s="200"/>
      <c r="J188" s="470">
        <v>45472.0</v>
      </c>
      <c r="K188" s="466">
        <f>SUMIF(GRAFICO!A:A,J188,GRAFICO!B:B)</f>
        <v>12440.57783</v>
      </c>
      <c r="L188" s="467">
        <f t="shared" si="2"/>
        <v>0.2083092028</v>
      </c>
      <c r="M188" s="468">
        <v>45837.0</v>
      </c>
      <c r="N188" s="469">
        <f>IF(SUMIF(GRAFICO!A:A,M188,GRAFICO!B:B)=0,"",SUMIF(GRAFICO!A:A,M188,GRAFICO!B:B))</f>
        <v>17362.74141</v>
      </c>
      <c r="O188" s="467">
        <f t="shared" si="3"/>
        <v>0.2212533369</v>
      </c>
      <c r="P188" s="465">
        <v>46202.0</v>
      </c>
      <c r="Q188" s="463" t="str">
        <f>IF(SUMIF(GRAFICO!A:A,P188,GRAFICO!B:B)=0,"",SUMIF(GRAFICO!A:A,P188,GRAFICO!B:B))</f>
        <v/>
      </c>
      <c r="R188" s="463" t="str">
        <f t="shared" si="4"/>
        <v/>
      </c>
      <c r="S188" s="471">
        <f>CUENTAS!A177</f>
        <v>45925</v>
      </c>
      <c r="T188" s="459">
        <f>IF(CUENTAS!Q177/CUENTAS!$AB177&lt;&gt;0,CUENTAS!Q177/CUENTAS!$AB177,"")</f>
        <v>0.09614454853</v>
      </c>
      <c r="U188" s="459" t="str">
        <f>IF(CUENTAS!C177/CUENTAS!$AB177&lt;&gt;0,CUENTAS!C177/CUENTAS!$AB177,"")</f>
        <v/>
      </c>
      <c r="V188" s="459" t="str">
        <f>IF(CUENTAS!D177/CUENTAS!$AB177&lt;&gt;0,CUENTAS!D177/CUENTAS!$AB177,"")</f>
        <v/>
      </c>
      <c r="W188" s="459">
        <f>IF(CUENTAS!E177/CUENTAS!$AB177&lt;&gt;0,CUENTAS!E177/CUENTAS!$AB177,"")</f>
        <v>0.02492307816</v>
      </c>
      <c r="X188" s="459">
        <f>IF(CUENTAS!F177/CUENTAS!$AB177&lt;&gt;0,CUENTAS!F177/CUENTAS!$AB177,"")</f>
        <v>0.0594028103</v>
      </c>
      <c r="Y188" s="459">
        <f>IF(CUENTAS!G177/CUENTAS!$AB177&lt;&gt;0,CUENTAS!G177/CUENTAS!$AB177,"")</f>
        <v>0.1359440877</v>
      </c>
      <c r="Z188" s="459">
        <f>IF(CUENTAS!H177/CUENTAS!$AB177&lt;&gt;0,CUENTAS!H177/CUENTAS!$AB177,"")</f>
        <v>0.06406428084</v>
      </c>
      <c r="AA188" s="459">
        <f>IF(CUENTAS!I177/CUENTAS!$AB177&lt;&gt;0,CUENTAS!I177/CUENTAS!$AB177,"")</f>
        <v>0.117599001</v>
      </c>
      <c r="AB188" s="459">
        <f>IF(CUENTAS!J177/CUENTAS!$AB177&lt;&gt;0,CUENTAS!J177/CUENTAS!$AB177,"")</f>
        <v>0.244624073</v>
      </c>
      <c r="AC188" s="459">
        <f>IF(CUENTAS!K177/CUENTAS!$AB177&lt;&gt;0,CUENTAS!K177/CUENTAS!$AB177,"")</f>
        <v>0.0972514759</v>
      </c>
      <c r="AD188" s="459">
        <f>IF(CUENTAS!L177/CUENTAS!$AB177&lt;&gt;0,CUENTAS!L177/CUENTAS!$AB177,"")</f>
        <v>0.01340688427</v>
      </c>
      <c r="AE188" s="459" t="str">
        <f>IF(CUENTAS!M177/CUENTAS!$AB177&lt;&gt;0,CUENTAS!M177/CUENTAS!$AB177,"")</f>
        <v/>
      </c>
      <c r="AF188" s="459" t="str">
        <f>IF(CUENTAS!N177/CUENTAS!$AB177&lt;&gt;0,CUENTAS!N177/CUENTAS!$AB177,"")</f>
        <v/>
      </c>
      <c r="AG188" s="459" t="str">
        <f>IF(CUENTAS!O177/CUENTAS!$AB177&lt;&gt;0,CUENTAS!O177/CUENTAS!$AB177,"")</f>
        <v/>
      </c>
      <c r="AH188" s="459" t="str">
        <f>IF(CUENTAS!P177/CUENTAS!$AB177&lt;&gt;0,CUENTAS!P177/CUENTAS!$AB177,"")</f>
        <v/>
      </c>
      <c r="AI188" s="459">
        <f>IF(CUENTAS!R177/CUENTAS!$AB177&lt;&gt;0,CUENTAS!R177/CUENTAS!$AB177,"")</f>
        <v>0.0721909153</v>
      </c>
      <c r="AJ188" s="459" t="str">
        <f>IF(CUENTAS!B177/CUENTAS!$AB177&lt;&gt;0,CUENTAS!B177/CUENTAS!$AB177,"")</f>
        <v/>
      </c>
      <c r="AK188" s="459">
        <f>IF(CUENTAS!S177/CUENTAS!$AB177&lt;&gt;0,CUENTAS!S177/CUENTAS!$AB177,"")</f>
        <v>0.02848836124</v>
      </c>
      <c r="AL188" s="459">
        <f>IF(CUENTAS!T177/CUENTAS!$AB177&lt;&gt;0,CUENTAS!T177/CUENTAS!$AB177,"")</f>
        <v>0.05860871024</v>
      </c>
      <c r="AM188" s="459">
        <f>IF(CUENTAS!U177/CUENTAS!$AB177&lt;&gt;0,CUENTAS!U177/CUENTAS!$AB177,"")</f>
        <v>0.1970098711</v>
      </c>
      <c r="AN188" s="459">
        <f>IF(CUENTAS!V177/CUENTAS!$AB177&lt;&gt;0,CUENTAS!V177/CUENTAS!$AB177,"")</f>
        <v>0.0701828949</v>
      </c>
      <c r="AO188" s="459">
        <f>IF(CUENTAS!W177/CUENTAS!$AB177&lt;&gt;0,CUENTAS!W177/CUENTAS!$AB177,"")</f>
        <v>0.1017118432</v>
      </c>
      <c r="AP188" s="459" t="str">
        <f>IF(CUENTAS!X177/CUENTAS!$AB177&lt;&gt;0,CUENTAS!X177/CUENTAS!$AB177,"")</f>
        <v/>
      </c>
      <c r="AQ188" s="459" t="str">
        <f>IF(CUENTAS!Y177/CUENTAS!$AB177&lt;&gt;0,CUENTAS!Y177/CUENTAS!$AB177,"")</f>
        <v/>
      </c>
      <c r="AR188" s="459">
        <f>IF(CUENTAS!AA177/CUENTAS!$AB177&lt;&gt;0,CUENTAS!AA177/CUENTAS!$AB177,"")</f>
        <v>0.04140492759</v>
      </c>
    </row>
    <row r="189">
      <c r="A189" s="474"/>
      <c r="B189" s="200"/>
      <c r="C189" s="200"/>
      <c r="F189" s="200"/>
      <c r="G189" s="200"/>
      <c r="J189" s="465">
        <v>45471.0</v>
      </c>
      <c r="K189" s="466">
        <f>SUMIF(GRAFICO!A:A,J189,GRAFICO!B:B)</f>
        <v>12434.76512</v>
      </c>
      <c r="L189" s="467">
        <f t="shared" si="2"/>
        <v>0.2078418557</v>
      </c>
      <c r="M189" s="468">
        <v>45836.0</v>
      </c>
      <c r="N189" s="469">
        <f>IF(SUMIF(GRAFICO!A:A,M189,GRAFICO!B:B)=0,"",SUMIF(GRAFICO!A:A,M189,GRAFICO!B:B))</f>
        <v>17363.89257</v>
      </c>
      <c r="O189" s="467">
        <f t="shared" si="3"/>
        <v>0.2213196353</v>
      </c>
      <c r="P189" s="468">
        <v>46201.0</v>
      </c>
      <c r="Q189" s="463" t="str">
        <f>IF(SUMIF(GRAFICO!A:A,P189,GRAFICO!B:B)=0,"",SUMIF(GRAFICO!A:A,P189,GRAFICO!B:B))</f>
        <v/>
      </c>
      <c r="R189" s="463" t="str">
        <f t="shared" si="4"/>
        <v/>
      </c>
      <c r="S189" s="471">
        <f>CUENTAS!A178</f>
        <v>45924</v>
      </c>
      <c r="T189" s="459">
        <f>IF(CUENTAS!Q178/CUENTAS!$AB178&lt;&gt;0,CUENTAS!Q178/CUENTAS!$AB178,"")</f>
        <v>0.09733950418</v>
      </c>
      <c r="U189" s="459" t="str">
        <f>IF(CUENTAS!C178/CUENTAS!$AB178&lt;&gt;0,CUENTAS!C178/CUENTAS!$AB178,"")</f>
        <v/>
      </c>
      <c r="V189" s="459" t="str">
        <f>IF(CUENTAS!D178/CUENTAS!$AB178&lt;&gt;0,CUENTAS!D178/CUENTAS!$AB178,"")</f>
        <v/>
      </c>
      <c r="W189" s="459">
        <f>IF(CUENTAS!E178/CUENTAS!$AB178&lt;&gt;0,CUENTAS!E178/CUENTAS!$AB178,"")</f>
        <v>0.02478201694</v>
      </c>
      <c r="X189" s="459">
        <f>IF(CUENTAS!F178/CUENTAS!$AB178&lt;&gt;0,CUENTAS!F178/CUENTAS!$AB178,"")</f>
        <v>0.05933493129</v>
      </c>
      <c r="Y189" s="459">
        <f>IF(CUENTAS!G178/CUENTAS!$AB178&lt;&gt;0,CUENTAS!G178/CUENTAS!$AB178,"")</f>
        <v>0.1357887457</v>
      </c>
      <c r="Z189" s="459">
        <f>IF(CUENTAS!H178/CUENTAS!$AB178&lt;&gt;0,CUENTAS!H178/CUENTAS!$AB178,"")</f>
        <v>0.0639910752</v>
      </c>
      <c r="AA189" s="459">
        <f>IF(CUENTAS!I178/CUENTAS!$AB178&lt;&gt;0,CUENTAS!I178/CUENTAS!$AB178,"")</f>
        <v>0.1174646218</v>
      </c>
      <c r="AB189" s="459">
        <f>IF(CUENTAS!J178/CUENTAS!$AB178&lt;&gt;0,CUENTAS!J178/CUENTAS!$AB178,"")</f>
        <v>0.2443445434</v>
      </c>
      <c r="AC189" s="459">
        <f>IF(CUENTAS!K178/CUENTAS!$AB178&lt;&gt;0,CUENTAS!K178/CUENTAS!$AB178,"")</f>
        <v>0.09714034758</v>
      </c>
      <c r="AD189" s="459">
        <f>IF(CUENTAS!L178/CUENTAS!$AB178&lt;&gt;0,CUENTAS!L178/CUENTAS!$AB178,"")</f>
        <v>0.0137349378</v>
      </c>
      <c r="AE189" s="459" t="str">
        <f>IF(CUENTAS!M178/CUENTAS!$AB178&lt;&gt;0,CUENTAS!M178/CUENTAS!$AB178,"")</f>
        <v/>
      </c>
      <c r="AF189" s="459" t="str">
        <f>IF(CUENTAS!N178/CUENTAS!$AB178&lt;&gt;0,CUENTAS!N178/CUENTAS!$AB178,"")</f>
        <v/>
      </c>
      <c r="AG189" s="459" t="str">
        <f>IF(CUENTAS!O178/CUENTAS!$AB178&lt;&gt;0,CUENTAS!O178/CUENTAS!$AB178,"")</f>
        <v/>
      </c>
      <c r="AH189" s="459" t="str">
        <f>IF(CUENTAS!P178/CUENTAS!$AB178&lt;&gt;0,CUENTAS!P178/CUENTAS!$AB178,"")</f>
        <v/>
      </c>
      <c r="AI189" s="459">
        <f>IF(CUENTAS!R178/CUENTAS!$AB178&lt;&gt;0,CUENTAS!R178/CUENTAS!$AB178,"")</f>
        <v>0.07210842344</v>
      </c>
      <c r="AJ189" s="459" t="str">
        <f>IF(CUENTAS!B178/CUENTAS!$AB178&lt;&gt;0,CUENTAS!B178/CUENTAS!$AB178,"")</f>
        <v/>
      </c>
      <c r="AK189" s="459">
        <f>IF(CUENTAS!S178/CUENTAS!$AB178&lt;&gt;0,CUENTAS!S178/CUENTAS!$AB178,"")</f>
        <v>0.02837444147</v>
      </c>
      <c r="AL189" s="459">
        <f>IF(CUENTAS!T178/CUENTAS!$AB178&lt;&gt;0,CUENTAS!T178/CUENTAS!$AB178,"")</f>
        <v>0.05849023261</v>
      </c>
      <c r="AM189" s="459">
        <f>IF(CUENTAS!U178/CUENTAS!$AB178&lt;&gt;0,CUENTAS!U178/CUENTAS!$AB178,"")</f>
        <v>0.1962079902</v>
      </c>
      <c r="AN189" s="459">
        <f>IF(CUENTAS!V178/CUENTAS!$AB178&lt;&gt;0,CUENTAS!V178/CUENTAS!$AB178,"")</f>
        <v>0.07004666025</v>
      </c>
      <c r="AO189" s="459">
        <f>IF(CUENTAS!W178/CUENTAS!$AB178&lt;&gt;0,CUENTAS!W178/CUENTAS!$AB178,"")</f>
        <v>0.101595618</v>
      </c>
      <c r="AP189" s="459" t="str">
        <f>IF(CUENTAS!X178/CUENTAS!$AB178&lt;&gt;0,CUENTAS!X178/CUENTAS!$AB178,"")</f>
        <v/>
      </c>
      <c r="AQ189" s="459" t="str">
        <f>IF(CUENTAS!Y178/CUENTAS!$AB178&lt;&gt;0,CUENTAS!Y178/CUENTAS!$AB178,"")</f>
        <v/>
      </c>
      <c r="AR189" s="459">
        <f>IF(CUENTAS!AA178/CUENTAS!$AB178&lt;&gt;0,CUENTAS!AA178/CUENTAS!$AB178,"")</f>
        <v>0.04135761458</v>
      </c>
    </row>
    <row r="190">
      <c r="A190" s="474"/>
      <c r="B190" s="200"/>
      <c r="C190" s="200"/>
      <c r="F190" s="200"/>
      <c r="G190" s="200"/>
      <c r="J190" s="470">
        <v>45470.0</v>
      </c>
      <c r="K190" s="466">
        <f>SUMIF(GRAFICO!A:A,J190,GRAFICO!B:B)</f>
        <v>12428.95818</v>
      </c>
      <c r="L190" s="467">
        <f t="shared" si="2"/>
        <v>0.2073747544</v>
      </c>
      <c r="M190" s="468">
        <v>45835.0</v>
      </c>
      <c r="N190" s="469">
        <f>IF(SUMIF(GRAFICO!A:A,M190,GRAFICO!B:B)=0,"",SUMIF(GRAFICO!A:A,M190,GRAFICO!B:B))</f>
        <v>17365.04372</v>
      </c>
      <c r="O190" s="467">
        <f t="shared" si="3"/>
        <v>0.2213859293</v>
      </c>
      <c r="P190" s="465">
        <v>46200.0</v>
      </c>
      <c r="Q190" s="463" t="str">
        <f>IF(SUMIF(GRAFICO!A:A,P190,GRAFICO!B:B)=0,"",SUMIF(GRAFICO!A:A,P190,GRAFICO!B:B))</f>
        <v/>
      </c>
      <c r="R190" s="463" t="str">
        <f t="shared" si="4"/>
        <v/>
      </c>
      <c r="S190" s="471">
        <f>CUENTAS!A179</f>
        <v>45923</v>
      </c>
      <c r="T190" s="459">
        <f>IF(CUENTAS!Q179/CUENTAS!$AB179&lt;&gt;0,CUENTAS!Q179/CUENTAS!$AB179,"")</f>
        <v>0.09500959965</v>
      </c>
      <c r="U190" s="459" t="str">
        <f>IF(CUENTAS!C179/CUENTAS!$AB179&lt;&gt;0,CUENTAS!C179/CUENTAS!$AB179,"")</f>
        <v/>
      </c>
      <c r="V190" s="459" t="str">
        <f>IF(CUENTAS!D179/CUENTAS!$AB179&lt;&gt;0,CUENTAS!D179/CUENTAS!$AB179,"")</f>
        <v/>
      </c>
      <c r="W190" s="459">
        <f>IF(CUENTAS!E179/CUENTAS!$AB179&lt;&gt;0,CUENTAS!E179/CUENTAS!$AB179,"")</f>
        <v>0.02474228299</v>
      </c>
      <c r="X190" s="459">
        <f>IF(CUENTAS!F179/CUENTAS!$AB179&lt;&gt;0,CUENTAS!F179/CUENTAS!$AB179,"")</f>
        <v>0.05951014506</v>
      </c>
      <c r="Y190" s="459">
        <f>IF(CUENTAS!G179/CUENTAS!$AB179&lt;&gt;0,CUENTAS!G179/CUENTAS!$AB179,"")</f>
        <v>0.1361897246</v>
      </c>
      <c r="Z190" s="459">
        <f>IF(CUENTAS!H179/CUENTAS!$AB179&lt;&gt;0,CUENTAS!H179/CUENTAS!$AB179,"")</f>
        <v>0.06418003839</v>
      </c>
      <c r="AA190" s="459">
        <f>IF(CUENTAS!I179/CUENTAS!$AB179&lt;&gt;0,CUENTAS!I179/CUENTAS!$AB179,"")</f>
        <v>0.1178114903</v>
      </c>
      <c r="AB190" s="459">
        <f>IF(CUENTAS!J179/CUENTAS!$AB179&lt;&gt;0,CUENTAS!J179/CUENTAS!$AB179,"")</f>
        <v>0.2450660835</v>
      </c>
      <c r="AC190" s="459">
        <f>IF(CUENTAS!K179/CUENTAS!$AB179&lt;&gt;0,CUENTAS!K179/CUENTAS!$AB179,"")</f>
        <v>0.0974271993</v>
      </c>
      <c r="AD190" s="459">
        <f>IF(CUENTAS!L179/CUENTAS!$AB179&lt;&gt;0,CUENTAS!L179/CUENTAS!$AB179,"")</f>
        <v>0.01395113412</v>
      </c>
      <c r="AE190" s="459" t="str">
        <f>IF(CUENTAS!M179/CUENTAS!$AB179&lt;&gt;0,CUENTAS!M179/CUENTAS!$AB179,"")</f>
        <v/>
      </c>
      <c r="AF190" s="459" t="str">
        <f>IF(CUENTAS!N179/CUENTAS!$AB179&lt;&gt;0,CUENTAS!N179/CUENTAS!$AB179,"")</f>
        <v/>
      </c>
      <c r="AG190" s="459" t="str">
        <f>IF(CUENTAS!O179/CUENTAS!$AB179&lt;&gt;0,CUENTAS!O179/CUENTAS!$AB179,"")</f>
        <v/>
      </c>
      <c r="AH190" s="459" t="str">
        <f>IF(CUENTAS!P179/CUENTAS!$AB179&lt;&gt;0,CUENTAS!P179/CUENTAS!$AB179,"")</f>
        <v/>
      </c>
      <c r="AI190" s="459">
        <f>IF(CUENTAS!R179/CUENTAS!$AB179&lt;&gt;0,CUENTAS!R179/CUENTAS!$AB179,"")</f>
        <v>0.07232135685</v>
      </c>
      <c r="AJ190" s="459" t="str">
        <f>IF(CUENTAS!B179/CUENTAS!$AB179&lt;&gt;0,CUENTAS!B179/CUENTAS!$AB179,"")</f>
        <v/>
      </c>
      <c r="AK190" s="459">
        <f>IF(CUENTAS!S179/CUENTAS!$AB179&lt;&gt;0,CUENTAS!S179/CUENTAS!$AB179,"")</f>
        <v>0.02837231859</v>
      </c>
      <c r="AL190" s="459">
        <f>IF(CUENTAS!T179/CUENTAS!$AB179&lt;&gt;0,CUENTAS!T179/CUENTAS!$AB179,"")</f>
        <v>0.05861129391</v>
      </c>
      <c r="AM190" s="459">
        <f>IF(CUENTAS!U179/CUENTAS!$AB179&lt;&gt;0,CUENTAS!U179/CUENTAS!$AB179,"")</f>
        <v>0.1962089221</v>
      </c>
      <c r="AN190" s="459">
        <f>IF(CUENTAS!V179/CUENTAS!$AB179&lt;&gt;0,CUENTAS!V179/CUENTAS!$AB179,"")</f>
        <v>0.07019734747</v>
      </c>
      <c r="AO190" s="459">
        <f>IF(CUENTAS!W179/CUENTAS!$AB179&lt;&gt;0,CUENTAS!W179/CUENTAS!$AB179,"")</f>
        <v>0.101895626</v>
      </c>
      <c r="AP190" s="459" t="str">
        <f>IF(CUENTAS!X179/CUENTAS!$AB179&lt;&gt;0,CUENTAS!X179/CUENTAS!$AB179,"")</f>
        <v/>
      </c>
      <c r="AQ190" s="459" t="str">
        <f>IF(CUENTAS!Y179/CUENTAS!$AB179&lt;&gt;0,CUENTAS!Y179/CUENTAS!$AB179,"")</f>
        <v/>
      </c>
      <c r="AR190" s="459">
        <f>IF(CUENTAS!AA179/CUENTAS!$AB179&lt;&gt;0,CUENTAS!AA179/CUENTAS!$AB179,"")</f>
        <v>0.04147974203</v>
      </c>
    </row>
    <row r="191">
      <c r="A191" s="474"/>
      <c r="B191" s="200"/>
      <c r="C191" s="200"/>
      <c r="F191" s="200"/>
      <c r="G191" s="200"/>
      <c r="J191" s="470">
        <v>45469.0</v>
      </c>
      <c r="K191" s="466">
        <f>SUMIF(GRAFICO!A:A,J191,GRAFICO!B:B)</f>
        <v>12423.15701</v>
      </c>
      <c r="L191" s="467">
        <f t="shared" si="2"/>
        <v>0.2069078991</v>
      </c>
      <c r="M191" s="468">
        <v>45834.0</v>
      </c>
      <c r="N191" s="469">
        <f>IF(SUMIF(GRAFICO!A:A,M191,GRAFICO!B:B)=0,"",SUMIF(GRAFICO!A:A,M191,GRAFICO!B:B))</f>
        <v>16908.55951</v>
      </c>
      <c r="O191" s="467">
        <f t="shared" si="3"/>
        <v>0.1947466985</v>
      </c>
      <c r="P191" s="468">
        <v>46199.0</v>
      </c>
      <c r="Q191" s="463" t="str">
        <f>IF(SUMIF(GRAFICO!A:A,P191,GRAFICO!B:B)=0,"",SUMIF(GRAFICO!A:A,P191,GRAFICO!B:B))</f>
        <v/>
      </c>
      <c r="R191" s="463" t="str">
        <f t="shared" si="4"/>
        <v/>
      </c>
      <c r="S191" s="471">
        <f>CUENTAS!A180</f>
        <v>45922</v>
      </c>
      <c r="T191" s="459">
        <f>IF(CUENTAS!Q180/CUENTAS!$AB180&lt;&gt;0,CUENTAS!Q180/CUENTAS!$AB180,"")</f>
        <v>0.08553541382</v>
      </c>
      <c r="U191" s="459" t="str">
        <f>IF(CUENTAS!C180/CUENTAS!$AB180&lt;&gt;0,CUENTAS!C180/CUENTAS!$AB180,"")</f>
        <v/>
      </c>
      <c r="V191" s="459" t="str">
        <f>IF(CUENTAS!D180/CUENTAS!$AB180&lt;&gt;0,CUENTAS!D180/CUENTAS!$AB180,"")</f>
        <v/>
      </c>
      <c r="W191" s="459">
        <f>IF(CUENTAS!E180/CUENTAS!$AB180&lt;&gt;0,CUENTAS!E180/CUENTAS!$AB180,"")</f>
        <v>0.0231291213</v>
      </c>
      <c r="X191" s="459">
        <f>IF(CUENTAS!F180/CUENTAS!$AB180&lt;&gt;0,CUENTAS!F180/CUENTAS!$AB180,"")</f>
        <v>0.05611806188</v>
      </c>
      <c r="Y191" s="459">
        <f>IF(CUENTAS!G180/CUENTAS!$AB180&lt;&gt;0,CUENTAS!G180/CUENTAS!$AB180,"")</f>
        <v>0.1292426261</v>
      </c>
      <c r="Z191" s="459">
        <f>IF(CUENTAS!H180/CUENTAS!$AB180&lt;&gt;0,CUENTAS!H180/CUENTAS!$AB180,"")</f>
        <v>0.06048409366</v>
      </c>
      <c r="AA191" s="459">
        <f>IF(CUENTAS!I180/CUENTAS!$AB180&lt;&gt;0,CUENTAS!I180/CUENTAS!$AB180,"")</f>
        <v>0.1111591693</v>
      </c>
      <c r="AB191" s="459">
        <f>IF(CUENTAS!J180/CUENTAS!$AB180&lt;&gt;0,CUENTAS!J180/CUENTAS!$AB180,"")</f>
        <v>0.2342780315</v>
      </c>
      <c r="AC191" s="459">
        <f>IF(CUENTAS!K180/CUENTAS!$AB180&lt;&gt;0,CUENTAS!K180/CUENTAS!$AB180,"")</f>
        <v>0.08933547852</v>
      </c>
      <c r="AD191" s="459">
        <f>IF(CUENTAS!L180/CUENTAS!$AB180&lt;&gt;0,CUENTAS!L180/CUENTAS!$AB180,"")</f>
        <v>0.01310132945</v>
      </c>
      <c r="AE191" s="459" t="str">
        <f>IF(CUENTAS!M180/CUENTAS!$AB180&lt;&gt;0,CUENTAS!M180/CUENTAS!$AB180,"")</f>
        <v/>
      </c>
      <c r="AF191" s="459" t="str">
        <f>IF(CUENTAS!N180/CUENTAS!$AB180&lt;&gt;0,CUENTAS!N180/CUENTAS!$AB180,"")</f>
        <v/>
      </c>
      <c r="AG191" s="459" t="str">
        <f>IF(CUENTAS!O180/CUENTAS!$AB180&lt;&gt;0,CUENTAS!O180/CUENTAS!$AB180,"")</f>
        <v/>
      </c>
      <c r="AH191" s="459">
        <f>IF(CUENTAS!P180/CUENTAS!$AB180&lt;&gt;0,CUENTAS!P180/CUENTAS!$AB180,"")</f>
        <v>0.06095465487</v>
      </c>
      <c r="AI191" s="459">
        <f>IF(CUENTAS!R180/CUENTAS!$AB180&lt;&gt;0,CUENTAS!R180/CUENTAS!$AB180,"")</f>
        <v>0.03961769583</v>
      </c>
      <c r="AJ191" s="459" t="str">
        <f>IF(CUENTAS!B180/CUENTAS!$AB180&lt;&gt;0,CUENTAS!B180/CUENTAS!$AB180,"")</f>
        <v/>
      </c>
      <c r="AK191" s="459">
        <f>IF(CUENTAS!S180/CUENTAS!$AB180&lt;&gt;0,CUENTAS!S180/CUENTAS!$AB180,"")</f>
        <v>0.02656744133</v>
      </c>
      <c r="AL191" s="459">
        <f>IF(CUENTAS!T180/CUENTAS!$AB180&lt;&gt;0,CUENTAS!T180/CUENTAS!$AB180,"")</f>
        <v>0.05499259591</v>
      </c>
      <c r="AM191" s="459">
        <f>IF(CUENTAS!U180/CUENTAS!$AB180&lt;&gt;0,CUENTAS!U180/CUENTAS!$AB180,"")</f>
        <v>0.1837140319</v>
      </c>
      <c r="AN191" s="459">
        <f>IF(CUENTAS!V180/CUENTAS!$AB180&lt;&gt;0,CUENTAS!V180/CUENTAS!$AB180,"")</f>
        <v>0.007997923411</v>
      </c>
      <c r="AO191" s="459">
        <f>IF(CUENTAS!W180/CUENTAS!$AB180&lt;&gt;0,CUENTAS!W180/CUENTAS!$AB180,"")</f>
        <v>0.09568886329</v>
      </c>
      <c r="AP191" s="459" t="str">
        <f>IF(CUENTAS!X180/CUENTAS!$AB180&lt;&gt;0,CUENTAS!X180/CUENTAS!$AB180,"")</f>
        <v/>
      </c>
      <c r="AQ191" s="459" t="str">
        <f>IF(CUENTAS!Y180/CUENTAS!$AB180&lt;&gt;0,CUENTAS!Y180/CUENTAS!$AB180,"")</f>
        <v/>
      </c>
      <c r="AR191" s="459">
        <f>IF(CUENTAS!AA180/CUENTAS!$AB180&lt;&gt;0,CUENTAS!AA180/CUENTAS!$AB180,"")</f>
        <v>0.1284090374</v>
      </c>
    </row>
    <row r="192">
      <c r="A192" s="474"/>
      <c r="B192" s="200"/>
      <c r="C192" s="200"/>
      <c r="F192" s="200"/>
      <c r="G192" s="200"/>
      <c r="J192" s="470">
        <v>45468.0</v>
      </c>
      <c r="K192" s="466">
        <f>SUMIF(GRAFICO!A:A,J192,GRAFICO!B:B)</f>
        <v>12417.3616</v>
      </c>
      <c r="L192" s="467">
        <f t="shared" si="2"/>
        <v>0.2064412897</v>
      </c>
      <c r="M192" s="468">
        <v>45833.0</v>
      </c>
      <c r="N192" s="469">
        <f>IF(SUMIF(GRAFICO!A:A,M192,GRAFICO!B:B)=0,"",SUMIF(GRAFICO!A:A,M192,GRAFICO!B:B))</f>
        <v>16802.84852</v>
      </c>
      <c r="O192" s="467">
        <f t="shared" si="3"/>
        <v>0.1884751522</v>
      </c>
      <c r="P192" s="465">
        <v>46198.0</v>
      </c>
      <c r="Q192" s="463" t="str">
        <f>IF(SUMIF(GRAFICO!A:A,P192,GRAFICO!B:B)=0,"",SUMIF(GRAFICO!A:A,P192,GRAFICO!B:B))</f>
        <v/>
      </c>
      <c r="R192" s="463" t="str">
        <f t="shared" si="4"/>
        <v/>
      </c>
      <c r="S192" s="471">
        <f>CUENTAS!A181</f>
        <v>45921</v>
      </c>
      <c r="T192" s="459">
        <f>IF(CUENTAS!Q181/CUENTAS!$AB181&lt;&gt;0,CUENTAS!Q181/CUENTAS!$AB181,"")</f>
        <v>0.0780433188</v>
      </c>
      <c r="U192" s="459" t="str">
        <f>IF(CUENTAS!C181/CUENTAS!$AB181&lt;&gt;0,CUENTAS!C181/CUENTAS!$AB181,"")</f>
        <v/>
      </c>
      <c r="V192" s="459" t="str">
        <f>IF(CUENTAS!D181/CUENTAS!$AB181&lt;&gt;0,CUENTAS!D181/CUENTAS!$AB181,"")</f>
        <v/>
      </c>
      <c r="W192" s="459">
        <f>IF(CUENTAS!E181/CUENTAS!$AB181&lt;&gt;0,CUENTAS!E181/CUENTAS!$AB181,"")</f>
        <v>0.02100647998</v>
      </c>
      <c r="X192" s="459">
        <f>IF(CUENTAS!F181/CUENTAS!$AB181&lt;&gt;0,CUENTAS!F181/CUENTAS!$AB181,"")</f>
        <v>0.05162756752</v>
      </c>
      <c r="Y192" s="459">
        <f>IF(CUENTAS!G181/CUENTAS!$AB181&lt;&gt;0,CUENTAS!G181/CUENTAS!$AB181,"")</f>
        <v>0.1179221918</v>
      </c>
      <c r="Z192" s="459">
        <f>IF(CUENTAS!H181/CUENTAS!$AB181&lt;&gt;0,CUENTAS!H181/CUENTAS!$AB181,"")</f>
        <v>0.05490297904</v>
      </c>
      <c r="AA192" s="459">
        <f>IF(CUENTAS!I181/CUENTAS!$AB181&lt;&gt;0,CUENTAS!I181/CUENTAS!$AB181,"")</f>
        <v>0.100944642</v>
      </c>
      <c r="AB192" s="459">
        <f>IF(CUENTAS!J181/CUENTAS!$AB181&lt;&gt;0,CUENTAS!J181/CUENTAS!$AB181,"")</f>
        <v>0.2116328957</v>
      </c>
      <c r="AC192" s="459">
        <f>IF(CUENTAS!K181/CUENTAS!$AB181&lt;&gt;0,CUENTAS!K181/CUENTAS!$AB181,"")</f>
        <v>0.07974594262</v>
      </c>
      <c r="AD192" s="459">
        <f>IF(CUENTAS!L181/CUENTAS!$AB181&lt;&gt;0,CUENTAS!L181/CUENTAS!$AB181,"")</f>
        <v>0.01195377664</v>
      </c>
      <c r="AE192" s="459" t="str">
        <f>IF(CUENTAS!M181/CUENTAS!$AB181&lt;&gt;0,CUENTAS!M181/CUENTAS!$AB181,"")</f>
        <v/>
      </c>
      <c r="AF192" s="459" t="str">
        <f>IF(CUENTAS!N181/CUENTAS!$AB181&lt;&gt;0,CUENTAS!N181/CUENTAS!$AB181,"")</f>
        <v/>
      </c>
      <c r="AG192" s="459" t="str">
        <f>IF(CUENTAS!O181/CUENTAS!$AB181&lt;&gt;0,CUENTAS!O181/CUENTAS!$AB181,"")</f>
        <v/>
      </c>
      <c r="AH192" s="459">
        <f>IF(CUENTAS!P181/CUENTAS!$AB181&lt;&gt;0,CUENTAS!P181/CUENTAS!$AB181,"")</f>
        <v>0.05476576585</v>
      </c>
      <c r="AI192" s="459">
        <f>IF(CUENTAS!R181/CUENTAS!$AB181&lt;&gt;0,CUENTAS!R181/CUENTAS!$AB181,"")</f>
        <v>0.03614755956</v>
      </c>
      <c r="AJ192" s="459" t="str">
        <f>IF(CUENTAS!B181/CUENTAS!$AB181&lt;&gt;0,CUENTAS!B181/CUENTAS!$AB181,"")</f>
        <v/>
      </c>
      <c r="AK192" s="459">
        <f>IF(CUENTAS!S181/CUENTAS!$AB181&lt;&gt;0,CUENTAS!S181/CUENTAS!$AB181,"")</f>
        <v>0.024170461</v>
      </c>
      <c r="AL192" s="459">
        <f>IF(CUENTAS!T181/CUENTAS!$AB181&lt;&gt;0,CUENTAS!T181/CUENTAS!$AB181,"")</f>
        <v>0.05013150117</v>
      </c>
      <c r="AM192" s="459">
        <f>IF(CUENTAS!U181/CUENTAS!$AB181&lt;&gt;0,CUENTAS!U181/CUENTAS!$AB181,"")</f>
        <v>0.1671267711</v>
      </c>
      <c r="AN192" s="459">
        <f>IF(CUENTAS!V181/CUENTAS!$AB181&lt;&gt;0,CUENTAS!V181/CUENTAS!$AB181,"")</f>
        <v>0.0072973808</v>
      </c>
      <c r="AO192" s="459">
        <f>IF(CUENTAS!W181/CUENTAS!$AB181&lt;&gt;0,CUENTAS!W181/CUENTAS!$AB181,"")</f>
        <v>0.08730742192</v>
      </c>
      <c r="AP192" s="459" t="str">
        <f>IF(CUENTAS!X181/CUENTAS!$AB181&lt;&gt;0,CUENTAS!X181/CUENTAS!$AB181,"")</f>
        <v/>
      </c>
      <c r="AQ192" s="459" t="str">
        <f>IF(CUENTAS!Y181/CUENTAS!$AB181&lt;&gt;0,CUENTAS!Y181/CUENTAS!$AB181,"")</f>
        <v/>
      </c>
      <c r="AR192" s="459">
        <f>IF(CUENTAS!AA181/CUENTAS!$AB181&lt;&gt;0,CUENTAS!AA181/CUENTAS!$AB181,"")</f>
        <v>0.2106424525</v>
      </c>
    </row>
    <row r="193">
      <c r="A193" s="474"/>
      <c r="B193" s="200"/>
      <c r="C193" s="200"/>
      <c r="F193" s="200"/>
      <c r="G193" s="200"/>
      <c r="J193" s="465">
        <v>45467.0</v>
      </c>
      <c r="K193" s="466">
        <f>SUMIF(GRAFICO!A:A,J193,GRAFICO!B:B)</f>
        <v>12411.57194</v>
      </c>
      <c r="L193" s="467">
        <f t="shared" si="2"/>
        <v>0.2059749261</v>
      </c>
      <c r="M193" s="468">
        <v>45832.0</v>
      </c>
      <c r="N193" s="469">
        <f>IF(SUMIF(GRAFICO!A:A,M193,GRAFICO!B:B)=0,"",SUMIF(GRAFICO!A:A,M193,GRAFICO!B:B))</f>
        <v>16866.28281</v>
      </c>
      <c r="O193" s="467">
        <f t="shared" si="3"/>
        <v>0.1922432539</v>
      </c>
      <c r="P193" s="468">
        <v>46197.0</v>
      </c>
      <c r="Q193" s="463" t="str">
        <f>IF(SUMIF(GRAFICO!A:A,P193,GRAFICO!B:B)=0,"",SUMIF(GRAFICO!A:A,P193,GRAFICO!B:B))</f>
        <v/>
      </c>
      <c r="R193" s="463" t="str">
        <f t="shared" si="4"/>
        <v/>
      </c>
      <c r="S193" s="471">
        <f>CUENTAS!A182</f>
        <v>45920</v>
      </c>
      <c r="T193" s="459">
        <f>IF(CUENTAS!Q182/CUENTAS!$AB182&lt;&gt;0,CUENTAS!Q182/CUENTAS!$AB182,"")</f>
        <v>0.07806443002</v>
      </c>
      <c r="U193" s="459" t="str">
        <f>IF(CUENTAS!C182/CUENTAS!$AB182&lt;&gt;0,CUENTAS!C182/CUENTAS!$AB182,"")</f>
        <v/>
      </c>
      <c r="V193" s="459" t="str">
        <f>IF(CUENTAS!D182/CUENTAS!$AB182&lt;&gt;0,CUENTAS!D182/CUENTAS!$AB182,"")</f>
        <v/>
      </c>
      <c r="W193" s="459">
        <f>IF(CUENTAS!E182/CUENTAS!$AB182&lt;&gt;0,CUENTAS!E182/CUENTAS!$AB182,"")</f>
        <v>0.02091538762</v>
      </c>
      <c r="X193" s="459">
        <f>IF(CUENTAS!F182/CUENTAS!$AB182&lt;&gt;0,CUENTAS!F182/CUENTAS!$AB182,"")</f>
        <v>0.05171237198</v>
      </c>
      <c r="Y193" s="459">
        <f>IF(CUENTAS!G182/CUENTAS!$AB182&lt;&gt;0,CUENTAS!G182/CUENTAS!$AB182,"")</f>
        <v>0.1179540905</v>
      </c>
      <c r="Z193" s="459">
        <f>IF(CUENTAS!H182/CUENTAS!$AB182&lt;&gt;0,CUENTAS!H182/CUENTAS!$AB182,"")</f>
        <v>0.05491783065</v>
      </c>
      <c r="AA193" s="459">
        <f>IF(CUENTAS!I182/CUENTAS!$AB182&lt;&gt;0,CUENTAS!I182/CUENTAS!$AB182,"")</f>
        <v>0.1009719482</v>
      </c>
      <c r="AB193" s="459">
        <f>IF(CUENTAS!J182/CUENTAS!$AB182&lt;&gt;0,CUENTAS!J182/CUENTAS!$AB182,"")</f>
        <v>0.2116901437</v>
      </c>
      <c r="AC193" s="459">
        <f>IF(CUENTAS!K182/CUENTAS!$AB182&lt;&gt;0,CUENTAS!K182/CUENTAS!$AB182,"")</f>
        <v>0.07976751442</v>
      </c>
      <c r="AD193" s="459">
        <f>IF(CUENTAS!L182/CUENTAS!$AB182&lt;&gt;0,CUENTAS!L182/CUENTAS!$AB182,"")</f>
        <v>0.01195701021</v>
      </c>
      <c r="AE193" s="459" t="str">
        <f>IF(CUENTAS!M182/CUENTAS!$AB182&lt;&gt;0,CUENTAS!M182/CUENTAS!$AB182,"")</f>
        <v/>
      </c>
      <c r="AF193" s="459" t="str">
        <f>IF(CUENTAS!N182/CUENTAS!$AB182&lt;&gt;0,CUENTAS!N182/CUENTAS!$AB182,"")</f>
        <v/>
      </c>
      <c r="AG193" s="459" t="str">
        <f>IF(CUENTAS!O182/CUENTAS!$AB182&lt;&gt;0,CUENTAS!O182/CUENTAS!$AB182,"")</f>
        <v/>
      </c>
      <c r="AH193" s="459">
        <f>IF(CUENTAS!P182/CUENTAS!$AB182&lt;&gt;0,CUENTAS!P182/CUENTAS!$AB182,"")</f>
        <v>0.05490012093</v>
      </c>
      <c r="AI193" s="459">
        <f>IF(CUENTAS!R182/CUENTAS!$AB182&lt;&gt;0,CUENTAS!R182/CUENTAS!$AB182,"")</f>
        <v>0.03615733771</v>
      </c>
      <c r="AJ193" s="459" t="str">
        <f>IF(CUENTAS!B182/CUENTAS!$AB182&lt;&gt;0,CUENTAS!B182/CUENTAS!$AB182,"")</f>
        <v/>
      </c>
      <c r="AK193" s="459">
        <f>IF(CUENTAS!S182/CUENTAS!$AB182&lt;&gt;0,CUENTAS!S182/CUENTAS!$AB182,"")</f>
        <v>0.02410705716</v>
      </c>
      <c r="AL193" s="459">
        <f>IF(CUENTAS!T182/CUENTAS!$AB182&lt;&gt;0,CUENTAS!T182/CUENTAS!$AB182,"")</f>
        <v>0.05010078778</v>
      </c>
      <c r="AM193" s="459">
        <f>IF(CUENTAS!U182/CUENTAS!$AB182&lt;&gt;0,CUENTAS!U182/CUENTAS!$AB182,"")</f>
        <v>0.1666762006</v>
      </c>
      <c r="AN193" s="459">
        <f>IF(CUENTAS!V182/CUENTAS!$AB182&lt;&gt;0,CUENTAS!V182/CUENTAS!$AB182,"")</f>
        <v>0.007299354789</v>
      </c>
      <c r="AO193" s="459">
        <f>IF(CUENTAS!W182/CUENTAS!$AB182&lt;&gt;0,CUENTAS!W182/CUENTAS!$AB182,"")</f>
        <v>0.08733103915</v>
      </c>
      <c r="AP193" s="459" t="str">
        <f>IF(CUENTAS!X182/CUENTAS!$AB182&lt;&gt;0,CUENTAS!X182/CUENTAS!$AB182,"")</f>
        <v/>
      </c>
      <c r="AQ193" s="459" t="str">
        <f>IF(CUENTAS!Y182/CUENTAS!$AB182&lt;&gt;0,CUENTAS!Y182/CUENTAS!$AB182,"")</f>
        <v/>
      </c>
      <c r="AR193" s="459">
        <f>IF(CUENTAS!AA182/CUENTAS!$AB182&lt;&gt;0,CUENTAS!AA182/CUENTAS!$AB182,"")</f>
        <v>0.2106994327</v>
      </c>
    </row>
    <row r="194">
      <c r="A194" s="474"/>
      <c r="B194" s="200"/>
      <c r="C194" s="200"/>
      <c r="F194" s="200"/>
      <c r="G194" s="200"/>
      <c r="J194" s="465">
        <v>45466.0</v>
      </c>
      <c r="K194" s="466">
        <f>SUMIF(GRAFICO!A:A,J194,GRAFICO!B:B)</f>
        <v>12405.78804</v>
      </c>
      <c r="L194" s="467">
        <f t="shared" si="2"/>
        <v>0.2055088083</v>
      </c>
      <c r="M194" s="468">
        <v>45831.0</v>
      </c>
      <c r="N194" s="469">
        <f>IF(SUMIF(GRAFICO!A:A,M194,GRAFICO!B:B)=0,"",SUMIF(GRAFICO!A:A,M194,GRAFICO!B:B))</f>
        <v>16779.17026</v>
      </c>
      <c r="O194" s="467">
        <f t="shared" si="3"/>
        <v>0.1870649768</v>
      </c>
      <c r="P194" s="465">
        <v>46196.0</v>
      </c>
      <c r="Q194" s="463" t="str">
        <f>IF(SUMIF(GRAFICO!A:A,P194,GRAFICO!B:B)=0,"",SUMIF(GRAFICO!A:A,P194,GRAFICO!B:B))</f>
        <v/>
      </c>
      <c r="R194" s="463" t="str">
        <f t="shared" si="4"/>
        <v/>
      </c>
      <c r="S194" s="471">
        <f>CUENTAS!A183</f>
        <v>45919</v>
      </c>
      <c r="T194" s="459">
        <f>IF(CUENTAS!Q183/CUENTAS!$AB183&lt;&gt;0,CUENTAS!Q183/CUENTAS!$AB183,"")</f>
        <v>0.07806175655</v>
      </c>
      <c r="U194" s="459" t="str">
        <f>IF(CUENTAS!C183/CUENTAS!$AB183&lt;&gt;0,CUENTAS!C183/CUENTAS!$AB183,"")</f>
        <v/>
      </c>
      <c r="V194" s="459" t="str">
        <f>IF(CUENTAS!D183/CUENTAS!$AB183&lt;&gt;0,CUENTAS!D183/CUENTAS!$AB183,"")</f>
        <v/>
      </c>
      <c r="W194" s="459">
        <f>IF(CUENTAS!E183/CUENTAS!$AB183&lt;&gt;0,CUENTAS!E183/CUENTAS!$AB183,"")</f>
        <v>0.0208178999</v>
      </c>
      <c r="X194" s="459">
        <f>IF(CUENTAS!F183/CUENTAS!$AB183&lt;&gt;0,CUENTAS!F183/CUENTAS!$AB183,"")</f>
        <v>0.05107307302</v>
      </c>
      <c r="Y194" s="459">
        <f>IF(CUENTAS!G183/CUENTAS!$AB183&lt;&gt;0,CUENTAS!G183/CUENTAS!$AB183,"")</f>
        <v>0.1179500509</v>
      </c>
      <c r="Z194" s="459">
        <f>IF(CUENTAS!H183/CUENTAS!$AB183&lt;&gt;0,CUENTAS!H183/CUENTAS!$AB183,"")</f>
        <v>0.05491594988</v>
      </c>
      <c r="AA194" s="459">
        <f>IF(CUENTAS!I183/CUENTAS!$AB183&lt;&gt;0,CUENTAS!I183/CUENTAS!$AB183,"")</f>
        <v>0.1009684902</v>
      </c>
      <c r="AB194" s="459">
        <f>IF(CUENTAS!J183/CUENTAS!$AB183&lt;&gt;0,CUENTAS!J183/CUENTAS!$AB183,"")</f>
        <v>0.211682894</v>
      </c>
      <c r="AC194" s="459">
        <f>IF(CUENTAS!K183/CUENTAS!$AB183&lt;&gt;0,CUENTAS!K183/CUENTAS!$AB183,"")</f>
        <v>0.07976478262</v>
      </c>
      <c r="AD194" s="459">
        <f>IF(CUENTAS!L183/CUENTAS!$AB183&lt;&gt;0,CUENTAS!L183/CUENTAS!$AB183,"")</f>
        <v>0.01195660072</v>
      </c>
      <c r="AE194" s="459" t="str">
        <f>IF(CUENTAS!M183/CUENTAS!$AB183&lt;&gt;0,CUENTAS!M183/CUENTAS!$AB183,"")</f>
        <v/>
      </c>
      <c r="AF194" s="459" t="str">
        <f>IF(CUENTAS!N183/CUENTAS!$AB183&lt;&gt;0,CUENTAS!N183/CUENTAS!$AB183,"")</f>
        <v/>
      </c>
      <c r="AG194" s="459" t="str">
        <f>IF(CUENTAS!O183/CUENTAS!$AB183&lt;&gt;0,CUENTAS!O183/CUENTAS!$AB183,"")</f>
        <v/>
      </c>
      <c r="AH194" s="459">
        <f>IF(CUENTAS!P183/CUENTAS!$AB183&lt;&gt;0,CUENTAS!P183/CUENTAS!$AB183,"")</f>
        <v>0.05644778789</v>
      </c>
      <c r="AI194" s="459">
        <f>IF(CUENTAS!R183/CUENTAS!$AB183&lt;&gt;0,CUENTAS!R183/CUENTAS!$AB183,"")</f>
        <v>0.03615609943</v>
      </c>
      <c r="AJ194" s="459" t="str">
        <f>IF(CUENTAS!B183/CUENTAS!$AB183&lt;&gt;0,CUENTAS!B183/CUENTAS!$AB183,"")</f>
        <v/>
      </c>
      <c r="AK194" s="459">
        <f>IF(CUENTAS!S183/CUENTAS!$AB183&lt;&gt;0,CUENTAS!S183/CUENTAS!$AB183,"")</f>
        <v>0.02403629184</v>
      </c>
      <c r="AL194" s="459">
        <f>IF(CUENTAS!T183/CUENTAS!$AB183&lt;&gt;0,CUENTAS!T183/CUENTAS!$AB183,"")</f>
        <v>0.0500547992</v>
      </c>
      <c r="AM194" s="459">
        <f>IF(CUENTAS!U183/CUENTAS!$AB183&lt;&gt;0,CUENTAS!U183/CUENTAS!$AB183,"")</f>
        <v>0.1661747299</v>
      </c>
      <c r="AN194" s="459">
        <f>IF(CUENTAS!V183/CUENTAS!$AB183&lt;&gt;0,CUENTAS!V183/CUENTAS!$AB183,"")</f>
        <v>0.007299104807</v>
      </c>
      <c r="AO194" s="459">
        <f>IF(CUENTAS!W183/CUENTAS!$AB183&lt;&gt;0,CUENTAS!W183/CUENTAS!$AB183,"")</f>
        <v>0.08620278196</v>
      </c>
      <c r="AP194" s="459" t="str">
        <f>IF(CUENTAS!X183/CUENTAS!$AB183&lt;&gt;0,CUENTAS!X183/CUENTAS!$AB183,"")</f>
        <v/>
      </c>
      <c r="AQ194" s="459" t="str">
        <f>IF(CUENTAS!Y183/CUENTAS!$AB183&lt;&gt;0,CUENTAS!Y183/CUENTAS!$AB183,"")</f>
        <v/>
      </c>
      <c r="AR194" s="459">
        <f>IF(CUENTAS!AA183/CUENTAS!$AB183&lt;&gt;0,CUENTAS!AA183/CUENTAS!$AB183,"")</f>
        <v>0.2106922168</v>
      </c>
    </row>
    <row r="195">
      <c r="A195" s="474"/>
      <c r="B195" s="200"/>
      <c r="C195" s="200"/>
      <c r="F195" s="200"/>
      <c r="G195" s="200"/>
      <c r="J195" s="465">
        <v>45465.0</v>
      </c>
      <c r="K195" s="466">
        <f>SUMIF(GRAFICO!A:A,J195,GRAFICO!B:B)</f>
        <v>12400.00987</v>
      </c>
      <c r="L195" s="467">
        <f t="shared" si="2"/>
        <v>0.2050429364</v>
      </c>
      <c r="M195" s="468">
        <v>45830.0</v>
      </c>
      <c r="N195" s="469">
        <f>IF(SUMIF(GRAFICO!A:A,M195,GRAFICO!B:B)=0,"",SUMIF(GRAFICO!A:A,M195,GRAFICO!B:B))</f>
        <v>16779.93953</v>
      </c>
      <c r="O195" s="467">
        <f t="shared" si="3"/>
        <v>0.1871108225</v>
      </c>
      <c r="P195" s="468">
        <v>46195.0</v>
      </c>
      <c r="Q195" s="463" t="str">
        <f>IF(SUMIF(GRAFICO!A:A,P195,GRAFICO!B:B)=0,"",SUMIF(GRAFICO!A:A,P195,GRAFICO!B:B))</f>
        <v/>
      </c>
      <c r="R195" s="463" t="str">
        <f t="shared" si="4"/>
        <v/>
      </c>
      <c r="S195" s="471">
        <f>CUENTAS!A184</f>
        <v>45918</v>
      </c>
      <c r="T195" s="459">
        <f>IF(CUENTAS!Q184/CUENTAS!$AB184&lt;&gt;0,CUENTAS!Q184/CUENTAS!$AB184,"")</f>
        <v>0.0799980428</v>
      </c>
      <c r="U195" s="459" t="str">
        <f>IF(CUENTAS!C184/CUENTAS!$AB184&lt;&gt;0,CUENTAS!C184/CUENTAS!$AB184,"")</f>
        <v/>
      </c>
      <c r="V195" s="459" t="str">
        <f>IF(CUENTAS!D184/CUENTAS!$AB184&lt;&gt;0,CUENTAS!D184/CUENTAS!$AB184,"")</f>
        <v/>
      </c>
      <c r="W195" s="459">
        <f>IF(CUENTAS!E184/CUENTAS!$AB184&lt;&gt;0,CUENTAS!E184/CUENTAS!$AB184,"")</f>
        <v>0.0207579132</v>
      </c>
      <c r="X195" s="459">
        <f>IF(CUENTAS!F184/CUENTAS!$AB184&lt;&gt;0,CUENTAS!F184/CUENTAS!$AB184,"")</f>
        <v>0.05116373937</v>
      </c>
      <c r="Y195" s="459">
        <f>IF(CUENTAS!G184/CUENTAS!$AB184&lt;&gt;0,CUENTAS!G184/CUENTAS!$AB184,"")</f>
        <v>0.1179539445</v>
      </c>
      <c r="Z195" s="459">
        <f>IF(CUENTAS!H184/CUENTAS!$AB184&lt;&gt;0,CUENTAS!H184/CUENTAS!$AB184,"")</f>
        <v>0.05485377328</v>
      </c>
      <c r="AA195" s="459">
        <f>IF(CUENTAS!I184/CUENTAS!$AB184&lt;&gt;0,CUENTAS!I184/CUENTAS!$AB184,"")</f>
        <v>0.1007884862</v>
      </c>
      <c r="AB195" s="459">
        <f>IF(CUENTAS!J184/CUENTAS!$AB184&lt;&gt;0,CUENTAS!J184/CUENTAS!$AB184,"")</f>
        <v>0.2120586794</v>
      </c>
      <c r="AC195" s="459">
        <f>IF(CUENTAS!K184/CUENTAS!$AB184&lt;&gt;0,CUENTAS!K184/CUENTAS!$AB184,"")</f>
        <v>0.07888630181</v>
      </c>
      <c r="AD195" s="459">
        <f>IF(CUENTAS!L184/CUENTAS!$AB184&lt;&gt;0,CUENTAS!L184/CUENTAS!$AB184,"")</f>
        <v>0.01166736683</v>
      </c>
      <c r="AE195" s="459">
        <f>IF(CUENTAS!M184/CUENTAS!$AB184&lt;&gt;0,CUENTAS!M184/CUENTAS!$AB184,"")</f>
        <v>0.1118985042</v>
      </c>
      <c r="AF195" s="459" t="str">
        <f>IF(CUENTAS!N184/CUENTAS!$AB184&lt;&gt;0,CUENTAS!N184/CUENTAS!$AB184,"")</f>
        <v/>
      </c>
      <c r="AG195" s="459" t="str">
        <f>IF(CUENTAS!O184/CUENTAS!$AB184&lt;&gt;0,CUENTAS!O184/CUENTAS!$AB184,"")</f>
        <v/>
      </c>
      <c r="AH195" s="459">
        <f>IF(CUENTAS!P184/CUENTAS!$AB184&lt;&gt;0,CUENTAS!P184/CUENTAS!$AB184,"")</f>
        <v>0.05654799558</v>
      </c>
      <c r="AI195" s="459">
        <f>IF(CUENTAS!R184/CUENTAS!$AB184&lt;&gt;0,CUENTAS!R184/CUENTAS!$AB184,"")</f>
        <v>0.03622028475</v>
      </c>
      <c r="AJ195" s="459" t="str">
        <f>IF(CUENTAS!B184/CUENTAS!$AB184&lt;&gt;0,CUENTAS!B184/CUENTAS!$AB184,"")</f>
        <v/>
      </c>
      <c r="AK195" s="459">
        <f>IF(CUENTAS!S184/CUENTAS!$AB184&lt;&gt;0,CUENTAS!S184/CUENTAS!$AB184,"")</f>
        <v>0.02400889787</v>
      </c>
      <c r="AL195" s="459">
        <f>IF(CUENTAS!T184/CUENTAS!$AB184&lt;&gt;0,CUENTAS!T184/CUENTAS!$AB184,"")</f>
        <v>0.05009930652</v>
      </c>
      <c r="AM195" s="459">
        <f>IF(CUENTAS!U184/CUENTAS!$AB184&lt;&gt;0,CUENTAS!U184/CUENTAS!$AB184,"")</f>
        <v>0.1659730854</v>
      </c>
      <c r="AN195" s="459">
        <f>IF(CUENTAS!V184/CUENTAS!$AB184&lt;&gt;0,CUENTAS!V184/CUENTAS!$AB184,"")</f>
        <v>0.007312062383</v>
      </c>
      <c r="AO195" s="459">
        <f>IF(CUENTAS!W184/CUENTAS!$AB184&lt;&gt;0,CUENTAS!W184/CUENTAS!$AB184,"")</f>
        <v>0.08522854759</v>
      </c>
      <c r="AP195" s="459" t="str">
        <f>IF(CUENTAS!X184/CUENTAS!$AB184&lt;&gt;0,CUENTAS!X184/CUENTAS!$AB184,"")</f>
        <v/>
      </c>
      <c r="AQ195" s="459" t="str">
        <f>IF(CUENTAS!Y184/CUENTAS!$AB184&lt;&gt;0,CUENTAS!Y184/CUENTAS!$AB184,"")</f>
        <v/>
      </c>
      <c r="AR195" s="459">
        <f>IF(CUENTAS!AA184/CUENTAS!$AB184&lt;&gt;0,CUENTAS!AA184/CUENTAS!$AB184,"")</f>
        <v>0.09916773938</v>
      </c>
    </row>
    <row r="196">
      <c r="A196" s="474"/>
      <c r="B196" s="200"/>
      <c r="C196" s="200"/>
      <c r="F196" s="200"/>
      <c r="G196" s="200"/>
      <c r="J196" s="470">
        <v>45464.0</v>
      </c>
      <c r="K196" s="466">
        <f>SUMIF(GRAFICO!A:A,J196,GRAFICO!B:B)</f>
        <v>12394.23745</v>
      </c>
      <c r="L196" s="467">
        <f t="shared" si="2"/>
        <v>0.2045773103</v>
      </c>
      <c r="M196" s="468">
        <v>45829.0</v>
      </c>
      <c r="N196" s="469">
        <f>IF(SUMIF(GRAFICO!A:A,M196,GRAFICO!B:B)=0,"",SUMIF(GRAFICO!A:A,M196,GRAFICO!B:B))</f>
        <v>16780.7088</v>
      </c>
      <c r="O196" s="467">
        <f t="shared" si="3"/>
        <v>0.1871566661</v>
      </c>
      <c r="P196" s="465">
        <v>46194.0</v>
      </c>
      <c r="Q196" s="463" t="str">
        <f>IF(SUMIF(GRAFICO!A:A,P196,GRAFICO!B:B)=0,"",SUMIF(GRAFICO!A:A,P196,GRAFICO!B:B))</f>
        <v/>
      </c>
      <c r="R196" s="463" t="str">
        <f t="shared" si="4"/>
        <v/>
      </c>
      <c r="S196" s="471">
        <f>CUENTAS!A185</f>
        <v>45917</v>
      </c>
      <c r="T196" s="459">
        <f>IF(CUENTAS!Q185/CUENTAS!$AB185&lt;&gt;0,CUENTAS!Q185/CUENTAS!$AB185,"")</f>
        <v>0.08120766598</v>
      </c>
      <c r="U196" s="459" t="str">
        <f>IF(CUENTAS!C185/CUENTAS!$AB185&lt;&gt;0,CUENTAS!C185/CUENTAS!$AB185,"")</f>
        <v/>
      </c>
      <c r="V196" s="459" t="str">
        <f>IF(CUENTAS!D185/CUENTAS!$AB185&lt;&gt;0,CUENTAS!D185/CUENTAS!$AB185,"")</f>
        <v/>
      </c>
      <c r="W196" s="459">
        <f>IF(CUENTAS!E185/CUENTAS!$AB185&lt;&gt;0,CUENTAS!E185/CUENTAS!$AB185,"")</f>
        <v>0.02068288748</v>
      </c>
      <c r="X196" s="459">
        <f>IF(CUENTAS!F185/CUENTAS!$AB185&lt;&gt;0,CUENTAS!F185/CUENTAS!$AB185,"")</f>
        <v>0.05121801473</v>
      </c>
      <c r="Y196" s="459">
        <f>IF(CUENTAS!G185/CUENTAS!$AB185&lt;&gt;0,CUENTAS!G185/CUENTAS!$AB185,"")</f>
        <v>0.117461934</v>
      </c>
      <c r="Z196" s="459">
        <f>IF(CUENTAS!H185/CUENTAS!$AB185&lt;&gt;0,CUENTAS!H185/CUENTAS!$AB185,"")</f>
        <v>0.05505403802</v>
      </c>
      <c r="AA196" s="459">
        <f>IF(CUENTAS!I185/CUENTAS!$AB185&lt;&gt;0,CUENTAS!I185/CUENTAS!$AB185,"")</f>
        <v>0.1002960257</v>
      </c>
      <c r="AB196" s="459">
        <f>IF(CUENTAS!J185/CUENTAS!$AB185&lt;&gt;0,CUENTAS!J185/CUENTAS!$AB185,"")</f>
        <v>0.2122836348</v>
      </c>
      <c r="AC196" s="459">
        <f>IF(CUENTAS!K185/CUENTAS!$AB185&lt;&gt;0,CUENTAS!K185/CUENTAS!$AB185,"")</f>
        <v>0.07937845116</v>
      </c>
      <c r="AD196" s="459">
        <f>IF(CUENTAS!L185/CUENTAS!$AB185&lt;&gt;0,CUENTAS!L185/CUENTAS!$AB185,"")</f>
        <v>0.01167974377</v>
      </c>
      <c r="AE196" s="459">
        <f>IF(CUENTAS!M185/CUENTAS!$AB185&lt;&gt;0,CUENTAS!M185/CUENTAS!$AB185,"")</f>
        <v>0.112017208</v>
      </c>
      <c r="AF196" s="459" t="str">
        <f>IF(CUENTAS!N185/CUENTAS!$AB185&lt;&gt;0,CUENTAS!N185/CUENTAS!$AB185,"")</f>
        <v/>
      </c>
      <c r="AG196" s="459" t="str">
        <f>IF(CUENTAS!O185/CUENTAS!$AB185&lt;&gt;0,CUENTAS!O185/CUENTAS!$AB185,"")</f>
        <v/>
      </c>
      <c r="AH196" s="459">
        <f>IF(CUENTAS!P185/CUENTAS!$AB185&lt;&gt;0,CUENTAS!P185/CUENTAS!$AB185,"")</f>
        <v>0.05660798264</v>
      </c>
      <c r="AI196" s="459">
        <f>IF(CUENTAS!R185/CUENTAS!$AB185&lt;&gt;0,CUENTAS!R185/CUENTAS!$AB185,"")</f>
        <v>0.05845791672</v>
      </c>
      <c r="AJ196" s="459" t="str">
        <f>IF(CUENTAS!B185/CUENTAS!$AB185&lt;&gt;0,CUENTAS!B185/CUENTAS!$AB185,"")</f>
        <v/>
      </c>
      <c r="AK196" s="459">
        <f>IF(CUENTAS!S185/CUENTAS!$AB185&lt;&gt;0,CUENTAS!S185/CUENTAS!$AB185,"")</f>
        <v>0.02396422871</v>
      </c>
      <c r="AL196" s="459">
        <f>IF(CUENTAS!T185/CUENTAS!$AB185&lt;&gt;0,CUENTAS!T185/CUENTAS!$AB185,"")</f>
        <v>0.05010805428</v>
      </c>
      <c r="AM196" s="459">
        <f>IF(CUENTAS!U185/CUENTAS!$AB185&lt;&gt;0,CUENTAS!U185/CUENTAS!$AB185,"")</f>
        <v>0.1656519831</v>
      </c>
      <c r="AN196" s="459">
        <f>IF(CUENTAS!V185/CUENTAS!$AB185&lt;&gt;0,CUENTAS!V185/CUENTAS!$AB185,"")</f>
        <v>0.007319819141</v>
      </c>
      <c r="AO196" s="459">
        <f>IF(CUENTAS!W185/CUENTAS!$AB185&lt;&gt;0,CUENTAS!W185/CUENTAS!$AB185,"")</f>
        <v>0.08419049968</v>
      </c>
      <c r="AP196" s="459" t="str">
        <f>IF(CUENTAS!X185/CUENTAS!$AB185&lt;&gt;0,CUENTAS!X185/CUENTAS!$AB185,"")</f>
        <v/>
      </c>
      <c r="AQ196" s="459" t="str">
        <f>IF(CUENTAS!Y185/CUENTAS!$AB185&lt;&gt;0,CUENTAS!Y185/CUENTAS!$AB185,"")</f>
        <v/>
      </c>
      <c r="AR196" s="459">
        <f>IF(CUENTAS!AA185/CUENTAS!$AB185&lt;&gt;0,CUENTAS!AA185/CUENTAS!$AB185,"")</f>
        <v>0.0770737293</v>
      </c>
    </row>
    <row r="197">
      <c r="A197" s="474"/>
      <c r="B197" s="200"/>
      <c r="C197" s="200"/>
      <c r="F197" s="200"/>
      <c r="G197" s="200"/>
      <c r="J197" s="465">
        <v>45463.0</v>
      </c>
      <c r="K197" s="466">
        <f>SUMIF(GRAFICO!A:A,J197,GRAFICO!B:B)</f>
        <v>12388.47076</v>
      </c>
      <c r="L197" s="467">
        <f t="shared" si="2"/>
        <v>0.20411193</v>
      </c>
      <c r="M197" s="468">
        <v>45828.0</v>
      </c>
      <c r="N197" s="469">
        <f>IF(SUMIF(GRAFICO!A:A,M197,GRAFICO!B:B)=0,"",SUMIF(GRAFICO!A:A,M197,GRAFICO!B:B))</f>
        <v>16712.44603</v>
      </c>
      <c r="O197" s="467">
        <f t="shared" si="3"/>
        <v>0.183080438</v>
      </c>
      <c r="P197" s="468">
        <v>46193.0</v>
      </c>
      <c r="Q197" s="463" t="str">
        <f>IF(SUMIF(GRAFICO!A:A,P197,GRAFICO!B:B)=0,"",SUMIF(GRAFICO!A:A,P197,GRAFICO!B:B))</f>
        <v/>
      </c>
      <c r="R197" s="463" t="str">
        <f t="shared" si="4"/>
        <v/>
      </c>
      <c r="S197" s="471">
        <f>CUENTAS!A186</f>
        <v>45916</v>
      </c>
      <c r="T197" s="459">
        <f>IF(CUENTAS!Q186/CUENTAS!$AB186&lt;&gt;0,CUENTAS!Q186/CUENTAS!$AB186,"")</f>
        <v>0.08799607578</v>
      </c>
      <c r="U197" s="459" t="str">
        <f>IF(CUENTAS!C186/CUENTAS!$AB186&lt;&gt;0,CUENTAS!C186/CUENTAS!$AB186,"")</f>
        <v/>
      </c>
      <c r="V197" s="459" t="str">
        <f>IF(CUENTAS!D186/CUENTAS!$AB186&lt;&gt;0,CUENTAS!D186/CUENTAS!$AB186,"")</f>
        <v/>
      </c>
      <c r="W197" s="459">
        <f>IF(CUENTAS!E186/CUENTAS!$AB186&lt;&gt;0,CUENTAS!E186/CUENTAS!$AB186,"")</f>
        <v>0.02218377626</v>
      </c>
      <c r="X197" s="459">
        <f>IF(CUENTAS!F186/CUENTAS!$AB186&lt;&gt;0,CUENTAS!F186/CUENTAS!$AB186,"")</f>
        <v>0.05458129798</v>
      </c>
      <c r="Y197" s="459">
        <f>IF(CUENTAS!G186/CUENTAS!$AB186&lt;&gt;0,CUENTAS!G186/CUENTAS!$AB186,"")</f>
        <v>0.1261363207</v>
      </c>
      <c r="Z197" s="459">
        <f>IF(CUENTAS!H186/CUENTAS!$AB186&lt;&gt;0,CUENTAS!H186/CUENTAS!$AB186,"")</f>
        <v>0.0593083599</v>
      </c>
      <c r="AA197" s="459">
        <f>IF(CUENTAS!I186/CUENTAS!$AB186&lt;&gt;0,CUENTAS!I186/CUENTAS!$AB186,"")</f>
        <v>0.1089855704</v>
      </c>
      <c r="AB197" s="459">
        <f>IF(CUENTAS!J186/CUENTAS!$AB186&lt;&gt;0,CUENTAS!J186/CUENTAS!$AB186,"")</f>
        <v>0.2287617281</v>
      </c>
      <c r="AC197" s="459">
        <f>IF(CUENTAS!K186/CUENTAS!$AB186&lt;&gt;0,CUENTAS!K186/CUENTAS!$AB186,"")</f>
        <v>0.08876797118</v>
      </c>
      <c r="AD197" s="459">
        <f>IF(CUENTAS!L186/CUENTAS!$AB186&lt;&gt;0,CUENTAS!L186/CUENTAS!$AB186,"")</f>
        <v>0.01258636056</v>
      </c>
      <c r="AE197" s="459">
        <f>IF(CUENTAS!M186/CUENTAS!$AB186&lt;&gt;0,CUENTAS!M186/CUENTAS!$AB186,"")</f>
        <v>0.1207123201</v>
      </c>
      <c r="AF197" s="459" t="str">
        <f>IF(CUENTAS!N186/CUENTAS!$AB186&lt;&gt;0,CUENTAS!N186/CUENTAS!$AB186,"")</f>
        <v/>
      </c>
      <c r="AG197" s="459" t="str">
        <f>IF(CUENTAS!O186/CUENTAS!$AB186&lt;&gt;0,CUENTAS!O186/CUENTAS!$AB186,"")</f>
        <v/>
      </c>
      <c r="AH197" s="459">
        <f>IF(CUENTAS!P186/CUENTAS!$AB186&lt;&gt;0,CUENTAS!P186/CUENTAS!$AB186,"")</f>
        <v>0.06100206428</v>
      </c>
      <c r="AI197" s="459">
        <f>IF(CUENTAS!R186/CUENTAS!$AB186&lt;&gt;0,CUENTAS!R186/CUENTAS!$AB186,"")</f>
        <v>0.06299559579</v>
      </c>
      <c r="AJ197" s="459" t="str">
        <f>IF(CUENTAS!B186/CUENTAS!$AB186&lt;&gt;0,CUENTAS!B186/CUENTAS!$AB186,"")</f>
        <v/>
      </c>
      <c r="AK197" s="459">
        <f>IF(CUENTAS!S186/CUENTAS!$AB186&lt;&gt;0,CUENTAS!S186/CUENTAS!$AB186,"")</f>
        <v>0.02574882158</v>
      </c>
      <c r="AL197" s="459">
        <f>IF(CUENTAS!T186/CUENTAS!$AB186&lt;&gt;0,CUENTAS!T186/CUENTAS!$AB186,"")</f>
        <v>0.0539497472</v>
      </c>
      <c r="AM197" s="459">
        <f>IF(CUENTAS!U186/CUENTAS!$AB186&lt;&gt;0,CUENTAS!U186/CUENTAS!$AB186,"")</f>
        <v>0.1779746264</v>
      </c>
      <c r="AN197" s="459">
        <f>IF(CUENTAS!V186/CUENTAS!$AB186&lt;&gt;0,CUENTAS!V186/CUENTAS!$AB186,"")</f>
        <v>0.007888005488</v>
      </c>
      <c r="AO197" s="459">
        <f>IF(CUENTAS!W186/CUENTAS!$AB186&lt;&gt;0,CUENTAS!W186/CUENTAS!$AB186,"")</f>
        <v>0.0891108586</v>
      </c>
      <c r="AP197" s="459" t="str">
        <f>IF(CUENTAS!X186/CUENTAS!$AB186&lt;&gt;0,CUENTAS!X186/CUENTAS!$AB186,"")</f>
        <v/>
      </c>
      <c r="AQ197" s="459" t="str">
        <f>IF(CUENTAS!Y186/CUENTAS!$AB186&lt;&gt;0,CUENTAS!Y186/CUENTAS!$AB186,"")</f>
        <v/>
      </c>
      <c r="AR197" s="459">
        <f>IF(CUENTAS!AA186/CUENTAS!$AB186&lt;&gt;0,CUENTAS!AA186/CUENTAS!$AB186,"")</f>
        <v>0.003315163164</v>
      </c>
    </row>
    <row r="198">
      <c r="A198" s="474"/>
      <c r="B198" s="200"/>
      <c r="C198" s="200"/>
      <c r="F198" s="200"/>
      <c r="G198" s="200"/>
      <c r="J198" s="470">
        <v>45462.0</v>
      </c>
      <c r="K198" s="466">
        <f>SUMIF(GRAFICO!A:A,J198,GRAFICO!B:B)</f>
        <v>12382.70979</v>
      </c>
      <c r="L198" s="467">
        <f t="shared" si="2"/>
        <v>0.2036467955</v>
      </c>
      <c r="M198" s="468">
        <v>45827.0</v>
      </c>
      <c r="N198" s="469">
        <f>IF(SUMIF(GRAFICO!A:A,M198,GRAFICO!B:B)=0,"",SUMIF(GRAFICO!A:A,M198,GRAFICO!B:B))</f>
        <v>16779.29421</v>
      </c>
      <c r="O198" s="467">
        <f t="shared" si="3"/>
        <v>0.1870723639</v>
      </c>
      <c r="P198" s="465">
        <v>46192.0</v>
      </c>
      <c r="Q198" s="463" t="str">
        <f>IF(SUMIF(GRAFICO!A:A,P198,GRAFICO!B:B)=0,"",SUMIF(GRAFICO!A:A,P198,GRAFICO!B:B))</f>
        <v/>
      </c>
      <c r="R198" s="463" t="str">
        <f t="shared" si="4"/>
        <v/>
      </c>
      <c r="S198" s="471">
        <f>CUENTAS!A187</f>
        <v>45915</v>
      </c>
      <c r="T198" s="459">
        <f>IF(CUENTAS!Q187/CUENTAS!$AB187&lt;&gt;0,CUENTAS!Q187/CUENTAS!$AB187,"")</f>
        <v>0.08769028113</v>
      </c>
      <c r="U198" s="459" t="str">
        <f>IF(CUENTAS!C187/CUENTAS!$AB187&lt;&gt;0,CUENTAS!C187/CUENTAS!$AB187,"")</f>
        <v/>
      </c>
      <c r="V198" s="459" t="str">
        <f>IF(CUENTAS!D187/CUENTAS!$AB187&lt;&gt;0,CUENTAS!D187/CUENTAS!$AB187,"")</f>
        <v/>
      </c>
      <c r="W198" s="459">
        <f>IF(CUENTAS!E187/CUENTAS!$AB187&lt;&gt;0,CUENTAS!E187/CUENTAS!$AB187,"")</f>
        <v>0.0220632502</v>
      </c>
      <c r="X198" s="459">
        <f>IF(CUENTAS!F187/CUENTAS!$AB187&lt;&gt;0,CUENTAS!F187/CUENTAS!$AB187,"")</f>
        <v>0.05523034281</v>
      </c>
      <c r="Y198" s="459">
        <f>IF(CUENTAS!G187/CUENTAS!$AB187&lt;&gt;0,CUENTAS!G187/CUENTAS!$AB187,"")</f>
        <v>0.12715282</v>
      </c>
      <c r="Z198" s="459">
        <f>IF(CUENTAS!H187/CUENTAS!$AB187&lt;&gt;0,CUENTAS!H187/CUENTAS!$AB187,"")</f>
        <v>0.05918902735</v>
      </c>
      <c r="AA198" s="459">
        <f>IF(CUENTAS!I187/CUENTAS!$AB187&lt;&gt;0,CUENTAS!I187/CUENTAS!$AB187,"")</f>
        <v>0.109122</v>
      </c>
      <c r="AB198" s="459">
        <f>IF(CUENTAS!J187/CUENTAS!$AB187&lt;&gt;0,CUENTAS!J187/CUENTAS!$AB187,"")</f>
        <v>0.228596502</v>
      </c>
      <c r="AC198" s="459">
        <f>IF(CUENTAS!K187/CUENTAS!$AB187&lt;&gt;0,CUENTAS!K187/CUENTAS!$AB187,"")</f>
        <v>0.08907040223</v>
      </c>
      <c r="AD198" s="459">
        <f>IF(CUENTAS!L187/CUENTAS!$AB187&lt;&gt;0,CUENTAS!L187/CUENTAS!$AB187,"")</f>
        <v>0.01257726989</v>
      </c>
      <c r="AE198" s="459">
        <f>IF(CUENTAS!M187/CUENTAS!$AB187&lt;&gt;0,CUENTAS!M187/CUENTAS!$AB187,"")</f>
        <v>0.1220116299</v>
      </c>
      <c r="AF198" s="459" t="str">
        <f>IF(CUENTAS!N187/CUENTAS!$AB187&lt;&gt;0,CUENTAS!N187/CUENTAS!$AB187,"")</f>
        <v/>
      </c>
      <c r="AG198" s="459" t="str">
        <f>IF(CUENTAS!O187/CUENTAS!$AB187&lt;&gt;0,CUENTAS!O187/CUENTAS!$AB187,"")</f>
        <v/>
      </c>
      <c r="AH198" s="459">
        <f>IF(CUENTAS!P187/CUENTAS!$AB187&lt;&gt;0,CUENTAS!P187/CUENTAS!$AB187,"")</f>
        <v>0.06095800475</v>
      </c>
      <c r="AI198" s="459">
        <f>IF(CUENTAS!R187/CUENTAS!$AB187&lt;&gt;0,CUENTAS!R187/CUENTAS!$AB187,"")</f>
        <v>0.06295009641</v>
      </c>
      <c r="AJ198" s="459" t="str">
        <f>IF(CUENTAS!B187/CUENTAS!$AB187&lt;&gt;0,CUENTAS!B187/CUENTAS!$AB187,"")</f>
        <v/>
      </c>
      <c r="AK198" s="459">
        <f>IF(CUENTAS!S187/CUENTAS!$AB187&lt;&gt;0,CUENTAS!S187/CUENTAS!$AB187,"")</f>
        <v>0.02565469621</v>
      </c>
      <c r="AL198" s="459">
        <f>IF(CUENTAS!T187/CUENTAS!$AB187&lt;&gt;0,CUENTAS!T187/CUENTAS!$AB187,"")</f>
        <v>0.0538629711</v>
      </c>
      <c r="AM198" s="459">
        <f>IF(CUENTAS!U187/CUENTAS!$AB187&lt;&gt;0,CUENTAS!U187/CUENTAS!$AB187,"")</f>
        <v>0.1773107077</v>
      </c>
      <c r="AN198" s="459">
        <f>IF(CUENTAS!V187/CUENTAS!$AB187&lt;&gt;0,CUENTAS!V187/CUENTAS!$AB187,"")</f>
        <v>0.007882308274</v>
      </c>
      <c r="AO198" s="459">
        <f>IF(CUENTAS!W187/CUENTAS!$AB187&lt;&gt;0,CUENTAS!W187/CUENTAS!$AB187,"")</f>
        <v>0.08743290289</v>
      </c>
      <c r="AP198" s="459" t="str">
        <f>IF(CUENTAS!X187/CUENTAS!$AB187&lt;&gt;0,CUENTAS!X187/CUENTAS!$AB187,"")</f>
        <v/>
      </c>
      <c r="AQ198" s="459" t="str">
        <f>IF(CUENTAS!Y187/CUENTAS!$AB187&lt;&gt;0,CUENTAS!Y187/CUENTAS!$AB187,"")</f>
        <v/>
      </c>
      <c r="AR198" s="459">
        <f>IF(CUENTAS!AA187/CUENTAS!$AB187&lt;&gt;0,CUENTAS!AA187/CUENTAS!$AB187,"")</f>
        <v>0.003312768744</v>
      </c>
    </row>
    <row r="199">
      <c r="A199" s="474"/>
      <c r="B199" s="200"/>
      <c r="C199" s="200"/>
      <c r="F199" s="200"/>
      <c r="G199" s="200"/>
      <c r="J199" s="470">
        <v>45461.0</v>
      </c>
      <c r="K199" s="466">
        <f>SUMIF(GRAFICO!A:A,J199,GRAFICO!B:B)</f>
        <v>12376.95455</v>
      </c>
      <c r="L199" s="467">
        <f t="shared" si="2"/>
        <v>0.2031819068</v>
      </c>
      <c r="M199" s="468">
        <v>45826.0</v>
      </c>
      <c r="N199" s="469">
        <f>IF(SUMIF(GRAFICO!A:A,M199,GRAFICO!B:B)=0,"",SUMIF(GRAFICO!A:A,M199,GRAFICO!B:B))</f>
        <v>16632.26034</v>
      </c>
      <c r="O199" s="467">
        <f t="shared" si="3"/>
        <v>0.1782709287</v>
      </c>
      <c r="P199" s="468">
        <v>46191.0</v>
      </c>
      <c r="Q199" s="463" t="str">
        <f>IF(SUMIF(GRAFICO!A:A,P199,GRAFICO!B:B)=0,"",SUMIF(GRAFICO!A:A,P199,GRAFICO!B:B))</f>
        <v/>
      </c>
      <c r="R199" s="463" t="str">
        <f t="shared" si="4"/>
        <v/>
      </c>
      <c r="S199" s="471">
        <f>CUENTAS!A188</f>
        <v>45914</v>
      </c>
      <c r="T199" s="459">
        <f>IF(CUENTAS!Q188/CUENTAS!$AB188&lt;&gt;0,CUENTAS!Q188/CUENTAS!$AB188,"")</f>
        <v>0.08693271478</v>
      </c>
      <c r="U199" s="459" t="str">
        <f>IF(CUENTAS!C188/CUENTAS!$AB188&lt;&gt;0,CUENTAS!C188/CUENTAS!$AB188,"")</f>
        <v/>
      </c>
      <c r="V199" s="459" t="str">
        <f>IF(CUENTAS!D188/CUENTAS!$AB188&lt;&gt;0,CUENTAS!D188/CUENTAS!$AB188,"")</f>
        <v/>
      </c>
      <c r="W199" s="459">
        <f>IF(CUENTAS!E188/CUENTAS!$AB188&lt;&gt;0,CUENTAS!E188/CUENTAS!$AB188,"")</f>
        <v>0.02201227207</v>
      </c>
      <c r="X199" s="459">
        <f>IF(CUENTAS!F188/CUENTAS!$AB188&lt;&gt;0,CUENTAS!F188/CUENTAS!$AB188,"")</f>
        <v>0.05528828641</v>
      </c>
      <c r="Y199" s="459">
        <f>IF(CUENTAS!G188/CUENTAS!$AB188&lt;&gt;0,CUENTAS!G188/CUENTAS!$AB188,"")</f>
        <v>0.1274627606</v>
      </c>
      <c r="Z199" s="459">
        <f>IF(CUENTAS!H188/CUENTAS!$AB188&lt;&gt;0,CUENTAS!H188/CUENTAS!$AB188,"")</f>
        <v>0.05868149955</v>
      </c>
      <c r="AA199" s="459">
        <f>IF(CUENTAS!I188/CUENTAS!$AB188&lt;&gt;0,CUENTAS!I188/CUENTAS!$AB188,"")</f>
        <v>0.1091723194</v>
      </c>
      <c r="AB199" s="459">
        <f>IF(CUENTAS!J188/CUENTAS!$AB188&lt;&gt;0,CUENTAS!J188/CUENTAS!$AB188,"")</f>
        <v>0.229153716</v>
      </c>
      <c r="AC199" s="459">
        <f>IF(CUENTAS!K188/CUENTAS!$AB188&lt;&gt;0,CUENTAS!K188/CUENTAS!$AB188,"")</f>
        <v>0.08928751524</v>
      </c>
      <c r="AD199" s="459">
        <f>IF(CUENTAS!L188/CUENTAS!$AB188&lt;&gt;0,CUENTAS!L188/CUENTAS!$AB188,"")</f>
        <v>0.01238107431</v>
      </c>
      <c r="AE199" s="459">
        <f>IF(CUENTAS!M188/CUENTAS!$AB188&lt;&gt;0,CUENTAS!M188/CUENTAS!$AB188,"")</f>
        <v>0.1239768891</v>
      </c>
      <c r="AF199" s="459" t="str">
        <f>IF(CUENTAS!N188/CUENTAS!$AB188&lt;&gt;0,CUENTAS!N188/CUENTAS!$AB188,"")</f>
        <v/>
      </c>
      <c r="AG199" s="459" t="str">
        <f>IF(CUENTAS!O188/CUENTAS!$AB188&lt;&gt;0,CUENTAS!O188/CUENTAS!$AB188,"")</f>
        <v/>
      </c>
      <c r="AH199" s="459">
        <f>IF(CUENTAS!P188/CUENTAS!$AB188&lt;&gt;0,CUENTAS!P188/CUENTAS!$AB188,"")</f>
        <v>0.06110659255</v>
      </c>
      <c r="AI199" s="459">
        <f>IF(CUENTAS!R188/CUENTAS!$AB188&lt;&gt;0,CUENTAS!R188/CUENTAS!$AB188,"")</f>
        <v>0.06310354002</v>
      </c>
      <c r="AJ199" s="459" t="str">
        <f>IF(CUENTAS!B188/CUENTAS!$AB188&lt;&gt;0,CUENTAS!B188/CUENTAS!$AB188,"")</f>
        <v/>
      </c>
      <c r="AK199" s="459">
        <f>IF(CUENTAS!S188/CUENTAS!$AB188&lt;&gt;0,CUENTAS!S188/CUENTAS!$AB188,"")</f>
        <v>0.0256415186</v>
      </c>
      <c r="AL199" s="459">
        <f>IF(CUENTAS!T188/CUENTAS!$AB188&lt;&gt;0,CUENTAS!T188/CUENTAS!$AB188,"")</f>
        <v>0.05394633771</v>
      </c>
      <c r="AM199" s="459">
        <f>IF(CUENTAS!U188/CUENTAS!$AB188&lt;&gt;0,CUENTAS!U188/CUENTAS!$AB188,"")</f>
        <v>0.1772062311</v>
      </c>
      <c r="AN199" s="459">
        <f>IF(CUENTAS!V188/CUENTAS!$AB188&lt;&gt;0,CUENTAS!V188/CUENTAS!$AB188,"")</f>
        <v>0.007901521745</v>
      </c>
      <c r="AO199" s="459">
        <f>IF(CUENTAS!W188/CUENTAS!$AB188&lt;&gt;0,CUENTAS!W188/CUENTAS!$AB188,"")</f>
        <v>0.08135563989</v>
      </c>
      <c r="AP199" s="459" t="str">
        <f>IF(CUENTAS!X188/CUENTAS!$AB188&lt;&gt;0,CUENTAS!X188/CUENTAS!$AB188,"")</f>
        <v/>
      </c>
      <c r="AQ199" s="459" t="str">
        <f>IF(CUENTAS!Y188/CUENTAS!$AB188&lt;&gt;0,CUENTAS!Y188/CUENTAS!$AB188,"")</f>
        <v/>
      </c>
      <c r="AR199" s="459">
        <f>IF(CUENTAS!AA188/CUENTAS!$AB188&lt;&gt;0,CUENTAS!AA188/CUENTAS!$AB188,"")</f>
        <v>0.007993700841</v>
      </c>
    </row>
    <row r="200">
      <c r="A200" s="474"/>
      <c r="B200" s="200"/>
      <c r="C200" s="200"/>
      <c r="F200" s="200"/>
      <c r="G200" s="200"/>
      <c r="J200" s="470">
        <v>45460.0</v>
      </c>
      <c r="K200" s="466">
        <f>SUMIF(GRAFICO!A:A,J200,GRAFICO!B:B)</f>
        <v>11933.23905</v>
      </c>
      <c r="L200" s="467">
        <f t="shared" si="2"/>
        <v>0.1666733715</v>
      </c>
      <c r="M200" s="468">
        <v>45825.0</v>
      </c>
      <c r="N200" s="469">
        <f>IF(SUMIF(GRAFICO!A:A,M200,GRAFICO!B:B)=0,"",SUMIF(GRAFICO!A:A,M200,GRAFICO!B:B))</f>
        <v>16474.00039</v>
      </c>
      <c r="O200" s="467">
        <f t="shared" si="3"/>
        <v>0.1687101294</v>
      </c>
      <c r="P200" s="465">
        <v>46190.0</v>
      </c>
      <c r="Q200" s="463" t="str">
        <f>IF(SUMIF(GRAFICO!A:A,P200,GRAFICO!B:B)=0,"",SUMIF(GRAFICO!A:A,P200,GRAFICO!B:B))</f>
        <v/>
      </c>
      <c r="R200" s="463" t="str">
        <f t="shared" si="4"/>
        <v/>
      </c>
      <c r="S200" s="471">
        <f>CUENTAS!A189</f>
        <v>45913</v>
      </c>
      <c r="T200" s="459">
        <f>IF(CUENTAS!Q189/CUENTAS!$AB189&lt;&gt;0,CUENTAS!Q189/CUENTAS!$AB189,"")</f>
        <v>0.08716313479</v>
      </c>
      <c r="U200" s="459" t="str">
        <f>IF(CUENTAS!C189/CUENTAS!$AB189&lt;&gt;0,CUENTAS!C189/CUENTAS!$AB189,"")</f>
        <v/>
      </c>
      <c r="V200" s="459" t="str">
        <f>IF(CUENTAS!D189/CUENTAS!$AB189&lt;&gt;0,CUENTAS!D189/CUENTAS!$AB189,"")</f>
        <v/>
      </c>
      <c r="W200" s="459">
        <f>IF(CUENTAS!E189/CUENTAS!$AB189&lt;&gt;0,CUENTAS!E189/CUENTAS!$AB189,"")</f>
        <v>0.02196558089</v>
      </c>
      <c r="X200" s="459">
        <f>IF(CUENTAS!F189/CUENTAS!$AB189&lt;&gt;0,CUENTAS!F189/CUENTAS!$AB189,"")</f>
        <v>0.05351268022</v>
      </c>
      <c r="Y200" s="459">
        <f>IF(CUENTAS!G189/CUENTAS!$AB189&lt;&gt;0,CUENTAS!G189/CUENTAS!$AB189,"")</f>
        <v>0.1278006078</v>
      </c>
      <c r="Z200" s="459">
        <f>IF(CUENTAS!H189/CUENTAS!$AB189&lt;&gt;0,CUENTAS!H189/CUENTAS!$AB189,"")</f>
        <v>0.05883703813</v>
      </c>
      <c r="AA200" s="459">
        <f>IF(CUENTAS!I189/CUENTAS!$AB189&lt;&gt;0,CUENTAS!I189/CUENTAS!$AB189,"")</f>
        <v>0.1094616867</v>
      </c>
      <c r="AB200" s="459">
        <f>IF(CUENTAS!J189/CUENTAS!$AB189&lt;&gt;0,CUENTAS!J189/CUENTAS!$AB189,"")</f>
        <v>0.2297611007</v>
      </c>
      <c r="AC200" s="459">
        <f>IF(CUENTAS!K189/CUENTAS!$AB189&lt;&gt;0,CUENTAS!K189/CUENTAS!$AB189,"")</f>
        <v>0.08952417677</v>
      </c>
      <c r="AD200" s="459">
        <f>IF(CUENTAS!L189/CUENTAS!$AB189&lt;&gt;0,CUENTAS!L189/CUENTAS!$AB189,"")</f>
        <v>0.01241389104</v>
      </c>
      <c r="AE200" s="459">
        <f>IF(CUENTAS!M189/CUENTAS!$AB189&lt;&gt;0,CUENTAS!M189/CUENTAS!$AB189,"")</f>
        <v>0.1243054968</v>
      </c>
      <c r="AF200" s="459" t="str">
        <f>IF(CUENTAS!N189/CUENTAS!$AB189&lt;&gt;0,CUENTAS!N189/CUENTAS!$AB189,"")</f>
        <v/>
      </c>
      <c r="AG200" s="459" t="str">
        <f>IF(CUENTAS!O189/CUENTAS!$AB189&lt;&gt;0,CUENTAS!O189/CUENTAS!$AB189,"")</f>
        <v/>
      </c>
      <c r="AH200" s="459">
        <f>IF(CUENTAS!P189/CUENTAS!$AB189&lt;&gt;0,CUENTAS!P189/CUENTAS!$AB189,"")</f>
        <v>0.06126855898</v>
      </c>
      <c r="AI200" s="459">
        <f>IF(CUENTAS!R189/CUENTAS!$AB189&lt;&gt;0,CUENTAS!R189/CUENTAS!$AB189,"")</f>
        <v>0.06327079947</v>
      </c>
      <c r="AJ200" s="459" t="str">
        <f>IF(CUENTAS!B189/CUENTAS!$AB189&lt;&gt;0,CUENTAS!B189/CUENTAS!$AB189,"")</f>
        <v/>
      </c>
      <c r="AK200" s="459">
        <f>IF(CUENTAS!S189/CUENTAS!$AB189&lt;&gt;0,CUENTAS!S189/CUENTAS!$AB189,"")</f>
        <v>0.02563357015</v>
      </c>
      <c r="AL200" s="459">
        <f>IF(CUENTAS!T189/CUENTAS!$AB189&lt;&gt;0,CUENTAS!T189/CUENTAS!$AB189,"")</f>
        <v>0.05404127171</v>
      </c>
      <c r="AM200" s="459">
        <f>IF(CUENTAS!U189/CUENTAS!$AB189&lt;&gt;0,CUENTAS!U189/CUENTAS!$AB189,"")</f>
        <v>0.1491064575</v>
      </c>
      <c r="AN200" s="459">
        <f>IF(CUENTAS!V189/CUENTAS!$AB189&lt;&gt;0,CUENTAS!V189/CUENTAS!$AB189,"")</f>
        <v>0.007922465169</v>
      </c>
      <c r="AO200" s="459">
        <f>IF(CUENTAS!W189/CUENTAS!$AB189&lt;&gt;0,CUENTAS!W189/CUENTAS!$AB189,"")</f>
        <v>0.1089772246</v>
      </c>
      <c r="AP200" s="459" t="str">
        <f>IF(CUENTAS!X189/CUENTAS!$AB189&lt;&gt;0,CUENTAS!X189/CUENTAS!$AB189,"")</f>
        <v/>
      </c>
      <c r="AQ200" s="459" t="str">
        <f>IF(CUENTAS!Y189/CUENTAS!$AB189&lt;&gt;0,CUENTAS!Y189/CUENTAS!$AB189,"")</f>
        <v/>
      </c>
      <c r="AR200" s="459">
        <f>IF(CUENTAS!AA189/CUENTAS!$AB189&lt;&gt;0,CUENTAS!AA189/CUENTAS!$AB189,"")</f>
        <v>0.00883180271</v>
      </c>
    </row>
    <row r="201">
      <c r="A201" s="474"/>
      <c r="B201" s="200"/>
      <c r="C201" s="200"/>
      <c r="F201" s="200"/>
      <c r="G201" s="200"/>
      <c r="J201" s="465">
        <v>45459.0</v>
      </c>
      <c r="K201" s="466">
        <f>SUMIF(GRAFICO!A:A,J201,GRAFICO!B:B)</f>
        <v>11940.51438</v>
      </c>
      <c r="L201" s="467">
        <f t="shared" si="2"/>
        <v>0.1672828553</v>
      </c>
      <c r="M201" s="468">
        <v>45824.0</v>
      </c>
      <c r="N201" s="469">
        <f>IF(SUMIF(GRAFICO!A:A,M201,GRAFICO!B:B)=0,"",SUMIF(GRAFICO!A:A,M201,GRAFICO!B:B))</f>
        <v>16686.47352</v>
      </c>
      <c r="O201" s="467">
        <f t="shared" si="3"/>
        <v>0.1815251473</v>
      </c>
      <c r="P201" s="468">
        <v>46189.0</v>
      </c>
      <c r="Q201" s="463" t="str">
        <f>IF(SUMIF(GRAFICO!A:A,P201,GRAFICO!B:B)=0,"",SUMIF(GRAFICO!A:A,P201,GRAFICO!B:B))</f>
        <v/>
      </c>
      <c r="R201" s="463" t="str">
        <f t="shared" si="4"/>
        <v/>
      </c>
      <c r="S201" s="471">
        <f>CUENTAS!A190</f>
        <v>45912</v>
      </c>
      <c r="T201" s="459">
        <f>IF(CUENTAS!Q190/CUENTAS!$AB190&lt;&gt;0,CUENTAS!Q190/CUENTAS!$AB190,"")</f>
        <v>0.0873246837</v>
      </c>
      <c r="U201" s="459" t="str">
        <f>IF(CUENTAS!C190/CUENTAS!$AB190&lt;&gt;0,CUENTAS!C190/CUENTAS!$AB190,"")</f>
        <v/>
      </c>
      <c r="V201" s="459" t="str">
        <f>IF(CUENTAS!D190/CUENTAS!$AB190&lt;&gt;0,CUENTAS!D190/CUENTAS!$AB190,"")</f>
        <v/>
      </c>
      <c r="W201" s="459">
        <f>IF(CUENTAS!E190/CUENTAS!$AB190&lt;&gt;0,CUENTAS!E190/CUENTAS!$AB190,"")</f>
        <v>0.02190106148</v>
      </c>
      <c r="X201" s="459">
        <f>IF(CUENTAS!F190/CUENTAS!$AB190&lt;&gt;0,CUENTAS!F190/CUENTAS!$AB190,"")</f>
        <v>0.05553757449</v>
      </c>
      <c r="Y201" s="459">
        <f>IF(CUENTAS!G190/CUENTAS!$AB190&lt;&gt;0,CUENTAS!G190/CUENTAS!$AB190,"")</f>
        <v>0.1280374745</v>
      </c>
      <c r="Z201" s="459">
        <f>IF(CUENTAS!H190/CUENTAS!$AB190&lt;&gt;0,CUENTAS!H190/CUENTAS!$AB190,"")</f>
        <v>0.05894608721</v>
      </c>
      <c r="AA201" s="459">
        <f>IF(CUENTAS!I190/CUENTAS!$AB190&lt;&gt;0,CUENTAS!I190/CUENTAS!$AB190,"")</f>
        <v>0.1096645639</v>
      </c>
      <c r="AB201" s="459">
        <f>IF(CUENTAS!J190/CUENTAS!$AB190&lt;&gt;0,CUENTAS!J190/CUENTAS!$AB190,"")</f>
        <v>0.2301869419</v>
      </c>
      <c r="AC201" s="459">
        <f>IF(CUENTAS!K190/CUENTAS!$AB190&lt;&gt;0,CUENTAS!K190/CUENTAS!$AB190,"")</f>
        <v>0.08969010166</v>
      </c>
      <c r="AD201" s="459">
        <f>IF(CUENTAS!L190/CUENTAS!$AB190&lt;&gt;0,CUENTAS!L190/CUENTAS!$AB190,"")</f>
        <v>0.01243689905</v>
      </c>
      <c r="AE201" s="459">
        <f>IF(CUENTAS!M190/CUENTAS!$AB190&lt;&gt;0,CUENTAS!M190/CUENTAS!$AB190,"")</f>
        <v>0.1245358857</v>
      </c>
      <c r="AF201" s="459" t="str">
        <f>IF(CUENTAS!N190/CUENTAS!$AB190&lt;&gt;0,CUENTAS!N190/CUENTAS!$AB190,"")</f>
        <v/>
      </c>
      <c r="AG201" s="459" t="str">
        <f>IF(CUENTAS!O190/CUENTAS!$AB190&lt;&gt;0,CUENTAS!O190/CUENTAS!$AB190,"")</f>
        <v/>
      </c>
      <c r="AH201" s="459">
        <f>IF(CUENTAS!P190/CUENTAS!$AB190&lt;&gt;0,CUENTAS!P190/CUENTAS!$AB190,"")</f>
        <v>0.06138211466</v>
      </c>
      <c r="AI201" s="459">
        <f>IF(CUENTAS!R190/CUENTAS!$AB190&lt;&gt;0,CUENTAS!R190/CUENTAS!$AB190,"")</f>
        <v>0.06338806612</v>
      </c>
      <c r="AJ201" s="459" t="str">
        <f>IF(CUENTAS!B190/CUENTAS!$AB190&lt;&gt;0,CUENTAS!B190/CUENTAS!$AB190,"")</f>
        <v/>
      </c>
      <c r="AK201" s="459">
        <f>IF(CUENTAS!S190/CUENTAS!$AB190&lt;&gt;0,CUENTAS!S190/CUENTAS!$AB190,"")</f>
        <v>0.0256050262</v>
      </c>
      <c r="AL201" s="459">
        <f>IF(CUENTAS!T190/CUENTAS!$AB190&lt;&gt;0,CUENTAS!T190/CUENTAS!$AB190,"")</f>
        <v>0.05409328944</v>
      </c>
      <c r="AM201" s="459">
        <f>IF(CUENTAS!U190/CUENTAS!$AB190&lt;&gt;0,CUENTAS!U190/CUENTAS!$AB190,"")</f>
        <v>0.1488437137</v>
      </c>
      <c r="AN201" s="459">
        <f>IF(CUENTAS!V190/CUENTAS!$AB190&lt;&gt;0,CUENTAS!V190/CUENTAS!$AB190,"")</f>
        <v>0.007937148735</v>
      </c>
      <c r="AO201" s="459">
        <f>IF(CUENTAS!W190/CUENTAS!$AB190&lt;&gt;0,CUENTAS!W190/CUENTAS!$AB190,"")</f>
        <v>0.1077499234</v>
      </c>
      <c r="AP201" s="459" t="str">
        <f>IF(CUENTAS!X190/CUENTAS!$AB190&lt;&gt;0,CUENTAS!X190/CUENTAS!$AB190,"")</f>
        <v/>
      </c>
      <c r="AQ201" s="459" t="str">
        <f>IF(CUENTAS!Y190/CUENTAS!$AB190&lt;&gt;0,CUENTAS!Y190/CUENTAS!$AB190,"")</f>
        <v/>
      </c>
      <c r="AR201" s="459">
        <f>IF(CUENTAS!AA190/CUENTAS!$AB190&lt;&gt;0,CUENTAS!AA190/CUENTAS!$AB190,"")</f>
        <v>0.00884817165</v>
      </c>
    </row>
    <row r="202">
      <c r="A202" s="474"/>
      <c r="B202" s="200"/>
      <c r="C202" s="200"/>
      <c r="F202" s="200"/>
      <c r="G202" s="200"/>
      <c r="J202" s="465">
        <v>45458.0</v>
      </c>
      <c r="K202" s="466">
        <f>SUMIF(GRAFICO!A:A,J202,GRAFICO!B:B)</f>
        <v>11936.32709</v>
      </c>
      <c r="L202" s="467">
        <f t="shared" si="2"/>
        <v>0.1669321145</v>
      </c>
      <c r="M202" s="468">
        <v>45823.0</v>
      </c>
      <c r="N202" s="469">
        <f>IF(SUMIF(GRAFICO!A:A,M202,GRAFICO!B:B)=0,"",SUMIF(GRAFICO!A:A,M202,GRAFICO!B:B))</f>
        <v>16794.72836</v>
      </c>
      <c r="O202" s="467">
        <f t="shared" si="3"/>
        <v>0.1879917742</v>
      </c>
      <c r="P202" s="465">
        <v>46188.0</v>
      </c>
      <c r="Q202" s="463" t="str">
        <f>IF(SUMIF(GRAFICO!A:A,P202,GRAFICO!B:B)=0,"",SUMIF(GRAFICO!A:A,P202,GRAFICO!B:B))</f>
        <v/>
      </c>
      <c r="R202" s="463" t="str">
        <f t="shared" si="4"/>
        <v/>
      </c>
      <c r="S202" s="471">
        <f>CUENTAS!A191</f>
        <v>45911</v>
      </c>
      <c r="T202" s="459">
        <f>IF(CUENTAS!Q191/CUENTAS!$AB191&lt;&gt;0,CUENTAS!Q191/CUENTAS!$AB191,"")</f>
        <v>0.08827090653</v>
      </c>
      <c r="U202" s="459" t="str">
        <f>IF(CUENTAS!C191/CUENTAS!$AB191&lt;&gt;0,CUENTAS!C191/CUENTAS!$AB191,"")</f>
        <v/>
      </c>
      <c r="V202" s="459" t="str">
        <f>IF(CUENTAS!D191/CUENTAS!$AB191&lt;&gt;0,CUENTAS!D191/CUENTAS!$AB191,"")</f>
        <v/>
      </c>
      <c r="W202" s="459">
        <f>IF(CUENTAS!E191/CUENTAS!$AB191&lt;&gt;0,CUENTAS!E191/CUENTAS!$AB191,"")</f>
        <v>0.02178855609</v>
      </c>
      <c r="X202" s="459">
        <f>IF(CUENTAS!F191/CUENTAS!$AB191&lt;&gt;0,CUENTAS!F191/CUENTAS!$AB191,"")</f>
        <v>0.05551903775</v>
      </c>
      <c r="Y202" s="459">
        <f>IF(CUENTAS!G191/CUENTAS!$AB191&lt;&gt;0,CUENTAS!G191/CUENTAS!$AB191,"")</f>
        <v>0.1279947395</v>
      </c>
      <c r="Z202" s="459">
        <f>IF(CUENTAS!H191/CUENTAS!$AB191&lt;&gt;0,CUENTAS!H191/CUENTAS!$AB191,"")</f>
        <v>0.05832964091</v>
      </c>
      <c r="AA202" s="459">
        <f>IF(CUENTAS!I191/CUENTAS!$AB191&lt;&gt;0,CUENTAS!I191/CUENTAS!$AB191,"")</f>
        <v>0.1105375571</v>
      </c>
      <c r="AB202" s="459">
        <f>IF(CUENTAS!J191/CUENTAS!$AB191&lt;&gt;0,CUENTAS!J191/CUENTAS!$AB191,"")</f>
        <v>0.2310084788</v>
      </c>
      <c r="AC202" s="459">
        <f>IF(CUENTAS!K191/CUENTAS!$AB191&lt;&gt;0,CUENTAS!K191/CUENTAS!$AB191,"")</f>
        <v>0.08966016585</v>
      </c>
      <c r="AD202" s="459">
        <f>IF(CUENTAS!L191/CUENTAS!$AB191&lt;&gt;0,CUENTAS!L191/CUENTAS!$AB191,"")</f>
        <v>0.01243274799</v>
      </c>
      <c r="AE202" s="459">
        <f>IF(CUENTAS!M191/CUENTAS!$AB191&lt;&gt;0,CUENTAS!M191/CUENTAS!$AB191,"")</f>
        <v>0.1244943194</v>
      </c>
      <c r="AF202" s="459" t="str">
        <f>IF(CUENTAS!N191/CUENTAS!$AB191&lt;&gt;0,CUENTAS!N191/CUENTAS!$AB191,"")</f>
        <v/>
      </c>
      <c r="AG202" s="459" t="str">
        <f>IF(CUENTAS!O191/CUENTAS!$AB191&lt;&gt;0,CUENTAS!O191/CUENTAS!$AB191,"")</f>
        <v/>
      </c>
      <c r="AH202" s="459">
        <f>IF(CUENTAS!P191/CUENTAS!$AB191&lt;&gt;0,CUENTAS!P191/CUENTAS!$AB191,"")</f>
        <v>0.06136162719</v>
      </c>
      <c r="AI202" s="459">
        <f>IF(CUENTAS!R191/CUENTAS!$AB191&lt;&gt;0,CUENTAS!R191/CUENTAS!$AB191,"")</f>
        <v>0.06336690913</v>
      </c>
      <c r="AJ202" s="459" t="str">
        <f>IF(CUENTAS!B191/CUENTAS!$AB191&lt;&gt;0,CUENTAS!B191/CUENTAS!$AB191,"")</f>
        <v/>
      </c>
      <c r="AK202" s="459">
        <f>IF(CUENTAS!S191/CUENTAS!$AB191&lt;&gt;0,CUENTAS!S191/CUENTAS!$AB191,"")</f>
        <v>0.02552045199</v>
      </c>
      <c r="AL202" s="459">
        <f>IF(CUENTAS!T191/CUENTAS!$AB191&lt;&gt;0,CUENTAS!T191/CUENTAS!$AB191,"")</f>
        <v>0.05402710799</v>
      </c>
      <c r="AM202" s="459">
        <f>IF(CUENTAS!U191/CUENTAS!$AB191&lt;&gt;0,CUENTAS!U191/CUENTAS!$AB191,"")</f>
        <v>0.1482551151</v>
      </c>
      <c r="AN202" s="459">
        <f>IF(CUENTAS!V191/CUENTAS!$AB191&lt;&gt;0,CUENTAS!V191/CUENTAS!$AB191,"")</f>
        <v>0.007934499558</v>
      </c>
      <c r="AO202" s="459">
        <f>IF(CUENTAS!W191/CUENTAS!$AB191&lt;&gt;0,CUENTAS!W191/CUENTAS!$AB191,"")</f>
        <v>0.1062851563</v>
      </c>
      <c r="AP202" s="459" t="str">
        <f>IF(CUENTAS!X191/CUENTAS!$AB191&lt;&gt;0,CUENTAS!X191/CUENTAS!$AB191,"")</f>
        <v/>
      </c>
      <c r="AQ202" s="459" t="str">
        <f>IF(CUENTAS!Y191/CUENTAS!$AB191&lt;&gt;0,CUENTAS!Y191/CUENTAS!$AB191,"")</f>
        <v/>
      </c>
      <c r="AR202" s="459">
        <f>IF(CUENTAS!AA191/CUENTAS!$AB191&lt;&gt;0,CUENTAS!AA191/CUENTAS!$AB191,"")</f>
        <v>0.008845218401</v>
      </c>
    </row>
    <row r="203">
      <c r="A203" s="474"/>
      <c r="B203" s="200"/>
      <c r="C203" s="200"/>
      <c r="F203" s="200"/>
      <c r="G203" s="200"/>
      <c r="J203" s="465">
        <v>45457.0</v>
      </c>
      <c r="K203" s="466">
        <f>SUMIF(GRAFICO!A:A,J203,GRAFICO!B:B)</f>
        <v>11932.14396</v>
      </c>
      <c r="L203" s="467">
        <f t="shared" si="2"/>
        <v>0.1665815992</v>
      </c>
      <c r="M203" s="468">
        <v>45822.0</v>
      </c>
      <c r="N203" s="469">
        <f>IF(SUMIF(GRAFICO!A:A,M203,GRAFICO!B:B)=0,"",SUMIF(GRAFICO!A:A,M203,GRAFICO!B:B))</f>
        <v>16795.49763</v>
      </c>
      <c r="O203" s="467">
        <f t="shared" si="3"/>
        <v>0.1880375774</v>
      </c>
      <c r="P203" s="468">
        <v>46187.0</v>
      </c>
      <c r="Q203" s="463" t="str">
        <f>IF(SUMIF(GRAFICO!A:A,P203,GRAFICO!B:B)=0,"",SUMIF(GRAFICO!A:A,P203,GRAFICO!B:B))</f>
        <v/>
      </c>
      <c r="R203" s="463" t="str">
        <f t="shared" si="4"/>
        <v/>
      </c>
      <c r="S203" s="471">
        <f>CUENTAS!A192</f>
        <v>45910</v>
      </c>
      <c r="T203" s="459">
        <f>IF(CUENTAS!Q192/CUENTAS!$AB192&lt;&gt;0,CUENTAS!Q192/CUENTAS!$AB192,"")</f>
        <v>0.08996408372</v>
      </c>
      <c r="U203" s="459" t="str">
        <f>IF(CUENTAS!C192/CUENTAS!$AB192&lt;&gt;0,CUENTAS!C192/CUENTAS!$AB192,"")</f>
        <v/>
      </c>
      <c r="V203" s="459" t="str">
        <f>IF(CUENTAS!D192/CUENTAS!$AB192&lt;&gt;0,CUENTAS!D192/CUENTAS!$AB192,"")</f>
        <v/>
      </c>
      <c r="W203" s="459">
        <f>IF(CUENTAS!E192/CUENTAS!$AB192&lt;&gt;0,CUENTAS!E192/CUENTAS!$AB192,"")</f>
        <v>0.02168005458</v>
      </c>
      <c r="X203" s="459">
        <f>IF(CUENTAS!F192/CUENTAS!$AB192&lt;&gt;0,CUENTAS!F192/CUENTAS!$AB192,"")</f>
        <v>0.05551057284</v>
      </c>
      <c r="Y203" s="459">
        <f>IF(CUENTAS!G192/CUENTAS!$AB192&lt;&gt;0,CUENTAS!G192/CUENTAS!$AB192,"")</f>
        <v>0.07156321422</v>
      </c>
      <c r="Z203" s="459">
        <f>IF(CUENTAS!H192/CUENTAS!$AB192&lt;&gt;0,CUENTAS!H192/CUENTAS!$AB192,"")</f>
        <v>0.05801278312</v>
      </c>
      <c r="AA203" s="459">
        <f>IF(CUENTAS!I192/CUENTAS!$AB192&lt;&gt;0,CUENTAS!I192/CUENTAS!$AB192,"")</f>
        <v>0.1143317624</v>
      </c>
      <c r="AB203" s="459">
        <f>IF(CUENTAS!J192/CUENTAS!$AB192&lt;&gt;0,CUENTAS!J192/CUENTAS!$AB192,"")</f>
        <v>0.2309732573</v>
      </c>
      <c r="AC203" s="459">
        <f>IF(CUENTAS!K192/CUENTAS!$AB192&lt;&gt;0,CUENTAS!K192/CUENTAS!$AB192,"")</f>
        <v>0.08964649549</v>
      </c>
      <c r="AD203" s="459">
        <f>IF(CUENTAS!L192/CUENTAS!$AB192&lt;&gt;0,CUENTAS!L192/CUENTAS!$AB192,"")</f>
        <v>0.01228328614</v>
      </c>
      <c r="AE203" s="459">
        <f>IF(CUENTAS!M192/CUENTAS!$AB192&lt;&gt;0,CUENTAS!M192/CUENTAS!$AB192,"")</f>
        <v>0.1244753379</v>
      </c>
      <c r="AF203" s="459" t="str">
        <f>IF(CUENTAS!N192/CUENTAS!$AB192&lt;&gt;0,CUENTAS!N192/CUENTAS!$AB192,"")</f>
        <v/>
      </c>
      <c r="AG203" s="459" t="str">
        <f>IF(CUENTAS!O192/CUENTAS!$AB192&lt;&gt;0,CUENTAS!O192/CUENTAS!$AB192,"")</f>
        <v/>
      </c>
      <c r="AH203" s="459">
        <f>IF(CUENTAS!P192/CUENTAS!$AB192&lt;&gt;0,CUENTAS!P192/CUENTAS!$AB192,"")</f>
        <v>0.06135227147</v>
      </c>
      <c r="AI203" s="459">
        <f>IF(CUENTAS!R192/CUENTAS!$AB192&lt;&gt;0,CUENTAS!R192/CUENTAS!$AB192,"")</f>
        <v>0.06335724766</v>
      </c>
      <c r="AJ203" s="459" t="str">
        <f>IF(CUENTAS!B192/CUENTAS!$AB192&lt;&gt;0,CUENTAS!B192/CUENTAS!$AB192,"")</f>
        <v/>
      </c>
      <c r="AK203" s="459">
        <f>IF(CUENTAS!S192/CUENTAS!$AB192&lt;&gt;0,CUENTAS!S192/CUENTAS!$AB192,"")</f>
        <v>0.02544054447</v>
      </c>
      <c r="AL203" s="459">
        <f>IF(CUENTAS!T192/CUENTAS!$AB192&lt;&gt;0,CUENTAS!T192/CUENTAS!$AB192,"")</f>
        <v>0.05397075112</v>
      </c>
      <c r="AM203" s="459">
        <f>IF(CUENTAS!U192/CUENTAS!$AB192&lt;&gt;0,CUENTAS!U192/CUENTAS!$AB192,"")</f>
        <v>0.1476936739</v>
      </c>
      <c r="AN203" s="459">
        <f>IF(CUENTAS!V192/CUENTAS!$AB192&lt;&gt;0,CUENTAS!V192/CUENTAS!$AB192,"")</f>
        <v>0.007933289796</v>
      </c>
      <c r="AO203" s="459">
        <f>IF(CUENTAS!W192/CUENTAS!$AB192&lt;&gt;0,CUENTAS!W192/CUENTAS!$AB192,"")</f>
        <v>0.1048403655</v>
      </c>
      <c r="AP203" s="459" t="str">
        <f>IF(CUENTAS!X192/CUENTAS!$AB192&lt;&gt;0,CUENTAS!X192/CUENTAS!$AB192,"")</f>
        <v/>
      </c>
      <c r="AQ203" s="459" t="str">
        <f>IF(CUENTAS!Y192/CUENTAS!$AB192&lt;&gt;0,CUENTAS!Y192/CUENTAS!$AB192,"")</f>
        <v/>
      </c>
      <c r="AR203" s="459">
        <f>IF(CUENTAS!AA192/CUENTAS!$AB192&lt;&gt;0,CUENTAS!AA192/CUENTAS!$AB192,"")</f>
        <v>0.06219869222</v>
      </c>
    </row>
    <row r="204">
      <c r="A204" s="474"/>
      <c r="B204" s="200"/>
      <c r="C204" s="200"/>
      <c r="F204" s="200"/>
      <c r="G204" s="200"/>
      <c r="J204" s="470">
        <v>45456.0</v>
      </c>
      <c r="K204" s="466">
        <f>SUMIF(GRAFICO!A:A,J204,GRAFICO!B:B)</f>
        <v>11948.28235</v>
      </c>
      <c r="L204" s="467">
        <f t="shared" si="2"/>
        <v>0.1679331988</v>
      </c>
      <c r="M204" s="468">
        <v>45821.0</v>
      </c>
      <c r="N204" s="469">
        <f>IF(SUMIF(GRAFICO!A:A,M204,GRAFICO!B:B)=0,"",SUMIF(GRAFICO!A:A,M204,GRAFICO!B:B))</f>
        <v>16796.2669</v>
      </c>
      <c r="O204" s="467">
        <f t="shared" si="3"/>
        <v>0.1880833785</v>
      </c>
      <c r="P204" s="465">
        <v>46186.0</v>
      </c>
      <c r="Q204" s="463" t="str">
        <f>IF(SUMIF(GRAFICO!A:A,P204,GRAFICO!B:B)=0,"",SUMIF(GRAFICO!A:A,P204,GRAFICO!B:B))</f>
        <v/>
      </c>
      <c r="R204" s="463" t="str">
        <f t="shared" si="4"/>
        <v/>
      </c>
      <c r="S204" s="471">
        <f>CUENTAS!A193</f>
        <v>45909</v>
      </c>
      <c r="T204" s="459">
        <f>IF(CUENTAS!Q193/CUENTAS!$AB193&lt;&gt;0,CUENTAS!Q193/CUENTAS!$AB193,"")</f>
        <v>0.0891105262</v>
      </c>
      <c r="U204" s="459" t="str">
        <f>IF(CUENTAS!C193/CUENTAS!$AB193&lt;&gt;0,CUENTAS!C193/CUENTAS!$AB193,"")</f>
        <v/>
      </c>
      <c r="V204" s="459" t="str">
        <f>IF(CUENTAS!D193/CUENTAS!$AB193&lt;&gt;0,CUENTAS!D193/CUENTAS!$AB193,"")</f>
        <v/>
      </c>
      <c r="W204" s="459">
        <f>IF(CUENTAS!E193/CUENTAS!$AB193&lt;&gt;0,CUENTAS!E193/CUENTAS!$AB193,"")</f>
        <v>0.02166372432</v>
      </c>
      <c r="X204" s="459">
        <f>IF(CUENTAS!F193/CUENTAS!$AB193&lt;&gt;0,CUENTAS!F193/CUENTAS!$AB193,"")</f>
        <v>0.0557391753</v>
      </c>
      <c r="Y204" s="459">
        <f>IF(CUENTAS!G193/CUENTAS!$AB193&lt;&gt;0,CUENTAS!G193/CUENTAS!$AB193,"")</f>
        <v>0.07085291839</v>
      </c>
      <c r="Z204" s="459">
        <f>IF(CUENTAS!H193/CUENTAS!$AB193&lt;&gt;0,CUENTAS!H193/CUENTAS!$AB193,"")</f>
        <v>0.05836765236</v>
      </c>
      <c r="AA204" s="459">
        <f>IF(CUENTAS!I193/CUENTAS!$AB193&lt;&gt;0,CUENTAS!I193/CUENTAS!$AB193,"")</f>
        <v>0.1139328843</v>
      </c>
      <c r="AB204" s="459">
        <f>IF(CUENTAS!J193/CUENTAS!$AB193&lt;&gt;0,CUENTAS!J193/CUENTAS!$AB193,"")</f>
        <v>0.2319244464</v>
      </c>
      <c r="AC204" s="459">
        <f>IF(CUENTAS!K193/CUENTAS!$AB193&lt;&gt;0,CUENTAS!K193/CUENTAS!$AB193,"")</f>
        <v>0.09001567578</v>
      </c>
      <c r="AD204" s="459">
        <f>IF(CUENTAS!L193/CUENTAS!$AB193&lt;&gt;0,CUENTAS!L193/CUENTAS!$AB193,"")</f>
        <v>0.01249815073</v>
      </c>
      <c r="AE204" s="459">
        <f>IF(CUENTAS!M193/CUENTAS!$AB193&lt;&gt;0,CUENTAS!M193/CUENTAS!$AB193,"")</f>
        <v>0.1255484337</v>
      </c>
      <c r="AF204" s="459" t="str">
        <f>IF(CUENTAS!N193/CUENTAS!$AB193&lt;&gt;0,CUENTAS!N193/CUENTAS!$AB193,"")</f>
        <v/>
      </c>
      <c r="AG204" s="459" t="str">
        <f>IF(CUENTAS!O193/CUENTAS!$AB193&lt;&gt;0,CUENTAS!O193/CUENTAS!$AB193,"")</f>
        <v/>
      </c>
      <c r="AH204" s="459">
        <f>IF(CUENTAS!P193/CUENTAS!$AB193&lt;&gt;0,CUENTAS!P193/CUENTAS!$AB193,"")</f>
        <v>0.06160493109</v>
      </c>
      <c r="AI204" s="459">
        <f>IF(CUENTAS!R193/CUENTAS!$AB193&lt;&gt;0,CUENTAS!R193/CUENTAS!$AB193,"")</f>
        <v>0.06361816413</v>
      </c>
      <c r="AJ204" s="459" t="str">
        <f>IF(CUENTAS!B193/CUENTAS!$AB193&lt;&gt;0,CUENTAS!B193/CUENTAS!$AB193,"")</f>
        <v/>
      </c>
      <c r="AK204" s="459">
        <f>IF(CUENTAS!S193/CUENTAS!$AB193&lt;&gt;0,CUENTAS!S193/CUENTAS!$AB193,"")</f>
        <v>0.02546898368</v>
      </c>
      <c r="AL204" s="459">
        <f>IF(CUENTAS!T193/CUENTAS!$AB193&lt;&gt;0,CUENTAS!T193/CUENTAS!$AB193,"")</f>
        <v>0.05414469473</v>
      </c>
      <c r="AM204" s="459">
        <f>IF(CUENTAS!U193/CUENTAS!$AB193&lt;&gt;0,CUENTAS!U193/CUENTAS!$AB193,"")</f>
        <v>0.1477608469</v>
      </c>
      <c r="AN204" s="459">
        <f>IF(CUENTAS!V193/CUENTAS!$AB193&lt;&gt;0,CUENTAS!V193/CUENTAS!$AB193,"")</f>
        <v>0.007965960501</v>
      </c>
      <c r="AO204" s="459">
        <f>IF(CUENTAS!W193/CUENTAS!$AB193&lt;&gt;0,CUENTAS!W193/CUENTAS!$AB193,"")</f>
        <v>0.103837648</v>
      </c>
      <c r="AP204" s="459" t="str">
        <f>IF(CUENTAS!X193/CUENTAS!$AB193&lt;&gt;0,CUENTAS!X193/CUENTAS!$AB193,"")</f>
        <v/>
      </c>
      <c r="AQ204" s="459" t="str">
        <f>IF(CUENTAS!Y193/CUENTAS!$AB193&lt;&gt;0,CUENTAS!Y193/CUENTAS!$AB193,"")</f>
        <v/>
      </c>
      <c r="AR204" s="459">
        <f>IF(CUENTAS!AA193/CUENTAS!$AB193&lt;&gt;0,CUENTAS!AA193/CUENTAS!$AB193,"")</f>
        <v>0.06245483755</v>
      </c>
    </row>
    <row r="205">
      <c r="A205" s="474"/>
      <c r="B205" s="200"/>
      <c r="C205" s="200"/>
      <c r="F205" s="200"/>
      <c r="G205" s="200"/>
      <c r="J205" s="465">
        <v>45455.0</v>
      </c>
      <c r="K205" s="466">
        <f>SUMIF(GRAFICO!A:A,J205,GRAFICO!B:B)</f>
        <v>12032.05665</v>
      </c>
      <c r="L205" s="467">
        <f t="shared" si="2"/>
        <v>0.174920143</v>
      </c>
      <c r="M205" s="468">
        <v>45820.0</v>
      </c>
      <c r="N205" s="469">
        <f>IF(SUMIF(GRAFICO!A:A,M205,GRAFICO!B:B)=0,"",SUMIF(GRAFICO!A:A,M205,GRAFICO!B:B))</f>
        <v>16774.41645</v>
      </c>
      <c r="O205" s="467">
        <f t="shared" si="3"/>
        <v>0.1867816203</v>
      </c>
      <c r="P205" s="468">
        <v>46185.0</v>
      </c>
      <c r="Q205" s="463" t="str">
        <f>IF(SUMIF(GRAFICO!A:A,P205,GRAFICO!B:B)=0,"",SUMIF(GRAFICO!A:A,P205,GRAFICO!B:B))</f>
        <v/>
      </c>
      <c r="R205" s="463" t="str">
        <f t="shared" si="4"/>
        <v/>
      </c>
      <c r="S205" s="471">
        <f>CUENTAS!A194</f>
        <v>45908</v>
      </c>
      <c r="T205" s="459">
        <f>IF(CUENTAS!Q194/CUENTAS!$AB194&lt;&gt;0,CUENTAS!Q194/CUENTAS!$AB194,"")</f>
        <v>0.08918439633</v>
      </c>
      <c r="U205" s="459" t="str">
        <f>IF(CUENTAS!C194/CUENTAS!$AB194&lt;&gt;0,CUENTAS!C194/CUENTAS!$AB194,"")</f>
        <v/>
      </c>
      <c r="V205" s="459" t="str">
        <f>IF(CUENTAS!D194/CUENTAS!$AB194&lt;&gt;0,CUENTAS!D194/CUENTAS!$AB194,"")</f>
        <v/>
      </c>
      <c r="W205" s="459">
        <f>IF(CUENTAS!E194/CUENTAS!$AB194&lt;&gt;0,CUENTAS!E194/CUENTAS!$AB194,"")</f>
        <v>0.02169518712</v>
      </c>
      <c r="X205" s="459">
        <f>IF(CUENTAS!F194/CUENTAS!$AB194&lt;&gt;0,CUENTAS!F194/CUENTAS!$AB194,"")</f>
        <v>0.05609358804</v>
      </c>
      <c r="Y205" s="459">
        <f>IF(CUENTAS!G194/CUENTAS!$AB194&lt;&gt;0,CUENTAS!G194/CUENTAS!$AB194,"")</f>
        <v>0.07079773247</v>
      </c>
      <c r="Z205" s="459">
        <f>IF(CUENTAS!H194/CUENTAS!$AB194&lt;&gt;0,CUENTAS!H194/CUENTAS!$AB194,"")</f>
        <v>0.05788298127</v>
      </c>
      <c r="AA205" s="459">
        <f>IF(CUENTAS!I194/CUENTAS!$AB194&lt;&gt;0,CUENTAS!I194/CUENTAS!$AB194,"")</f>
        <v>0.1140008817</v>
      </c>
      <c r="AB205" s="459">
        <f>IF(CUENTAS!J194/CUENTAS!$AB194&lt;&gt;0,CUENTAS!J194/CUENTAS!$AB194,"")</f>
        <v>0.230416796</v>
      </c>
      <c r="AC205" s="459">
        <f>IF(CUENTAS!K194/CUENTAS!$AB194&lt;&gt;0,CUENTAS!K194/CUENTAS!$AB194,"")</f>
        <v>0.09058803269</v>
      </c>
      <c r="AD205" s="459">
        <f>IF(CUENTAS!L194/CUENTAS!$AB194&lt;&gt;0,CUENTAS!L194/CUENTAS!$AB194,"")</f>
        <v>0.012879093</v>
      </c>
      <c r="AE205" s="459">
        <f>IF(CUENTAS!M194/CUENTAS!$AB194&lt;&gt;0,CUENTAS!M194/CUENTAS!$AB194,"")</f>
        <v>0.1270517824</v>
      </c>
      <c r="AF205" s="459" t="str">
        <f>IF(CUENTAS!N194/CUENTAS!$AB194&lt;&gt;0,CUENTAS!N194/CUENTAS!$AB194,"")</f>
        <v/>
      </c>
      <c r="AG205" s="459" t="str">
        <f>IF(CUENTAS!O194/CUENTAS!$AB194&lt;&gt;0,CUENTAS!O194/CUENTAS!$AB194,"")</f>
        <v/>
      </c>
      <c r="AH205" s="459">
        <f>IF(CUENTAS!P194/CUENTAS!$AB194&lt;&gt;0,CUENTAS!P194/CUENTAS!$AB194,"")</f>
        <v>0.06199664073</v>
      </c>
      <c r="AI205" s="459">
        <f>IF(CUENTAS!R194/CUENTAS!$AB194&lt;&gt;0,CUENTAS!R194/CUENTAS!$AB194,"")</f>
        <v>0.06402267474</v>
      </c>
      <c r="AJ205" s="459" t="str">
        <f>IF(CUENTAS!B194/CUENTAS!$AB194&lt;&gt;0,CUENTAS!B194/CUENTAS!$AB194,"")</f>
        <v/>
      </c>
      <c r="AK205" s="459">
        <f>IF(CUENTAS!S194/CUENTAS!$AB194&lt;&gt;0,CUENTAS!S194/CUENTAS!$AB194,"")</f>
        <v>0.02555411118</v>
      </c>
      <c r="AL205" s="459">
        <f>IF(CUENTAS!T194/CUENTAS!$AB194&lt;&gt;0,CUENTAS!T194/CUENTAS!$AB194,"")</f>
        <v>0.05444034428</v>
      </c>
      <c r="AM205" s="459">
        <f>IF(CUENTAS!U194/CUENTAS!$AB194&lt;&gt;0,CUENTAS!U194/CUENTAS!$AB194,"")</f>
        <v>0.1481558753</v>
      </c>
      <c r="AN205" s="459">
        <f>IF(CUENTAS!V194/CUENTAS!$AB194&lt;&gt;0,CUENTAS!V194/CUENTAS!$AB194,"")</f>
        <v>0.008016611374</v>
      </c>
      <c r="AO205" s="459">
        <f>IF(CUENTAS!W194/CUENTAS!$AB194&lt;&gt;0,CUENTAS!W194/CUENTAS!$AB194,"")</f>
        <v>0.103054301</v>
      </c>
      <c r="AP205" s="459" t="str">
        <f>IF(CUENTAS!X194/CUENTAS!$AB194&lt;&gt;0,CUENTAS!X194/CUENTAS!$AB194,"")</f>
        <v/>
      </c>
      <c r="AQ205" s="459" t="str">
        <f>IF(CUENTAS!Y194/CUENTAS!$AB194&lt;&gt;0,CUENTAS!Y194/CUENTAS!$AB194,"")</f>
        <v/>
      </c>
      <c r="AR205" s="459">
        <f>IF(CUENTAS!AA194/CUENTAS!$AB194&lt;&gt;0,CUENTAS!AA194/CUENTAS!$AB194,"")</f>
        <v>0.06285195125</v>
      </c>
    </row>
    <row r="206">
      <c r="A206" s="474"/>
      <c r="B206" s="200"/>
      <c r="C206" s="200"/>
      <c r="F206" s="200"/>
      <c r="G206" s="200"/>
      <c r="J206" s="470">
        <v>45454.0</v>
      </c>
      <c r="K206" s="466">
        <f>SUMIF(GRAFICO!A:A,J206,GRAFICO!B:B)</f>
        <v>11997.10377</v>
      </c>
      <c r="L206" s="467">
        <f t="shared" si="2"/>
        <v>0.1720109357</v>
      </c>
      <c r="M206" s="468">
        <v>45819.0</v>
      </c>
      <c r="N206" s="469">
        <f>IF(SUMIF(GRAFICO!A:A,M206,GRAFICO!B:B)=0,"",SUMIF(GRAFICO!A:A,M206,GRAFICO!B:B))</f>
        <v>17139.97064</v>
      </c>
      <c r="O206" s="467">
        <f t="shared" si="3"/>
        <v>0.2083399255</v>
      </c>
      <c r="P206" s="465">
        <v>46184.0</v>
      </c>
      <c r="Q206" s="463" t="str">
        <f>IF(SUMIF(GRAFICO!A:A,P206,GRAFICO!B:B)=0,"",SUMIF(GRAFICO!A:A,P206,GRAFICO!B:B))</f>
        <v/>
      </c>
      <c r="R206" s="463" t="str">
        <f t="shared" si="4"/>
        <v/>
      </c>
      <c r="S206" s="471">
        <f>CUENTAS!A195</f>
        <v>45907</v>
      </c>
      <c r="T206" s="459">
        <f>IF(CUENTAS!Q195/CUENTAS!$AB195&lt;&gt;0,CUENTAS!Q195/CUENTAS!$AB195,"")</f>
        <v>0.08920944458</v>
      </c>
      <c r="U206" s="459" t="str">
        <f>IF(CUENTAS!C195/CUENTAS!$AB195&lt;&gt;0,CUENTAS!C195/CUENTAS!$AB195,"")</f>
        <v/>
      </c>
      <c r="V206" s="459" t="str">
        <f>IF(CUENTAS!D195/CUENTAS!$AB195&lt;&gt;0,CUENTAS!D195/CUENTAS!$AB195,"")</f>
        <v/>
      </c>
      <c r="W206" s="459">
        <f>IF(CUENTAS!E195/CUENTAS!$AB195&lt;&gt;0,CUENTAS!E195/CUENTAS!$AB195,"")</f>
        <v>0.02171493847</v>
      </c>
      <c r="X206" s="459">
        <f>IF(CUENTAS!F195/CUENTAS!$AB195&lt;&gt;0,CUENTAS!F195/CUENTAS!$AB195,"")</f>
        <v>0.056421061</v>
      </c>
      <c r="Y206" s="459">
        <f>IF(CUENTAS!G195/CUENTAS!$AB195&lt;&gt;0,CUENTAS!G195/CUENTAS!$AB195,"")</f>
        <v>0.07108388528</v>
      </c>
      <c r="Z206" s="459">
        <f>IF(CUENTAS!H195/CUENTAS!$AB195&lt;&gt;0,CUENTAS!H195/CUENTAS!$AB195,"")</f>
        <v>0.05683189397</v>
      </c>
      <c r="AA206" s="459">
        <f>IF(CUENTAS!I195/CUENTAS!$AB195&lt;&gt;0,CUENTAS!I195/CUENTAS!$AB195,"")</f>
        <v>0.1144903447</v>
      </c>
      <c r="AB206" s="459">
        <f>IF(CUENTAS!J195/CUENTAS!$AB195&lt;&gt;0,CUENTAS!J195/CUENTAS!$AB195,"")</f>
        <v>0.2317619635</v>
      </c>
      <c r="AC206" s="459">
        <f>IF(CUENTAS!K195/CUENTAS!$AB195&lt;&gt;0,CUENTAS!K195/CUENTAS!$AB195,"")</f>
        <v>0.0908919034</v>
      </c>
      <c r="AD206" s="459">
        <f>IF(CUENTAS!L195/CUENTAS!$AB195&lt;&gt;0,CUENTAS!L195/CUENTAS!$AB195,"")</f>
        <v>0.06276614796</v>
      </c>
      <c r="AE206" s="459">
        <f>IF(CUENTAS!M195/CUENTAS!$AB195&lt;&gt;0,CUENTAS!M195/CUENTAS!$AB195,"")</f>
        <v>0.1277935075</v>
      </c>
      <c r="AF206" s="459" t="str">
        <f>IF(CUENTAS!N195/CUENTAS!$AB195&lt;&gt;0,CUENTAS!N195/CUENTAS!$AB195,"")</f>
        <v/>
      </c>
      <c r="AG206" s="459" t="str">
        <f>IF(CUENTAS!O195/CUENTAS!$AB195&lt;&gt;0,CUENTAS!O195/CUENTAS!$AB195,"")</f>
        <v/>
      </c>
      <c r="AH206" s="459">
        <f>IF(CUENTAS!P195/CUENTAS!$AB195&lt;&gt;0,CUENTAS!P195/CUENTAS!$AB195,"")</f>
        <v>0.06235857557</v>
      </c>
      <c r="AI206" s="459">
        <f>IF(CUENTAS!R195/CUENTAS!$AB195&lt;&gt;0,CUENTAS!R195/CUENTAS!$AB195,"")</f>
        <v>0.06439643751</v>
      </c>
      <c r="AJ206" s="459" t="str">
        <f>IF(CUENTAS!B195/CUENTAS!$AB195&lt;&gt;0,CUENTAS!B195/CUENTAS!$AB195,"")</f>
        <v/>
      </c>
      <c r="AK206" s="459">
        <f>IF(CUENTAS!S195/CUENTAS!$AB195&lt;&gt;0,CUENTAS!S195/CUENTAS!$AB195,"")</f>
        <v>0.02562603216</v>
      </c>
      <c r="AL206" s="459">
        <f>IF(CUENTAS!T195/CUENTAS!$AB195&lt;&gt;0,CUENTAS!T195/CUENTAS!$AB195,"")</f>
        <v>0.05470925696</v>
      </c>
      <c r="AM206" s="459">
        <f>IF(CUENTAS!U195/CUENTAS!$AB195&lt;&gt;0,CUENTAS!U195/CUENTAS!$AB195,"")</f>
        <v>0.1484731307</v>
      </c>
      <c r="AN206" s="459">
        <f>IF(CUENTAS!V195/CUENTAS!$AB195&lt;&gt;0,CUENTAS!V195/CUENTAS!$AB195,"")</f>
        <v>0.00806341215</v>
      </c>
      <c r="AO206" s="459">
        <f>IF(CUENTAS!W195/CUENTAS!$AB195&lt;&gt;0,CUENTAS!W195/CUENTAS!$AB195,"")</f>
        <v>0.08997674036</v>
      </c>
      <c r="AP206" s="459" t="str">
        <f>IF(CUENTAS!X195/CUENTAS!$AB195&lt;&gt;0,CUENTAS!X195/CUENTAS!$AB195,"")</f>
        <v/>
      </c>
      <c r="AQ206" s="459" t="str">
        <f>IF(CUENTAS!Y195/CUENTAS!$AB195&lt;&gt;0,CUENTAS!Y195/CUENTAS!$AB195,"")</f>
        <v/>
      </c>
      <c r="AR206" s="459">
        <f>IF(CUENTAS!AA195/CUENTAS!$AB195&lt;&gt;0,CUENTAS!AA195/CUENTAS!$AB195,"")</f>
        <v>0.02409192999</v>
      </c>
    </row>
    <row r="207">
      <c r="A207" s="474"/>
      <c r="B207" s="200"/>
      <c r="C207" s="200"/>
      <c r="F207" s="200"/>
      <c r="G207" s="200"/>
      <c r="J207" s="470">
        <v>45453.0</v>
      </c>
      <c r="K207" s="466">
        <f>SUMIF(GRAFICO!A:A,J207,GRAFICO!B:B)</f>
        <v>12128.53475</v>
      </c>
      <c r="L207" s="467">
        <f t="shared" si="2"/>
        <v>0.182906588</v>
      </c>
      <c r="M207" s="468">
        <v>45818.0</v>
      </c>
      <c r="N207" s="469">
        <f>IF(SUMIF(GRAFICO!A:A,M207,GRAFICO!B:B)=0,"",SUMIF(GRAFICO!A:A,M207,GRAFICO!B:B))</f>
        <v>16863.29225</v>
      </c>
      <c r="O207" s="467">
        <f t="shared" si="3"/>
        <v>0.1920659285</v>
      </c>
      <c r="P207" s="468">
        <v>46183.0</v>
      </c>
      <c r="Q207" s="463" t="str">
        <f>IF(SUMIF(GRAFICO!A:A,P207,GRAFICO!B:B)=0,"",SUMIF(GRAFICO!A:A,P207,GRAFICO!B:B))</f>
        <v/>
      </c>
      <c r="R207" s="463" t="str">
        <f t="shared" si="4"/>
        <v/>
      </c>
      <c r="S207" s="471">
        <f>CUENTAS!A196</f>
        <v>45906</v>
      </c>
      <c r="T207" s="459">
        <f>IF(CUENTAS!Q196/CUENTAS!$AB196&lt;&gt;0,CUENTAS!Q196/CUENTAS!$AB196,"")</f>
        <v>0.08954300298</v>
      </c>
      <c r="U207" s="459" t="str">
        <f>IF(CUENTAS!C196/CUENTAS!$AB196&lt;&gt;0,CUENTAS!C196/CUENTAS!$AB196,"")</f>
        <v/>
      </c>
      <c r="V207" s="459" t="str">
        <f>IF(CUENTAS!D196/CUENTAS!$AB196&lt;&gt;0,CUENTAS!D196/CUENTAS!$AB196,"")</f>
        <v/>
      </c>
      <c r="W207" s="459">
        <f>IF(CUENTAS!E196/CUENTAS!$AB196&lt;&gt;0,CUENTAS!E196/CUENTAS!$AB196,"")</f>
        <v>0.02168882734</v>
      </c>
      <c r="X207" s="459">
        <f>IF(CUENTAS!F196/CUENTAS!$AB196&lt;&gt;0,CUENTAS!F196/CUENTAS!$AB196,"")</f>
        <v>0.05663202206</v>
      </c>
      <c r="Y207" s="459">
        <f>IF(CUENTAS!G196/CUENTAS!$AB196&lt;&gt;0,CUENTAS!G196/CUENTAS!$AB196,"")</f>
        <v>0.07134967135</v>
      </c>
      <c r="Z207" s="459">
        <f>IF(CUENTAS!H196/CUENTAS!$AB196&lt;&gt;0,CUENTAS!H196/CUENTAS!$AB196,"")</f>
        <v>0.05704439115</v>
      </c>
      <c r="AA207" s="459">
        <f>IF(CUENTAS!I196/CUENTAS!$AB196&lt;&gt;0,CUENTAS!I196/CUENTAS!$AB196,"")</f>
        <v>0.1149184297</v>
      </c>
      <c r="AB207" s="459">
        <f>IF(CUENTAS!J196/CUENTAS!$AB196&lt;&gt;0,CUENTAS!J196/CUENTAS!$AB196,"")</f>
        <v>0.2326285326</v>
      </c>
      <c r="AC207" s="459">
        <f>IF(CUENTAS!K196/CUENTAS!$AB196&lt;&gt;0,CUENTAS!K196/CUENTAS!$AB196,"")</f>
        <v>0.0912317526</v>
      </c>
      <c r="AD207" s="459">
        <f>IF(CUENTAS!L196/CUENTAS!$AB196&lt;&gt;0,CUENTAS!L196/CUENTAS!$AB196,"")</f>
        <v>0.0630008336</v>
      </c>
      <c r="AE207" s="459">
        <f>IF(CUENTAS!M196/CUENTAS!$AB196&lt;&gt;0,CUENTAS!M196/CUENTAS!$AB196,"")</f>
        <v>0.1282713336</v>
      </c>
      <c r="AF207" s="459" t="str">
        <f>IF(CUENTAS!N196/CUENTAS!$AB196&lt;&gt;0,CUENTAS!N196/CUENTAS!$AB196,"")</f>
        <v/>
      </c>
      <c r="AG207" s="459" t="str">
        <f>IF(CUENTAS!O196/CUENTAS!$AB196&lt;&gt;0,CUENTAS!O196/CUENTAS!$AB196,"")</f>
        <v/>
      </c>
      <c r="AH207" s="459">
        <f>IF(CUENTAS!P196/CUENTAS!$AB196&lt;&gt;0,CUENTAS!P196/CUENTAS!$AB196,"")</f>
        <v>0.06259173728</v>
      </c>
      <c r="AI207" s="459">
        <f>IF(CUENTAS!R196/CUENTAS!$AB196&lt;&gt;0,CUENTAS!R196/CUENTAS!$AB196,"")</f>
        <v>0.06463721889</v>
      </c>
      <c r="AJ207" s="459" t="str">
        <f>IF(CUENTAS!B196/CUENTAS!$AB196&lt;&gt;0,CUENTAS!B196/CUENTAS!$AB196,"")</f>
        <v/>
      </c>
      <c r="AK207" s="459">
        <f>IF(CUENTAS!S196/CUENTAS!$AB196&lt;&gt;0,CUENTAS!S196/CUENTAS!$AB196,"")</f>
        <v>0.02564429696</v>
      </c>
      <c r="AL207" s="459">
        <f>IF(CUENTAS!T196/CUENTAS!$AB196&lt;&gt;0,CUENTAS!T196/CUENTAS!$AB196,"")</f>
        <v>0.05486472595</v>
      </c>
      <c r="AM207" s="459">
        <f>IF(CUENTAS!U196/CUENTAS!$AB196&lt;&gt;0,CUENTAS!U196/CUENTAS!$AB196,"")</f>
        <v>0.1484785561</v>
      </c>
      <c r="AN207" s="459">
        <f>IF(CUENTAS!V196/CUENTAS!$AB196&lt;&gt;0,CUENTAS!V196/CUENTAS!$AB196,"")</f>
        <v>0.01005722398</v>
      </c>
      <c r="AO207" s="459">
        <f>IF(CUENTAS!W196/CUENTAS!$AB196&lt;&gt;0,CUENTAS!W196/CUENTAS!$AB196,"")</f>
        <v>0.08504294344</v>
      </c>
      <c r="AP207" s="459" t="str">
        <f>IF(CUENTAS!X196/CUENTAS!$AB196&lt;&gt;0,CUENTAS!X196/CUENTAS!$AB196,"")</f>
        <v/>
      </c>
      <c r="AQ207" s="459" t="str">
        <f>IF(CUENTAS!Y196/CUENTAS!$AB196&lt;&gt;0,CUENTAS!Y196/CUENTAS!$AB196,"")</f>
        <v/>
      </c>
      <c r="AR207" s="459">
        <f>IF(CUENTAS!AA196/CUENTAS!$AB196&lt;&gt;0,CUENTAS!AA196/CUENTAS!$AB196,"")</f>
        <v>0.02418201088</v>
      </c>
    </row>
    <row r="208">
      <c r="A208" s="474"/>
      <c r="B208" s="200"/>
      <c r="C208" s="200"/>
      <c r="F208" s="200"/>
      <c r="G208" s="200"/>
      <c r="J208" s="470">
        <v>45452.0</v>
      </c>
      <c r="K208" s="466">
        <f>SUMIF(GRAFICO!A:A,J208,GRAFICO!B:B)</f>
        <v>12135.50515</v>
      </c>
      <c r="L208" s="467">
        <f t="shared" si="2"/>
        <v>0.1834811336</v>
      </c>
      <c r="M208" s="468">
        <v>45817.0</v>
      </c>
      <c r="N208" s="469">
        <f>IF(SUMIF(GRAFICO!A:A,M208,GRAFICO!B:B)=0,"",SUMIF(GRAFICO!A:A,M208,GRAFICO!B:B))</f>
        <v>16763.67603</v>
      </c>
      <c r="O208" s="467">
        <f t="shared" si="3"/>
        <v>0.1861411294</v>
      </c>
      <c r="P208" s="465">
        <v>46182.0</v>
      </c>
      <c r="Q208" s="463" t="str">
        <f>IF(SUMIF(GRAFICO!A:A,P208,GRAFICO!B:B)=0,"",SUMIF(GRAFICO!A:A,P208,GRAFICO!B:B))</f>
        <v/>
      </c>
      <c r="R208" s="463" t="str">
        <f t="shared" si="4"/>
        <v/>
      </c>
      <c r="S208" s="471">
        <f>CUENTAS!A197</f>
        <v>45905</v>
      </c>
      <c r="T208" s="459">
        <f>IF(CUENTAS!Q197/CUENTAS!$AB197&lt;&gt;0,CUENTAS!Q197/CUENTAS!$AB197,"")</f>
        <v>0.08970363402</v>
      </c>
      <c r="U208" s="459" t="str">
        <f>IF(CUENTAS!C197/CUENTAS!$AB197&lt;&gt;0,CUENTAS!C197/CUENTAS!$AB197,"")</f>
        <v/>
      </c>
      <c r="V208" s="459" t="str">
        <f>IF(CUENTAS!D197/CUENTAS!$AB197&lt;&gt;0,CUENTAS!D197/CUENTAS!$AB197,"")</f>
        <v/>
      </c>
      <c r="W208" s="459">
        <f>IF(CUENTAS!E197/CUENTAS!$AB197&lt;&gt;0,CUENTAS!E197/CUENTAS!$AB197,"")</f>
        <v>0.02162023807</v>
      </c>
      <c r="X208" s="459">
        <f>IF(CUENTAS!F197/CUENTAS!$AB197&lt;&gt;0,CUENTAS!F197/CUENTAS!$AB197,"")</f>
        <v>0.05673361415</v>
      </c>
      <c r="Y208" s="459">
        <f>IF(CUENTAS!G197/CUENTAS!$AB197&lt;&gt;0,CUENTAS!G197/CUENTAS!$AB197,"")</f>
        <v>0.0714776654</v>
      </c>
      <c r="Z208" s="459">
        <f>IF(CUENTAS!H197/CUENTAS!$AB197&lt;&gt;0,CUENTAS!H197/CUENTAS!$AB197,"")</f>
        <v>0.05714672299</v>
      </c>
      <c r="AA208" s="459">
        <f>IF(CUENTAS!I197/CUENTAS!$AB197&lt;&gt;0,CUENTAS!I197/CUENTAS!$AB197,"")</f>
        <v>0.1151245816</v>
      </c>
      <c r="AB208" s="459">
        <f>IF(CUENTAS!J197/CUENTAS!$AB197&lt;&gt;0,CUENTAS!J197/CUENTAS!$AB197,"")</f>
        <v>0.2330458445</v>
      </c>
      <c r="AC208" s="459">
        <f>IF(CUENTAS!K197/CUENTAS!$AB197&lt;&gt;0,CUENTAS!K197/CUENTAS!$AB197,"")</f>
        <v>0.09139541309</v>
      </c>
      <c r="AD208" s="459">
        <f>IF(CUENTAS!L197/CUENTAS!$AB197&lt;&gt;0,CUENTAS!L197/CUENTAS!$AB197,"")</f>
        <v>0.06311385069</v>
      </c>
      <c r="AE208" s="459">
        <f>IF(CUENTAS!M197/CUENTAS!$AB197&lt;&gt;0,CUENTAS!M197/CUENTAS!$AB197,"")</f>
        <v>0.1285014393</v>
      </c>
      <c r="AF208" s="459" t="str">
        <f>IF(CUENTAS!N197/CUENTAS!$AB197&lt;&gt;0,CUENTAS!N197/CUENTAS!$AB197,"")</f>
        <v/>
      </c>
      <c r="AG208" s="459" t="str">
        <f>IF(CUENTAS!O197/CUENTAS!$AB197&lt;&gt;0,CUENTAS!O197/CUENTAS!$AB197,"")</f>
        <v/>
      </c>
      <c r="AH208" s="459">
        <f>IF(CUENTAS!P197/CUENTAS!$AB197&lt;&gt;0,CUENTAS!P197/CUENTAS!$AB197,"")</f>
        <v>0.06270402049</v>
      </c>
      <c r="AI208" s="459">
        <f>IF(CUENTAS!R197/CUENTAS!$AB197&lt;&gt;0,CUENTAS!R197/CUENTAS!$AB197,"")</f>
        <v>0.06475317149</v>
      </c>
      <c r="AJ208" s="459" t="str">
        <f>IF(CUENTAS!B197/CUENTAS!$AB197&lt;&gt;0,CUENTAS!B197/CUENTAS!$AB197,"")</f>
        <v/>
      </c>
      <c r="AK208" s="459">
        <f>IF(CUENTAS!S197/CUENTAS!$AB197&lt;&gt;0,CUENTAS!S197/CUENTAS!$AB197,"")</f>
        <v>0.02561260893</v>
      </c>
      <c r="AL208" s="459">
        <f>IF(CUENTAS!T197/CUENTAS!$AB197&lt;&gt;0,CUENTAS!T197/CUENTAS!$AB197,"")</f>
        <v>0.05491396806</v>
      </c>
      <c r="AM208" s="459">
        <f>IF(CUENTAS!U197/CUENTAS!$AB197&lt;&gt;0,CUENTAS!U197/CUENTAS!$AB197,"")</f>
        <v>0.1481942026</v>
      </c>
      <c r="AN208" s="459">
        <f>IF(CUENTAS!V197/CUENTAS!$AB197&lt;&gt;0,CUENTAS!V197/CUENTAS!$AB197,"")</f>
        <v>0.01007526562</v>
      </c>
      <c r="AO208" s="459">
        <f>IF(CUENTAS!W197/CUENTAS!$AB197&lt;&gt;0,CUENTAS!W197/CUENTAS!$AB197,"")</f>
        <v>0.08383486557</v>
      </c>
      <c r="AP208" s="459" t="str">
        <f>IF(CUENTAS!X197/CUENTAS!$AB197&lt;&gt;0,CUENTAS!X197/CUENTAS!$AB197,"")</f>
        <v/>
      </c>
      <c r="AQ208" s="459" t="str">
        <f>IF(CUENTAS!Y197/CUENTAS!$AB197&lt;&gt;0,CUENTAS!Y197/CUENTAS!$AB197,"")</f>
        <v/>
      </c>
      <c r="AR208" s="459">
        <f>IF(CUENTAS!AA197/CUENTAS!$AB197&lt;&gt;0,CUENTAS!AA197/CUENTAS!$AB197,"")</f>
        <v>0.02422539094</v>
      </c>
    </row>
    <row r="209">
      <c r="A209" s="474"/>
      <c r="B209" s="200"/>
      <c r="C209" s="200"/>
      <c r="F209" s="200"/>
      <c r="G209" s="200"/>
      <c r="J209" s="465">
        <v>45451.0</v>
      </c>
      <c r="K209" s="466">
        <f>SUMIF(GRAFICO!A:A,J209,GRAFICO!B:B)</f>
        <v>12136.91328</v>
      </c>
      <c r="L209" s="467">
        <f t="shared" si="2"/>
        <v>0.1835971608</v>
      </c>
      <c r="M209" s="468">
        <v>45816.0</v>
      </c>
      <c r="N209" s="469">
        <f>IF(SUMIF(GRAFICO!A:A,M209,GRAFICO!B:B)=0,"",SUMIF(GRAFICO!A:A,M209,GRAFICO!B:B))</f>
        <v>16815.36062</v>
      </c>
      <c r="O209" s="467">
        <f t="shared" si="3"/>
        <v>0.1892195163</v>
      </c>
      <c r="P209" s="468">
        <v>46181.0</v>
      </c>
      <c r="Q209" s="463" t="str">
        <f>IF(SUMIF(GRAFICO!A:A,P209,GRAFICO!B:B)=0,"",SUMIF(GRAFICO!A:A,P209,GRAFICO!B:B))</f>
        <v/>
      </c>
      <c r="R209" s="463" t="str">
        <f t="shared" si="4"/>
        <v/>
      </c>
      <c r="S209" s="471">
        <f>CUENTAS!A198</f>
        <v>45904</v>
      </c>
      <c r="T209" s="459">
        <f>IF(CUENTAS!Q198/CUENTAS!$AB198&lt;&gt;0,CUENTAS!Q198/CUENTAS!$AB198,"")</f>
        <v>0.09073258614</v>
      </c>
      <c r="U209" s="459" t="str">
        <f>IF(CUENTAS!C198/CUENTAS!$AB198&lt;&gt;0,CUENTAS!C198/CUENTAS!$AB198,"")</f>
        <v/>
      </c>
      <c r="V209" s="459" t="str">
        <f>IF(CUENTAS!D198/CUENTAS!$AB198&lt;&gt;0,CUENTAS!D198/CUENTAS!$AB198,"")</f>
        <v/>
      </c>
      <c r="W209" s="459">
        <f>IF(CUENTAS!E198/CUENTAS!$AB198&lt;&gt;0,CUENTAS!E198/CUENTAS!$AB198,"")</f>
        <v>0.02163928647</v>
      </c>
      <c r="X209" s="459">
        <f>IF(CUENTAS!F198/CUENTAS!$AB198&lt;&gt;0,CUENTAS!F198/CUENTAS!$AB198,"")</f>
        <v>0.05706734045</v>
      </c>
      <c r="Y209" s="459">
        <f>IF(CUENTAS!G198/CUENTAS!$AB198&lt;&gt;0,CUENTAS!G198/CUENTAS!$AB198,"")</f>
        <v>0.06829678418</v>
      </c>
      <c r="Z209" s="459">
        <f>IF(CUENTAS!H198/CUENTAS!$AB198&lt;&gt;0,CUENTAS!H198/CUENTAS!$AB198,"")</f>
        <v>0.05876907113</v>
      </c>
      <c r="AA209" s="459">
        <f>IF(CUENTAS!I198/CUENTAS!$AB198&lt;&gt;0,CUENTAS!I198/CUENTAS!$AB198,"")</f>
        <v>0.1130414179</v>
      </c>
      <c r="AB209" s="459">
        <f>IF(CUENTAS!J198/CUENTAS!$AB198&lt;&gt;0,CUENTAS!J198/CUENTAS!$AB198,"")</f>
        <v>0.2341528648</v>
      </c>
      <c r="AC209" s="459">
        <f>IF(CUENTAS!K198/CUENTAS!$AB198&lt;&gt;0,CUENTAS!K198/CUENTAS!$AB198,"")</f>
        <v>0.09140206546</v>
      </c>
      <c r="AD209" s="459">
        <f>IF(CUENTAS!L198/CUENTAS!$AB198&lt;&gt;0,CUENTAS!L198/CUENTAS!$AB198,"")</f>
        <v>0.06348510771</v>
      </c>
      <c r="AE209" s="459">
        <f>IF(CUENTAS!M198/CUENTAS!$AB198&lt;&gt;0,CUENTAS!M198/CUENTAS!$AB198,"")</f>
        <v>0.1305484669</v>
      </c>
      <c r="AF209" s="459" t="str">
        <f>IF(CUENTAS!N198/CUENTAS!$AB198&lt;&gt;0,CUENTAS!N198/CUENTAS!$AB198,"")</f>
        <v/>
      </c>
      <c r="AG209" s="459" t="str">
        <f>IF(CUENTAS!O198/CUENTAS!$AB198&lt;&gt;0,CUENTAS!O198/CUENTAS!$AB198,"")</f>
        <v/>
      </c>
      <c r="AH209" s="459">
        <f>IF(CUENTAS!P198/CUENTAS!$AB198&lt;&gt;0,CUENTAS!P198/CUENTAS!$AB198,"")</f>
        <v>0.06307286675</v>
      </c>
      <c r="AI209" s="459">
        <f>IF(CUENTAS!R198/CUENTAS!$AB198&lt;&gt;0,CUENTAS!R198/CUENTAS!$AB198,"")</f>
        <v>0.06513407154</v>
      </c>
      <c r="AJ209" s="459" t="str">
        <f>IF(CUENTAS!B198/CUENTAS!$AB198&lt;&gt;0,CUENTAS!B198/CUENTAS!$AB198,"")</f>
        <v/>
      </c>
      <c r="AK209" s="459">
        <f>IF(CUENTAS!S198/CUENTAS!$AB198&lt;&gt;0,CUENTAS!S198/CUENTAS!$AB198,"")</f>
        <v>0.02568512266</v>
      </c>
      <c r="AL209" s="459">
        <f>IF(CUENTAS!T198/CUENTAS!$AB198&lt;&gt;0,CUENTAS!T198/CUENTAS!$AB198,"")</f>
        <v>0.05518752168</v>
      </c>
      <c r="AM209" s="459">
        <f>IF(CUENTAS!U198/CUENTAS!$AB198&lt;&gt;0,CUENTAS!U198/CUENTAS!$AB198,"")</f>
        <v>0.1485119827</v>
      </c>
      <c r="AN209" s="459">
        <f>IF(CUENTAS!V198/CUENTAS!$AB198&lt;&gt;0,CUENTAS!V198/CUENTAS!$AB198,"")</f>
        <v>0.01013453174</v>
      </c>
      <c r="AO209" s="459">
        <f>IF(CUENTAS!W198/CUENTAS!$AB198&lt;&gt;0,CUENTAS!W198/CUENTAS!$AB198,"")</f>
        <v>0.08295937062</v>
      </c>
      <c r="AP209" s="459" t="str">
        <f>IF(CUENTAS!X198/CUENTAS!$AB198&lt;&gt;0,CUENTAS!X198/CUENTAS!$AB198,"")</f>
        <v/>
      </c>
      <c r="AQ209" s="459" t="str">
        <f>IF(CUENTAS!Y198/CUENTAS!$AB198&lt;&gt;0,CUENTAS!Y198/CUENTAS!$AB198,"")</f>
        <v/>
      </c>
      <c r="AR209" s="459">
        <f>IF(CUENTAS!AA198/CUENTAS!$AB198&lt;&gt;0,CUENTAS!AA198/CUENTAS!$AB198,"")</f>
        <v>0.02436789289</v>
      </c>
    </row>
    <row r="210">
      <c r="A210" s="474"/>
      <c r="B210" s="200"/>
      <c r="C210" s="200"/>
      <c r="F210" s="200"/>
      <c r="G210" s="200"/>
      <c r="J210" s="465">
        <v>45450.0</v>
      </c>
      <c r="K210" s="466">
        <f>SUMIF(GRAFICO!A:A,J210,GRAFICO!B:B)</f>
        <v>12149.45835</v>
      </c>
      <c r="L210" s="467">
        <f t="shared" si="2"/>
        <v>0.1846302557</v>
      </c>
      <c r="M210" s="468">
        <v>45815.0</v>
      </c>
      <c r="N210" s="469">
        <f>IF(SUMIF(GRAFICO!A:A,M210,GRAFICO!B:B)=0,"",SUMIF(GRAFICO!A:A,M210,GRAFICO!B:B))</f>
        <v>16816.12989</v>
      </c>
      <c r="O210" s="467">
        <f t="shared" si="3"/>
        <v>0.1892652633</v>
      </c>
      <c r="P210" s="465">
        <v>46180.0</v>
      </c>
      <c r="Q210" s="463" t="str">
        <f>IF(SUMIF(GRAFICO!A:A,P210,GRAFICO!B:B)=0,"",SUMIF(GRAFICO!A:A,P210,GRAFICO!B:B))</f>
        <v/>
      </c>
      <c r="R210" s="463" t="str">
        <f t="shared" si="4"/>
        <v/>
      </c>
      <c r="S210" s="471">
        <f>CUENTAS!A199</f>
        <v>45903</v>
      </c>
      <c r="T210" s="459">
        <f>IF(CUENTAS!Q199/CUENTAS!$AB199&lt;&gt;0,CUENTAS!Q199/CUENTAS!$AB199,"")</f>
        <v>0.09176726668</v>
      </c>
      <c r="U210" s="459" t="str">
        <f>IF(CUENTAS!C199/CUENTAS!$AB199&lt;&gt;0,CUENTAS!C199/CUENTAS!$AB199,"")</f>
        <v/>
      </c>
      <c r="V210" s="459" t="str">
        <f>IF(CUENTAS!D199/CUENTAS!$AB199&lt;&gt;0,CUENTAS!D199/CUENTAS!$AB199,"")</f>
        <v/>
      </c>
      <c r="W210" s="459">
        <f>IF(CUENTAS!E199/CUENTAS!$AB199&lt;&gt;0,CUENTAS!E199/CUENTAS!$AB199,"")</f>
        <v>0.02171669971</v>
      </c>
      <c r="X210" s="459">
        <f>IF(CUENTAS!F199/CUENTAS!$AB199&lt;&gt;0,CUENTAS!F199/CUENTAS!$AB199,"")</f>
        <v>0.05755911203</v>
      </c>
      <c r="Y210" s="459">
        <f>IF(CUENTAS!G199/CUENTAS!$AB199&lt;&gt;0,CUENTAS!G199/CUENTAS!$AB199,"")</f>
        <v>0.06862586918</v>
      </c>
      <c r="Z210" s="459">
        <f>IF(CUENTAS!H199/CUENTAS!$AB199&lt;&gt;0,CUENTAS!H199/CUENTAS!$AB199,"")</f>
        <v>0.05887634552</v>
      </c>
      <c r="AA210" s="459">
        <f>IF(CUENTAS!I199/CUENTAS!$AB199&lt;&gt;0,CUENTAS!I199/CUENTAS!$AB199,"")</f>
        <v>0.1120396897</v>
      </c>
      <c r="AB210" s="459">
        <f>IF(CUENTAS!J199/CUENTAS!$AB199&lt;&gt;0,CUENTAS!J199/CUENTAS!$AB199,"")</f>
        <v>0.2361706515</v>
      </c>
      <c r="AC210" s="459">
        <f>IF(CUENTAS!K199/CUENTAS!$AB199&lt;&gt;0,CUENTAS!K199/CUENTAS!$AB199,"")</f>
        <v>0.09081260503</v>
      </c>
      <c r="AD210" s="459">
        <f>IF(CUENTAS!L199/CUENTAS!$AB199&lt;&gt;0,CUENTAS!L199/CUENTAS!$AB199,"")</f>
        <v>0.06403218369</v>
      </c>
      <c r="AE210" s="459">
        <f>IF(CUENTAS!M199/CUENTAS!$AB199&lt;&gt;0,CUENTAS!M199/CUENTAS!$AB199,"")</f>
        <v>0.1286348359</v>
      </c>
      <c r="AF210" s="459" t="str">
        <f>IF(CUENTAS!N199/CUENTAS!$AB199&lt;&gt;0,CUENTAS!N199/CUENTAS!$AB199,"")</f>
        <v/>
      </c>
      <c r="AG210" s="459" t="str">
        <f>IF(CUENTAS!O199/CUENTAS!$AB199&lt;&gt;0,CUENTAS!O199/CUENTAS!$AB199,"")</f>
        <v/>
      </c>
      <c r="AH210" s="459">
        <f>IF(CUENTAS!P199/CUENTAS!$AB199&lt;&gt;0,CUENTAS!P199/CUENTAS!$AB199,"")</f>
        <v>0.06361639029</v>
      </c>
      <c r="AI210" s="459">
        <f>IF(CUENTAS!R199/CUENTAS!$AB199&lt;&gt;0,CUENTAS!R199/CUENTAS!$AB199,"")</f>
        <v>0.06569535729</v>
      </c>
      <c r="AJ210" s="459" t="str">
        <f>IF(CUENTAS!B199/CUENTAS!$AB199&lt;&gt;0,CUENTAS!B199/CUENTAS!$AB199,"")</f>
        <v/>
      </c>
      <c r="AK210" s="459">
        <f>IF(CUENTAS!S199/CUENTAS!$AB199&lt;&gt;0,CUENTAS!S199/CUENTAS!$AB199,"")</f>
        <v>0.02582763967</v>
      </c>
      <c r="AL210" s="459">
        <f>IF(CUENTAS!T199/CUENTAS!$AB199&lt;&gt;0,CUENTAS!T199/CUENTAS!$AB199,"")</f>
        <v>0.05561319891</v>
      </c>
      <c r="AM210" s="459">
        <f>IF(CUENTAS!U199/CUENTAS!$AB199&lt;&gt;0,CUENTAS!U199/CUENTAS!$AB199,"")</f>
        <v>0.1492330465</v>
      </c>
      <c r="AN210" s="459">
        <f>IF(CUENTAS!V199/CUENTAS!$AB199&lt;&gt;0,CUENTAS!V199/CUENTAS!$AB199,"")</f>
        <v>0.01022186496</v>
      </c>
      <c r="AO210" s="459">
        <f>IF(CUENTAS!W199/CUENTAS!$AB199&lt;&gt;0,CUENTAS!W199/CUENTAS!$AB199,"")</f>
        <v>0.08229382984</v>
      </c>
      <c r="AP210" s="459" t="str">
        <f>IF(CUENTAS!X199/CUENTAS!$AB199&lt;&gt;0,CUENTAS!X199/CUENTAS!$AB199,"")</f>
        <v/>
      </c>
      <c r="AQ210" s="459" t="str">
        <f>IF(CUENTAS!Y199/CUENTAS!$AB199&lt;&gt;0,CUENTAS!Y199/CUENTAS!$AB199,"")</f>
        <v/>
      </c>
      <c r="AR210" s="459">
        <f>IF(CUENTAS!AA199/CUENTAS!$AB199&lt;&gt;0,CUENTAS!AA199/CUENTAS!$AB199,"")</f>
        <v>0.02457788054</v>
      </c>
    </row>
    <row r="211">
      <c r="A211" s="474"/>
      <c r="B211" s="200"/>
      <c r="C211" s="200"/>
      <c r="F211" s="200"/>
      <c r="G211" s="200"/>
      <c r="J211" s="465">
        <v>45449.0</v>
      </c>
      <c r="K211" s="466">
        <f>SUMIF(GRAFICO!A:A,J211,GRAFICO!B:B)</f>
        <v>12136.90306</v>
      </c>
      <c r="L211" s="467">
        <f t="shared" si="2"/>
        <v>0.1835963188</v>
      </c>
      <c r="M211" s="468">
        <v>45814.0</v>
      </c>
      <c r="N211" s="469">
        <f>IF(SUMIF(GRAFICO!A:A,M211,GRAFICO!B:B)=0,"",SUMIF(GRAFICO!A:A,M211,GRAFICO!B:B))</f>
        <v>16793.2406</v>
      </c>
      <c r="O211" s="467">
        <f t="shared" si="3"/>
        <v>0.1879031855</v>
      </c>
      <c r="P211" s="468">
        <v>46179.0</v>
      </c>
      <c r="Q211" s="463" t="str">
        <f>IF(SUMIF(GRAFICO!A:A,P211,GRAFICO!B:B)=0,"",SUMIF(GRAFICO!A:A,P211,GRAFICO!B:B))</f>
        <v/>
      </c>
      <c r="R211" s="463" t="str">
        <f t="shared" si="4"/>
        <v/>
      </c>
      <c r="S211" s="471">
        <f>CUENTAS!A200</f>
        <v>45902</v>
      </c>
      <c r="T211" s="459">
        <f>IF(CUENTAS!Q200/CUENTAS!$AB200&lt;&gt;0,CUENTAS!Q200/CUENTAS!$AB200,"")</f>
        <v>0.0939490784</v>
      </c>
      <c r="U211" s="459" t="str">
        <f>IF(CUENTAS!C200/CUENTAS!$AB200&lt;&gt;0,CUENTAS!C200/CUENTAS!$AB200,"")</f>
        <v/>
      </c>
      <c r="V211" s="459" t="str">
        <f>IF(CUENTAS!D200/CUENTAS!$AB200&lt;&gt;0,CUENTAS!D200/CUENTAS!$AB200,"")</f>
        <v/>
      </c>
      <c r="W211" s="459">
        <f>IF(CUENTAS!E200/CUENTAS!$AB200&lt;&gt;0,CUENTAS!E200/CUENTAS!$AB200,"")</f>
        <v>0.02152830471</v>
      </c>
      <c r="X211" s="459">
        <f>IF(CUENTAS!F200/CUENTAS!$AB200&lt;&gt;0,CUENTAS!F200/CUENTAS!$AB200,"")</f>
        <v>0.05734777948</v>
      </c>
      <c r="Y211" s="459">
        <f>IF(CUENTAS!G200/CUENTAS!$AB200&lt;&gt;0,CUENTAS!G200/CUENTAS!$AB200,"")</f>
        <v>0.06850315544</v>
      </c>
      <c r="Z211" s="459">
        <f>IF(CUENTAS!H200/CUENTAS!$AB200&lt;&gt;0,CUENTAS!H200/CUENTAS!$AB200,"")</f>
        <v>0.05905787276</v>
      </c>
      <c r="AA211" s="459">
        <f>IF(CUENTAS!I200/CUENTAS!$AB200&lt;&gt;0,CUENTAS!I200/CUENTAS!$AB200,"")</f>
        <v>0.1111809196</v>
      </c>
      <c r="AB211" s="459">
        <f>IF(CUENTAS!J200/CUENTAS!$AB200&lt;&gt;0,CUENTAS!J200/CUENTAS!$AB200,"")</f>
        <v>0.2353035334</v>
      </c>
      <c r="AC211" s="459">
        <f>IF(CUENTAS!K200/CUENTAS!$AB200&lt;&gt;0,CUENTAS!K200/CUENTAS!$AB200,"")</f>
        <v>0.0918512314</v>
      </c>
      <c r="AD211" s="459">
        <f>IF(CUENTAS!L200/CUENTAS!$AB200&lt;&gt;0,CUENTAS!L200/CUENTAS!$AB200,"")</f>
        <v>0.06379708477</v>
      </c>
      <c r="AE211" s="459">
        <f>IF(CUENTAS!M200/CUENTAS!$AB200&lt;&gt;0,CUENTAS!M200/CUENTAS!$AB200,"")</f>
        <v>0.1313341701</v>
      </c>
      <c r="AF211" s="459" t="str">
        <f>IF(CUENTAS!N200/CUENTAS!$AB200&lt;&gt;0,CUENTAS!N200/CUENTAS!$AB200,"")</f>
        <v/>
      </c>
      <c r="AG211" s="459" t="str">
        <f>IF(CUENTAS!O200/CUENTAS!$AB200&lt;&gt;0,CUENTAS!O200/CUENTAS!$AB200,"")</f>
        <v/>
      </c>
      <c r="AH211" s="459">
        <f>IF(CUENTAS!P200/CUENTAS!$AB200&lt;&gt;0,CUENTAS!P200/CUENTAS!$AB200,"")</f>
        <v>0.06338281799</v>
      </c>
      <c r="AI211" s="459">
        <f>IF(CUENTAS!R200/CUENTAS!$AB200&lt;&gt;0,CUENTAS!R200/CUENTAS!$AB200,"")</f>
        <v>0.06545415191</v>
      </c>
      <c r="AJ211" s="459" t="str">
        <f>IF(CUENTAS!B200/CUENTAS!$AB200&lt;&gt;0,CUENTAS!B200/CUENTAS!$AB200,"")</f>
        <v/>
      </c>
      <c r="AK211" s="459">
        <f>IF(CUENTAS!S200/CUENTAS!$AB200&lt;&gt;0,CUENTAS!S200/CUENTAS!$AB200,"")</f>
        <v>0.02565427925</v>
      </c>
      <c r="AL211" s="459">
        <f>IF(CUENTAS!T200/CUENTAS!$AB200&lt;&gt;0,CUENTAS!T200/CUENTAS!$AB200,"")</f>
        <v>0.05535929891</v>
      </c>
      <c r="AM211" s="459">
        <f>IF(CUENTAS!U200/CUENTAS!$AB200&lt;&gt;0,CUENTAS!U200/CUENTAS!$AB200,"")</f>
        <v>0.1481284558</v>
      </c>
      <c r="AN211" s="459">
        <f>IF(CUENTAS!V200/CUENTAS!$AB200&lt;&gt;0,CUENTAS!V200/CUENTAS!$AB200,"")</f>
        <v>0.01681260317</v>
      </c>
      <c r="AO211" s="459">
        <f>IF(CUENTAS!W200/CUENTAS!$AB200&lt;&gt;0,CUENTAS!W200/CUENTAS!$AB200,"")</f>
        <v>0.08061631621</v>
      </c>
      <c r="AP211" s="459" t="str">
        <f>IF(CUENTAS!X200/CUENTAS!$AB200&lt;&gt;0,CUENTAS!X200/CUENTAS!$AB200,"")</f>
        <v/>
      </c>
      <c r="AQ211" s="459" t="str">
        <f>IF(CUENTAS!Y200/CUENTAS!$AB200&lt;&gt;0,CUENTAS!Y200/CUENTAS!$AB200,"")</f>
        <v/>
      </c>
      <c r="AR211" s="459">
        <f>IF(CUENTAS!AA200/CUENTAS!$AB200&lt;&gt;0,CUENTAS!AA200/CUENTAS!$AB200,"")</f>
        <v>0.01620230534</v>
      </c>
    </row>
    <row r="212">
      <c r="A212" s="474"/>
      <c r="B212" s="200"/>
      <c r="C212" s="200"/>
      <c r="F212" s="200"/>
      <c r="G212" s="200"/>
      <c r="J212" s="470">
        <v>45448.0</v>
      </c>
      <c r="K212" s="466">
        <f>SUMIF(GRAFICO!A:A,J212,GRAFICO!B:B)</f>
        <v>12064.23478</v>
      </c>
      <c r="L212" s="467">
        <f t="shared" si="2"/>
        <v>0.1775909394</v>
      </c>
      <c r="M212" s="468">
        <v>45813.0</v>
      </c>
      <c r="N212" s="469">
        <f>IF(SUMIF(GRAFICO!A:A,M212,GRAFICO!B:B)=0,"",SUMIF(GRAFICO!A:A,M212,GRAFICO!B:B))</f>
        <v>16662.21647</v>
      </c>
      <c r="O212" s="467">
        <f t="shared" si="3"/>
        <v>0.1800703946</v>
      </c>
      <c r="P212" s="465">
        <v>46178.0</v>
      </c>
      <c r="Q212" s="463" t="str">
        <f>IF(SUMIF(GRAFICO!A:A,P212,GRAFICO!B:B)=0,"",SUMIF(GRAFICO!A:A,P212,GRAFICO!B:B))</f>
        <v/>
      </c>
      <c r="R212" s="463" t="str">
        <f t="shared" si="4"/>
        <v/>
      </c>
      <c r="S212" s="471">
        <f>CUENTAS!A201</f>
        <v>45901</v>
      </c>
      <c r="T212" s="459">
        <f>IF(CUENTAS!Q201/CUENTAS!$AB201&lt;&gt;0,CUENTAS!Q201/CUENTAS!$AB201,"")</f>
        <v>0.09499251068</v>
      </c>
      <c r="U212" s="459" t="str">
        <f>IF(CUENTAS!C201/CUENTAS!$AB201&lt;&gt;0,CUENTAS!C201/CUENTAS!$AB201,"")</f>
        <v/>
      </c>
      <c r="V212" s="459" t="str">
        <f>IF(CUENTAS!D201/CUENTAS!$AB201&lt;&gt;0,CUENTAS!D201/CUENTAS!$AB201,"")</f>
        <v/>
      </c>
      <c r="W212" s="459">
        <f>IF(CUENTAS!E201/CUENTAS!$AB201&lt;&gt;0,CUENTAS!E201/CUENTAS!$AB201,"")</f>
        <v>0.02142775027</v>
      </c>
      <c r="X212" s="459">
        <f>IF(CUENTAS!F201/CUENTAS!$AB201&lt;&gt;0,CUENTAS!F201/CUENTAS!$AB201,"")</f>
        <v>0.05736948223</v>
      </c>
      <c r="Y212" s="459">
        <f>IF(CUENTAS!G201/CUENTAS!$AB201&lt;&gt;0,CUENTAS!G201/CUENTAS!$AB201,"")</f>
        <v>0.06878768015</v>
      </c>
      <c r="Z212" s="459">
        <f>IF(CUENTAS!H201/CUENTAS!$AB201&lt;&gt;0,CUENTAS!H201/CUENTAS!$AB201,"")</f>
        <v>0.05788668283</v>
      </c>
      <c r="AA212" s="459">
        <f>IF(CUENTAS!I201/CUENTAS!$AB201&lt;&gt;0,CUENTAS!I201/CUENTAS!$AB201,"")</f>
        <v>0.1128342738</v>
      </c>
      <c r="AB212" s="459">
        <f>IF(CUENTAS!J201/CUENTAS!$AB201&lt;&gt;0,CUENTAS!J201/CUENTAS!$AB201,"")</f>
        <v>0.2336022722</v>
      </c>
      <c r="AC212" s="459" t="str">
        <f>IF(CUENTAS!K201/CUENTAS!$AB201&lt;&gt;0,CUENTAS!K201/CUENTAS!$AB201,"")</f>
        <v/>
      </c>
      <c r="AD212" s="459" t="str">
        <f>IF(CUENTAS!L201/CUENTAS!$AB201&lt;&gt;0,CUENTAS!L201/CUENTAS!$AB201,"")</f>
        <v/>
      </c>
      <c r="AE212" s="459">
        <f>IF(CUENTAS!M201/CUENTAS!$AB201&lt;&gt;0,CUENTAS!M201/CUENTAS!$AB201,"")</f>
        <v>0.1313838723</v>
      </c>
      <c r="AF212" s="459" t="str">
        <f>IF(CUENTAS!N201/CUENTAS!$AB201&lt;&gt;0,CUENTAS!N201/CUENTAS!$AB201,"")</f>
        <v/>
      </c>
      <c r="AG212" s="459" t="str">
        <f>IF(CUENTAS!O201/CUENTAS!$AB201&lt;&gt;0,CUENTAS!O201/CUENTAS!$AB201,"")</f>
        <v/>
      </c>
      <c r="AH212" s="459">
        <f>IF(CUENTAS!P201/CUENTAS!$AB201&lt;&gt;0,CUENTAS!P201/CUENTAS!$AB201,"")</f>
        <v>0.06340680465</v>
      </c>
      <c r="AI212" s="459">
        <f>IF(CUENTAS!R201/CUENTAS!$AB201&lt;&gt;0,CUENTAS!R201/CUENTAS!$AB201,"")</f>
        <v>0.06547892245</v>
      </c>
      <c r="AJ212" s="459" t="str">
        <f>IF(CUENTAS!B201/CUENTAS!$AB201&lt;&gt;0,CUENTAS!B201/CUENTAS!$AB201,"")</f>
        <v/>
      </c>
      <c r="AK212" s="459">
        <f>IF(CUENTAS!S201/CUENTAS!$AB201&lt;&gt;0,CUENTAS!S201/CUENTAS!$AB201,"")</f>
        <v>0.02558542583</v>
      </c>
      <c r="AL212" s="459">
        <f>IF(CUENTAS!T201/CUENTAS!$AB201&lt;&gt;0,CUENTAS!T201/CUENTAS!$AB201,"")</f>
        <v>0.05533051831</v>
      </c>
      <c r="AM212" s="459">
        <f>IF(CUENTAS!U201/CUENTAS!$AB201&lt;&gt;0,CUENTAS!U201/CUENTAS!$AB201,"")</f>
        <v>0.1476276324</v>
      </c>
      <c r="AN212" s="459">
        <f>IF(CUENTAS!V201/CUENTAS!$AB201&lt;&gt;0,CUENTAS!V201/CUENTAS!$AB201,"")</f>
        <v>0.01681896575</v>
      </c>
      <c r="AO212" s="459">
        <f>IF(CUENTAS!W201/CUENTAS!$AB201&lt;&gt;0,CUENTAS!W201/CUENTAS!$AB201,"")</f>
        <v>0.08064682473</v>
      </c>
      <c r="AP212" s="459" t="str">
        <f>IF(CUENTAS!X201/CUENTAS!$AB201&lt;&gt;0,CUENTAS!X201/CUENTAS!$AB201,"")</f>
        <v/>
      </c>
      <c r="AQ212" s="459" t="str">
        <f>IF(CUENTAS!Y201/CUENTAS!$AB201&lt;&gt;0,CUENTAS!Y201/CUENTAS!$AB201,"")</f>
        <v/>
      </c>
      <c r="AR212" s="459">
        <f>IF(CUENTAS!AA201/CUENTAS!$AB201&lt;&gt;0,CUENTAS!AA201/CUENTAS!$AB201,"")</f>
        <v>0.1720814263</v>
      </c>
    </row>
    <row r="213">
      <c r="A213" s="474"/>
      <c r="B213" s="200"/>
      <c r="C213" s="200"/>
      <c r="F213" s="200"/>
      <c r="G213" s="200"/>
      <c r="J213" s="465">
        <v>45447.0</v>
      </c>
      <c r="K213" s="466">
        <f>SUMIF(GRAFICO!A:A,J213,GRAFICO!B:B)</f>
        <v>12050.07348</v>
      </c>
      <c r="L213" s="467">
        <f t="shared" si="2"/>
        <v>0.1764164251</v>
      </c>
      <c r="M213" s="468">
        <v>45812.0</v>
      </c>
      <c r="N213" s="469">
        <f>IF(SUMIF(GRAFICO!A:A,M213,GRAFICO!B:B)=0,"",SUMIF(GRAFICO!A:A,M213,GRAFICO!B:B))</f>
        <v>16631.1799</v>
      </c>
      <c r="O213" s="467">
        <f t="shared" si="3"/>
        <v>0.1782059658</v>
      </c>
      <c r="P213" s="468">
        <v>46177.0</v>
      </c>
      <c r="Q213" s="463" t="str">
        <f>IF(SUMIF(GRAFICO!A:A,P213,GRAFICO!B:B)=0,"",SUMIF(GRAFICO!A:A,P213,GRAFICO!B:B))</f>
        <v/>
      </c>
      <c r="R213" s="463" t="str">
        <f t="shared" si="4"/>
        <v/>
      </c>
      <c r="S213" s="471">
        <f>CUENTAS!A202</f>
        <v>45900</v>
      </c>
      <c r="T213" s="459">
        <f>IF(CUENTAS!Q202/CUENTAS!$AB202&lt;&gt;0,CUENTAS!Q202/CUENTAS!$AB202,"")</f>
        <v>0.09029060686</v>
      </c>
      <c r="U213" s="459" t="str">
        <f>IF(CUENTAS!C202/CUENTAS!$AB202&lt;&gt;0,CUENTAS!C202/CUENTAS!$AB202,"")</f>
        <v/>
      </c>
      <c r="V213" s="459" t="str">
        <f>IF(CUENTAS!D202/CUENTAS!$AB202&lt;&gt;0,CUENTAS!D202/CUENTAS!$AB202,"")</f>
        <v/>
      </c>
      <c r="W213" s="459">
        <f>IF(CUENTAS!E202/CUENTAS!$AB202&lt;&gt;0,CUENTAS!E202/CUENTAS!$AB202,"")</f>
        <v>0.02021019836</v>
      </c>
      <c r="X213" s="459">
        <f>IF(CUENTAS!F202/CUENTAS!$AB202&lt;&gt;0,CUENTAS!F202/CUENTAS!$AB202,"")</f>
        <v>0.05438557021</v>
      </c>
      <c r="Y213" s="459">
        <f>IF(CUENTAS!G202/CUENTAS!$AB202&lt;&gt;0,CUENTAS!G202/CUENTAS!$AB202,"")</f>
        <v>0.06668078234</v>
      </c>
      <c r="Z213" s="459">
        <f>IF(CUENTAS!H202/CUENTAS!$AB202&lt;&gt;0,CUENTAS!H202/CUENTAS!$AB202,"")</f>
        <v>0.0557433237</v>
      </c>
      <c r="AA213" s="459">
        <f>IF(CUENTAS!I202/CUENTAS!$AB202&lt;&gt;0,CUENTAS!I202/CUENTAS!$AB202,"")</f>
        <v>0.1065412189</v>
      </c>
      <c r="AB213" s="459">
        <f>IF(CUENTAS!J202/CUENTAS!$AB202&lt;&gt;0,CUENTAS!J202/CUENTAS!$AB202,"")</f>
        <v>0.2240293253</v>
      </c>
      <c r="AC213" s="459" t="str">
        <f>IF(CUENTAS!K202/CUENTAS!$AB202&lt;&gt;0,CUENTAS!K202/CUENTAS!$AB202,"")</f>
        <v/>
      </c>
      <c r="AD213" s="459" t="str">
        <f>IF(CUENTAS!L202/CUENTAS!$AB202&lt;&gt;0,CUENTAS!L202/CUENTAS!$AB202,"")</f>
        <v/>
      </c>
      <c r="AE213" s="459">
        <f>IF(CUENTAS!M202/CUENTAS!$AB202&lt;&gt;0,CUENTAS!M202/CUENTAS!$AB202,"")</f>
        <v>0.124960465</v>
      </c>
      <c r="AF213" s="459">
        <f>IF(CUENTAS!N202/CUENTAS!$AB202&lt;&gt;0,CUENTAS!N202/CUENTAS!$AB202,"")</f>
        <v>0.05393298572</v>
      </c>
      <c r="AG213" s="459" t="str">
        <f>IF(CUENTAS!O202/CUENTAS!$AB202&lt;&gt;0,CUENTAS!O202/CUENTAS!$AB202,"")</f>
        <v/>
      </c>
      <c r="AH213" s="459">
        <f>IF(CUENTAS!P202/CUENTAS!$AB202&lt;&gt;0,CUENTAS!P202/CUENTAS!$AB202,"")</f>
        <v>0.06010887831</v>
      </c>
      <c r="AI213" s="459">
        <f>IF(CUENTAS!R202/CUENTAS!$AB202&lt;&gt;0,CUENTAS!R202/CUENTAS!$AB202,"")</f>
        <v>0.06207322074</v>
      </c>
      <c r="AJ213" s="459" t="str">
        <f>IF(CUENTAS!B202/CUENTAS!$AB202&lt;&gt;0,CUENTAS!B202/CUENTAS!$AB202,"")</f>
        <v/>
      </c>
      <c r="AK213" s="459">
        <f>IF(CUENTAS!S202/CUENTAS!$AB202&lt;&gt;0,CUENTAS!S202/CUENTAS!$AB202,"")</f>
        <v>0.02418019611</v>
      </c>
      <c r="AL213" s="459">
        <f>IF(CUENTAS!T202/CUENTAS!$AB202&lt;&gt;0,CUENTAS!T202/CUENTAS!$AB202,"")</f>
        <v>0.052438514</v>
      </c>
      <c r="AM213" s="459">
        <f>IF(CUENTAS!U202/CUENTAS!$AB202&lt;&gt;0,CUENTAS!U202/CUENTAS!$AB202,"")</f>
        <v>0.1394212804</v>
      </c>
      <c r="AN213" s="459">
        <f>IF(CUENTAS!V202/CUENTAS!$AB202&lt;&gt;0,CUENTAS!V202/CUENTAS!$AB202,"")</f>
        <v>0.01594417462</v>
      </c>
      <c r="AO213" s="459">
        <f>IF(CUENTAS!W202/CUENTAS!$AB202&lt;&gt;0,CUENTAS!W202/CUENTAS!$AB202,"")</f>
        <v>0.03142947886</v>
      </c>
      <c r="AP213" s="459" t="str">
        <f>IF(CUENTAS!X202/CUENTAS!$AB202&lt;&gt;0,CUENTAS!X202/CUENTAS!$AB202,"")</f>
        <v/>
      </c>
      <c r="AQ213" s="459" t="str">
        <f>IF(CUENTAS!Y202/CUENTAS!$AB202&lt;&gt;0,CUENTAS!Y202/CUENTAS!$AB202,"")</f>
        <v/>
      </c>
      <c r="AR213" s="459">
        <f>IF(CUENTAS!AA202/CUENTAS!$AB202&lt;&gt;0,CUENTAS!AA202/CUENTAS!$AB202,"")</f>
        <v>0.2014750598</v>
      </c>
    </row>
    <row r="214">
      <c r="A214" s="474"/>
      <c r="B214" s="200"/>
      <c r="C214" s="200"/>
      <c r="F214" s="200"/>
      <c r="G214" s="200"/>
      <c r="J214" s="470">
        <v>45446.0</v>
      </c>
      <c r="K214" s="466">
        <f>SUMIF(GRAFICO!A:A,J214,GRAFICO!B:B)</f>
        <v>12037.12851</v>
      </c>
      <c r="L214" s="467">
        <f t="shared" si="2"/>
        <v>0.1753415834</v>
      </c>
      <c r="M214" s="468">
        <v>45811.0</v>
      </c>
      <c r="N214" s="469">
        <f>IF(SUMIF(GRAFICO!A:A,M214,GRAFICO!B:B)=0,"",SUMIF(GRAFICO!A:A,M214,GRAFICO!B:B))</f>
        <v>16721.76623</v>
      </c>
      <c r="O214" s="467">
        <f t="shared" si="3"/>
        <v>0.1836379627</v>
      </c>
      <c r="P214" s="465">
        <v>46176.0</v>
      </c>
      <c r="Q214" s="463" t="str">
        <f>IF(SUMIF(GRAFICO!A:A,P214,GRAFICO!B:B)=0,"",SUMIF(GRAFICO!A:A,P214,GRAFICO!B:B))</f>
        <v/>
      </c>
      <c r="R214" s="463" t="str">
        <f t="shared" si="4"/>
        <v/>
      </c>
      <c r="S214" s="471">
        <f>CUENTAS!A203</f>
        <v>45899</v>
      </c>
      <c r="T214" s="459">
        <f>IF(CUENTAS!Q203/CUENTAS!$AB203&lt;&gt;0,CUENTAS!Q203/CUENTAS!$AB203,"")</f>
        <v>0.09032514083</v>
      </c>
      <c r="U214" s="459" t="str">
        <f>IF(CUENTAS!C203/CUENTAS!$AB203&lt;&gt;0,CUENTAS!C203/CUENTAS!$AB203,"")</f>
        <v/>
      </c>
      <c r="V214" s="459" t="str">
        <f>IF(CUENTAS!D203/CUENTAS!$AB203&lt;&gt;0,CUENTAS!D203/CUENTAS!$AB203,"")</f>
        <v/>
      </c>
      <c r="W214" s="459">
        <f>IF(CUENTAS!E203/CUENTAS!$AB203&lt;&gt;0,CUENTAS!E203/CUENTAS!$AB203,"")</f>
        <v>0.02011484103</v>
      </c>
      <c r="X214" s="459">
        <f>IF(CUENTAS!F203/CUENTAS!$AB203&lt;&gt;0,CUENTAS!F203/CUENTAS!$AB203,"")</f>
        <v>0.05440637138</v>
      </c>
      <c r="Y214" s="459">
        <f>IF(CUENTAS!G203/CUENTAS!$AB203&lt;&gt;0,CUENTAS!G203/CUENTAS!$AB203,"")</f>
        <v>0.06670628613</v>
      </c>
      <c r="Z214" s="459">
        <f>IF(CUENTAS!H203/CUENTAS!$AB203&lt;&gt;0,CUENTAS!H203/CUENTAS!$AB203,"")</f>
        <v>0.05576464417</v>
      </c>
      <c r="AA214" s="459">
        <f>IF(CUENTAS!I203/CUENTAS!$AB203&lt;&gt;0,CUENTAS!I203/CUENTAS!$AB203,"")</f>
        <v>0.1065819683</v>
      </c>
      <c r="AB214" s="459">
        <f>IF(CUENTAS!J203/CUENTAS!$AB203&lt;&gt;0,CUENTAS!J203/CUENTAS!$AB203,"")</f>
        <v>0.2241150111</v>
      </c>
      <c r="AC214" s="459" t="str">
        <f>IF(CUENTAS!K203/CUENTAS!$AB203&lt;&gt;0,CUENTAS!K203/CUENTAS!$AB203,"")</f>
        <v/>
      </c>
      <c r="AD214" s="459" t="str">
        <f>IF(CUENTAS!L203/CUENTAS!$AB203&lt;&gt;0,CUENTAS!L203/CUENTAS!$AB203,"")</f>
        <v/>
      </c>
      <c r="AE214" s="459">
        <f>IF(CUENTAS!M203/CUENTAS!$AB203&lt;&gt;0,CUENTAS!M203/CUENTAS!$AB203,"")</f>
        <v>0.1250082593</v>
      </c>
      <c r="AF214" s="459">
        <f>IF(CUENTAS!N203/CUENTAS!$AB203&lt;&gt;0,CUENTAS!N203/CUENTAS!$AB203,"")</f>
        <v>0.05395361378</v>
      </c>
      <c r="AG214" s="459" t="str">
        <f>IF(CUENTAS!O203/CUENTAS!$AB203&lt;&gt;0,CUENTAS!O203/CUENTAS!$AB203,"")</f>
        <v/>
      </c>
      <c r="AH214" s="459">
        <f>IF(CUENTAS!P203/CUENTAS!$AB203&lt;&gt;0,CUENTAS!P203/CUENTAS!$AB203,"")</f>
        <v>0.0601318685</v>
      </c>
      <c r="AI214" s="459">
        <f>IF(CUENTAS!R203/CUENTAS!$AB203&lt;&gt;0,CUENTAS!R203/CUENTAS!$AB203,"")</f>
        <v>0.06209696225</v>
      </c>
      <c r="AJ214" s="459" t="str">
        <f>IF(CUENTAS!B203/CUENTAS!$AB203&lt;&gt;0,CUENTAS!B203/CUENTAS!$AB203,"")</f>
        <v/>
      </c>
      <c r="AK214" s="459">
        <f>IF(CUENTAS!S203/CUENTAS!$AB203&lt;&gt;0,CUENTAS!S203/CUENTAS!$AB203,"")</f>
        <v>0.0241149401</v>
      </c>
      <c r="AL214" s="459">
        <f>IF(CUENTAS!T203/CUENTAS!$AB203&lt;&gt;0,CUENTAS!T203/CUENTAS!$AB203,"")</f>
        <v>0.05244442179</v>
      </c>
      <c r="AM214" s="459">
        <f>IF(CUENTAS!U203/CUENTAS!$AB203&lt;&gt;0,CUENTAS!U203/CUENTAS!$AB203,"")</f>
        <v>0.1389464871</v>
      </c>
      <c r="AN214" s="459">
        <f>IF(CUENTAS!V203/CUENTAS!$AB203&lt;&gt;0,CUENTAS!V203/CUENTAS!$AB203,"")</f>
        <v>0.01595027288</v>
      </c>
      <c r="AO214" s="459">
        <f>IF(CUENTAS!W203/CUENTAS!$AB203&lt;&gt;0,CUENTAS!W203/CUENTAS!$AB203,"")</f>
        <v>0.03144149987</v>
      </c>
      <c r="AP214" s="459" t="str">
        <f>IF(CUENTAS!X203/CUENTAS!$AB203&lt;&gt;0,CUENTAS!X203/CUENTAS!$AB203,"")</f>
        <v/>
      </c>
      <c r="AQ214" s="459" t="str">
        <f>IF(CUENTAS!Y203/CUENTAS!$AB203&lt;&gt;0,CUENTAS!Y203/CUENTAS!$AB203,"")</f>
        <v/>
      </c>
      <c r="AR214" s="459">
        <f>IF(CUENTAS!AA203/CUENTAS!$AB203&lt;&gt;0,CUENTAS!AA203/CUENTAS!$AB203,"")</f>
        <v>0.2015521192</v>
      </c>
    </row>
    <row r="215">
      <c r="A215" s="474"/>
      <c r="B215" s="200"/>
      <c r="C215" s="200"/>
      <c r="F215" s="200"/>
      <c r="G215" s="200"/>
      <c r="J215" s="470">
        <v>45445.0</v>
      </c>
      <c r="K215" s="466">
        <f>SUMIF(GRAFICO!A:A,J215,GRAFICO!B:B)</f>
        <v>12023.62926</v>
      </c>
      <c r="L215" s="467">
        <f t="shared" si="2"/>
        <v>0.1742194864</v>
      </c>
      <c r="M215" s="468">
        <v>45810.0</v>
      </c>
      <c r="N215" s="469">
        <f>IF(SUMIF(GRAFICO!A:A,M215,GRAFICO!B:B)=0,"",SUMIF(GRAFICO!A:A,M215,GRAFICO!B:B))</f>
        <v>16555.0532</v>
      </c>
      <c r="O215" s="467">
        <f t="shared" si="3"/>
        <v>0.1736181096</v>
      </c>
      <c r="P215" s="468">
        <v>46175.0</v>
      </c>
      <c r="Q215" s="463" t="str">
        <f>IF(SUMIF(GRAFICO!A:A,P215,GRAFICO!B:B)=0,"",SUMIF(GRAFICO!A:A,P215,GRAFICO!B:B))</f>
        <v/>
      </c>
      <c r="R215" s="463" t="str">
        <f t="shared" si="4"/>
        <v/>
      </c>
      <c r="S215" s="471">
        <f>CUENTAS!A204</f>
        <v>45898</v>
      </c>
      <c r="T215" s="459">
        <f>IF(CUENTAS!Q204/CUENTAS!$AB204&lt;&gt;0,CUENTAS!Q204/CUENTAS!$AB204,"")</f>
        <v>0.09039296641</v>
      </c>
      <c r="U215" s="459" t="str">
        <f>IF(CUENTAS!C204/CUENTAS!$AB204&lt;&gt;0,CUENTAS!C204/CUENTAS!$AB204,"")</f>
        <v/>
      </c>
      <c r="V215" s="459" t="str">
        <f>IF(CUENTAS!D204/CUENTAS!$AB204&lt;&gt;0,CUENTAS!D204/CUENTAS!$AB204,"")</f>
        <v/>
      </c>
      <c r="W215" s="459">
        <f>IF(CUENTAS!E204/CUENTAS!$AB204&lt;&gt;0,CUENTAS!E204/CUENTAS!$AB204,"")</f>
        <v>0.04283898505</v>
      </c>
      <c r="X215" s="459">
        <f>IF(CUENTAS!F204/CUENTAS!$AB204&lt;&gt;0,CUENTAS!F204/CUENTAS!$AB204,"")</f>
        <v>0.05444722538</v>
      </c>
      <c r="Y215" s="459">
        <f>IF(CUENTAS!G204/CUENTAS!$AB204&lt;&gt;0,CUENTAS!G204/CUENTAS!$AB204,"")</f>
        <v>0.0667563762</v>
      </c>
      <c r="Z215" s="459">
        <f>IF(CUENTAS!H204/CUENTAS!$AB204&lt;&gt;0,CUENTAS!H204/CUENTAS!$AB204,"")</f>
        <v>0.05580651811</v>
      </c>
      <c r="AA215" s="459">
        <f>IF(CUENTAS!I204/CUENTAS!$AB204&lt;&gt;0,CUENTAS!I204/CUENTAS!$AB204,"")</f>
        <v>0.1066620013</v>
      </c>
      <c r="AB215" s="459">
        <f>IF(CUENTAS!J204/CUENTAS!$AB204&lt;&gt;0,CUENTAS!J204/CUENTAS!$AB204,"")</f>
        <v>0.2242833001</v>
      </c>
      <c r="AC215" s="459" t="str">
        <f>IF(CUENTAS!K204/CUENTAS!$AB204&lt;&gt;0,CUENTAS!K204/CUENTAS!$AB204,"")</f>
        <v/>
      </c>
      <c r="AD215" s="459" t="str">
        <f>IF(CUENTAS!L204/CUENTAS!$AB204&lt;&gt;0,CUENTAS!L204/CUENTAS!$AB204,"")</f>
        <v/>
      </c>
      <c r="AE215" s="459">
        <f>IF(CUENTAS!M204/CUENTAS!$AB204&lt;&gt;0,CUENTAS!M204/CUENTAS!$AB204,"")</f>
        <v>0.1251021286</v>
      </c>
      <c r="AF215" s="459">
        <f>IF(CUENTAS!N204/CUENTAS!$AB204&lt;&gt;0,CUENTAS!N204/CUENTAS!$AB204,"")</f>
        <v>0.05399412781</v>
      </c>
      <c r="AG215" s="459" t="str">
        <f>IF(CUENTAS!O204/CUENTAS!$AB204&lt;&gt;0,CUENTAS!O204/CUENTAS!$AB204,"")</f>
        <v/>
      </c>
      <c r="AH215" s="459">
        <f>IF(CUENTAS!P204/CUENTAS!$AB204&lt;&gt;0,CUENTAS!P204/CUENTAS!$AB204,"")</f>
        <v>0.05980888003</v>
      </c>
      <c r="AI215" s="459">
        <f>IF(CUENTAS!R204/CUENTAS!$AB204&lt;&gt;0,CUENTAS!R204/CUENTAS!$AB204,"")</f>
        <v>0.06214359115</v>
      </c>
      <c r="AJ215" s="459" t="str">
        <f>IF(CUENTAS!B204/CUENTAS!$AB204&lt;&gt;0,CUENTAS!B204/CUENTAS!$AB204,"")</f>
        <v/>
      </c>
      <c r="AK215" s="459">
        <f>IF(CUENTAS!S204/CUENTAS!$AB204&lt;&gt;0,CUENTAS!S204/CUENTAS!$AB204,"")</f>
        <v>0.02405848782</v>
      </c>
      <c r="AL215" s="459">
        <f>IF(CUENTAS!T204/CUENTAS!$AB204&lt;&gt;0,CUENTAS!T204/CUENTAS!$AB204,"")</f>
        <v>0.05246964325</v>
      </c>
      <c r="AM215" s="459">
        <f>IF(CUENTAS!U204/CUENTAS!$AB204&lt;&gt;0,CUENTAS!U204/CUENTAS!$AB204,"")</f>
        <v>0.1385223076</v>
      </c>
      <c r="AN215" s="459">
        <f>IF(CUENTAS!V204/CUENTAS!$AB204&lt;&gt;0,CUENTAS!V204/CUENTAS!$AB204,"")</f>
        <v>0.01596225002</v>
      </c>
      <c r="AO215" s="459">
        <f>IF(CUENTAS!W204/CUENTAS!$AB204&lt;&gt;0,CUENTAS!W204/CUENTAS!$AB204,"")</f>
        <v>0.03146510944</v>
      </c>
      <c r="AP215" s="459" t="str">
        <f>IF(CUENTAS!X204/CUENTAS!$AB204&lt;&gt;0,CUENTAS!X204/CUENTAS!$AB204,"")</f>
        <v/>
      </c>
      <c r="AQ215" s="459" t="str">
        <f>IF(CUENTAS!Y204/CUENTAS!$AB204&lt;&gt;0,CUENTAS!Y204/CUENTAS!$AB204,"")</f>
        <v/>
      </c>
      <c r="AR215" s="459">
        <f>IF(CUENTAS!AA204/CUENTAS!$AB204&lt;&gt;0,CUENTAS!AA204/CUENTAS!$AB204,"")</f>
        <v>0.2017034656</v>
      </c>
    </row>
    <row r="216">
      <c r="A216" s="474"/>
      <c r="B216" s="200"/>
      <c r="C216" s="200"/>
      <c r="F216" s="200"/>
      <c r="G216" s="200"/>
      <c r="J216" s="470">
        <v>45444.0</v>
      </c>
      <c r="K216" s="466">
        <f>SUMIF(GRAFICO!A:A,J216,GRAFICO!B:B)</f>
        <v>12020.4636</v>
      </c>
      <c r="L216" s="467">
        <f t="shared" si="2"/>
        <v>0.1739561651</v>
      </c>
      <c r="M216" s="468">
        <v>45809.0</v>
      </c>
      <c r="N216" s="469">
        <f>IF(SUMIF(GRAFICO!A:A,M216,GRAFICO!B:B)=0,"",SUMIF(GRAFICO!A:A,M216,GRAFICO!B:B))</f>
        <v>16536.60107</v>
      </c>
      <c r="O216" s="467">
        <f t="shared" si="3"/>
        <v>0.1725028959</v>
      </c>
      <c r="P216" s="465">
        <v>46174.0</v>
      </c>
      <c r="Q216" s="463" t="str">
        <f>IF(SUMIF(GRAFICO!A:A,P216,GRAFICO!B:B)=0,"",SUMIF(GRAFICO!A:A,P216,GRAFICO!B:B))</f>
        <v/>
      </c>
      <c r="R216" s="463" t="str">
        <f t="shared" si="4"/>
        <v/>
      </c>
      <c r="S216" s="471">
        <f>CUENTAS!A205</f>
        <v>45897</v>
      </c>
      <c r="T216" s="459">
        <f>IF(CUENTAS!Q205/CUENTAS!$AB205&lt;&gt;0,CUENTAS!Q205/CUENTAS!$AB205,"")</f>
        <v>0.08993992502</v>
      </c>
      <c r="U216" s="459" t="str">
        <f>IF(CUENTAS!C205/CUENTAS!$AB205&lt;&gt;0,CUENTAS!C205/CUENTAS!$AB205,"")</f>
        <v/>
      </c>
      <c r="V216" s="459" t="str">
        <f>IF(CUENTAS!D205/CUENTAS!$AB205&lt;&gt;0,CUENTAS!D205/CUENTAS!$AB205,"")</f>
        <v/>
      </c>
      <c r="W216" s="459">
        <f>IF(CUENTAS!E205/CUENTAS!$AB205&lt;&gt;0,CUENTAS!E205/CUENTAS!$AB205,"")</f>
        <v>0.04274781122</v>
      </c>
      <c r="X216" s="459">
        <f>IF(CUENTAS!F205/CUENTAS!$AB205&lt;&gt;0,CUENTAS!F205/CUENTAS!$AB205,"")</f>
        <v>0.05446250219</v>
      </c>
      <c r="Y216" s="459">
        <f>IF(CUENTAS!G205/CUENTAS!$AB205&lt;&gt;0,CUENTAS!G205/CUENTAS!$AB205,"")</f>
        <v>0.06702060343</v>
      </c>
      <c r="Z216" s="459">
        <f>IF(CUENTAS!H205/CUENTAS!$AB205&lt;&gt;0,CUENTAS!H205/CUENTAS!$AB205,"")</f>
        <v>0.0561809792</v>
      </c>
      <c r="AA216" s="459">
        <f>IF(CUENTAS!I205/CUENTAS!$AB205&lt;&gt;0,CUENTAS!I205/CUENTAS!$AB205,"")</f>
        <v>0.1066919285</v>
      </c>
      <c r="AB216" s="459">
        <f>IF(CUENTAS!J205/CUENTAS!$AB205&lt;&gt;0,CUENTAS!J205/CUENTAS!$AB205,"")</f>
        <v>0.2245980211</v>
      </c>
      <c r="AC216" s="459" t="str">
        <f>IF(CUENTAS!K205/CUENTAS!$AB205&lt;&gt;0,CUENTAS!K205/CUENTAS!$AB205,"")</f>
        <v/>
      </c>
      <c r="AD216" s="459" t="str">
        <f>IF(CUENTAS!L205/CUENTAS!$AB205&lt;&gt;0,CUENTAS!L205/CUENTAS!$AB205,"")</f>
        <v/>
      </c>
      <c r="AE216" s="459">
        <f>IF(CUENTAS!M205/CUENTAS!$AB205&lt;&gt;0,CUENTAS!M205/CUENTAS!$AB205,"")</f>
        <v>0.125821788</v>
      </c>
      <c r="AF216" s="459">
        <f>IF(CUENTAS!N205/CUENTAS!$AB205&lt;&gt;0,CUENTAS!N205/CUENTAS!$AB205,"")</f>
        <v>0.05400927749</v>
      </c>
      <c r="AG216" s="459" t="str">
        <f>IF(CUENTAS!O205/CUENTAS!$AB205&lt;&gt;0,CUENTAS!O205/CUENTAS!$AB205,"")</f>
        <v/>
      </c>
      <c r="AH216" s="459">
        <f>IF(CUENTAS!P205/CUENTAS!$AB205&lt;&gt;0,CUENTAS!P205/CUENTAS!$AB205,"")</f>
        <v>0.05982566121</v>
      </c>
      <c r="AI216" s="459">
        <f>IF(CUENTAS!R205/CUENTAS!$AB205&lt;&gt;0,CUENTAS!R205/CUENTAS!$AB205,"")</f>
        <v>0.05145988851</v>
      </c>
      <c r="AJ216" s="459" t="str">
        <f>IF(CUENTAS!B205/CUENTAS!$AB205&lt;&gt;0,CUENTAS!B205/CUENTAS!$AB205,"")</f>
        <v/>
      </c>
      <c r="AK216" s="459">
        <f>IF(CUENTAS!S205/CUENTAS!$AB205&lt;&gt;0,CUENTAS!S205/CUENTAS!$AB205,"")</f>
        <v>0.02399065694</v>
      </c>
      <c r="AL216" s="459">
        <f>IF(CUENTAS!T205/CUENTAS!$AB205&lt;&gt;0,CUENTAS!T205/CUENTAS!$AB205,"")</f>
        <v>0.05247020192</v>
      </c>
      <c r="AM216" s="459">
        <f>IF(CUENTAS!U205/CUENTAS!$AB205&lt;&gt;0,CUENTAS!U205/CUENTAS!$AB205,"")</f>
        <v>0.2213597615</v>
      </c>
      <c r="AN216" s="459">
        <f>IF(CUENTAS!V205/CUENTAS!$AB205&lt;&gt;0,CUENTAS!V205/CUENTAS!$AB205,"")</f>
        <v>0.01596672871</v>
      </c>
      <c r="AO216" s="459">
        <f>IF(CUENTAS!W205/CUENTAS!$AB205&lt;&gt;0,CUENTAS!W205/CUENTAS!$AB205,"")</f>
        <v>0.03049037737</v>
      </c>
      <c r="AP216" s="459" t="str">
        <f>IF(CUENTAS!X205/CUENTAS!$AB205&lt;&gt;0,CUENTAS!X205/CUENTAS!$AB205,"")</f>
        <v/>
      </c>
      <c r="AQ216" s="459" t="str">
        <f>IF(CUENTAS!Y205/CUENTAS!$AB205&lt;&gt;0,CUENTAS!Y205/CUENTAS!$AB205,"")</f>
        <v/>
      </c>
      <c r="AR216" s="459">
        <f>IF(CUENTAS!AA205/CUENTAS!$AB205&lt;&gt;0,CUENTAS!AA205/CUENTAS!$AB205,"")</f>
        <v>0.1566736435</v>
      </c>
    </row>
    <row r="217">
      <c r="A217" s="474"/>
      <c r="B217" s="200"/>
      <c r="C217" s="200"/>
      <c r="F217" s="200"/>
      <c r="G217" s="200"/>
      <c r="J217" s="465">
        <v>45443.0</v>
      </c>
      <c r="K217" s="466">
        <f>SUMIF(GRAFICO!A:A,J217,GRAFICO!B:B)</f>
        <v>11888.07073</v>
      </c>
      <c r="L217" s="467">
        <f t="shared" si="2"/>
        <v>0.1628811049</v>
      </c>
      <c r="M217" s="468">
        <v>45808.0</v>
      </c>
      <c r="N217" s="469">
        <f>IF(SUMIF(GRAFICO!A:A,M217,GRAFICO!B:B)=0,"",SUMIF(GRAFICO!A:A,M217,GRAFICO!B:B))</f>
        <v>16538.80292</v>
      </c>
      <c r="O217" s="467">
        <f t="shared" si="3"/>
        <v>0.1726360373</v>
      </c>
      <c r="P217" s="468">
        <v>46173.0</v>
      </c>
      <c r="Q217" s="463" t="str">
        <f>IF(SUMIF(GRAFICO!A:A,P217,GRAFICO!B:B)=0,"",SUMIF(GRAFICO!A:A,P217,GRAFICO!B:B))</f>
        <v/>
      </c>
      <c r="R217" s="463" t="str">
        <f t="shared" si="4"/>
        <v/>
      </c>
      <c r="S217" s="471">
        <f>CUENTAS!A206</f>
        <v>45896</v>
      </c>
      <c r="T217" s="459">
        <f>IF(CUENTAS!Q206/CUENTAS!$AB206&lt;&gt;0,CUENTAS!Q206/CUENTAS!$AB206,"")</f>
        <v>0.08891923289</v>
      </c>
      <c r="U217" s="459" t="str">
        <f>IF(CUENTAS!C206/CUENTAS!$AB206&lt;&gt;0,CUENTAS!C206/CUENTAS!$AB206,"")</f>
        <v/>
      </c>
      <c r="V217" s="459" t="str">
        <f>IF(CUENTAS!D206/CUENTAS!$AB206&lt;&gt;0,CUENTAS!D206/CUENTAS!$AB206,"")</f>
        <v/>
      </c>
      <c r="W217" s="459">
        <f>IF(CUENTAS!E206/CUENTAS!$AB206&lt;&gt;0,CUENTAS!E206/CUENTAS!$AB206,"")</f>
        <v>0.04284434735</v>
      </c>
      <c r="X217" s="459">
        <f>IF(CUENTAS!F206/CUENTAS!$AB206&lt;&gt;0,CUENTAS!F206/CUENTAS!$AB206,"")</f>
        <v>0.054717582</v>
      </c>
      <c r="Y217" s="459">
        <f>IF(CUENTAS!G206/CUENTAS!$AB206&lt;&gt;0,CUENTAS!G206/CUENTAS!$AB206,"")</f>
        <v>0.06733450018</v>
      </c>
      <c r="Z217" s="459">
        <f>IF(CUENTAS!H206/CUENTAS!$AB206&lt;&gt;0,CUENTAS!H206/CUENTAS!$AB206,"")</f>
        <v>0.05486936448</v>
      </c>
      <c r="AA217" s="459">
        <f>IF(CUENTAS!I206/CUENTAS!$AB206&lt;&gt;0,CUENTAS!I206/CUENTAS!$AB206,"")</f>
        <v>0.1071916293</v>
      </c>
      <c r="AB217" s="459">
        <f>IF(CUENTAS!J206/CUENTAS!$AB206&lt;&gt;0,CUENTAS!J206/CUENTAS!$AB206,"")</f>
        <v>0.2257764306</v>
      </c>
      <c r="AC217" s="459" t="str">
        <f>IF(CUENTAS!K206/CUENTAS!$AB206&lt;&gt;0,CUENTAS!K206/CUENTAS!$AB206,"")</f>
        <v/>
      </c>
      <c r="AD217" s="459" t="str">
        <f>IF(CUENTAS!L206/CUENTAS!$AB206&lt;&gt;0,CUENTAS!L206/CUENTAS!$AB206,"")</f>
        <v/>
      </c>
      <c r="AE217" s="459">
        <f>IF(CUENTAS!M206/CUENTAS!$AB206&lt;&gt;0,CUENTAS!M206/CUENTAS!$AB206,"")</f>
        <v>0.1259984265</v>
      </c>
      <c r="AF217" s="459">
        <f>IF(CUENTAS!N206/CUENTAS!$AB206&lt;&gt;0,CUENTAS!N206/CUENTAS!$AB206,"")</f>
        <v>0.05426223458</v>
      </c>
      <c r="AG217" s="459" t="str">
        <f>IF(CUENTAS!O206/CUENTAS!$AB206&lt;&gt;0,CUENTAS!O206/CUENTAS!$AB206,"")</f>
        <v/>
      </c>
      <c r="AH217" s="459">
        <f>IF(CUENTAS!P206/CUENTAS!$AB206&lt;&gt;0,CUENTAS!P206/CUENTAS!$AB206,"")</f>
        <v>0.06010585984</v>
      </c>
      <c r="AI217" s="459">
        <f>IF(CUENTAS!R206/CUENTAS!$AB206&lt;&gt;0,CUENTAS!R206/CUENTAS!$AB206,"")</f>
        <v>0.04142396696</v>
      </c>
      <c r="AJ217" s="459" t="str">
        <f>IF(CUENTAS!B206/CUENTAS!$AB206&lt;&gt;0,CUENTAS!B206/CUENTAS!$AB206,"")</f>
        <v/>
      </c>
      <c r="AK217" s="459">
        <f>IF(CUENTAS!S206/CUENTAS!$AB206&lt;&gt;0,CUENTAS!S206/CUENTAS!$AB206,"")</f>
        <v>0.03164488112</v>
      </c>
      <c r="AL217" s="459">
        <f>IF(CUENTAS!T206/CUENTAS!$AB206&lt;&gt;0,CUENTAS!T206/CUENTAS!$AB206,"")</f>
        <v>0.05270172102</v>
      </c>
      <c r="AM217" s="459">
        <f>IF(CUENTAS!U206/CUENTAS!$AB206&lt;&gt;0,CUENTAS!U206/CUENTAS!$AB206,"")</f>
        <v>0.2218653795</v>
      </c>
      <c r="AN217" s="459">
        <f>IF(CUENTAS!V206/CUENTAS!$AB206&lt;&gt;0,CUENTAS!V206/CUENTAS!$AB206,"")</f>
        <v>0.01604151026</v>
      </c>
      <c r="AO217" s="459">
        <f>IF(CUENTAS!W206/CUENTAS!$AB206&lt;&gt;0,CUENTAS!W206/CUENTAS!$AB206,"")</f>
        <v>0.03227353914</v>
      </c>
      <c r="AP217" s="459" t="str">
        <f>IF(CUENTAS!X206/CUENTAS!$AB206&lt;&gt;0,CUENTAS!X206/CUENTAS!$AB206,"")</f>
        <v/>
      </c>
      <c r="AQ217" s="459" t="str">
        <f>IF(CUENTAS!Y206/CUENTAS!$AB206&lt;&gt;0,CUENTAS!Y206/CUENTAS!$AB206,"")</f>
        <v/>
      </c>
      <c r="AR217" s="459">
        <f>IF(CUENTAS!AA206/CUENTAS!$AB206&lt;&gt;0,CUENTAS!AA206/CUENTAS!$AB206,"")</f>
        <v>0.157407438</v>
      </c>
    </row>
    <row r="218">
      <c r="A218" s="474"/>
      <c r="B218" s="200"/>
      <c r="C218" s="200"/>
      <c r="F218" s="200"/>
      <c r="G218" s="200"/>
      <c r="J218" s="465">
        <v>45442.0</v>
      </c>
      <c r="K218" s="466">
        <f>SUMIF(GRAFICO!A:A,J218,GRAFICO!B:B)</f>
        <v>11885.71132</v>
      </c>
      <c r="L218" s="467">
        <f t="shared" si="2"/>
        <v>0.1626826168</v>
      </c>
      <c r="M218" s="468">
        <v>45807.0</v>
      </c>
      <c r="N218" s="469">
        <f>IF(SUMIF(GRAFICO!A:A,M218,GRAFICO!B:B)=0,"",SUMIF(GRAFICO!A:A,M218,GRAFICO!B:B))</f>
        <v>16541.00477</v>
      </c>
      <c r="O218" s="467">
        <f t="shared" si="3"/>
        <v>0.1727691609</v>
      </c>
      <c r="P218" s="465">
        <v>46172.0</v>
      </c>
      <c r="Q218" s="463" t="str">
        <f>IF(SUMIF(GRAFICO!A:A,P218,GRAFICO!B:B)=0,"",SUMIF(GRAFICO!A:A,P218,GRAFICO!B:B))</f>
        <v/>
      </c>
      <c r="R218" s="463" t="str">
        <f t="shared" si="4"/>
        <v/>
      </c>
      <c r="S218" s="471">
        <f>CUENTAS!A207</f>
        <v>45895</v>
      </c>
      <c r="T218" s="459">
        <f>IF(CUENTAS!Q207/CUENTAS!$AB207&lt;&gt;0,CUENTAS!Q207/CUENTAS!$AB207,"")</f>
        <v>0.08843779049</v>
      </c>
      <c r="U218" s="459" t="str">
        <f>IF(CUENTAS!C207/CUENTAS!$AB207&lt;&gt;0,CUENTAS!C207/CUENTAS!$AB207,"")</f>
        <v/>
      </c>
      <c r="V218" s="459" t="str">
        <f>IF(CUENTAS!D207/CUENTAS!$AB207&lt;&gt;0,CUENTAS!D207/CUENTAS!$AB207,"")</f>
        <v/>
      </c>
      <c r="W218" s="459">
        <f>IF(CUENTAS!E207/CUENTAS!$AB207&lt;&gt;0,CUENTAS!E207/CUENTAS!$AB207,"")</f>
        <v>0.04274028483</v>
      </c>
      <c r="X218" s="459">
        <f>IF(CUENTAS!F207/CUENTAS!$AB207&lt;&gt;0,CUENTAS!F207/CUENTAS!$AB207,"")</f>
        <v>0.05471708834</v>
      </c>
      <c r="Y218" s="459">
        <f>IF(CUENTAS!G207/CUENTAS!$AB207&lt;&gt;0,CUENTAS!G207/CUENTAS!$AB207,"")</f>
        <v>0.06733389269</v>
      </c>
      <c r="Z218" s="459">
        <f>IF(CUENTAS!H207/CUENTAS!$AB207&lt;&gt;0,CUENTAS!H207/CUENTAS!$AB207,"")</f>
        <v>0.05486886944</v>
      </c>
      <c r="AA218" s="459">
        <f>IF(CUENTAS!I207/CUENTAS!$AB207&lt;&gt;0,CUENTAS!I207/CUENTAS!$AB207,"")</f>
        <v>0.1071906622</v>
      </c>
      <c r="AB218" s="459">
        <f>IF(CUENTAS!J207/CUENTAS!$AB207&lt;&gt;0,CUENTAS!J207/CUENTAS!$AB207,"")</f>
        <v>0.2264068149</v>
      </c>
      <c r="AC218" s="459" t="str">
        <f>IF(CUENTAS!K207/CUENTAS!$AB207&lt;&gt;0,CUENTAS!K207/CUENTAS!$AB207,"")</f>
        <v/>
      </c>
      <c r="AD218" s="459" t="str">
        <f>IF(CUENTAS!L207/CUENTAS!$AB207&lt;&gt;0,CUENTAS!L207/CUENTAS!$AB207,"")</f>
        <v/>
      </c>
      <c r="AE218" s="459">
        <f>IF(CUENTAS!M207/CUENTAS!$AB207&lt;&gt;0,CUENTAS!M207/CUENTAS!$AB207,"")</f>
        <v>0.1272352544</v>
      </c>
      <c r="AF218" s="459">
        <f>IF(CUENTAS!N207/CUENTAS!$AB207&lt;&gt;0,CUENTAS!N207/CUENTAS!$AB207,"")</f>
        <v>0.05426174502</v>
      </c>
      <c r="AG218" s="459" t="str">
        <f>IF(CUENTAS!O207/CUENTAS!$AB207&lt;&gt;0,CUENTAS!O207/CUENTAS!$AB207,"")</f>
        <v/>
      </c>
      <c r="AH218" s="459">
        <f>IF(CUENTAS!P207/CUENTAS!$AB207&lt;&gt;0,CUENTAS!P207/CUENTAS!$AB207,"")</f>
        <v>0.06010531756</v>
      </c>
      <c r="AI218" s="459">
        <f>IF(CUENTAS!R207/CUENTAS!$AB207&lt;&gt;0,CUENTAS!R207/CUENTAS!$AB207,"")</f>
        <v>0.04142359323</v>
      </c>
      <c r="AJ218" s="459" t="str">
        <f>IF(CUENTAS!B207/CUENTAS!$AB207&lt;&gt;0,CUENTAS!B207/CUENTAS!$AB207,"")</f>
        <v/>
      </c>
      <c r="AK218" s="459">
        <f>IF(CUENTAS!S207/CUENTAS!$AB207&lt;&gt;0,CUENTAS!S207/CUENTAS!$AB207,"")</f>
        <v>0.0315380447</v>
      </c>
      <c r="AL218" s="459">
        <f>IF(CUENTAS!T207/CUENTAS!$AB207&lt;&gt;0,CUENTAS!T207/CUENTAS!$AB207,"")</f>
        <v>0.05268701606</v>
      </c>
      <c r="AM218" s="459">
        <f>IF(CUENTAS!U207/CUENTAS!$AB207&lt;&gt;0,CUENTAS!U207/CUENTAS!$AB207,"")</f>
        <v>0.2213322432</v>
      </c>
      <c r="AN218" s="459">
        <f>IF(CUENTAS!V207/CUENTAS!$AB207&lt;&gt;0,CUENTAS!V207/CUENTAS!$AB207,"")</f>
        <v>0.01604136553</v>
      </c>
      <c r="AO218" s="459">
        <f>IF(CUENTAS!W207/CUENTAS!$AB207&lt;&gt;0,CUENTAS!W207/CUENTAS!$AB207,"")</f>
        <v>0.03128508973</v>
      </c>
      <c r="AP218" s="459" t="str">
        <f>IF(CUENTAS!X207/CUENTAS!$AB207&lt;&gt;0,CUENTAS!X207/CUENTAS!$AB207,"")</f>
        <v/>
      </c>
      <c r="AQ218" s="459" t="str">
        <f>IF(CUENTAS!Y207/CUENTAS!$AB207&lt;&gt;0,CUENTAS!Y207/CUENTAS!$AB207,"")</f>
        <v/>
      </c>
      <c r="AR218" s="459">
        <f>IF(CUENTAS!AA207/CUENTAS!$AB207&lt;&gt;0,CUENTAS!AA207/CUENTAS!$AB207,"")</f>
        <v>0.1574060178</v>
      </c>
    </row>
    <row r="219">
      <c r="A219" s="474"/>
      <c r="B219" s="200"/>
      <c r="C219" s="200"/>
      <c r="F219" s="200"/>
      <c r="G219" s="200"/>
      <c r="J219" s="465">
        <v>45441.0</v>
      </c>
      <c r="K219" s="466">
        <f>SUMIF(GRAFICO!A:A,J219,GRAFICO!B:B)</f>
        <v>11883.35426</v>
      </c>
      <c r="L219" s="467">
        <f t="shared" si="2"/>
        <v>0.1624842865</v>
      </c>
      <c r="M219" s="468">
        <v>45806.0</v>
      </c>
      <c r="N219" s="469">
        <f>IF(SUMIF(GRAFICO!A:A,M219,GRAFICO!B:B)=0,"",SUMIF(GRAFICO!A:A,M219,GRAFICO!B:B))</f>
        <v>16566.07768</v>
      </c>
      <c r="O219" s="467">
        <f t="shared" si="3"/>
        <v>0.1742838163</v>
      </c>
      <c r="P219" s="468">
        <v>46171.0</v>
      </c>
      <c r="Q219" s="463" t="str">
        <f>IF(SUMIF(GRAFICO!A:A,P219,GRAFICO!B:B)=0,"",SUMIF(GRAFICO!A:A,P219,GRAFICO!B:B))</f>
        <v/>
      </c>
      <c r="R219" s="463" t="str">
        <f t="shared" si="4"/>
        <v/>
      </c>
      <c r="S219" s="471">
        <f>CUENTAS!A208</f>
        <v>45894</v>
      </c>
      <c r="T219" s="459">
        <f>IF(CUENTAS!Q208/CUENTAS!$AB208&lt;&gt;0,CUENTAS!Q208/CUENTAS!$AB208,"")</f>
        <v>0.08914058719</v>
      </c>
      <c r="U219" s="459" t="str">
        <f>IF(CUENTAS!C208/CUENTAS!$AB208&lt;&gt;0,CUENTAS!C208/CUENTAS!$AB208,"")</f>
        <v/>
      </c>
      <c r="V219" s="459" t="str">
        <f>IF(CUENTAS!D208/CUENTAS!$AB208&lt;&gt;0,CUENTAS!D208/CUENTAS!$AB208,"")</f>
        <v/>
      </c>
      <c r="W219" s="459">
        <f>IF(CUENTAS!E208/CUENTAS!$AB208&lt;&gt;0,CUENTAS!E208/CUENTAS!$AB208,"")</f>
        <v>0.04274313346</v>
      </c>
      <c r="X219" s="459">
        <f>IF(CUENTAS!F208/CUENTAS!$AB208&lt;&gt;0,CUENTAS!F208/CUENTAS!$AB208,"")</f>
        <v>0.05485379519</v>
      </c>
      <c r="Y219" s="459">
        <f>IF(CUENTAS!G208/CUENTAS!$AB208&lt;&gt;0,CUENTAS!G208/CUENTAS!$AB208,"")</f>
        <v>0.06750212175</v>
      </c>
      <c r="Z219" s="459">
        <f>IF(CUENTAS!H208/CUENTAS!$AB208&lt;&gt;0,CUENTAS!H208/CUENTAS!$AB208,"")</f>
        <v>0.05466359479</v>
      </c>
      <c r="AA219" s="459">
        <f>IF(CUENTAS!I208/CUENTAS!$AB208&lt;&gt;0,CUENTAS!I208/CUENTAS!$AB208,"")</f>
        <v>0.1074584707</v>
      </c>
      <c r="AB219" s="459">
        <f>IF(CUENTAS!J208/CUENTAS!$AB208&lt;&gt;0,CUENTAS!J208/CUENTAS!$AB208,"")</f>
        <v>0.2264652756</v>
      </c>
      <c r="AC219" s="459" t="str">
        <f>IF(CUENTAS!K208/CUENTAS!$AB208&lt;&gt;0,CUENTAS!K208/CUENTAS!$AB208,"")</f>
        <v/>
      </c>
      <c r="AD219" s="459" t="str">
        <f>IF(CUENTAS!L208/CUENTAS!$AB208&lt;&gt;0,CUENTAS!L208/CUENTAS!$AB208,"")</f>
        <v/>
      </c>
      <c r="AE219" s="459">
        <f>IF(CUENTAS!M208/CUENTAS!$AB208&lt;&gt;0,CUENTAS!M208/CUENTAS!$AB208,"")</f>
        <v>0.1268636664</v>
      </c>
      <c r="AF219" s="459">
        <f>IF(CUENTAS!N208/CUENTAS!$AB208&lt;&gt;0,CUENTAS!N208/CUENTAS!$AB208,"")</f>
        <v>0.05439731423</v>
      </c>
      <c r="AG219" s="459" t="str">
        <f>IF(CUENTAS!O208/CUENTAS!$AB208&lt;&gt;0,CUENTAS!O208/CUENTAS!$AB208,"")</f>
        <v/>
      </c>
      <c r="AH219" s="459">
        <f>IF(CUENTAS!P208/CUENTAS!$AB208&lt;&gt;0,CUENTAS!P208/CUENTAS!$AB208,"")</f>
        <v>0.06019842641</v>
      </c>
      <c r="AI219" s="459">
        <f>IF(CUENTAS!R208/CUENTAS!$AB208&lt;&gt;0,CUENTAS!R208/CUENTAS!$AB208,"")</f>
        <v>0.0415270872</v>
      </c>
      <c r="AJ219" s="459" t="str">
        <f>IF(CUENTAS!B208/CUENTAS!$AB208&lt;&gt;0,CUENTAS!B208/CUENTAS!$AB208,"")</f>
        <v/>
      </c>
      <c r="AK219" s="459">
        <f>IF(CUENTAS!S208/CUENTAS!$AB208&lt;&gt;0,CUENTAS!S208/CUENTAS!$AB208,"")</f>
        <v>0.03151002319</v>
      </c>
      <c r="AL219" s="459">
        <f>IF(CUENTAS!T208/CUENTAS!$AB208&lt;&gt;0,CUENTAS!T208/CUENTAS!$AB208,"")</f>
        <v>0.05280438588</v>
      </c>
      <c r="AM219" s="459">
        <f>IF(CUENTAS!U208/CUENTAS!$AB208&lt;&gt;0,CUENTAS!U208/CUENTAS!$AB208,"")</f>
        <v>0.2213527649</v>
      </c>
      <c r="AN219" s="459">
        <f>IF(CUENTAS!V208/CUENTAS!$AB208&lt;&gt;0,CUENTAS!V208/CUENTAS!$AB208,"")</f>
        <v>0.01608144377</v>
      </c>
      <c r="AO219" s="459">
        <f>IF(CUENTAS!W208/CUENTAS!$AB208&lt;&gt;0,CUENTAS!W208/CUENTAS!$AB208,"")</f>
        <v>0.03037262628</v>
      </c>
      <c r="AP219" s="459" t="str">
        <f>IF(CUENTAS!X208/CUENTAS!$AB208&lt;&gt;0,CUENTAS!X208/CUENTAS!$AB208,"")</f>
        <v/>
      </c>
      <c r="AQ219" s="459" t="str">
        <f>IF(CUENTAS!Y208/CUENTAS!$AB208&lt;&gt;0,CUENTAS!Y208/CUENTAS!$AB208,"")</f>
        <v/>
      </c>
      <c r="AR219" s="459">
        <f>IF(CUENTAS!AA208/CUENTAS!$AB208&lt;&gt;0,CUENTAS!AA208/CUENTAS!$AB208,"")</f>
        <v>0.1577992859</v>
      </c>
    </row>
    <row r="220">
      <c r="A220" s="474"/>
      <c r="B220" s="200"/>
      <c r="C220" s="200"/>
      <c r="F220" s="200"/>
      <c r="G220" s="200"/>
      <c r="J220" s="470">
        <v>45440.0</v>
      </c>
      <c r="K220" s="466">
        <f>SUMIF(GRAFICO!A:A,J220,GRAFICO!B:B)</f>
        <v>11923.90199</v>
      </c>
      <c r="L220" s="467">
        <f t="shared" si="2"/>
        <v>0.1658906237</v>
      </c>
      <c r="M220" s="468">
        <v>45805.0</v>
      </c>
      <c r="N220" s="469">
        <f>IF(SUMIF(GRAFICO!A:A,M220,GRAFICO!B:B)=0,"",SUMIF(GRAFICO!A:A,M220,GRAFICO!B:B))</f>
        <v>16633.12274</v>
      </c>
      <c r="O220" s="467">
        <f t="shared" si="3"/>
        <v>0.1783227781</v>
      </c>
      <c r="P220" s="465">
        <v>46170.0</v>
      </c>
      <c r="Q220" s="463" t="str">
        <f>IF(SUMIF(GRAFICO!A:A,P220,GRAFICO!B:B)=0,"",SUMIF(GRAFICO!A:A,P220,GRAFICO!B:B))</f>
        <v/>
      </c>
      <c r="R220" s="463" t="str">
        <f t="shared" si="4"/>
        <v/>
      </c>
      <c r="S220" s="471">
        <f>CUENTAS!A209</f>
        <v>45893</v>
      </c>
      <c r="T220" s="459">
        <f>IF(CUENTAS!Q209/CUENTAS!$AB209&lt;&gt;0,CUENTAS!Q209/CUENTAS!$AB209,"")</f>
        <v>0.08923638357</v>
      </c>
      <c r="U220" s="459" t="str">
        <f>IF(CUENTAS!C209/CUENTAS!$AB209&lt;&gt;0,CUENTAS!C209/CUENTAS!$AB209,"")</f>
        <v/>
      </c>
      <c r="V220" s="459" t="str">
        <f>IF(CUENTAS!D209/CUENTAS!$AB209&lt;&gt;0,CUENTAS!D209/CUENTAS!$AB209,"")</f>
        <v/>
      </c>
      <c r="W220" s="459">
        <f>IF(CUENTAS!E209/CUENTAS!$AB209&lt;&gt;0,CUENTAS!E209/CUENTAS!$AB209,"")</f>
        <v>0.04268502136</v>
      </c>
      <c r="X220" s="459">
        <f>IF(CUENTAS!F209/CUENTAS!$AB209&lt;&gt;0,CUENTAS!F209/CUENTAS!$AB209,"")</f>
        <v>0.05491274471</v>
      </c>
      <c r="Y220" s="459">
        <f>IF(CUENTAS!G209/CUENTAS!$AB209&lt;&gt;0,CUENTAS!G209/CUENTAS!$AB209,"")</f>
        <v>0.06806971649</v>
      </c>
      <c r="Z220" s="459">
        <f>IF(CUENTAS!H209/CUENTAS!$AB209&lt;&gt;0,CUENTAS!H209/CUENTAS!$AB209,"")</f>
        <v>0.0530086967</v>
      </c>
      <c r="AA220" s="459">
        <f>IF(CUENTAS!I209/CUENTAS!$AB209&lt;&gt;0,CUENTAS!I209/CUENTAS!$AB209,"")</f>
        <v>0.1075739527</v>
      </c>
      <c r="AB220" s="459">
        <f>IF(CUENTAS!J209/CUENTAS!$AB209&lt;&gt;0,CUENTAS!J209/CUENTAS!$AB209,"")</f>
        <v>0.1546562999</v>
      </c>
      <c r="AC220" s="459" t="str">
        <f>IF(CUENTAS!K209/CUENTAS!$AB209&lt;&gt;0,CUENTAS!K209/CUENTAS!$AB209,"")</f>
        <v/>
      </c>
      <c r="AD220" s="459" t="str">
        <f>IF(CUENTAS!L209/CUENTAS!$AB209&lt;&gt;0,CUENTAS!L209/CUENTAS!$AB209,"")</f>
        <v/>
      </c>
      <c r="AE220" s="459">
        <f>IF(CUENTAS!M209/CUENTAS!$AB209&lt;&gt;0,CUENTAS!M209/CUENTAS!$AB209,"")</f>
        <v>0.1264478286</v>
      </c>
      <c r="AF220" s="459">
        <f>IF(CUENTAS!N209/CUENTAS!$AB209&lt;&gt;0,CUENTAS!N209/CUENTAS!$AB209,"")</f>
        <v>0.05331334438</v>
      </c>
      <c r="AG220" s="459" t="str">
        <f>IF(CUENTAS!O209/CUENTAS!$AB209&lt;&gt;0,CUENTAS!O209/CUENTAS!$AB209,"")</f>
        <v/>
      </c>
      <c r="AH220" s="459">
        <f>IF(CUENTAS!P209/CUENTAS!$AB209&lt;&gt;0,CUENTAS!P209/CUENTAS!$AB209,"")</f>
        <v>0.06086765488</v>
      </c>
      <c r="AI220" s="459">
        <f>IF(CUENTAS!R209/CUENTAS!$AB209&lt;&gt;0,CUENTAS!R209/CUENTAS!$AB209,"")</f>
        <v>0.01777111479</v>
      </c>
      <c r="AJ220" s="459" t="str">
        <f>IF(CUENTAS!B209/CUENTAS!$AB209&lt;&gt;0,CUENTAS!B209/CUENTAS!$AB209,"")</f>
        <v/>
      </c>
      <c r="AK220" s="459">
        <f>IF(CUENTAS!S209/CUENTAS!$AB209&lt;&gt;0,CUENTAS!S209/CUENTAS!$AB209,"")</f>
        <v>0.03143695404</v>
      </c>
      <c r="AL220" s="459">
        <f>IF(CUENTAS!T209/CUENTAS!$AB209&lt;&gt;0,CUENTAS!T209/CUENTAS!$AB209,"")</f>
        <v>0.05284685262</v>
      </c>
      <c r="AM220" s="459">
        <f>IF(CUENTAS!U209/CUENTAS!$AB209&lt;&gt;0,CUENTAS!U209/CUENTAS!$AB209,"")</f>
        <v>0.2210576114</v>
      </c>
      <c r="AN220" s="459">
        <f>IF(CUENTAS!V209/CUENTAS!$AB209&lt;&gt;0,CUENTAS!V209/CUENTAS!$AB209,"")</f>
        <v>0.01609872596</v>
      </c>
      <c r="AO220" s="459">
        <f>IF(CUENTAS!W209/CUENTAS!$AB209&lt;&gt;0,CUENTAS!W209/CUENTAS!$AB209,"")</f>
        <v>0.05420586689</v>
      </c>
      <c r="AP220" s="459" t="str">
        <f>IF(CUENTAS!X209/CUENTAS!$AB209&lt;&gt;0,CUENTAS!X209/CUENTAS!$AB209,"")</f>
        <v/>
      </c>
      <c r="AQ220" s="459" t="str">
        <f>IF(CUENTAS!Y209/CUENTAS!$AB209&lt;&gt;0,CUENTAS!Y209/CUENTAS!$AB209,"")</f>
        <v/>
      </c>
      <c r="AR220" s="459">
        <f>IF(CUENTAS!AA209/CUENTAS!$AB209&lt;&gt;0,CUENTAS!AA209/CUENTAS!$AB209,"")</f>
        <v>0.2316491787</v>
      </c>
    </row>
    <row r="221">
      <c r="A221" s="474"/>
      <c r="B221" s="200"/>
      <c r="C221" s="200"/>
      <c r="F221" s="200"/>
      <c r="G221" s="200"/>
      <c r="J221" s="465">
        <v>45439.0</v>
      </c>
      <c r="K221" s="466">
        <f>SUMIF(GRAFICO!A:A,J221,GRAFICO!B:B)</f>
        <v>12043.02297</v>
      </c>
      <c r="L221" s="467">
        <f t="shared" si="2"/>
        <v>0.1758311529</v>
      </c>
      <c r="M221" s="468">
        <v>45804.0</v>
      </c>
      <c r="N221" s="469">
        <f>IF(SUMIF(GRAFICO!A:A,M221,GRAFICO!B:B)=0,"",SUMIF(GRAFICO!A:A,M221,GRAFICO!B:B))</f>
        <v>16459.22586</v>
      </c>
      <c r="O221" s="467">
        <f t="shared" si="3"/>
        <v>0.1678128874</v>
      </c>
      <c r="P221" s="468">
        <v>46169.0</v>
      </c>
      <c r="Q221" s="463" t="str">
        <f>IF(SUMIF(GRAFICO!A:A,P221,GRAFICO!B:B)=0,"",SUMIF(GRAFICO!A:A,P221,GRAFICO!B:B))</f>
        <v/>
      </c>
      <c r="R221" s="463" t="str">
        <f t="shared" si="4"/>
        <v/>
      </c>
      <c r="S221" s="471">
        <f>CUENTAS!A210</f>
        <v>45892</v>
      </c>
      <c r="T221" s="459">
        <f>IF(CUENTAS!Q210/CUENTAS!$AB210&lt;&gt;0,CUENTAS!Q210/CUENTAS!$AB210,"")</f>
        <v>0.08920257624</v>
      </c>
      <c r="U221" s="459" t="str">
        <f>IF(CUENTAS!C210/CUENTAS!$AB210&lt;&gt;0,CUENTAS!C210/CUENTAS!$AB210,"")</f>
        <v/>
      </c>
      <c r="V221" s="459" t="str">
        <f>IF(CUENTAS!D210/CUENTAS!$AB210&lt;&gt;0,CUENTAS!D210/CUENTAS!$AB210,"")</f>
        <v/>
      </c>
      <c r="W221" s="459">
        <f>IF(CUENTAS!E210/CUENTAS!$AB210&lt;&gt;0,CUENTAS!E210/CUENTAS!$AB210,"")</f>
        <v>0.04256484279</v>
      </c>
      <c r="X221" s="459">
        <f>IF(CUENTAS!F210/CUENTAS!$AB210&lt;&gt;0,CUENTAS!F210/CUENTAS!$AB210,"")</f>
        <v>0.05489194094</v>
      </c>
      <c r="Y221" s="459">
        <f>IF(CUENTAS!G210/CUENTAS!$AB210&lt;&gt;0,CUENTAS!G210/CUENTAS!$AB210,"")</f>
        <v>0.06804392818</v>
      </c>
      <c r="Z221" s="459">
        <f>IF(CUENTAS!H210/CUENTAS!$AB210&lt;&gt;0,CUENTAS!H210/CUENTAS!$AB210,"")</f>
        <v>0.05298861428</v>
      </c>
      <c r="AA221" s="459">
        <f>IF(CUENTAS!I210/CUENTAS!$AB210&lt;&gt;0,CUENTAS!I210/CUENTAS!$AB210,"")</f>
        <v>0.1075331981</v>
      </c>
      <c r="AB221" s="459">
        <f>IF(CUENTAS!J210/CUENTAS!$AB210&lt;&gt;0,CUENTAS!J210/CUENTAS!$AB210,"")</f>
        <v>0.1545977081</v>
      </c>
      <c r="AC221" s="459" t="str">
        <f>IF(CUENTAS!K210/CUENTAS!$AB210&lt;&gt;0,CUENTAS!K210/CUENTAS!$AB210,"")</f>
        <v/>
      </c>
      <c r="AD221" s="459" t="str">
        <f>IF(CUENTAS!L210/CUENTAS!$AB210&lt;&gt;0,CUENTAS!L210/CUENTAS!$AB210,"")</f>
        <v/>
      </c>
      <c r="AE221" s="459">
        <f>IF(CUENTAS!M210/CUENTAS!$AB210&lt;&gt;0,CUENTAS!M210/CUENTAS!$AB210,"")</f>
        <v>0.1263999236</v>
      </c>
      <c r="AF221" s="459">
        <f>IF(CUENTAS!N210/CUENTAS!$AB210&lt;&gt;0,CUENTAS!N210/CUENTAS!$AB210,"")</f>
        <v>0.05329314655</v>
      </c>
      <c r="AG221" s="459" t="str">
        <f>IF(CUENTAS!O210/CUENTAS!$AB210&lt;&gt;0,CUENTAS!O210/CUENTAS!$AB210,"")</f>
        <v/>
      </c>
      <c r="AH221" s="459">
        <f>IF(CUENTAS!P210/CUENTAS!$AB210&lt;&gt;0,CUENTAS!P210/CUENTAS!$AB210,"")</f>
        <v>0.06125856863</v>
      </c>
      <c r="AI221" s="459">
        <f>IF(CUENTAS!R210/CUENTAS!$AB210&lt;&gt;0,CUENTAS!R210/CUENTAS!$AB210,"")</f>
        <v>0.01776438218</v>
      </c>
      <c r="AJ221" s="459" t="str">
        <f>IF(CUENTAS!B210/CUENTAS!$AB210&lt;&gt;0,CUENTAS!B210/CUENTAS!$AB210,"")</f>
        <v/>
      </c>
      <c r="AK221" s="459">
        <f>IF(CUENTAS!S210/CUENTAS!$AB210&lt;&gt;0,CUENTAS!S210/CUENTAS!$AB210,"")</f>
        <v>0.0313181527</v>
      </c>
      <c r="AL221" s="459">
        <f>IF(CUENTAS!T210/CUENTAS!$AB210&lt;&gt;0,CUENTAS!T210/CUENTAS!$AB210,"")</f>
        <v>0.05281255656</v>
      </c>
      <c r="AM221" s="459">
        <f>IF(CUENTAS!U210/CUENTAS!$AB210&lt;&gt;0,CUENTAS!U210/CUENTAS!$AB210,"")</f>
        <v>0.2207997292</v>
      </c>
      <c r="AN221" s="459">
        <f>IF(CUENTAS!V210/CUENTAS!$AB210&lt;&gt;0,CUENTAS!V210/CUENTAS!$AB210,"")</f>
        <v>0.01609262693</v>
      </c>
      <c r="AO221" s="459">
        <f>IF(CUENTAS!W210/CUENTAS!$AB210&lt;&gt;0,CUENTAS!W210/CUENTAS!$AB210,"")</f>
        <v>0.05418533092</v>
      </c>
      <c r="AP221" s="459" t="str">
        <f>IF(CUENTAS!X210/CUENTAS!$AB210&lt;&gt;0,CUENTAS!X210/CUENTAS!$AB210,"")</f>
        <v/>
      </c>
      <c r="AQ221" s="459" t="str">
        <f>IF(CUENTAS!Y210/CUENTAS!$AB210&lt;&gt;0,CUENTAS!Y210/CUENTAS!$AB210,"")</f>
        <v/>
      </c>
      <c r="AR221" s="459">
        <f>IF(CUENTAS!AA210/CUENTAS!$AB210&lt;&gt;0,CUENTAS!AA210/CUENTAS!$AB210,"")</f>
        <v>0.2315614181</v>
      </c>
    </row>
    <row r="222">
      <c r="A222" s="474"/>
      <c r="B222" s="200"/>
      <c r="C222" s="200"/>
      <c r="F222" s="200"/>
      <c r="G222" s="200"/>
      <c r="J222" s="470">
        <v>45438.0</v>
      </c>
      <c r="K222" s="466">
        <f>SUMIF(GRAFICO!A:A,J222,GRAFICO!B:B)</f>
        <v>12004.31319</v>
      </c>
      <c r="L222" s="467">
        <f t="shared" si="2"/>
        <v>0.1726116852</v>
      </c>
      <c r="M222" s="468">
        <v>45803.0</v>
      </c>
      <c r="N222" s="469">
        <f>IF(SUMIF(GRAFICO!A:A,M222,GRAFICO!B:B)=0,"",SUMIF(GRAFICO!A:A,M222,GRAFICO!B:B))</f>
        <v>16488.32005</v>
      </c>
      <c r="O222" s="467">
        <f t="shared" si="3"/>
        <v>0.1695789793</v>
      </c>
      <c r="P222" s="465">
        <v>46168.0</v>
      </c>
      <c r="Q222" s="463" t="str">
        <f>IF(SUMIF(GRAFICO!A:A,P222,GRAFICO!B:B)=0,"",SUMIF(GRAFICO!A:A,P222,GRAFICO!B:B))</f>
        <v/>
      </c>
      <c r="R222" s="463" t="str">
        <f t="shared" si="4"/>
        <v/>
      </c>
      <c r="S222" s="471">
        <f>CUENTAS!A211</f>
        <v>45891</v>
      </c>
      <c r="T222" s="459">
        <f>IF(CUENTAS!Q211/CUENTAS!$AB211&lt;&gt;0,CUENTAS!Q211/CUENTAS!$AB211,"")</f>
        <v>0.08936474936</v>
      </c>
      <c r="U222" s="459" t="str">
        <f>IF(CUENTAS!C211/CUENTAS!$AB211&lt;&gt;0,CUENTAS!C211/CUENTAS!$AB211,"")</f>
        <v/>
      </c>
      <c r="V222" s="459" t="str">
        <f>IF(CUENTAS!D211/CUENTAS!$AB211&lt;&gt;0,CUENTAS!D211/CUENTAS!$AB211,"")</f>
        <v/>
      </c>
      <c r="W222" s="459">
        <f>IF(CUENTAS!E211/CUENTAS!$AB211&lt;&gt;0,CUENTAS!E211/CUENTAS!$AB211,"")</f>
        <v>0.04253803065</v>
      </c>
      <c r="X222" s="459">
        <f>IF(CUENTAS!F211/CUENTAS!$AB211&lt;&gt;0,CUENTAS!F211/CUENTAS!$AB211,"")</f>
        <v>0.05567817954</v>
      </c>
      <c r="Y222" s="459">
        <f>IF(CUENTAS!G211/CUENTAS!$AB211&lt;&gt;0,CUENTAS!G211/CUENTAS!$AB211,"")</f>
        <v>0.0681676342</v>
      </c>
      <c r="Z222" s="459">
        <f>IF(CUENTAS!H211/CUENTAS!$AB211&lt;&gt;0,CUENTAS!H211/CUENTAS!$AB211,"")</f>
        <v>0.05308494926</v>
      </c>
      <c r="AA222" s="459">
        <f>IF(CUENTAS!I211/CUENTAS!$AB211&lt;&gt;0,CUENTAS!I211/CUENTAS!$AB211,"")</f>
        <v>0.1077286969</v>
      </c>
      <c r="AB222" s="459">
        <f>IF(CUENTAS!J211/CUENTAS!$AB211&lt;&gt;0,CUENTAS!J211/CUENTAS!$AB211,"")</f>
        <v>0.1548787717</v>
      </c>
      <c r="AC222" s="459" t="str">
        <f>IF(CUENTAS!K211/CUENTAS!$AB211&lt;&gt;0,CUENTAS!K211/CUENTAS!$AB211,"")</f>
        <v/>
      </c>
      <c r="AD222" s="459" t="str">
        <f>IF(CUENTAS!L211/CUENTAS!$AB211&lt;&gt;0,CUENTAS!L211/CUENTAS!$AB211,"")</f>
        <v/>
      </c>
      <c r="AE222" s="459">
        <f>IF(CUENTAS!M211/CUENTAS!$AB211&lt;&gt;0,CUENTAS!M211/CUENTAS!$AB211,"")</f>
        <v>0.1266297227</v>
      </c>
      <c r="AF222" s="459">
        <f>IF(CUENTAS!N211/CUENTAS!$AB211&lt;&gt;0,CUENTAS!N211/CUENTAS!$AB211,"")</f>
        <v>0.05339003518</v>
      </c>
      <c r="AG222" s="459" t="str">
        <f>IF(CUENTAS!O211/CUENTAS!$AB211&lt;&gt;0,CUENTAS!O211/CUENTAS!$AB211,"")</f>
        <v/>
      </c>
      <c r="AH222" s="459">
        <f>IF(CUENTAS!P211/CUENTAS!$AB211&lt;&gt;0,CUENTAS!P211/CUENTAS!$AB211,"")</f>
        <v>0.05958709283</v>
      </c>
      <c r="AI222" s="459">
        <f>IF(CUENTAS!R211/CUENTAS!$AB211&lt;&gt;0,CUENTAS!R211/CUENTAS!$AB211,"")</f>
        <v>0.01779667839</v>
      </c>
      <c r="AJ222" s="459" t="str">
        <f>IF(CUENTAS!B211/CUENTAS!$AB211&lt;&gt;0,CUENTAS!B211/CUENTAS!$AB211,"")</f>
        <v/>
      </c>
      <c r="AK222" s="459">
        <f>IF(CUENTAS!S211/CUENTAS!$AB211&lt;&gt;0,CUENTAS!S211/CUENTAS!$AB211,"")</f>
        <v>0.03126800436</v>
      </c>
      <c r="AL222" s="459">
        <f>IF(CUENTAS!T211/CUENTAS!$AB211&lt;&gt;0,CUENTAS!T211/CUENTAS!$AB211,"")</f>
        <v>0.05289427057</v>
      </c>
      <c r="AM222" s="459">
        <f>IF(CUENTAS!U211/CUENTAS!$AB211&lt;&gt;0,CUENTAS!U211/CUENTAS!$AB211,"")</f>
        <v>0.2210266994</v>
      </c>
      <c r="AN222" s="459">
        <f>IF(CUENTAS!V211/CUENTAS!$AB211&lt;&gt;0,CUENTAS!V211/CUENTAS!$AB211,"")</f>
        <v>0.01612188384</v>
      </c>
      <c r="AO222" s="459">
        <f>IF(CUENTAS!W211/CUENTAS!$AB211&lt;&gt;0,CUENTAS!W211/CUENTAS!$AB211,"")</f>
        <v>0.05428384157</v>
      </c>
      <c r="AP222" s="459" t="str">
        <f>IF(CUENTAS!X211/CUENTAS!$AB211&lt;&gt;0,CUENTAS!X211/CUENTAS!$AB211,"")</f>
        <v/>
      </c>
      <c r="AQ222" s="459" t="str">
        <f>IF(CUENTAS!Y211/CUENTAS!$AB211&lt;&gt;0,CUENTAS!Y211/CUENTAS!$AB211,"")</f>
        <v/>
      </c>
      <c r="AR222" s="459">
        <f>IF(CUENTAS!AA211/CUENTAS!$AB211&lt;&gt;0,CUENTAS!AA211/CUENTAS!$AB211,"")</f>
        <v>0.2319824041</v>
      </c>
    </row>
    <row r="223">
      <c r="A223" s="474"/>
      <c r="B223" s="200"/>
      <c r="C223" s="200"/>
      <c r="F223" s="200"/>
      <c r="G223" s="200"/>
      <c r="J223" s="470">
        <v>45437.0</v>
      </c>
      <c r="K223" s="466">
        <f>SUMIF(GRAFICO!A:A,J223,GRAFICO!B:B)</f>
        <v>12002.18658</v>
      </c>
      <c r="L223" s="467">
        <f t="shared" si="2"/>
        <v>0.1724345159</v>
      </c>
      <c r="M223" s="468">
        <v>45802.0</v>
      </c>
      <c r="N223" s="469">
        <f>IF(SUMIF(GRAFICO!A:A,M223,GRAFICO!B:B)=0,"",SUMIF(GRAFICO!A:A,M223,GRAFICO!B:B))</f>
        <v>16601.44232</v>
      </c>
      <c r="O223" s="467">
        <f t="shared" si="3"/>
        <v>0.1764163034</v>
      </c>
      <c r="P223" s="468">
        <v>46167.0</v>
      </c>
      <c r="Q223" s="463" t="str">
        <f>IF(SUMIF(GRAFICO!A:A,P223,GRAFICO!B:B)=0,"",SUMIF(GRAFICO!A:A,P223,GRAFICO!B:B))</f>
        <v/>
      </c>
      <c r="R223" s="463" t="str">
        <f t="shared" si="4"/>
        <v/>
      </c>
      <c r="S223" s="471">
        <f>CUENTAS!A212</f>
        <v>45890</v>
      </c>
      <c r="T223" s="459">
        <f>IF(CUENTAS!Q212/CUENTAS!$AB212&lt;&gt;0,CUENTAS!Q212/CUENTAS!$AB212,"")</f>
        <v>0.09265846834</v>
      </c>
      <c r="U223" s="459" t="str">
        <f>IF(CUENTAS!C212/CUENTAS!$AB212&lt;&gt;0,CUENTAS!C212/CUENTAS!$AB212,"")</f>
        <v/>
      </c>
      <c r="V223" s="459" t="str">
        <f>IF(CUENTAS!D212/CUENTAS!$AB212&lt;&gt;0,CUENTAS!D212/CUENTAS!$AB212,"")</f>
        <v/>
      </c>
      <c r="W223" s="459">
        <f>IF(CUENTAS!E212/CUENTAS!$AB212&lt;&gt;0,CUENTAS!E212/CUENTAS!$AB212,"")</f>
        <v>0.0450947178</v>
      </c>
      <c r="X223" s="459">
        <f>IF(CUENTAS!F212/CUENTAS!$AB212&lt;&gt;0,CUENTAS!F212/CUENTAS!$AB212,"")</f>
        <v>0.0595748426</v>
      </c>
      <c r="Y223" s="459">
        <f>IF(CUENTAS!G212/CUENTAS!$AB212&lt;&gt;0,CUENTAS!G212/CUENTAS!$AB212,"")</f>
        <v>0.0731007635</v>
      </c>
      <c r="Z223" s="459">
        <f>IF(CUENTAS!H212/CUENTAS!$AB212&lt;&gt;0,CUENTAS!H212/CUENTAS!$AB212,"")</f>
        <v>0.05523844249</v>
      </c>
      <c r="AA223" s="459">
        <f>IF(CUENTAS!I212/CUENTAS!$AB212&lt;&gt;0,CUENTAS!I212/CUENTAS!$AB212,"")</f>
        <v>0.1133441776</v>
      </c>
      <c r="AB223" s="459">
        <f>IF(CUENTAS!J212/CUENTAS!$AB212&lt;&gt;0,CUENTAS!J212/CUENTAS!$AB212,"")</f>
        <v>0.16641442</v>
      </c>
      <c r="AC223" s="459" t="str">
        <f>IF(CUENTAS!K212/CUENTAS!$AB212&lt;&gt;0,CUENTAS!K212/CUENTAS!$AB212,"")</f>
        <v/>
      </c>
      <c r="AD223" s="459" t="str">
        <f>IF(CUENTAS!L212/CUENTAS!$AB212&lt;&gt;0,CUENTAS!L212/CUENTAS!$AB212,"")</f>
        <v/>
      </c>
      <c r="AE223" s="459">
        <f>IF(CUENTAS!M212/CUENTAS!$AB212&lt;&gt;0,CUENTAS!M212/CUENTAS!$AB212,"")</f>
        <v>0.1331011407</v>
      </c>
      <c r="AF223" s="459">
        <f>IF(CUENTAS!N212/CUENTAS!$AB212&lt;&gt;0,CUENTAS!N212/CUENTAS!$AB212,"")</f>
        <v>0.05600845747</v>
      </c>
      <c r="AG223" s="459" t="str">
        <f>IF(CUENTAS!O212/CUENTAS!$AB212&lt;&gt;0,CUENTAS!O212/CUENTAS!$AB212,"")</f>
        <v/>
      </c>
      <c r="AH223" s="459">
        <f>IF(CUENTAS!P212/CUENTAS!$AB212&lt;&gt;0,CUENTAS!P212/CUENTAS!$AB212,"")</f>
        <v>0.0631969525</v>
      </c>
      <c r="AI223" s="459">
        <f>IF(CUENTAS!R212/CUENTAS!$AB212&lt;&gt;0,CUENTAS!R212/CUENTAS!$AB212,"")</f>
        <v>0.1582245678</v>
      </c>
      <c r="AJ223" s="459" t="str">
        <f>IF(CUENTAS!B212/CUENTAS!$AB212&lt;&gt;0,CUENTAS!B212/CUENTAS!$AB212,"")</f>
        <v/>
      </c>
      <c r="AK223" s="459">
        <f>IF(CUENTAS!S212/CUENTAS!$AB212&lt;&gt;0,CUENTAS!S212/CUENTAS!$AB212,"")</f>
        <v>0.05590718971</v>
      </c>
      <c r="AL223" s="459">
        <f>IF(CUENTAS!T212/CUENTAS!$AB212&lt;&gt;0,CUENTAS!T212/CUENTAS!$AB212,"")</f>
        <v>0.05619589532</v>
      </c>
      <c r="AM223" s="459">
        <f>IF(CUENTAS!U212/CUENTAS!$AB212&lt;&gt;0,CUENTAS!U212/CUENTAS!$AB212,"")</f>
        <v>0.09538923362</v>
      </c>
      <c r="AN223" s="459">
        <f>IF(CUENTAS!V212/CUENTAS!$AB212&lt;&gt;0,CUENTAS!V212/CUENTAS!$AB212,"")</f>
        <v>0.01713283314</v>
      </c>
      <c r="AO223" s="459">
        <f>IF(CUENTAS!W212/CUENTAS!$AB212&lt;&gt;0,CUENTAS!W212/CUENTAS!$AB212,"")</f>
        <v>0.03508127424</v>
      </c>
      <c r="AP223" s="459" t="str">
        <f>IF(CUENTAS!X212/CUENTAS!$AB212&lt;&gt;0,CUENTAS!X212/CUENTAS!$AB212,"")</f>
        <v/>
      </c>
      <c r="AQ223" s="459" t="str">
        <f>IF(CUENTAS!Y212/CUENTAS!$AB212&lt;&gt;0,CUENTAS!Y212/CUENTAS!$AB212,"")</f>
        <v/>
      </c>
      <c r="AR223" s="459">
        <f>IF(CUENTAS!AA212/CUENTAS!$AB212&lt;&gt;0,CUENTAS!AA212/CUENTAS!$AB212,"")</f>
        <v>0.1881423513</v>
      </c>
    </row>
    <row r="224">
      <c r="A224" s="474"/>
      <c r="B224" s="200"/>
      <c r="C224" s="200"/>
      <c r="F224" s="200"/>
      <c r="G224" s="200"/>
      <c r="J224" s="470">
        <v>45436.0</v>
      </c>
      <c r="K224" s="466">
        <f>SUMIF(GRAFICO!A:A,J224,GRAFICO!B:B)</f>
        <v>12000.91313</v>
      </c>
      <c r="L224" s="467">
        <f t="shared" si="2"/>
        <v>0.1723284087</v>
      </c>
      <c r="M224" s="468">
        <v>45801.0</v>
      </c>
      <c r="N224" s="469">
        <f>IF(SUMIF(GRAFICO!A:A,M224,GRAFICO!B:B)=0,"",SUMIF(GRAFICO!A:A,M224,GRAFICO!B:B))</f>
        <v>16603.64417</v>
      </c>
      <c r="O224" s="467">
        <f t="shared" si="3"/>
        <v>0.1765489248</v>
      </c>
      <c r="P224" s="465">
        <v>46166.0</v>
      </c>
      <c r="Q224" s="463" t="str">
        <f>IF(SUMIF(GRAFICO!A:A,P224,GRAFICO!B:B)=0,"",SUMIF(GRAFICO!A:A,P224,GRAFICO!B:B))</f>
        <v/>
      </c>
      <c r="R224" s="463" t="str">
        <f t="shared" si="4"/>
        <v/>
      </c>
      <c r="S224" s="471">
        <f>CUENTAS!A213</f>
        <v>45889</v>
      </c>
      <c r="T224" s="459">
        <f>IF(CUENTAS!Q213/CUENTAS!$AB213&lt;&gt;0,CUENTAS!Q213/CUENTAS!$AB213,"")</f>
        <v>0.09249597361</v>
      </c>
      <c r="U224" s="459" t="str">
        <f>IF(CUENTAS!C213/CUENTAS!$AB213&lt;&gt;0,CUENTAS!C213/CUENTAS!$AB213,"")</f>
        <v/>
      </c>
      <c r="V224" s="459" t="str">
        <f>IF(CUENTAS!D213/CUENTAS!$AB213&lt;&gt;0,CUENTAS!D213/CUENTAS!$AB213,"")</f>
        <v/>
      </c>
      <c r="W224" s="459">
        <f>IF(CUENTAS!E213/CUENTAS!$AB213&lt;&gt;0,CUENTAS!E213/CUENTAS!$AB213,"")</f>
        <v>0.04490509941</v>
      </c>
      <c r="X224" s="459">
        <f>IF(CUENTAS!F213/CUENTAS!$AB213&lt;&gt;0,CUENTAS!F213/CUENTAS!$AB213,"")</f>
        <v>0.05947036647</v>
      </c>
      <c r="Y224" s="459">
        <f>IF(CUENTAS!G213/CUENTAS!$AB213&lt;&gt;0,CUENTAS!G213/CUENTAS!$AB213,"")</f>
        <v>0.07428738805</v>
      </c>
      <c r="Z224" s="459">
        <f>IF(CUENTAS!H213/CUENTAS!$AB213&lt;&gt;0,CUENTAS!H213/CUENTAS!$AB213,"")</f>
        <v>0.05530339521</v>
      </c>
      <c r="AA224" s="459">
        <f>IF(CUENTAS!I213/CUENTAS!$AB213&lt;&gt;0,CUENTAS!I213/CUENTAS!$AB213,"")</f>
        <v>0.1128723282</v>
      </c>
      <c r="AB224" s="459">
        <f>IF(CUENTAS!J213/CUENTAS!$AB213&lt;&gt;0,CUENTAS!J213/CUENTAS!$AB213,"")</f>
        <v>0.1664866841</v>
      </c>
      <c r="AC224" s="459" t="str">
        <f>IF(CUENTAS!K213/CUENTAS!$AB213&lt;&gt;0,CUENTAS!K213/CUENTAS!$AB213,"")</f>
        <v/>
      </c>
      <c r="AD224" s="459" t="str">
        <f>IF(CUENTAS!L213/CUENTAS!$AB213&lt;&gt;0,CUENTAS!L213/CUENTAS!$AB213,"")</f>
        <v/>
      </c>
      <c r="AE224" s="459">
        <f>IF(CUENTAS!M213/CUENTAS!$AB213&lt;&gt;0,CUENTAS!M213/CUENTAS!$AB213,"")</f>
        <v>0.1330143749</v>
      </c>
      <c r="AF224" s="459">
        <f>IF(CUENTAS!N213/CUENTAS!$AB213&lt;&gt;0,CUENTAS!N213/CUENTAS!$AB213,"")</f>
        <v>0.05599114775</v>
      </c>
      <c r="AG224" s="459" t="str">
        <f>IF(CUENTAS!O213/CUENTAS!$AB213&lt;&gt;0,CUENTAS!O213/CUENTAS!$AB213,"")</f>
        <v/>
      </c>
      <c r="AH224" s="459">
        <f>IF(CUENTAS!P213/CUENTAS!$AB213&lt;&gt;0,CUENTAS!P213/CUENTAS!$AB213,"")</f>
        <v>0.0630861243</v>
      </c>
      <c r="AI224" s="459">
        <f>IF(CUENTAS!R213/CUENTAS!$AB213&lt;&gt;0,CUENTAS!R213/CUENTAS!$AB213,"")</f>
        <v>0.1579470901</v>
      </c>
      <c r="AJ224" s="459" t="str">
        <f>IF(CUENTAS!B213/CUENTAS!$AB213&lt;&gt;0,CUENTAS!B213/CUENTAS!$AB213,"")</f>
        <v/>
      </c>
      <c r="AK224" s="459">
        <f>IF(CUENTAS!S213/CUENTAS!$AB213&lt;&gt;0,CUENTAS!S213/CUENTAS!$AB213,"")</f>
        <v>0.0556913302</v>
      </c>
      <c r="AL224" s="459">
        <f>IF(CUENTAS!T213/CUENTAS!$AB213&lt;&gt;0,CUENTAS!T213/CUENTAS!$AB213,"")</f>
        <v>0.05608217382</v>
      </c>
      <c r="AM224" s="459">
        <f>IF(CUENTAS!U213/CUENTAS!$AB213&lt;&gt;0,CUENTAS!U213/CUENTAS!$AB213,"")</f>
        <v>0.09503688513</v>
      </c>
      <c r="AN224" s="459">
        <f>IF(CUENTAS!V213/CUENTAS!$AB213&lt;&gt;0,CUENTAS!V213/CUENTAS!$AB213,"")</f>
        <v>0.01710278736</v>
      </c>
      <c r="AO224" s="459">
        <f>IF(CUENTAS!W213/CUENTAS!$AB213&lt;&gt;0,CUENTAS!W213/CUENTAS!$AB213,"")</f>
        <v>0.03501975236</v>
      </c>
      <c r="AP224" s="459" t="str">
        <f>IF(CUENTAS!X213/CUENTAS!$AB213&lt;&gt;0,CUENTAS!X213/CUENTAS!$AB213,"")</f>
        <v/>
      </c>
      <c r="AQ224" s="459" t="str">
        <f>IF(CUENTAS!Y213/CUENTAS!$AB213&lt;&gt;0,CUENTAS!Y213/CUENTAS!$AB213,"")</f>
        <v/>
      </c>
      <c r="AR224" s="459">
        <f>IF(CUENTAS!AA213/CUENTAS!$AB213&lt;&gt;0,CUENTAS!AA213/CUENTAS!$AB213,"")</f>
        <v>0.1878124069</v>
      </c>
    </row>
    <row r="225">
      <c r="A225" s="474"/>
      <c r="B225" s="200"/>
      <c r="C225" s="200"/>
      <c r="F225" s="200"/>
      <c r="G225" s="200"/>
      <c r="J225" s="465">
        <v>45435.0</v>
      </c>
      <c r="K225" s="466">
        <f>SUMIF(GRAFICO!A:A,J225,GRAFICO!B:B)</f>
        <v>11998.43926</v>
      </c>
      <c r="L225" s="467">
        <f t="shared" si="2"/>
        <v>0.1721222474</v>
      </c>
      <c r="M225" s="468">
        <v>45800.0</v>
      </c>
      <c r="N225" s="469">
        <f>IF(SUMIF(GRAFICO!A:A,M225,GRAFICO!B:B)=0,"",SUMIF(GRAFICO!A:A,M225,GRAFICO!B:B))</f>
        <v>16605.84602</v>
      </c>
      <c r="O225" s="467">
        <f t="shared" si="3"/>
        <v>0.1766815286</v>
      </c>
      <c r="P225" s="468">
        <v>46165.0</v>
      </c>
      <c r="Q225" s="463" t="str">
        <f>IF(SUMIF(GRAFICO!A:A,P225,GRAFICO!B:B)=0,"",SUMIF(GRAFICO!A:A,P225,GRAFICO!B:B))</f>
        <v/>
      </c>
      <c r="R225" s="463" t="str">
        <f t="shared" si="4"/>
        <v/>
      </c>
      <c r="S225" s="471">
        <f>CUENTAS!A214</f>
        <v>45888</v>
      </c>
      <c r="T225" s="459">
        <f>IF(CUENTAS!Q214/CUENTAS!$AB214&lt;&gt;0,CUENTAS!Q214/CUENTAS!$AB214,"")</f>
        <v>0.09225907956</v>
      </c>
      <c r="U225" s="459" t="str">
        <f>IF(CUENTAS!C214/CUENTAS!$AB214&lt;&gt;0,CUENTAS!C214/CUENTAS!$AB214,"")</f>
        <v/>
      </c>
      <c r="V225" s="459" t="str">
        <f>IF(CUENTAS!D214/CUENTAS!$AB214&lt;&gt;0,CUENTAS!D214/CUENTAS!$AB214,"")</f>
        <v/>
      </c>
      <c r="W225" s="459">
        <f>IF(CUENTAS!E214/CUENTAS!$AB214&lt;&gt;0,CUENTAS!E214/CUENTAS!$AB214,"")</f>
        <v>0.04467983879</v>
      </c>
      <c r="X225" s="459">
        <f>IF(CUENTAS!F214/CUENTAS!$AB214&lt;&gt;0,CUENTAS!F214/CUENTAS!$AB214,"")</f>
        <v>0.05931805523</v>
      </c>
      <c r="Y225" s="459">
        <f>IF(CUENTAS!G214/CUENTAS!$AB214&lt;&gt;0,CUENTAS!G214/CUENTAS!$AB214,"")</f>
        <v>0.07409712852</v>
      </c>
      <c r="Z225" s="459">
        <f>IF(CUENTAS!H214/CUENTAS!$AB214&lt;&gt;0,CUENTAS!H214/CUENTAS!$AB214,"")</f>
        <v>0.05387047873</v>
      </c>
      <c r="AA225" s="459">
        <f>IF(CUENTAS!I214/CUENTAS!$AB214&lt;&gt;0,CUENTAS!I214/CUENTAS!$AB214,"")</f>
        <v>0.1119476971</v>
      </c>
      <c r="AB225" s="459">
        <f>IF(CUENTAS!J214/CUENTAS!$AB214&lt;&gt;0,CUENTAS!J214/CUENTAS!$AB214,"")</f>
        <v>0.1661510833</v>
      </c>
      <c r="AC225" s="459">
        <f>IF(CUENTAS!K214/CUENTAS!$AB214&lt;&gt;0,CUENTAS!K214/CUENTAS!$AB214,"")</f>
        <v>0.09344106915</v>
      </c>
      <c r="AD225" s="459" t="str">
        <f>IF(CUENTAS!L214/CUENTAS!$AB214&lt;&gt;0,CUENTAS!L214/CUENTAS!$AB214,"")</f>
        <v/>
      </c>
      <c r="AE225" s="459">
        <f>IF(CUENTAS!M214/CUENTAS!$AB214&lt;&gt;0,CUENTAS!M214/CUENTAS!$AB214,"")</f>
        <v>0.1358918134</v>
      </c>
      <c r="AF225" s="459">
        <f>IF(CUENTAS!N214/CUENTAS!$AB214&lt;&gt;0,CUENTAS!N214/CUENTAS!$AB214,"")</f>
        <v>0.05584774724</v>
      </c>
      <c r="AG225" s="459" t="str">
        <f>IF(CUENTAS!O214/CUENTAS!$AB214&lt;&gt;0,CUENTAS!O214/CUENTAS!$AB214,"")</f>
        <v/>
      </c>
      <c r="AH225" s="459">
        <f>IF(CUENTAS!P214/CUENTAS!$AB214&lt;&gt;0,CUENTAS!P214/CUENTAS!$AB214,"")</f>
        <v>0.06292455264</v>
      </c>
      <c r="AI225" s="459">
        <f>IF(CUENTAS!R214/CUENTAS!$AB214&lt;&gt;0,CUENTAS!R214/CUENTAS!$AB214,"")</f>
        <v>0.1575425673</v>
      </c>
      <c r="AJ225" s="459" t="str">
        <f>IF(CUENTAS!B214/CUENTAS!$AB214&lt;&gt;0,CUENTAS!B214/CUENTAS!$AB214,"")</f>
        <v/>
      </c>
      <c r="AK225" s="459">
        <f>IF(CUENTAS!S214/CUENTAS!$AB214&lt;&gt;0,CUENTAS!S214/CUENTAS!$AB214,"")</f>
        <v>0.05543118398</v>
      </c>
      <c r="AL225" s="459">
        <f>IF(CUENTAS!T214/CUENTAS!$AB214&lt;&gt;0,CUENTAS!T214/CUENTAS!$AB214,"")</f>
        <v>0.05592340802</v>
      </c>
      <c r="AM225" s="459">
        <f>IF(CUENTAS!U214/CUENTAS!$AB214&lt;&gt;0,CUENTAS!U214/CUENTAS!$AB214,"")</f>
        <v>0.09460889262</v>
      </c>
      <c r="AN225" s="459">
        <f>IF(CUENTAS!V214/CUENTAS!$AB214&lt;&gt;0,CUENTAS!V214/CUENTAS!$AB214,"")</f>
        <v>0.01705898493</v>
      </c>
      <c r="AO225" s="459">
        <f>IF(CUENTAS!W214/CUENTAS!$AB214&lt;&gt;0,CUENTAS!W214/CUENTAS!$AB214,"")</f>
        <v>0.03493006229</v>
      </c>
      <c r="AP225" s="459" t="str">
        <f>IF(CUENTAS!X214/CUENTAS!$AB214&lt;&gt;0,CUENTAS!X214/CUENTAS!$AB214,"")</f>
        <v/>
      </c>
      <c r="AQ225" s="459" t="str">
        <f>IF(CUENTAS!Y214/CUENTAS!$AB214&lt;&gt;0,CUENTAS!Y214/CUENTAS!$AB214,"")</f>
        <v/>
      </c>
      <c r="AR225" s="459">
        <f>IF(CUENTAS!AA214/CUENTAS!$AB214&lt;&gt;0,CUENTAS!AA214/CUENTAS!$AB214,"")</f>
        <v>0.0951108186</v>
      </c>
    </row>
    <row r="226">
      <c r="A226" s="474"/>
      <c r="B226" s="200"/>
      <c r="C226" s="200"/>
      <c r="F226" s="200"/>
      <c r="G226" s="200"/>
      <c r="J226" s="465">
        <v>45434.0</v>
      </c>
      <c r="K226" s="466">
        <f>SUMIF(GRAFICO!A:A,J226,GRAFICO!B:B)</f>
        <v>11995.48418</v>
      </c>
      <c r="L226" s="467">
        <f t="shared" si="2"/>
        <v>0.1718759279</v>
      </c>
      <c r="M226" s="468">
        <v>45799.0</v>
      </c>
      <c r="N226" s="469">
        <f>IF(SUMIF(GRAFICO!A:A,M226,GRAFICO!B:B)=0,"",SUMIF(GRAFICO!A:A,M226,GRAFICO!B:B))</f>
        <v>16828.46451</v>
      </c>
      <c r="O226" s="467">
        <f t="shared" si="3"/>
        <v>0.189998494</v>
      </c>
      <c r="P226" s="465">
        <v>46164.0</v>
      </c>
      <c r="Q226" s="463" t="str">
        <f>IF(SUMIF(GRAFICO!A:A,P226,GRAFICO!B:B)=0,"",SUMIF(GRAFICO!A:A,P226,GRAFICO!B:B))</f>
        <v/>
      </c>
      <c r="R226" s="463" t="str">
        <f t="shared" si="4"/>
        <v/>
      </c>
      <c r="S226" s="471">
        <f>CUENTAS!A215</f>
        <v>45887</v>
      </c>
      <c r="T226" s="459">
        <f>IF(CUENTAS!Q215/CUENTAS!$AB215&lt;&gt;0,CUENTAS!Q215/CUENTAS!$AB215,"")</f>
        <v>0.09221929273</v>
      </c>
      <c r="U226" s="459" t="str">
        <f>IF(CUENTAS!C215/CUENTAS!$AB215&lt;&gt;0,CUENTAS!C215/CUENTAS!$AB215,"")</f>
        <v/>
      </c>
      <c r="V226" s="459" t="str">
        <f>IF(CUENTAS!D215/CUENTAS!$AB215&lt;&gt;0,CUENTAS!D215/CUENTAS!$AB215,"")</f>
        <v/>
      </c>
      <c r="W226" s="459">
        <f>IF(CUENTAS!E215/CUENTAS!$AB215&lt;&gt;0,CUENTAS!E215/CUENTAS!$AB215,"")</f>
        <v>0.04467411623</v>
      </c>
      <c r="X226" s="459">
        <f>IF(CUENTAS!F215/CUENTAS!$AB215&lt;&gt;0,CUENTAS!F215/CUENTAS!$AB215,"")</f>
        <v>0.05945717557</v>
      </c>
      <c r="Y226" s="459">
        <f>IF(CUENTAS!G215/CUENTAS!$AB215&lt;&gt;0,CUENTAS!G215/CUENTAS!$AB215,"")</f>
        <v>0.07427091065</v>
      </c>
      <c r="Z226" s="459">
        <f>IF(CUENTAS!H215/CUENTAS!$AB215&lt;&gt;0,CUENTAS!H215/CUENTAS!$AB215,"")</f>
        <v>0.0532889992</v>
      </c>
      <c r="AA226" s="459">
        <f>IF(CUENTAS!I215/CUENTAS!$AB215&lt;&gt;0,CUENTAS!I215/CUENTAS!$AB215,"")</f>
        <v>0.1133023218</v>
      </c>
      <c r="AB226" s="459">
        <f>IF(CUENTAS!J215/CUENTAS!$AB215&lt;&gt;0,CUENTAS!J215/CUENTAS!$AB215,"")</f>
        <v>0.1659947269</v>
      </c>
      <c r="AC226" s="459">
        <f>IF(CUENTAS!K215/CUENTAS!$AB215&lt;&gt;0,CUENTAS!K215/CUENTAS!$AB215,"")</f>
        <v>0.09479779269</v>
      </c>
      <c r="AD226" s="459" t="str">
        <f>IF(CUENTAS!L215/CUENTAS!$AB215&lt;&gt;0,CUENTAS!L215/CUENTAS!$AB215,"")</f>
        <v/>
      </c>
      <c r="AE226" s="459">
        <f>IF(CUENTAS!M215/CUENTAS!$AB215&lt;&gt;0,CUENTAS!M215/CUENTAS!$AB215,"")</f>
        <v>0.1312254245</v>
      </c>
      <c r="AF226" s="459">
        <f>IF(CUENTAS!N215/CUENTAS!$AB215&lt;&gt;0,CUENTAS!N215/CUENTAS!$AB215,"")</f>
        <v>0.05597872857</v>
      </c>
      <c r="AG226" s="459" t="str">
        <f>IF(CUENTAS!O215/CUENTAS!$AB215&lt;&gt;0,CUENTAS!O215/CUENTAS!$AB215,"")</f>
        <v/>
      </c>
      <c r="AH226" s="459">
        <f>IF(CUENTAS!P215/CUENTAS!$AB215&lt;&gt;0,CUENTAS!P215/CUENTAS!$AB215,"")</f>
        <v>0.06503381373</v>
      </c>
      <c r="AI226" s="459">
        <f>IF(CUENTAS!R215/CUENTAS!$AB215&lt;&gt;0,CUENTAS!R215/CUENTAS!$AB215,"")</f>
        <v>0.1579120564</v>
      </c>
      <c r="AJ226" s="459" t="str">
        <f>IF(CUENTAS!B215/CUENTAS!$AB215&lt;&gt;0,CUENTAS!B215/CUENTAS!$AB215,"")</f>
        <v/>
      </c>
      <c r="AK226" s="459">
        <f>IF(CUENTAS!S215/CUENTAS!$AB215&lt;&gt;0,CUENTAS!S215/CUENTAS!$AB215,"")</f>
        <v>0.05544339914</v>
      </c>
      <c r="AL226" s="459">
        <f>IF(CUENTAS!T215/CUENTAS!$AB215&lt;&gt;0,CUENTAS!T215/CUENTAS!$AB215,"")</f>
        <v>0.05603939916</v>
      </c>
      <c r="AM226" s="459">
        <f>IF(CUENTAS!U215/CUENTAS!$AB215&lt;&gt;0,CUENTAS!U215/CUENTAS!$AB215,"")</f>
        <v>0.0946457578</v>
      </c>
      <c r="AN226" s="459">
        <f>IF(CUENTAS!V215/CUENTAS!$AB215&lt;&gt;0,CUENTAS!V215/CUENTAS!$AB215,"")</f>
        <v>0.01709899386</v>
      </c>
      <c r="AO226" s="459">
        <f>IF(CUENTAS!W215/CUENTAS!$AB215&lt;&gt;0,CUENTAS!W215/CUENTAS!$AB215,"")</f>
        <v>0.03501198477</v>
      </c>
      <c r="AP226" s="459" t="str">
        <f>IF(CUENTAS!X215/CUENTAS!$AB215&lt;&gt;0,CUENTAS!X215/CUENTAS!$AB215,"")</f>
        <v/>
      </c>
      <c r="AQ226" s="459" t="str">
        <f>IF(CUENTAS!Y215/CUENTAS!$AB215&lt;&gt;0,CUENTAS!Y215/CUENTAS!$AB215,"")</f>
        <v/>
      </c>
      <c r="AR226" s="459">
        <f>IF(CUENTAS!AA215/CUENTAS!$AB215&lt;&gt;0,CUENTAS!AA215/CUENTAS!$AB215,"")</f>
        <v>0.09533388474</v>
      </c>
    </row>
    <row r="227">
      <c r="A227" s="474"/>
      <c r="B227" s="200"/>
      <c r="C227" s="200"/>
      <c r="F227" s="200"/>
      <c r="G227" s="200"/>
      <c r="J227" s="465">
        <v>45433.0</v>
      </c>
      <c r="K227" s="466">
        <f>SUMIF(GRAFICO!A:A,J227,GRAFICO!B:B)</f>
        <v>12185.33824</v>
      </c>
      <c r="L227" s="467">
        <f t="shared" si="2"/>
        <v>0.1875791126</v>
      </c>
      <c r="M227" s="468">
        <v>45798.0</v>
      </c>
      <c r="N227" s="469">
        <f>IF(SUMIF(GRAFICO!A:A,M227,GRAFICO!B:B)=0,"",SUMIF(GRAFICO!A:A,M227,GRAFICO!B:B))</f>
        <v>16671.05071</v>
      </c>
      <c r="O227" s="467">
        <f t="shared" si="3"/>
        <v>0.1806004497</v>
      </c>
      <c r="P227" s="468">
        <v>46163.0</v>
      </c>
      <c r="Q227" s="463" t="str">
        <f>IF(SUMIF(GRAFICO!A:A,P227,GRAFICO!B:B)=0,"",SUMIF(GRAFICO!A:A,P227,GRAFICO!B:B))</f>
        <v/>
      </c>
      <c r="R227" s="463" t="str">
        <f t="shared" si="4"/>
        <v/>
      </c>
      <c r="S227" s="471">
        <f>CUENTAS!A216</f>
        <v>45886</v>
      </c>
      <c r="T227" s="459">
        <f>IF(CUENTAS!Q216/CUENTAS!$AB216&lt;&gt;0,CUENTAS!Q216/CUENTAS!$AB216,"")</f>
        <v>0.09269710417</v>
      </c>
      <c r="U227" s="459" t="str">
        <f>IF(CUENTAS!C216/CUENTAS!$AB216&lt;&gt;0,CUENTAS!C216/CUENTAS!$AB216,"")</f>
        <v/>
      </c>
      <c r="V227" s="459" t="str">
        <f>IF(CUENTAS!D216/CUENTAS!$AB216&lt;&gt;0,CUENTAS!D216/CUENTAS!$AB216,"")</f>
        <v/>
      </c>
      <c r="W227" s="459">
        <f>IF(CUENTAS!E216/CUENTAS!$AB216&lt;&gt;0,CUENTAS!E216/CUENTAS!$AB216,"")</f>
        <v>0.04479450004</v>
      </c>
      <c r="X227" s="459">
        <f>IF(CUENTAS!F216/CUENTAS!$AB216&lt;&gt;0,CUENTAS!F216/CUENTAS!$AB216,"")</f>
        <v>0.06049705746</v>
      </c>
      <c r="Y227" s="459">
        <f>IF(CUENTAS!G216/CUENTAS!$AB216&lt;&gt;0,CUENTAS!G216/CUENTAS!$AB216,"")</f>
        <v>0.07465572699</v>
      </c>
      <c r="Z227" s="459">
        <f>IF(CUENTAS!H216/CUENTAS!$AB216&lt;&gt;0,CUENTAS!H216/CUENTAS!$AB216,"")</f>
        <v>0.05356510296</v>
      </c>
      <c r="AA227" s="459">
        <f>IF(CUENTAS!I216/CUENTAS!$AB216&lt;&gt;0,CUENTAS!I216/CUENTAS!$AB216,"")</f>
        <v>0.1138893698</v>
      </c>
      <c r="AB227" s="459">
        <f>IF(CUENTAS!J216/CUENTAS!$AB216&lt;&gt;0,CUENTAS!J216/CUENTAS!$AB216,"")</f>
        <v>0.1668547875</v>
      </c>
      <c r="AC227" s="459">
        <f>IF(CUENTAS!K216/CUENTAS!$AB216&lt;&gt;0,CUENTAS!K216/CUENTAS!$AB216,"")</f>
        <v>0.09528896399</v>
      </c>
      <c r="AD227" s="459" t="str">
        <f>IF(CUENTAS!L216/CUENTAS!$AB216&lt;&gt;0,CUENTAS!L216/CUENTAS!$AB216,"")</f>
        <v/>
      </c>
      <c r="AE227" s="459">
        <f>IF(CUENTAS!M216/CUENTAS!$AB216&lt;&gt;0,CUENTAS!M216/CUENTAS!$AB216,"")</f>
        <v>0.1319053366</v>
      </c>
      <c r="AF227" s="459">
        <f>IF(CUENTAS!N216/CUENTAS!$AB216&lt;&gt;0,CUENTAS!N216/CUENTAS!$AB216,"")</f>
        <v>0.05464250351</v>
      </c>
      <c r="AG227" s="459" t="str">
        <f>IF(CUENTAS!O216/CUENTAS!$AB216&lt;&gt;0,CUENTAS!O216/CUENTAS!$AB216,"")</f>
        <v/>
      </c>
      <c r="AH227" s="459">
        <f>IF(CUENTAS!P216/CUENTAS!$AB216&lt;&gt;0,CUENTAS!P216/CUENTAS!$AB216,"")</f>
        <v>0.06383598276</v>
      </c>
      <c r="AI227" s="459">
        <f>IF(CUENTAS!R216/CUENTAS!$AB216&lt;&gt;0,CUENTAS!R216/CUENTAS!$AB216,"")</f>
        <v>0.1587302387</v>
      </c>
      <c r="AJ227" s="459" t="str">
        <f>IF(CUENTAS!B216/CUENTAS!$AB216&lt;&gt;0,CUENTAS!B216/CUENTAS!$AB216,"")</f>
        <v/>
      </c>
      <c r="AK227" s="459">
        <f>IF(CUENTAS!S216/CUENTAS!$AB216&lt;&gt;0,CUENTAS!S216/CUENTAS!$AB216,"")</f>
        <v>0.0556122659</v>
      </c>
      <c r="AL227" s="459">
        <f>IF(CUENTAS!T216/CUENTAS!$AB216&lt;&gt;0,CUENTAS!T216/CUENTAS!$AB216,"")</f>
        <v>0.0563145072</v>
      </c>
      <c r="AM227" s="459">
        <f>IF(CUENTAS!U216/CUENTAS!$AB216&lt;&gt;0,CUENTAS!U216/CUENTAS!$AB216,"")</f>
        <v>0.09495015894</v>
      </c>
      <c r="AN227" s="459">
        <f>IF(CUENTAS!V216/CUENTAS!$AB216&lt;&gt;0,CUENTAS!V216/CUENTAS!$AB216,"")</f>
        <v>0.01718758806</v>
      </c>
      <c r="AO227" s="459">
        <f>IF(CUENTAS!W216/CUENTAS!$AB216&lt;&gt;0,CUENTAS!W216/CUENTAS!$AB216,"")</f>
        <v>0.0332149377</v>
      </c>
      <c r="AP227" s="459" t="str">
        <f>IF(CUENTAS!X216/CUENTAS!$AB216&lt;&gt;0,CUENTAS!X216/CUENTAS!$AB216,"")</f>
        <v/>
      </c>
      <c r="AQ227" s="459" t="str">
        <f>IF(CUENTAS!Y216/CUENTAS!$AB216&lt;&gt;0,CUENTAS!Y216/CUENTAS!$AB216,"")</f>
        <v/>
      </c>
      <c r="AR227" s="459">
        <f>IF(CUENTAS!AA216/CUENTAS!$AB216&lt;&gt;0,CUENTAS!AA216/CUENTAS!$AB216,"")</f>
        <v>0.09582783367</v>
      </c>
    </row>
    <row r="228">
      <c r="A228" s="474"/>
      <c r="B228" s="200"/>
      <c r="C228" s="200"/>
      <c r="F228" s="200"/>
      <c r="G228" s="200"/>
      <c r="J228" s="470">
        <v>45432.0</v>
      </c>
      <c r="K228" s="466">
        <f>SUMIF(GRAFICO!A:A,J228,GRAFICO!B:B)</f>
        <v>12182.38902</v>
      </c>
      <c r="L228" s="467">
        <f t="shared" si="2"/>
        <v>0.1873370532</v>
      </c>
      <c r="M228" s="468">
        <v>45797.0</v>
      </c>
      <c r="N228" s="469">
        <f>IF(SUMIF(GRAFICO!A:A,M228,GRAFICO!B:B)=0,"",SUMIF(GRAFICO!A:A,M228,GRAFICO!B:B))</f>
        <v>16874.86131</v>
      </c>
      <c r="O228" s="467">
        <f t="shared" si="3"/>
        <v>0.1927517434</v>
      </c>
      <c r="P228" s="465">
        <v>46162.0</v>
      </c>
      <c r="Q228" s="463" t="str">
        <f>IF(SUMIF(GRAFICO!A:A,P228,GRAFICO!B:B)=0,"",SUMIF(GRAFICO!A:A,P228,GRAFICO!B:B))</f>
        <v/>
      </c>
      <c r="R228" s="463" t="str">
        <f t="shared" si="4"/>
        <v/>
      </c>
      <c r="S228" s="471">
        <f>CUENTAS!A217</f>
        <v>45885</v>
      </c>
      <c r="T228" s="459">
        <f>IF(CUENTAS!Q217/CUENTAS!$AB217&lt;&gt;0,CUENTAS!Q217/CUENTAS!$AB217,"")</f>
        <v>0.09247022354</v>
      </c>
      <c r="U228" s="459" t="str">
        <f>IF(CUENTAS!C217/CUENTAS!$AB217&lt;&gt;0,CUENTAS!C217/CUENTAS!$AB217,"")</f>
        <v/>
      </c>
      <c r="V228" s="459" t="str">
        <f>IF(CUENTAS!D217/CUENTAS!$AB217&lt;&gt;0,CUENTAS!D217/CUENTAS!$AB217,"")</f>
        <v/>
      </c>
      <c r="W228" s="459">
        <f>IF(CUENTAS!E217/CUENTAS!$AB217&lt;&gt;0,CUENTAS!E217/CUENTAS!$AB217,"")</f>
        <v>0.04457405116</v>
      </c>
      <c r="X228" s="459">
        <f>IF(CUENTAS!F217/CUENTAS!$AB217&lt;&gt;0,CUENTAS!F217/CUENTAS!$AB217,"")</f>
        <v>0.05791556106</v>
      </c>
      <c r="Y228" s="459">
        <f>IF(CUENTAS!G217/CUENTAS!$AB217&lt;&gt;0,CUENTAS!G217/CUENTAS!$AB217,"")</f>
        <v>0.0744730035</v>
      </c>
      <c r="Z228" s="459">
        <f>IF(CUENTAS!H217/CUENTAS!$AB217&lt;&gt;0,CUENTAS!H217/CUENTAS!$AB217,"")</f>
        <v>0.05343399979</v>
      </c>
      <c r="AA228" s="459">
        <f>IF(CUENTAS!I217/CUENTAS!$AB217&lt;&gt;0,CUENTAS!I217/CUENTAS!$AB217,"")</f>
        <v>0.11361062</v>
      </c>
      <c r="AB228" s="459">
        <f>IF(CUENTAS!J217/CUENTAS!$AB217&lt;&gt;0,CUENTAS!J217/CUENTAS!$AB217,"")</f>
        <v>0.1664464024</v>
      </c>
      <c r="AC228" s="459">
        <f>IF(CUENTAS!K217/CUENTAS!$AB217&lt;&gt;0,CUENTAS!K217/CUENTAS!$AB217,"")</f>
        <v>0.09505573966</v>
      </c>
      <c r="AD228" s="459" t="str">
        <f>IF(CUENTAS!L217/CUENTAS!$AB217&lt;&gt;0,CUENTAS!L217/CUENTAS!$AB217,"")</f>
        <v/>
      </c>
      <c r="AE228" s="459">
        <f>IF(CUENTAS!M217/CUENTAS!$AB217&lt;&gt;0,CUENTAS!M217/CUENTAS!$AB217,"")</f>
        <v>0.1315824919</v>
      </c>
      <c r="AF228" s="459">
        <f>IF(CUENTAS!N217/CUENTAS!$AB217&lt;&gt;0,CUENTAS!N217/CUENTAS!$AB217,"")</f>
        <v>0.05450876335</v>
      </c>
      <c r="AG228" s="459" t="str">
        <f>IF(CUENTAS!O217/CUENTAS!$AB217&lt;&gt;0,CUENTAS!O217/CUENTAS!$AB217,"")</f>
        <v/>
      </c>
      <c r="AH228" s="459">
        <f>IF(CUENTAS!P217/CUENTAS!$AB217&lt;&gt;0,CUENTAS!P217/CUENTAS!$AB217,"")</f>
        <v>0.06616893408</v>
      </c>
      <c r="AI228" s="459">
        <f>IF(CUENTAS!R217/CUENTAS!$AB217&lt;&gt;0,CUENTAS!R217/CUENTAS!$AB217,"")</f>
        <v>0.1583417388</v>
      </c>
      <c r="AJ228" s="459" t="str">
        <f>IF(CUENTAS!B217/CUENTAS!$AB217&lt;&gt;0,CUENTAS!B217/CUENTAS!$AB217,"")</f>
        <v/>
      </c>
      <c r="AK228" s="459">
        <f>IF(CUENTAS!S217/CUENTAS!$AB217&lt;&gt;0,CUENTAS!S217/CUENTAS!$AB217,"")</f>
        <v>0.0553580425</v>
      </c>
      <c r="AL228" s="459">
        <f>IF(CUENTAS!T217/CUENTAS!$AB217&lt;&gt;0,CUENTAS!T217/CUENTAS!$AB217,"")</f>
        <v>0.05616146581</v>
      </c>
      <c r="AM228" s="459">
        <f>IF(CUENTAS!U217/CUENTAS!$AB217&lt;&gt;0,CUENTAS!U217/CUENTAS!$AB217,"")</f>
        <v>0.09453223661</v>
      </c>
      <c r="AN228" s="459">
        <f>IF(CUENTAS!V217/CUENTAS!$AB217&lt;&gt;0,CUENTAS!V217/CUENTAS!$AB217,"")</f>
        <v>0.01714552061</v>
      </c>
      <c r="AO228" s="459">
        <f>IF(CUENTAS!W217/CUENTAS!$AB217&lt;&gt;0,CUENTAS!W217/CUENTAS!$AB217,"")</f>
        <v>0.03313364254</v>
      </c>
      <c r="AP228" s="459" t="str">
        <f>IF(CUENTAS!X217/CUENTAS!$AB217&lt;&gt;0,CUENTAS!X217/CUENTAS!$AB217,"")</f>
        <v/>
      </c>
      <c r="AQ228" s="459" t="str">
        <f>IF(CUENTAS!Y217/CUENTAS!$AB217&lt;&gt;0,CUENTAS!Y217/CUENTAS!$AB217,"")</f>
        <v/>
      </c>
      <c r="AR228" s="459">
        <f>IF(CUENTAS!AA217/CUENTAS!$AB217&lt;&gt;0,CUENTAS!AA217/CUENTAS!$AB217,"")</f>
        <v>0.09559329043</v>
      </c>
    </row>
    <row r="229">
      <c r="A229" s="474"/>
      <c r="B229" s="200"/>
      <c r="C229" s="200"/>
      <c r="F229" s="200"/>
      <c r="G229" s="200"/>
      <c r="J229" s="465">
        <v>45431.0</v>
      </c>
      <c r="K229" s="466">
        <f>SUMIF(GRAFICO!A:A,J229,GRAFICO!B:B)</f>
        <v>12064.31564</v>
      </c>
      <c r="L229" s="467">
        <f t="shared" si="2"/>
        <v>0.1775976423</v>
      </c>
      <c r="M229" s="468">
        <v>45796.0</v>
      </c>
      <c r="N229" s="469">
        <f>IF(SUMIF(GRAFICO!A:A,M229,GRAFICO!B:B)=0,"",SUMIF(GRAFICO!A:A,M229,GRAFICO!B:B))</f>
        <v>17020.15386</v>
      </c>
      <c r="O229" s="467">
        <f t="shared" si="3"/>
        <v>0.2013248882</v>
      </c>
      <c r="P229" s="468">
        <v>46161.0</v>
      </c>
      <c r="Q229" s="463" t="str">
        <f>IF(SUMIF(GRAFICO!A:A,P229,GRAFICO!B:B)=0,"",SUMIF(GRAFICO!A:A,P229,GRAFICO!B:B))</f>
        <v/>
      </c>
      <c r="R229" s="463" t="str">
        <f t="shared" si="4"/>
        <v/>
      </c>
      <c r="S229" s="471">
        <f>CUENTAS!A218</f>
        <v>45884</v>
      </c>
      <c r="T229" s="459">
        <f>IF(CUENTAS!Q218/CUENTAS!$AB218&lt;&gt;0,CUENTAS!Q218/CUENTAS!$AB218,"")</f>
        <v>0.09251065778</v>
      </c>
      <c r="U229" s="459" t="str">
        <f>IF(CUENTAS!C218/CUENTAS!$AB218&lt;&gt;0,CUENTAS!C218/CUENTAS!$AB218,"")</f>
        <v/>
      </c>
      <c r="V229" s="459" t="str">
        <f>IF(CUENTAS!D218/CUENTAS!$AB218&lt;&gt;0,CUENTAS!D218/CUENTAS!$AB218,"")</f>
        <v/>
      </c>
      <c r="W229" s="459">
        <f>IF(CUENTAS!E218/CUENTAS!$AB218&lt;&gt;0,CUENTAS!E218/CUENTAS!$AB218,"")</f>
        <v>0.04448268132</v>
      </c>
      <c r="X229" s="459">
        <f>IF(CUENTAS!F218/CUENTAS!$AB218&lt;&gt;0,CUENTAS!F218/CUENTAS!$AB218,"")</f>
        <v>0.05777858627</v>
      </c>
      <c r="Y229" s="459">
        <f>IF(CUENTAS!G218/CUENTAS!$AB218&lt;&gt;0,CUENTAS!G218/CUENTAS!$AB218,"")</f>
        <v>0.07450556814</v>
      </c>
      <c r="Z229" s="459">
        <f>IF(CUENTAS!H218/CUENTAS!$AB218&lt;&gt;0,CUENTAS!H218/CUENTAS!$AB218,"")</f>
        <v>0.05345736475</v>
      </c>
      <c r="AA229" s="459">
        <f>IF(CUENTAS!I218/CUENTAS!$AB218&lt;&gt;0,CUENTAS!I218/CUENTAS!$AB218,"")</f>
        <v>0.1136602983</v>
      </c>
      <c r="AB229" s="459">
        <f>IF(CUENTAS!J218/CUENTAS!$AB218&lt;&gt;0,CUENTAS!J218/CUENTAS!$AB218,"")</f>
        <v>0.166519184</v>
      </c>
      <c r="AC229" s="459">
        <f>IF(CUENTAS!K218/CUENTAS!$AB218&lt;&gt;0,CUENTAS!K218/CUENTAS!$AB218,"")</f>
        <v>0.09509730447</v>
      </c>
      <c r="AD229" s="459" t="str">
        <f>IF(CUENTAS!L218/CUENTAS!$AB218&lt;&gt;0,CUENTAS!L218/CUENTAS!$AB218,"")</f>
        <v/>
      </c>
      <c r="AE229" s="459">
        <f>IF(CUENTAS!M218/CUENTAS!$AB218&lt;&gt;0,CUENTAS!M218/CUENTAS!$AB218,"")</f>
        <v>0.1316400287</v>
      </c>
      <c r="AF229" s="459">
        <f>IF(CUENTAS!N218/CUENTAS!$AB218&lt;&gt;0,CUENTAS!N218/CUENTAS!$AB218,"")</f>
        <v>0.05445144857</v>
      </c>
      <c r="AG229" s="459" t="str">
        <f>IF(CUENTAS!O218/CUENTAS!$AB218&lt;&gt;0,CUENTAS!O218/CUENTAS!$AB218,"")</f>
        <v/>
      </c>
      <c r="AH229" s="459">
        <f>IF(CUENTAS!P218/CUENTAS!$AB218&lt;&gt;0,CUENTAS!P218/CUENTAS!$AB218,"")</f>
        <v>0.06588341253</v>
      </c>
      <c r="AI229" s="459">
        <f>IF(CUENTAS!R218/CUENTAS!$AB218&lt;&gt;0,CUENTAS!R218/CUENTAS!$AB218,"")</f>
        <v>0.1584109765</v>
      </c>
      <c r="AJ229" s="459" t="str">
        <f>IF(CUENTAS!B218/CUENTAS!$AB218&lt;&gt;0,CUENTAS!B218/CUENTAS!$AB218,"")</f>
        <v/>
      </c>
      <c r="AK229" s="459">
        <f>IF(CUENTAS!S218/CUENTAS!$AB218&lt;&gt;0,CUENTAS!S218/CUENTAS!$AB218,"")</f>
        <v>0.05526408745</v>
      </c>
      <c r="AL229" s="459">
        <f>IF(CUENTAS!T218/CUENTAS!$AB218&lt;&gt;0,CUENTAS!T218/CUENTAS!$AB218,"")</f>
        <v>0.05617080784</v>
      </c>
      <c r="AM229" s="459">
        <f>IF(CUENTAS!U218/CUENTAS!$AB218&lt;&gt;0,CUENTAS!U218/CUENTAS!$AB218,"")</f>
        <v>0.09438796415</v>
      </c>
      <c r="AN229" s="459">
        <f>IF(CUENTAS!V218/CUENTAS!$AB218&lt;&gt;0,CUENTAS!V218/CUENTAS!$AB218,"")</f>
        <v>0.0171530178</v>
      </c>
      <c r="AO229" s="459">
        <f>IF(CUENTAS!W218/CUENTAS!$AB218&lt;&gt;0,CUENTAS!W218/CUENTAS!$AB218,"")</f>
        <v>0.03314813082</v>
      </c>
      <c r="AP229" s="459" t="str">
        <f>IF(CUENTAS!X218/CUENTAS!$AB218&lt;&gt;0,CUENTAS!X218/CUENTAS!$AB218,"")</f>
        <v/>
      </c>
      <c r="AQ229" s="459" t="str">
        <f>IF(CUENTAS!Y218/CUENTAS!$AB218&lt;&gt;0,CUENTAS!Y218/CUENTAS!$AB218,"")</f>
        <v/>
      </c>
      <c r="AR229" s="459">
        <f>IF(CUENTAS!AA218/CUENTAS!$AB218&lt;&gt;0,CUENTAS!AA218/CUENTAS!$AB218,"")</f>
        <v>0.09563509029</v>
      </c>
    </row>
    <row r="230">
      <c r="A230" s="474"/>
      <c r="B230" s="200"/>
      <c r="C230" s="200"/>
      <c r="F230" s="200"/>
      <c r="G230" s="200"/>
      <c r="J230" s="470">
        <v>45430.0</v>
      </c>
      <c r="K230" s="466">
        <f>SUMIF(GRAFICO!A:A,J230,GRAFICO!B:B)</f>
        <v>12016.22512</v>
      </c>
      <c r="L230" s="467">
        <f t="shared" si="2"/>
        <v>0.1736034971</v>
      </c>
      <c r="M230" s="468">
        <v>45795.0</v>
      </c>
      <c r="N230" s="469">
        <f>IF(SUMIF(GRAFICO!A:A,M230,GRAFICO!B:B)=0,"",SUMIF(GRAFICO!A:A,M230,GRAFICO!B:B))</f>
        <v>17152.90084</v>
      </c>
      <c r="O230" s="467">
        <f t="shared" si="3"/>
        <v>0.2090940295</v>
      </c>
      <c r="P230" s="465">
        <v>46160.0</v>
      </c>
      <c r="Q230" s="463" t="str">
        <f>IF(SUMIF(GRAFICO!A:A,P230,GRAFICO!B:B)=0,"",SUMIF(GRAFICO!A:A,P230,GRAFICO!B:B))</f>
        <v/>
      </c>
      <c r="R230" s="463" t="str">
        <f t="shared" si="4"/>
        <v/>
      </c>
      <c r="S230" s="471">
        <f>CUENTAS!A219</f>
        <v>45883</v>
      </c>
      <c r="T230" s="459">
        <f>IF(CUENTAS!Q219/CUENTAS!$AB219&lt;&gt;0,CUENTAS!Q219/CUENTAS!$AB219,"")</f>
        <v>0.09277742509</v>
      </c>
      <c r="U230" s="459" t="str">
        <f>IF(CUENTAS!C219/CUENTAS!$AB219&lt;&gt;0,CUENTAS!C219/CUENTAS!$AB219,"")</f>
        <v/>
      </c>
      <c r="V230" s="459" t="str">
        <f>IF(CUENTAS!D219/CUENTAS!$AB219&lt;&gt;0,CUENTAS!D219/CUENTAS!$AB219,"")</f>
        <v/>
      </c>
      <c r="W230" s="459">
        <f>IF(CUENTAS!E219/CUENTAS!$AB219&lt;&gt;0,CUENTAS!E219/CUENTAS!$AB219,"")</f>
        <v>0.04525400643</v>
      </c>
      <c r="X230" s="459">
        <f>IF(CUENTAS!F219/CUENTAS!$AB219&lt;&gt;0,CUENTAS!F219/CUENTAS!$AB219,"")</f>
        <v>0.05909284702</v>
      </c>
      <c r="Y230" s="459">
        <f>IF(CUENTAS!G219/CUENTAS!$AB219&lt;&gt;0,CUENTAS!G219/CUENTAS!$AB219,"")</f>
        <v>0.07585237296</v>
      </c>
      <c r="Z230" s="459">
        <f>IF(CUENTAS!H219/CUENTAS!$AB219&lt;&gt;0,CUENTAS!H219/CUENTAS!$AB219,"")</f>
        <v>0.1345727861</v>
      </c>
      <c r="AA230" s="459">
        <f>IF(CUENTAS!I219/CUENTAS!$AB219&lt;&gt;0,CUENTAS!I219/CUENTAS!$AB219,"")</f>
        <v>0.1148958612</v>
      </c>
      <c r="AB230" s="459">
        <f>IF(CUENTAS!J219/CUENTAS!$AB219&lt;&gt;0,CUENTAS!J219/CUENTAS!$AB219,"")</f>
        <v>0.1713195985</v>
      </c>
      <c r="AC230" s="459">
        <f>IF(CUENTAS!K219/CUENTAS!$AB219&lt;&gt;0,CUENTAS!K219/CUENTAS!$AB219,"")</f>
        <v>0.09419474302</v>
      </c>
      <c r="AD230" s="459" t="str">
        <f>IF(CUENTAS!L219/CUENTAS!$AB219&lt;&gt;0,CUENTAS!L219/CUENTAS!$AB219,"")</f>
        <v/>
      </c>
      <c r="AE230" s="459">
        <f>IF(CUENTAS!M219/CUENTAS!$AB219&lt;&gt;0,CUENTAS!M219/CUENTAS!$AB219,"")</f>
        <v>0.1347072761</v>
      </c>
      <c r="AF230" s="459">
        <f>IF(CUENTAS!N219/CUENTAS!$AB219&lt;&gt;0,CUENTAS!N219/CUENTAS!$AB219,"")</f>
        <v>0.05412706156</v>
      </c>
      <c r="AG230" s="459" t="str">
        <f>IF(CUENTAS!O219/CUENTAS!$AB219&lt;&gt;0,CUENTAS!O219/CUENTAS!$AB219,"")</f>
        <v/>
      </c>
      <c r="AH230" s="459">
        <f>IF(CUENTAS!P219/CUENTAS!$AB219&lt;&gt;0,CUENTAS!P219/CUENTAS!$AB219,"")</f>
        <v>0.06845024901</v>
      </c>
      <c r="AI230" s="459">
        <f>IF(CUENTAS!R219/CUENTAS!$AB219&lt;&gt;0,CUENTAS!R219/CUENTAS!$AB219,"")</f>
        <v>0.1615604507</v>
      </c>
      <c r="AJ230" s="459" t="str">
        <f>IF(CUENTAS!B219/CUENTAS!$AB219&lt;&gt;0,CUENTAS!B219/CUENTAS!$AB219,"")</f>
        <v/>
      </c>
      <c r="AK230" s="459">
        <f>IF(CUENTAS!S219/CUENTAS!$AB219&lt;&gt;0,CUENTAS!S219/CUENTAS!$AB219,"")</f>
        <v>0.05624231901</v>
      </c>
      <c r="AL230" s="459">
        <f>IF(CUENTAS!T219/CUENTAS!$AB219&lt;&gt;0,CUENTAS!T219/CUENTAS!$AB219,"")</f>
        <v>0.05727205902</v>
      </c>
      <c r="AM230" s="459">
        <f>IF(CUENTAS!U219/CUENTAS!$AB219&lt;&gt;0,CUENTAS!U219/CUENTAS!$AB219,"")</f>
        <v>0.0960752556</v>
      </c>
      <c r="AN230" s="459">
        <f>IF(CUENTAS!V219/CUENTAS!$AB219&lt;&gt;0,CUENTAS!V219/CUENTAS!$AB219,"")</f>
        <v>0.01749404837</v>
      </c>
      <c r="AO230" s="459">
        <f>IF(CUENTAS!W219/CUENTAS!$AB219&lt;&gt;0,CUENTAS!W219/CUENTAS!$AB219,"")</f>
        <v>0.03380717089</v>
      </c>
      <c r="AP230" s="459" t="str">
        <f>IF(CUENTAS!X219/CUENTAS!$AB219&lt;&gt;0,CUENTAS!X219/CUENTAS!$AB219,"")</f>
        <v/>
      </c>
      <c r="AQ230" s="459" t="str">
        <f>IF(CUENTAS!Y219/CUENTAS!$AB219&lt;&gt;0,CUENTAS!Y219/CUENTAS!$AB219,"")</f>
        <v/>
      </c>
      <c r="AR230" s="459">
        <f>IF(CUENTAS!AA219/CUENTAS!$AB219&lt;&gt;0,CUENTAS!AA219/CUENTAS!$AB219,"")</f>
        <v>0.001379384851</v>
      </c>
    </row>
    <row r="231">
      <c r="A231" s="474"/>
      <c r="B231" s="200"/>
      <c r="C231" s="200"/>
      <c r="F231" s="200"/>
      <c r="G231" s="200"/>
      <c r="J231" s="470">
        <v>45429.0</v>
      </c>
      <c r="K231" s="466">
        <f>SUMIF(GRAFICO!A:A,J231,GRAFICO!B:B)</f>
        <v>12012.59438</v>
      </c>
      <c r="L231" s="467">
        <f t="shared" si="2"/>
        <v>0.1733012986</v>
      </c>
      <c r="M231" s="468">
        <v>45794.0</v>
      </c>
      <c r="N231" s="469">
        <f>IF(SUMIF(GRAFICO!A:A,M231,GRAFICO!B:B)=0,"",SUMIF(GRAFICO!A:A,M231,GRAFICO!B:B))</f>
        <v>17155.10269</v>
      </c>
      <c r="O231" s="467">
        <f t="shared" si="3"/>
        <v>0.2092223874</v>
      </c>
      <c r="P231" s="468">
        <v>46159.0</v>
      </c>
      <c r="Q231" s="463" t="str">
        <f>IF(SUMIF(GRAFICO!A:A,P231,GRAFICO!B:B)=0,"",SUMIF(GRAFICO!A:A,P231,GRAFICO!B:B))</f>
        <v/>
      </c>
      <c r="R231" s="463" t="str">
        <f t="shared" si="4"/>
        <v/>
      </c>
      <c r="S231" s="471">
        <f>CUENTAS!A220</f>
        <v>45882</v>
      </c>
      <c r="T231" s="459">
        <f>IF(CUENTAS!Q220/CUENTAS!$AB220&lt;&gt;0,CUENTAS!Q220/CUENTAS!$AB220,"")</f>
        <v>0.09199288777</v>
      </c>
      <c r="U231" s="459" t="str">
        <f>IF(CUENTAS!C220/CUENTAS!$AB220&lt;&gt;0,CUENTAS!C220/CUENTAS!$AB220,"")</f>
        <v/>
      </c>
      <c r="V231" s="459" t="str">
        <f>IF(CUENTAS!D220/CUENTAS!$AB220&lt;&gt;0,CUENTAS!D220/CUENTAS!$AB220,"")</f>
        <v/>
      </c>
      <c r="W231" s="459">
        <f>IF(CUENTAS!E220/CUENTAS!$AB220&lt;&gt;0,CUENTAS!E220/CUENTAS!$AB220,"")</f>
        <v>0.04514178182</v>
      </c>
      <c r="X231" s="459">
        <f>IF(CUENTAS!F220/CUENTAS!$AB220&lt;&gt;0,CUENTAS!F220/CUENTAS!$AB220,"")</f>
        <v>0.0590939468</v>
      </c>
      <c r="Y231" s="459">
        <f>IF(CUENTAS!G220/CUENTAS!$AB220&lt;&gt;0,CUENTAS!G220/CUENTAS!$AB220,"")</f>
        <v>0.07491233697</v>
      </c>
      <c r="Z231" s="459">
        <f>IF(CUENTAS!H220/CUENTAS!$AB220&lt;&gt;0,CUENTAS!H220/CUENTAS!$AB220,"")</f>
        <v>0.0818369778</v>
      </c>
      <c r="AA231" s="459">
        <f>IF(CUENTAS!I220/CUENTAS!$AB220&lt;&gt;0,CUENTAS!I220/CUENTAS!$AB220,"")</f>
        <v>0.1132685708</v>
      </c>
      <c r="AB231" s="459">
        <f>IF(CUENTAS!J220/CUENTAS!$AB220&lt;&gt;0,CUENTAS!J220/CUENTAS!$AB220,"")</f>
        <v>0.1713227869</v>
      </c>
      <c r="AC231" s="459">
        <f>IF(CUENTAS!K220/CUENTAS!$AB220&lt;&gt;0,CUENTAS!K220/CUENTAS!$AB220,"")</f>
        <v>0.09574833292</v>
      </c>
      <c r="AD231" s="459" t="str">
        <f>IF(CUENTAS!L220/CUENTAS!$AB220&lt;&gt;0,CUENTAS!L220/CUENTAS!$AB220,"")</f>
        <v/>
      </c>
      <c r="AE231" s="459">
        <f>IF(CUENTAS!M220/CUENTAS!$AB220&lt;&gt;0,CUENTAS!M220/CUENTAS!$AB220,"")</f>
        <v>0.1297594236</v>
      </c>
      <c r="AF231" s="459">
        <f>IF(CUENTAS!N220/CUENTAS!$AB220&lt;&gt;0,CUENTAS!N220/CUENTAS!$AB220,"")</f>
        <v>0.05412806892</v>
      </c>
      <c r="AG231" s="459" t="str">
        <f>IF(CUENTAS!O220/CUENTAS!$AB220&lt;&gt;0,CUENTAS!O220/CUENTAS!$AB220,"")</f>
        <v/>
      </c>
      <c r="AH231" s="459">
        <f>IF(CUENTAS!P220/CUENTAS!$AB220&lt;&gt;0,CUENTAS!P220/CUENTAS!$AB220,"")</f>
        <v>0.06845152294</v>
      </c>
      <c r="AI231" s="459">
        <f>IF(CUENTAS!R220/CUENTAS!$AB220&lt;&gt;0,CUENTAS!R220/CUENTAS!$AB220,"")</f>
        <v>0.1615634575</v>
      </c>
      <c r="AJ231" s="459" t="str">
        <f>IF(CUENTAS!B220/CUENTAS!$AB220&lt;&gt;0,CUENTAS!B220/CUENTAS!$AB220,"")</f>
        <v/>
      </c>
      <c r="AK231" s="459">
        <f>IF(CUENTAS!S220/CUENTAS!$AB220&lt;&gt;0,CUENTAS!S220/CUENTAS!$AB220,"")</f>
        <v>0.05612285291</v>
      </c>
      <c r="AL231" s="459">
        <f>IF(CUENTAS!T220/CUENTAS!$AB220&lt;&gt;0,CUENTAS!T220/CUENTAS!$AB220,"")</f>
        <v>0.05725760654</v>
      </c>
      <c r="AM231" s="459">
        <f>IF(CUENTAS!U220/CUENTAS!$AB220&lt;&gt;0,CUENTAS!U220/CUENTAS!$AB220,"")</f>
        <v>0.09588774158</v>
      </c>
      <c r="AN231" s="459">
        <f>IF(CUENTAS!V220/CUENTAS!$AB220&lt;&gt;0,CUENTAS!V220/CUENTAS!$AB220,"")</f>
        <v>0.01749437396</v>
      </c>
      <c r="AO231" s="459">
        <f>IF(CUENTAS!W220/CUENTAS!$AB220&lt;&gt;0,CUENTAS!W220/CUENTAS!$AB220,"")</f>
        <v>0.03380780008</v>
      </c>
      <c r="AP231" s="459" t="str">
        <f>IF(CUENTAS!X220/CUENTAS!$AB220&lt;&gt;0,CUENTAS!X220/CUENTAS!$AB220,"")</f>
        <v/>
      </c>
      <c r="AQ231" s="459" t="str">
        <f>IF(CUENTAS!Y220/CUENTAS!$AB220&lt;&gt;0,CUENTAS!Y220/CUENTAS!$AB220,"")</f>
        <v/>
      </c>
      <c r="AR231" s="459">
        <f>IF(CUENTAS!AA220/CUENTAS!$AB220&lt;&gt;0,CUENTAS!AA220/CUENTAS!$AB220,"")</f>
        <v>0.06089726742</v>
      </c>
    </row>
    <row r="232">
      <c r="A232" s="474"/>
      <c r="B232" s="200"/>
      <c r="C232" s="200"/>
      <c r="F232" s="200"/>
      <c r="G232" s="200"/>
      <c r="J232" s="470">
        <v>45428.0</v>
      </c>
      <c r="K232" s="466">
        <f>SUMIF(GRAFICO!A:A,J232,GRAFICO!B:B)</f>
        <v>11745.27812</v>
      </c>
      <c r="L232" s="467">
        <f t="shared" si="2"/>
        <v>0.1507969654</v>
      </c>
      <c r="M232" s="468">
        <v>45793.0</v>
      </c>
      <c r="N232" s="469">
        <f>IF(SUMIF(GRAFICO!A:A,M232,GRAFICO!B:B)=0,"",SUMIF(GRAFICO!A:A,M232,GRAFICO!B:B))</f>
        <v>17157.30454</v>
      </c>
      <c r="O232" s="467">
        <f t="shared" si="3"/>
        <v>0.2093507289</v>
      </c>
      <c r="P232" s="465">
        <v>46158.0</v>
      </c>
      <c r="Q232" s="463" t="str">
        <f>IF(SUMIF(GRAFICO!A:A,P232,GRAFICO!B:B)=0,"",SUMIF(GRAFICO!A:A,P232,GRAFICO!B:B))</f>
        <v/>
      </c>
      <c r="R232" s="463" t="str">
        <f t="shared" si="4"/>
        <v/>
      </c>
      <c r="S232" s="471">
        <f>CUENTAS!A221</f>
        <v>45881</v>
      </c>
      <c r="T232" s="459">
        <f>IF(CUENTAS!Q221/CUENTAS!$AB221&lt;&gt;0,CUENTAS!Q221/CUENTAS!$AB221,"")</f>
        <v>0.09116096178</v>
      </c>
      <c r="U232" s="459" t="str">
        <f>IF(CUENTAS!C221/CUENTAS!$AB221&lt;&gt;0,CUENTAS!C221/CUENTAS!$AB221,"")</f>
        <v/>
      </c>
      <c r="V232" s="459" t="str">
        <f>IF(CUENTAS!D221/CUENTAS!$AB221&lt;&gt;0,CUENTAS!D221/CUENTAS!$AB221,"")</f>
        <v/>
      </c>
      <c r="W232" s="459">
        <f>IF(CUENTAS!E221/CUENTAS!$AB221&lt;&gt;0,CUENTAS!E221/CUENTAS!$AB221,"")</f>
        <v>0.04539752967</v>
      </c>
      <c r="X232" s="459">
        <f>IF(CUENTAS!F221/CUENTAS!$AB221&lt;&gt;0,CUENTAS!F221/CUENTAS!$AB221,"")</f>
        <v>0.05957796495</v>
      </c>
      <c r="Y232" s="459">
        <f>IF(CUENTAS!G221/CUENTAS!$AB221&lt;&gt;0,CUENTAS!G221/CUENTAS!$AB221,"")</f>
        <v>0.07566151221</v>
      </c>
      <c r="Z232" s="459">
        <f>IF(CUENTAS!H221/CUENTAS!$AB221&lt;&gt;0,CUENTAS!H221/CUENTAS!$AB221,"")</f>
        <v>0.08118610291</v>
      </c>
      <c r="AA232" s="459">
        <f>IF(CUENTAS!I221/CUENTAS!$AB221&lt;&gt;0,CUENTAS!I221/CUENTAS!$AB221,"")</f>
        <v>0.1146187424</v>
      </c>
      <c r="AB232" s="459">
        <f>IF(CUENTAS!J221/CUENTAS!$AB221&lt;&gt;0,CUENTAS!J221/CUENTAS!$AB221,"")</f>
        <v>0.1718811772</v>
      </c>
      <c r="AC232" s="459">
        <f>IF(CUENTAS!K221/CUENTAS!$AB221&lt;&gt;0,CUENTAS!K221/CUENTAS!$AB221,"")</f>
        <v>0.09418575341</v>
      </c>
      <c r="AD232" s="459" t="str">
        <f>IF(CUENTAS!L221/CUENTAS!$AB221&lt;&gt;0,CUENTAS!L221/CUENTAS!$AB221,"")</f>
        <v/>
      </c>
      <c r="AE232" s="459">
        <f>IF(CUENTAS!M221/CUENTAS!$AB221&lt;&gt;0,CUENTAS!M221/CUENTAS!$AB221,"")</f>
        <v>0.1308222383</v>
      </c>
      <c r="AF232" s="459">
        <f>IF(CUENTAS!N221/CUENTAS!$AB221&lt;&gt;0,CUENTAS!N221/CUENTAS!$AB221,"")</f>
        <v>0.05457141327</v>
      </c>
      <c r="AG232" s="459" t="str">
        <f>IF(CUENTAS!O221/CUENTAS!$AB221&lt;&gt;0,CUENTAS!O221/CUENTAS!$AB221,"")</f>
        <v/>
      </c>
      <c r="AH232" s="459">
        <f>IF(CUENTAS!P221/CUENTAS!$AB221&lt;&gt;0,CUENTAS!P221/CUENTAS!$AB221,"")</f>
        <v>0.06901218577</v>
      </c>
      <c r="AI232" s="459">
        <f>IF(CUENTAS!R221/CUENTAS!$AB221&lt;&gt;0,CUENTAS!R221/CUENTAS!$AB221,"")</f>
        <v>0.1628867681</v>
      </c>
      <c r="AJ232" s="459" t="str">
        <f>IF(CUENTAS!B221/CUENTAS!$AB221&lt;&gt;0,CUENTAS!B221/CUENTAS!$AB221,"")</f>
        <v/>
      </c>
      <c r="AK232" s="459">
        <f>IF(CUENTAS!S221/CUENTAS!$AB221&lt;&gt;0,CUENTAS!S221/CUENTAS!$AB221,"")</f>
        <v>0.05646103594</v>
      </c>
      <c r="AL232" s="459">
        <f>IF(CUENTAS!T221/CUENTAS!$AB221&lt;&gt;0,CUENTAS!T221/CUENTAS!$AB221,"")</f>
        <v>0.05771093839</v>
      </c>
      <c r="AM232" s="459">
        <f>IF(CUENTAS!U221/CUENTAS!$AB221&lt;&gt;0,CUENTAS!U221/CUENTAS!$AB221,"")</f>
        <v>0.09648227243</v>
      </c>
      <c r="AN232" s="459">
        <f>IF(CUENTAS!V221/CUENTAS!$AB221&lt;&gt;0,CUENTAS!V221/CUENTAS!$AB221,"")</f>
        <v>0.01763766434</v>
      </c>
      <c r="AO232" s="459">
        <f>IF(CUENTAS!W221/CUENTAS!$AB221&lt;&gt;0,CUENTAS!W221/CUENTAS!$AB221,"")</f>
        <v>0.03408470812</v>
      </c>
      <c r="AP232" s="459" t="str">
        <f>IF(CUENTAS!X221/CUENTAS!$AB221&lt;&gt;0,CUENTAS!X221/CUENTAS!$AB221,"")</f>
        <v/>
      </c>
      <c r="AQ232" s="459" t="str">
        <f>IF(CUENTAS!Y221/CUENTAS!$AB221&lt;&gt;0,CUENTAS!Y221/CUENTAS!$AB221,"")</f>
        <v/>
      </c>
      <c r="AR232" s="459">
        <f>IF(CUENTAS!AA221/CUENTAS!$AB221&lt;&gt;0,CUENTAS!AA221/CUENTAS!$AB221,"")</f>
        <v>0.06139605595</v>
      </c>
    </row>
    <row r="233">
      <c r="A233" s="474"/>
      <c r="B233" s="200"/>
      <c r="C233" s="200"/>
      <c r="F233" s="200"/>
      <c r="G233" s="200"/>
      <c r="J233" s="465">
        <v>45427.0</v>
      </c>
      <c r="K233" s="466">
        <f>SUMIF(GRAFICO!A:A,J233,GRAFICO!B:B)</f>
        <v>11563.78155</v>
      </c>
      <c r="L233" s="467">
        <f t="shared" si="2"/>
        <v>0.135223601</v>
      </c>
      <c r="M233" s="468">
        <v>45792.0</v>
      </c>
      <c r="N233" s="469">
        <f>IF(SUMIF(GRAFICO!A:A,M233,GRAFICO!B:B)=0,"",SUMIF(GRAFICO!A:A,M233,GRAFICO!B:B))</f>
        <v>17120.67587</v>
      </c>
      <c r="O233" s="467">
        <f t="shared" si="3"/>
        <v>0.2072135734</v>
      </c>
      <c r="P233" s="468">
        <v>46157.0</v>
      </c>
      <c r="Q233" s="463" t="str">
        <f>IF(SUMIF(GRAFICO!A:A,P233,GRAFICO!B:B)=0,"",SUMIF(GRAFICO!A:A,P233,GRAFICO!B:B))</f>
        <v/>
      </c>
      <c r="R233" s="463" t="str">
        <f t="shared" si="4"/>
        <v/>
      </c>
      <c r="S233" s="471">
        <f>CUENTAS!A222</f>
        <v>45880</v>
      </c>
      <c r="T233" s="459">
        <f>IF(CUENTAS!Q222/CUENTAS!$AB222&lt;&gt;0,CUENTAS!Q222/CUENTAS!$AB222,"")</f>
        <v>0.09456467854</v>
      </c>
      <c r="U233" s="459" t="str">
        <f>IF(CUENTAS!C222/CUENTAS!$AB222&lt;&gt;0,CUENTAS!C222/CUENTAS!$AB222,"")</f>
        <v/>
      </c>
      <c r="V233" s="459" t="str">
        <f>IF(CUENTAS!D222/CUENTAS!$AB222&lt;&gt;0,CUENTAS!D222/CUENTAS!$AB222,"")</f>
        <v/>
      </c>
      <c r="W233" s="459">
        <f>IF(CUENTAS!E222/CUENTAS!$AB222&lt;&gt;0,CUENTAS!E222/CUENTAS!$AB222,"")</f>
        <v>0.04697430799</v>
      </c>
      <c r="X233" s="459">
        <f>IF(CUENTAS!F222/CUENTAS!$AB222&lt;&gt;0,CUENTAS!F222/CUENTAS!$AB222,"")</f>
        <v>0.06275459216</v>
      </c>
      <c r="Y233" s="459">
        <f>IF(CUENTAS!G222/CUENTAS!$AB222&lt;&gt;0,CUENTAS!G222/CUENTAS!$AB222,"")</f>
        <v>0.0793304603</v>
      </c>
      <c r="Z233" s="459">
        <f>IF(CUENTAS!H222/CUENTAS!$AB222&lt;&gt;0,CUENTAS!H222/CUENTAS!$AB222,"")</f>
        <v>0.0825727809</v>
      </c>
      <c r="AA233" s="459">
        <f>IF(CUENTAS!I222/CUENTAS!$AB222&lt;&gt;0,CUENTAS!I222/CUENTAS!$AB222,"")</f>
        <v>0.1175350232</v>
      </c>
      <c r="AB233" s="459">
        <f>IF(CUENTAS!J222/CUENTAS!$AB222&lt;&gt;0,CUENTAS!J222/CUENTAS!$AB222,"")</f>
        <v>0.1796620695</v>
      </c>
      <c r="AC233" s="459">
        <f>IF(CUENTAS!K222/CUENTAS!$AB222&lt;&gt;0,CUENTAS!K222/CUENTAS!$AB222,"")</f>
        <v>0.09754011179</v>
      </c>
      <c r="AD233" s="459" t="str">
        <f>IF(CUENTAS!L222/CUENTAS!$AB222&lt;&gt;0,CUENTAS!L222/CUENTAS!$AB222,"")</f>
        <v/>
      </c>
      <c r="AE233" s="459">
        <f>IF(CUENTAS!M222/CUENTAS!$AB222&lt;&gt;0,CUENTAS!M222/CUENTAS!$AB222,"")</f>
        <v>0.135863692</v>
      </c>
      <c r="AF233" s="459">
        <f>IF(CUENTAS!N222/CUENTAS!$AB222&lt;&gt;0,CUENTAS!N222/CUENTAS!$AB222,"")</f>
        <v>0.05660897004</v>
      </c>
      <c r="AG233" s="459" t="str">
        <f>IF(CUENTAS!O222/CUENTAS!$AB222&lt;&gt;0,CUENTAS!O222/CUENTAS!$AB222,"")</f>
        <v/>
      </c>
      <c r="AH233" s="459">
        <f>IF(CUENTAS!P222/CUENTAS!$AB222&lt;&gt;0,CUENTAS!P222/CUENTAS!$AB222,"")</f>
        <v>0.07113449417</v>
      </c>
      <c r="AI233" s="459">
        <f>IF(CUENTAS!R222/CUENTAS!$AB222&lt;&gt;0,CUENTAS!R222/CUENTAS!$AB222,"")</f>
        <v>0.1171556104</v>
      </c>
      <c r="AJ233" s="459" t="str">
        <f>IF(CUENTAS!B222/CUENTAS!$AB222&lt;&gt;0,CUENTAS!B222/CUENTAS!$AB222,"")</f>
        <v/>
      </c>
      <c r="AK233" s="459">
        <f>IF(CUENTAS!S222/CUENTAS!$AB222&lt;&gt;0,CUENTAS!S222/CUENTAS!$AB222,"")</f>
        <v>0.05844040503</v>
      </c>
      <c r="AL233" s="459">
        <f>IF(CUENTAS!T222/CUENTAS!$AB222&lt;&gt;0,CUENTAS!T222/CUENTAS!$AB222,"")</f>
        <v>0.05984948734</v>
      </c>
      <c r="AM233" s="459">
        <f>IF(CUENTAS!U222/CUENTAS!$AB222&lt;&gt;0,CUENTAS!U222/CUENTAS!$AB222,"")</f>
        <v>0.05485847159</v>
      </c>
      <c r="AN233" s="459">
        <f>IF(CUENTAS!V222/CUENTAS!$AB222&lt;&gt;0,CUENTAS!V222/CUENTAS!$AB222,"")</f>
        <v>0.01829620954</v>
      </c>
      <c r="AO233" s="459" t="str">
        <f>IF(CUENTAS!W222/CUENTAS!$AB222&lt;&gt;0,CUENTAS!W222/CUENTAS!$AB222,"")</f>
        <v/>
      </c>
      <c r="AP233" s="459" t="str">
        <f>IF(CUENTAS!X222/CUENTAS!$AB222&lt;&gt;0,CUENTAS!X222/CUENTAS!$AB222,"")</f>
        <v/>
      </c>
      <c r="AQ233" s="459" t="str">
        <f>IF(CUENTAS!Y222/CUENTAS!$AB222&lt;&gt;0,CUENTAS!Y222/CUENTAS!$AB222,"")</f>
        <v/>
      </c>
      <c r="AR233" s="459">
        <f>IF(CUENTAS!AA222/CUENTAS!$AB222&lt;&gt;0,CUENTAS!AA222/CUENTAS!$AB222,"")</f>
        <v>0.1598571349</v>
      </c>
    </row>
    <row r="234">
      <c r="A234" s="474"/>
      <c r="B234" s="200"/>
      <c r="C234" s="200"/>
      <c r="F234" s="200"/>
      <c r="G234" s="200"/>
      <c r="J234" s="465">
        <v>45426.0</v>
      </c>
      <c r="K234" s="466">
        <f>SUMIF(GRAFICO!A:A,J234,GRAFICO!B:B)</f>
        <v>11451.02778</v>
      </c>
      <c r="L234" s="467">
        <f t="shared" si="2"/>
        <v>0.1254251563</v>
      </c>
      <c r="M234" s="468">
        <v>45791.0</v>
      </c>
      <c r="N234" s="469">
        <f>IF(SUMIF(GRAFICO!A:A,M234,GRAFICO!B:B)=0,"",SUMIF(GRAFICO!A:A,M234,GRAFICO!B:B))</f>
        <v>17272.23385</v>
      </c>
      <c r="O234" s="467">
        <f t="shared" si="3"/>
        <v>0.2160269573</v>
      </c>
      <c r="P234" s="465">
        <v>46156.0</v>
      </c>
      <c r="Q234" s="463" t="str">
        <f>IF(SUMIF(GRAFICO!A:A,P234,GRAFICO!B:B)=0,"",SUMIF(GRAFICO!A:A,P234,GRAFICO!B:B))</f>
        <v/>
      </c>
      <c r="R234" s="463" t="str">
        <f t="shared" si="4"/>
        <v/>
      </c>
      <c r="S234" s="471">
        <f>CUENTAS!A223</f>
        <v>45879</v>
      </c>
      <c r="T234" s="459">
        <f>IF(CUENTAS!Q223/CUENTAS!$AB223&lt;&gt;0,CUENTAS!Q223/CUENTAS!$AB223,"")</f>
        <v>0.09538786486</v>
      </c>
      <c r="U234" s="459" t="str">
        <f>IF(CUENTAS!C223/CUENTAS!$AB223&lt;&gt;0,CUENTAS!C223/CUENTAS!$AB223,"")</f>
        <v/>
      </c>
      <c r="V234" s="459" t="str">
        <f>IF(CUENTAS!D223/CUENTAS!$AB223&lt;&gt;0,CUENTAS!D223/CUENTAS!$AB223,"")</f>
        <v/>
      </c>
      <c r="W234" s="459">
        <f>IF(CUENTAS!E223/CUENTAS!$AB223&lt;&gt;0,CUENTAS!E223/CUENTAS!$AB223,"")</f>
        <v>0.04685649348</v>
      </c>
      <c r="X234" s="459">
        <f>IF(CUENTAS!F223/CUENTAS!$AB223&lt;&gt;0,CUENTAS!F223/CUENTAS!$AB223,"")</f>
        <v>0.06258205653</v>
      </c>
      <c r="Y234" s="459">
        <f>IF(CUENTAS!G223/CUENTAS!$AB223&lt;&gt;0,CUENTAS!G223/CUENTAS!$AB223,"")</f>
        <v>0.07961251243</v>
      </c>
      <c r="Z234" s="459">
        <f>IF(CUENTAS!H223/CUENTAS!$AB223&lt;&gt;0,CUENTAS!H223/CUENTAS!$AB223,"")</f>
        <v>0.08565720623</v>
      </c>
      <c r="AA234" s="459">
        <f>IF(CUENTAS!I223/CUENTAS!$AB223&lt;&gt;0,CUENTAS!I223/CUENTAS!$AB223,"")</f>
        <v>0.115442471</v>
      </c>
      <c r="AB234" s="459">
        <f>IF(CUENTAS!J223/CUENTAS!$AB223&lt;&gt;0,CUENTAS!J223/CUENTAS!$AB223,"")</f>
        <v>0.1800532508</v>
      </c>
      <c r="AC234" s="459">
        <f>IF(CUENTAS!K223/CUENTAS!$AB223&lt;&gt;0,CUENTAS!K223/CUENTAS!$AB223,"")</f>
        <v>0.09599918681</v>
      </c>
      <c r="AD234" s="459" t="str">
        <f>IF(CUENTAS!L223/CUENTAS!$AB223&lt;&gt;0,CUENTAS!L223/CUENTAS!$AB223,"")</f>
        <v/>
      </c>
      <c r="AE234" s="459">
        <f>IF(CUENTAS!M223/CUENTAS!$AB223&lt;&gt;0,CUENTAS!M223/CUENTAS!$AB223,"")</f>
        <v>0.1360218402</v>
      </c>
      <c r="AF234" s="459">
        <f>IF(CUENTAS!N223/CUENTAS!$AB223&lt;&gt;0,CUENTAS!N223/CUENTAS!$AB223,"")</f>
        <v>0.05626325967</v>
      </c>
      <c r="AG234" s="459" t="str">
        <f>IF(CUENTAS!O223/CUENTAS!$AB223&lt;&gt;0,CUENTAS!O223/CUENTAS!$AB223,"")</f>
        <v/>
      </c>
      <c r="AH234" s="459">
        <f>IF(CUENTAS!P223/CUENTAS!$AB223&lt;&gt;0,CUENTAS!P223/CUENTAS!$AB223,"")</f>
        <v>0.07039399373</v>
      </c>
      <c r="AI234" s="459">
        <f>IF(CUENTAS!R223/CUENTAS!$AB223&lt;&gt;0,CUENTAS!R223/CUENTAS!$AB223,"")</f>
        <v>0.117138664</v>
      </c>
      <c r="AJ234" s="459" t="str">
        <f>IF(CUENTAS!B223/CUENTAS!$AB223&lt;&gt;0,CUENTAS!B223/CUENTAS!$AB223,"")</f>
        <v/>
      </c>
      <c r="AK234" s="459">
        <f>IF(CUENTAS!S223/CUENTAS!$AB223&lt;&gt;0,CUENTAS!S223/CUENTAS!$AB223,"")</f>
        <v>0.05831220456</v>
      </c>
      <c r="AL234" s="459">
        <f>IF(CUENTAS!T223/CUENTAS!$AB223&lt;&gt;0,CUENTAS!T223/CUENTAS!$AB223,"")</f>
        <v>0.05983381269</v>
      </c>
      <c r="AM234" s="459">
        <f>IF(CUENTAS!U223/CUENTAS!$AB223&lt;&gt;0,CUENTAS!U223/CUENTAS!$AB223,"")</f>
        <v>0.05471509934</v>
      </c>
      <c r="AN234" s="459">
        <f>IF(CUENTAS!V223/CUENTAS!$AB223&lt;&gt;0,CUENTAS!V223/CUENTAS!$AB223,"")</f>
        <v>0.01829637925</v>
      </c>
      <c r="AO234" s="459" t="str">
        <f>IF(CUENTAS!W223/CUENTAS!$AB223&lt;&gt;0,CUENTAS!W223/CUENTAS!$AB223,"")</f>
        <v/>
      </c>
      <c r="AP234" s="459" t="str">
        <f>IF(CUENTAS!X223/CUENTAS!$AB223&lt;&gt;0,CUENTAS!X223/CUENTAS!$AB223,"")</f>
        <v/>
      </c>
      <c r="AQ234" s="459" t="str">
        <f>IF(CUENTAS!Y223/CUENTAS!$AB223&lt;&gt;0,CUENTAS!Y223/CUENTAS!$AB223,"")</f>
        <v/>
      </c>
      <c r="AR234" s="459">
        <f>IF(CUENTAS!AA223/CUENTAS!$AB223&lt;&gt;0,CUENTAS!AA223/CUENTAS!$AB223,"")</f>
        <v>0.1598586177</v>
      </c>
    </row>
    <row r="235">
      <c r="A235" s="474"/>
      <c r="B235" s="200"/>
      <c r="C235" s="200"/>
      <c r="F235" s="200"/>
      <c r="G235" s="200"/>
      <c r="J235" s="465">
        <v>45425.0</v>
      </c>
      <c r="K235" s="466">
        <f>SUMIF(GRAFICO!A:A,J235,GRAFICO!B:B)</f>
        <v>11446.54552</v>
      </c>
      <c r="L235" s="467">
        <f t="shared" si="2"/>
        <v>0.1250336508</v>
      </c>
      <c r="M235" s="468">
        <v>45790.0</v>
      </c>
      <c r="N235" s="469">
        <f>IF(SUMIF(GRAFICO!A:A,M235,GRAFICO!B:B)=0,"",SUMIF(GRAFICO!A:A,M235,GRAFICO!B:B))</f>
        <v>17109.46145</v>
      </c>
      <c r="O235" s="467">
        <f t="shared" si="3"/>
        <v>0.2065583367</v>
      </c>
      <c r="P235" s="468">
        <v>46155.0</v>
      </c>
      <c r="Q235" s="463" t="str">
        <f>IF(SUMIF(GRAFICO!A:A,P235,GRAFICO!B:B)=0,"",SUMIF(GRAFICO!A:A,P235,GRAFICO!B:B))</f>
        <v/>
      </c>
      <c r="R235" s="463" t="str">
        <f t="shared" si="4"/>
        <v/>
      </c>
      <c r="S235" s="471">
        <f>CUENTAS!A224</f>
        <v>45878</v>
      </c>
      <c r="T235" s="459">
        <f>IF(CUENTAS!Q224/CUENTAS!$AB224&lt;&gt;0,CUENTAS!Q224/CUENTAS!$AB224,"")</f>
        <v>0.09542660841</v>
      </c>
      <c r="U235" s="459" t="str">
        <f>IF(CUENTAS!C224/CUENTAS!$AB224&lt;&gt;0,CUENTAS!C224/CUENTAS!$AB224,"")</f>
        <v/>
      </c>
      <c r="V235" s="459" t="str">
        <f>IF(CUENTAS!D224/CUENTAS!$AB224&lt;&gt;0,CUENTAS!D224/CUENTAS!$AB224,"")</f>
        <v/>
      </c>
      <c r="W235" s="459">
        <f>IF(CUENTAS!E224/CUENTAS!$AB224&lt;&gt;0,CUENTAS!E224/CUENTAS!$AB224,"")</f>
        <v>0.04675722686</v>
      </c>
      <c r="X235" s="459">
        <f>IF(CUENTAS!F224/CUENTAS!$AB224&lt;&gt;0,CUENTAS!F224/CUENTAS!$AB224,"")</f>
        <v>0.06018284287</v>
      </c>
      <c r="Y235" s="459">
        <f>IF(CUENTAS!G224/CUENTAS!$AB224&lt;&gt;0,CUENTAS!G224/CUENTAS!$AB224,"")</f>
        <v>0.07964484853</v>
      </c>
      <c r="Z235" s="459">
        <f>IF(CUENTAS!H224/CUENTAS!$AB224&lt;&gt;0,CUENTAS!H224/CUENTAS!$AB224,"")</f>
        <v>0.08569199749</v>
      </c>
      <c r="AA235" s="459">
        <f>IF(CUENTAS!I224/CUENTAS!$AB224&lt;&gt;0,CUENTAS!I224/CUENTAS!$AB224,"")</f>
        <v>0.1154893601</v>
      </c>
      <c r="AB235" s="459">
        <f>IF(CUENTAS!J224/CUENTAS!$AB224&lt;&gt;0,CUENTAS!J224/CUENTAS!$AB224,"")</f>
        <v>0.1801263828</v>
      </c>
      <c r="AC235" s="459">
        <f>IF(CUENTAS!K224/CUENTAS!$AB224&lt;&gt;0,CUENTAS!K224/CUENTAS!$AB224,"")</f>
        <v>0.09603817866</v>
      </c>
      <c r="AD235" s="459" t="str">
        <f>IF(CUENTAS!L224/CUENTAS!$AB224&lt;&gt;0,CUENTAS!L224/CUENTAS!$AB224,"")</f>
        <v/>
      </c>
      <c r="AE235" s="459">
        <f>IF(CUENTAS!M224/CUENTAS!$AB224&lt;&gt;0,CUENTAS!M224/CUENTAS!$AB224,"")</f>
        <v>0.136077088</v>
      </c>
      <c r="AF235" s="459">
        <f>IF(CUENTAS!N224/CUENTAS!$AB224&lt;&gt;0,CUENTAS!N224/CUENTAS!$AB224,"")</f>
        <v>0.05498720176</v>
      </c>
      <c r="AG235" s="459" t="str">
        <f>IF(CUENTAS!O224/CUENTAS!$AB224&lt;&gt;0,CUENTAS!O224/CUENTAS!$AB224,"")</f>
        <v/>
      </c>
      <c r="AH235" s="459">
        <f>IF(CUENTAS!P224/CUENTAS!$AB224&lt;&gt;0,CUENTAS!P224/CUENTAS!$AB224,"")</f>
        <v>0.07132641063</v>
      </c>
      <c r="AI235" s="459">
        <f>IF(CUENTAS!R224/CUENTAS!$AB224&lt;&gt;0,CUENTAS!R224/CUENTAS!$AB224,"")</f>
        <v>0.1171772218</v>
      </c>
      <c r="AJ235" s="459" t="str">
        <f>IF(CUENTAS!B224/CUENTAS!$AB224&lt;&gt;0,CUENTAS!B224/CUENTAS!$AB224,"")</f>
        <v/>
      </c>
      <c r="AK235" s="459">
        <f>IF(CUENTAS!S224/CUENTAS!$AB224&lt;&gt;0,CUENTAS!S224/CUENTAS!$AB224,"")</f>
        <v>0.05820709431</v>
      </c>
      <c r="AL235" s="459">
        <f>IF(CUENTAS!T224/CUENTAS!$AB224&lt;&gt;0,CUENTAS!T224/CUENTAS!$AB224,"")</f>
        <v>0.05984187892</v>
      </c>
      <c r="AM235" s="459">
        <f>IF(CUENTAS!U224/CUENTAS!$AB224&lt;&gt;0,CUENTAS!U224/CUENTAS!$AB224,"")</f>
        <v>0.05459338337</v>
      </c>
      <c r="AN235" s="459">
        <f>IF(CUENTAS!V224/CUENTAS!$AB224&lt;&gt;0,CUENTAS!V224/CUENTAS!$AB224,"")</f>
        <v>0.01830381066</v>
      </c>
      <c r="AO235" s="459" t="str">
        <f>IF(CUENTAS!W224/CUENTAS!$AB224&lt;&gt;0,CUENTAS!W224/CUENTAS!$AB224,"")</f>
        <v/>
      </c>
      <c r="AP235" s="459" t="str">
        <f>IF(CUENTAS!X224/CUENTAS!$AB224&lt;&gt;0,CUENTAS!X224/CUENTAS!$AB224,"")</f>
        <v/>
      </c>
      <c r="AQ235" s="459" t="str">
        <f>IF(CUENTAS!Y224/CUENTAS!$AB224&lt;&gt;0,CUENTAS!Y224/CUENTAS!$AB224,"")</f>
        <v/>
      </c>
      <c r="AR235" s="459">
        <f>IF(CUENTAS!AA224/CUENTAS!$AB224&lt;&gt;0,CUENTAS!AA224/CUENTAS!$AB224,"")</f>
        <v>0.1599235472</v>
      </c>
    </row>
    <row r="236">
      <c r="A236" s="474"/>
      <c r="B236" s="200"/>
      <c r="C236" s="200"/>
      <c r="F236" s="200"/>
      <c r="G236" s="200"/>
      <c r="J236" s="470">
        <v>45424.0</v>
      </c>
      <c r="K236" s="466">
        <f>SUMIF(GRAFICO!A:A,J236,GRAFICO!B:B)</f>
        <v>11442.06771</v>
      </c>
      <c r="L236" s="467">
        <f t="shared" si="2"/>
        <v>0.124642381</v>
      </c>
      <c r="M236" s="468">
        <v>45789.0</v>
      </c>
      <c r="N236" s="469">
        <f>IF(SUMIF(GRAFICO!A:A,M236,GRAFICO!B:B)=0,"",SUMIF(GRAFICO!A:A,M236,GRAFICO!B:B))</f>
        <v>16656.61204</v>
      </c>
      <c r="O236" s="467">
        <f t="shared" si="3"/>
        <v>0.1797339824</v>
      </c>
      <c r="P236" s="465">
        <v>46154.0</v>
      </c>
      <c r="Q236" s="463" t="str">
        <f>IF(SUMIF(GRAFICO!A:A,P236,GRAFICO!B:B)=0,"",SUMIF(GRAFICO!A:A,P236,GRAFICO!B:B))</f>
        <v/>
      </c>
      <c r="R236" s="463" t="str">
        <f t="shared" si="4"/>
        <v/>
      </c>
      <c r="S236" s="471">
        <f>CUENTAS!A225</f>
        <v>45877</v>
      </c>
      <c r="T236" s="459">
        <f>IF(CUENTAS!Q225/CUENTAS!$AB225&lt;&gt;0,CUENTAS!Q225/CUENTAS!$AB225,"")</f>
        <v>0.09544316275</v>
      </c>
      <c r="U236" s="459" t="str">
        <f>IF(CUENTAS!C225/CUENTAS!$AB225&lt;&gt;0,CUENTAS!C225/CUENTAS!$AB225,"")</f>
        <v/>
      </c>
      <c r="V236" s="459" t="str">
        <f>IF(CUENTAS!D225/CUENTAS!$AB225&lt;&gt;0,CUENTAS!D225/CUENTAS!$AB225,"")</f>
        <v/>
      </c>
      <c r="W236" s="459">
        <f>IF(CUENTAS!E225/CUENTAS!$AB225&lt;&gt;0,CUENTAS!E225/CUENTAS!$AB225,"")</f>
        <v>0.0466470194</v>
      </c>
      <c r="X236" s="459">
        <f>IF(CUENTAS!F225/CUENTAS!$AB225&lt;&gt;0,CUENTAS!F225/CUENTAS!$AB225,"")</f>
        <v>0.05872092953</v>
      </c>
      <c r="Y236" s="459">
        <f>IF(CUENTAS!G225/CUENTAS!$AB225&lt;&gt;0,CUENTAS!G225/CUENTAS!$AB225,"")</f>
        <v>0.0796586651</v>
      </c>
      <c r="Z236" s="459">
        <f>IF(CUENTAS!H225/CUENTAS!$AB225&lt;&gt;0,CUENTAS!H225/CUENTAS!$AB225,"")</f>
        <v>0.0857068631</v>
      </c>
      <c r="AA236" s="459">
        <f>IF(CUENTAS!I225/CUENTAS!$AB225&lt;&gt;0,CUENTAS!I225/CUENTAS!$AB225,"")</f>
        <v>0.1155093948</v>
      </c>
      <c r="AB236" s="459">
        <f>IF(CUENTAS!J225/CUENTAS!$AB225&lt;&gt;0,CUENTAS!J225/CUENTAS!$AB225,"")</f>
        <v>0.1801576306</v>
      </c>
      <c r="AC236" s="459">
        <f>IF(CUENTAS!K225/CUENTAS!$AB225&lt;&gt;0,CUENTAS!K225/CUENTAS!$AB225,"")</f>
        <v>0.0960548391</v>
      </c>
      <c r="AD236" s="459" t="str">
        <f>IF(CUENTAS!L225/CUENTAS!$AB225&lt;&gt;0,CUENTAS!L225/CUENTAS!$AB225,"")</f>
        <v/>
      </c>
      <c r="AE236" s="459">
        <f>IF(CUENTAS!M225/CUENTAS!$AB225&lt;&gt;0,CUENTAS!M225/CUENTAS!$AB225,"")</f>
        <v>0.1361006943</v>
      </c>
      <c r="AF236" s="459">
        <f>IF(CUENTAS!N225/CUENTAS!$AB225&lt;&gt;0,CUENTAS!N225/CUENTAS!$AB225,"")</f>
        <v>0.05465030462</v>
      </c>
      <c r="AG236" s="459" t="str">
        <f>IF(CUENTAS!O225/CUENTAS!$AB225&lt;&gt;0,CUENTAS!O225/CUENTAS!$AB225,"")</f>
        <v/>
      </c>
      <c r="AH236" s="459">
        <f>IF(CUENTAS!P225/CUENTAS!$AB225&lt;&gt;0,CUENTAS!P225/CUENTAS!$AB225,"")</f>
        <v>0.07152282835</v>
      </c>
      <c r="AI236" s="459">
        <f>IF(CUENTAS!R225/CUENTAS!$AB225&lt;&gt;0,CUENTAS!R225/CUENTAS!$AB225,"")</f>
        <v>0.1171885276</v>
      </c>
      <c r="AJ236" s="459" t="str">
        <f>IF(CUENTAS!B225/CUENTAS!$AB225&lt;&gt;0,CUENTAS!B225/CUENTAS!$AB225,"")</f>
        <v/>
      </c>
      <c r="AK236" s="459">
        <f>IF(CUENTAS!S225/CUENTAS!$AB225&lt;&gt;0,CUENTAS!S225/CUENTAS!$AB225,"")</f>
        <v>0.05808837475</v>
      </c>
      <c r="AL236" s="459">
        <f>IF(CUENTAS!T225/CUENTAS!$AB225&lt;&gt;0,CUENTAS!T225/CUENTAS!$AB225,"")</f>
        <v>0.05983602093</v>
      </c>
      <c r="AM236" s="459">
        <f>IF(CUENTAS!U225/CUENTAS!$AB225&lt;&gt;0,CUENTAS!U225/CUENTAS!$AB225,"")</f>
        <v>0.05445888958</v>
      </c>
      <c r="AN236" s="459">
        <f>IF(CUENTAS!V225/CUENTAS!$AB225&lt;&gt;0,CUENTAS!V225/CUENTAS!$AB225,"")</f>
        <v>0.01830698596</v>
      </c>
      <c r="AO236" s="459" t="str">
        <f>IF(CUENTAS!W225/CUENTAS!$AB225&lt;&gt;0,CUENTAS!W225/CUENTAS!$AB225,"")</f>
        <v/>
      </c>
      <c r="AP236" s="459" t="str">
        <f>IF(CUENTAS!X225/CUENTAS!$AB225&lt;&gt;0,CUENTAS!X225/CUENTAS!$AB225,"")</f>
        <v/>
      </c>
      <c r="AQ236" s="459" t="str">
        <f>IF(CUENTAS!Y225/CUENTAS!$AB225&lt;&gt;0,CUENTAS!Y225/CUENTAS!$AB225,"")</f>
        <v/>
      </c>
      <c r="AR236" s="459">
        <f>IF(CUENTAS!AA225/CUENTAS!$AB225&lt;&gt;0,CUENTAS!AA225/CUENTAS!$AB225,"")</f>
        <v>0.1599512903</v>
      </c>
    </row>
    <row r="237">
      <c r="A237" s="474"/>
      <c r="B237" s="200"/>
      <c r="C237" s="200"/>
      <c r="F237" s="200"/>
      <c r="G237" s="200"/>
      <c r="J237" s="465">
        <v>45423.0</v>
      </c>
      <c r="K237" s="466">
        <f>SUMIF(GRAFICO!A:A,J237,GRAFICO!B:B)</f>
        <v>11437.59434</v>
      </c>
      <c r="L237" s="467">
        <f t="shared" si="2"/>
        <v>0.1242513468</v>
      </c>
      <c r="M237" s="468">
        <v>45788.0</v>
      </c>
      <c r="N237" s="469">
        <f>IF(SUMIF(GRAFICO!A:A,M237,GRAFICO!B:B)=0,"",SUMIF(GRAFICO!A:A,M237,GRAFICO!B:B))</f>
        <v>16365.7031</v>
      </c>
      <c r="O237" s="467">
        <f t="shared" si="3"/>
        <v>0.1621145958</v>
      </c>
      <c r="P237" s="468">
        <v>46153.0</v>
      </c>
      <c r="Q237" s="463" t="str">
        <f>IF(SUMIF(GRAFICO!A:A,P237,GRAFICO!B:B)=0,"",SUMIF(GRAFICO!A:A,P237,GRAFICO!B:B))</f>
        <v/>
      </c>
      <c r="R237" s="463" t="str">
        <f t="shared" si="4"/>
        <v/>
      </c>
      <c r="S237" s="471">
        <f>CUENTAS!A226</f>
        <v>45876</v>
      </c>
      <c r="T237" s="459">
        <f>IF(CUENTAS!Q226/CUENTAS!$AB226&lt;&gt;0,CUENTAS!Q226/CUENTAS!$AB226,"")</f>
        <v>0.09691431446</v>
      </c>
      <c r="U237" s="459" t="str">
        <f>IF(CUENTAS!C226/CUENTAS!$AB226&lt;&gt;0,CUENTAS!C226/CUENTAS!$AB226,"")</f>
        <v/>
      </c>
      <c r="V237" s="459" t="str">
        <f>IF(CUENTAS!D226/CUENTAS!$AB226&lt;&gt;0,CUENTAS!D226/CUENTAS!$AB226,"")</f>
        <v/>
      </c>
      <c r="W237" s="459">
        <f>IF(CUENTAS!E226/CUENTAS!$AB226&lt;&gt;0,CUENTAS!E226/CUENTAS!$AB226,"")</f>
        <v>0.04697591302</v>
      </c>
      <c r="X237" s="459">
        <f>IF(CUENTAS!F226/CUENTAS!$AB226&lt;&gt;0,CUENTAS!F226/CUENTAS!$AB226,"")</f>
        <v>0.06112159922</v>
      </c>
      <c r="Y237" s="459">
        <f>IF(CUENTAS!G226/CUENTAS!$AB226&lt;&gt;0,CUENTAS!G226/CUENTAS!$AB226,"")</f>
        <v>0.08085058467</v>
      </c>
      <c r="Z237" s="459">
        <f>IF(CUENTAS!H226/CUENTAS!$AB226&lt;&gt;0,CUENTAS!H226/CUENTAS!$AB226,"")</f>
        <v>0.08611529085</v>
      </c>
      <c r="AA237" s="459">
        <f>IF(CUENTAS!I226/CUENTAS!$AB226&lt;&gt;0,CUENTAS!I226/CUENTAS!$AB226,"")</f>
        <v>0.1133733526</v>
      </c>
      <c r="AB237" s="459">
        <f>IF(CUENTAS!J226/CUENTAS!$AB226&lt;&gt;0,CUENTAS!J226/CUENTAS!$AB226,"")</f>
        <v>0.1818892226</v>
      </c>
      <c r="AC237" s="459">
        <f>IF(CUENTAS!K226/CUENTAS!$AB226&lt;&gt;0,CUENTAS!K226/CUENTAS!$AB226,"")</f>
        <v>0.09550249879</v>
      </c>
      <c r="AD237" s="459" t="str">
        <f>IF(CUENTAS!L226/CUENTAS!$AB226&lt;&gt;0,CUENTAS!L226/CUENTAS!$AB226,"")</f>
        <v/>
      </c>
      <c r="AE237" s="459">
        <f>IF(CUENTAS!M226/CUENTAS!$AB226&lt;&gt;0,CUENTAS!M226/CUENTAS!$AB226,"")</f>
        <v>0.1369333682</v>
      </c>
      <c r="AF237" s="459">
        <f>IF(CUENTAS!N226/CUENTAS!$AB226&lt;&gt;0,CUENTAS!N226/CUENTAS!$AB226,"")</f>
        <v>0.05438860474</v>
      </c>
      <c r="AG237" s="459" t="str">
        <f>IF(CUENTAS!O226/CUENTAS!$AB226&lt;&gt;0,CUENTAS!O226/CUENTAS!$AB226,"")</f>
        <v/>
      </c>
      <c r="AH237" s="459">
        <f>IF(CUENTAS!P226/CUENTAS!$AB226&lt;&gt;0,CUENTAS!P226/CUENTAS!$AB226,"")</f>
        <v>0.06802947667</v>
      </c>
      <c r="AI237" s="459">
        <f>IF(CUENTAS!R226/CUENTAS!$AB226&lt;&gt;0,CUENTAS!R226/CUENTAS!$AB226,"")</f>
        <v>0.1183057812</v>
      </c>
      <c r="AJ237" s="459" t="str">
        <f>IF(CUENTAS!B226/CUENTAS!$AB226&lt;&gt;0,CUENTAS!B226/CUENTAS!$AB226,"")</f>
        <v/>
      </c>
      <c r="AK237" s="459">
        <f>IF(CUENTAS!S226/CUENTAS!$AB226&lt;&gt;0,CUENTAS!S226/CUENTAS!$AB226,"")</f>
        <v>0.05851663809</v>
      </c>
      <c r="AL237" s="459">
        <f>IF(CUENTAS!T226/CUENTAS!$AB226&lt;&gt;0,CUENTAS!T226/CUENTAS!$AB226,"")</f>
        <v>0.06039474186</v>
      </c>
      <c r="AM237" s="459">
        <f>IF(CUENTAS!U226/CUENTAS!$AB226&lt;&gt;0,CUENTAS!U226/CUENTAS!$AB226,"")</f>
        <v>0.05483697507</v>
      </c>
      <c r="AN237" s="459">
        <f>IF(CUENTAS!V226/CUENTAS!$AB226&lt;&gt;0,CUENTAS!V226/CUENTAS!$AB226,"")</f>
        <v>0.01848294426</v>
      </c>
      <c r="AO237" s="459" t="str">
        <f>IF(CUENTAS!W226/CUENTAS!$AB226&lt;&gt;0,CUENTAS!W226/CUENTAS!$AB226,"")</f>
        <v/>
      </c>
      <c r="AP237" s="459" t="str">
        <f>IF(CUENTAS!X226/CUENTAS!$AB226&lt;&gt;0,CUENTAS!X226/CUENTAS!$AB226,"")</f>
        <v/>
      </c>
      <c r="AQ237" s="459" t="str">
        <f>IF(CUENTAS!Y226/CUENTAS!$AB226&lt;&gt;0,CUENTAS!Y226/CUENTAS!$AB226,"")</f>
        <v/>
      </c>
      <c r="AR237" s="459">
        <f>IF(CUENTAS!AA226/CUENTAS!$AB226&lt;&gt;0,CUENTAS!AA226/CUENTAS!$AB226,"")</f>
        <v>0.1614886683</v>
      </c>
    </row>
    <row r="238">
      <c r="A238" s="474"/>
      <c r="B238" s="200"/>
      <c r="C238" s="200"/>
      <c r="F238" s="200"/>
      <c r="G238" s="200"/>
      <c r="J238" s="470">
        <v>45422.0</v>
      </c>
      <c r="K238" s="466">
        <f>SUMIF(GRAFICO!A:A,J238,GRAFICO!B:B)</f>
        <v>11433.12542</v>
      </c>
      <c r="L238" s="467">
        <f t="shared" si="2"/>
        <v>0.1238605481</v>
      </c>
      <c r="M238" s="468">
        <v>45787.0</v>
      </c>
      <c r="N238" s="469">
        <f>IF(SUMIF(GRAFICO!A:A,M238,GRAFICO!B:B)=0,"",SUMIF(GRAFICO!A:A,M238,GRAFICO!B:B))</f>
        <v>16374.58927</v>
      </c>
      <c r="O238" s="467">
        <f t="shared" si="3"/>
        <v>0.1626574235</v>
      </c>
      <c r="P238" s="465">
        <v>46152.0</v>
      </c>
      <c r="Q238" s="463" t="str">
        <f>IF(SUMIF(GRAFICO!A:A,P238,GRAFICO!B:B)=0,"",SUMIF(GRAFICO!A:A,P238,GRAFICO!B:B))</f>
        <v/>
      </c>
      <c r="R238" s="463" t="str">
        <f t="shared" si="4"/>
        <v/>
      </c>
      <c r="S238" s="471">
        <f>CUENTAS!A227</f>
        <v>45875</v>
      </c>
      <c r="T238" s="459">
        <f>IF(CUENTAS!Q227/CUENTAS!$AB227&lt;&gt;0,CUENTAS!Q227/CUENTAS!$AB227,"")</f>
        <v>0.09695779026</v>
      </c>
      <c r="U238" s="459" t="str">
        <f>IF(CUENTAS!C227/CUENTAS!$AB227&lt;&gt;0,CUENTAS!C227/CUENTAS!$AB227,"")</f>
        <v/>
      </c>
      <c r="V238" s="459" t="str">
        <f>IF(CUENTAS!D227/CUENTAS!$AB227&lt;&gt;0,CUENTAS!D227/CUENTAS!$AB227,"")</f>
        <v/>
      </c>
      <c r="W238" s="459">
        <f>IF(CUENTAS!E227/CUENTAS!$AB227&lt;&gt;0,CUENTAS!E227/CUENTAS!$AB227,"")</f>
        <v>0.04687747684</v>
      </c>
      <c r="X238" s="459">
        <f>IF(CUENTAS!F227/CUENTAS!$AB227&lt;&gt;0,CUENTAS!F227/CUENTAS!$AB227,"")</f>
        <v>0.0611490184</v>
      </c>
      <c r="Y238" s="459">
        <f>IF(CUENTAS!G227/CUENTAS!$AB227&lt;&gt;0,CUENTAS!G227/CUENTAS!$AB227,"")</f>
        <v>0.08088685427</v>
      </c>
      <c r="Z238" s="459">
        <f>IF(CUENTAS!H227/CUENTAS!$AB227&lt;&gt;0,CUENTAS!H227/CUENTAS!$AB227,"")</f>
        <v>0.0861539222</v>
      </c>
      <c r="AA238" s="459">
        <f>IF(CUENTAS!I227/CUENTAS!$AB227&lt;&gt;0,CUENTAS!I227/CUENTAS!$AB227,"")</f>
        <v>0.113424212</v>
      </c>
      <c r="AB238" s="459">
        <f>IF(CUENTAS!J227/CUENTAS!$AB227&lt;&gt;0,CUENTAS!J227/CUENTAS!$AB227,"")</f>
        <v>0.1819708182</v>
      </c>
      <c r="AC238" s="459">
        <f>IF(CUENTAS!K227/CUENTAS!$AB227&lt;&gt;0,CUENTAS!K227/CUENTAS!$AB227,"")</f>
        <v>0.09554534125</v>
      </c>
      <c r="AD238" s="459" t="str">
        <f>IF(CUENTAS!L227/CUENTAS!$AB227&lt;&gt;0,CUENTAS!L227/CUENTAS!$AB227,"")</f>
        <v/>
      </c>
      <c r="AE238" s="459">
        <f>IF(CUENTAS!M227/CUENTAS!$AB227&lt;&gt;0,CUENTAS!M227/CUENTAS!$AB227,"")</f>
        <v>0.1369947966</v>
      </c>
      <c r="AF238" s="459">
        <f>IF(CUENTAS!N227/CUENTAS!$AB227&lt;&gt;0,CUENTAS!N227/CUENTAS!$AB227,"")</f>
        <v>0.05397559993</v>
      </c>
      <c r="AG238" s="459" t="str">
        <f>IF(CUENTAS!O227/CUENTAS!$AB227&lt;&gt;0,CUENTAS!O227/CUENTAS!$AB227,"")</f>
        <v/>
      </c>
      <c r="AH238" s="459">
        <f>IF(CUENTAS!P227/CUENTAS!$AB227&lt;&gt;0,CUENTAS!P227/CUENTAS!$AB227,"")</f>
        <v>0.06805999473</v>
      </c>
      <c r="AI238" s="459">
        <f>IF(CUENTAS!R227/CUENTAS!$AB227&lt;&gt;0,CUENTAS!R227/CUENTAS!$AB227,"")</f>
        <v>0.1183497406</v>
      </c>
      <c r="AJ238" s="459" t="str">
        <f>IF(CUENTAS!B227/CUENTAS!$AB227&lt;&gt;0,CUENTAS!B227/CUENTAS!$AB227,"")</f>
        <v/>
      </c>
      <c r="AK238" s="459">
        <f>IF(CUENTAS!S227/CUENTAS!$AB227&lt;&gt;0,CUENTAS!S227/CUENTAS!$AB227,"")</f>
        <v>0.05841277503</v>
      </c>
      <c r="AL238" s="459">
        <f>IF(CUENTAS!T227/CUENTAS!$AB227&lt;&gt;0,CUENTAS!T227/CUENTAS!$AB227,"")</f>
        <v>0.06040543234</v>
      </c>
      <c r="AM238" s="459">
        <f>IF(CUENTAS!U227/CUENTAS!$AB227&lt;&gt;0,CUENTAS!U227/CUENTAS!$AB227,"")</f>
        <v>0.05471616154</v>
      </c>
      <c r="AN238" s="459">
        <f>IF(CUENTAS!V227/CUENTAS!$AB227&lt;&gt;0,CUENTAS!V227/CUENTAS!$AB227,"")</f>
        <v>0.01849123571</v>
      </c>
      <c r="AO238" s="459" t="str">
        <f>IF(CUENTAS!W227/CUENTAS!$AB227&lt;&gt;0,CUENTAS!W227/CUENTAS!$AB227,"")</f>
        <v/>
      </c>
      <c r="AP238" s="459" t="str">
        <f>IF(CUENTAS!X227/CUENTAS!$AB227&lt;&gt;0,CUENTAS!X227/CUENTAS!$AB227,"")</f>
        <v/>
      </c>
      <c r="AQ238" s="459" t="str">
        <f>IF(CUENTAS!Y227/CUENTAS!$AB227&lt;&gt;0,CUENTAS!Y227/CUENTAS!$AB227,"")</f>
        <v/>
      </c>
      <c r="AR238" s="459">
        <f>IF(CUENTAS!AA227/CUENTAS!$AB227&lt;&gt;0,CUENTAS!AA227/CUENTAS!$AB227,"")</f>
        <v>0.1615611122</v>
      </c>
    </row>
    <row r="239">
      <c r="A239" s="474"/>
      <c r="B239" s="200"/>
      <c r="C239" s="200"/>
      <c r="F239" s="200"/>
      <c r="G239" s="200"/>
      <c r="J239" s="470">
        <v>45421.0</v>
      </c>
      <c r="K239" s="466">
        <f>SUMIF(GRAFICO!A:A,J239,GRAFICO!B:B)</f>
        <v>11372.02252</v>
      </c>
      <c r="L239" s="467">
        <f t="shared" si="2"/>
        <v>0.1185018416</v>
      </c>
      <c r="M239" s="468">
        <v>45786.0</v>
      </c>
      <c r="N239" s="469">
        <f>IF(SUMIF(GRAFICO!A:A,M239,GRAFICO!B:B)=0,"",SUMIF(GRAFICO!A:A,M239,GRAFICO!B:B))</f>
        <v>16383.47544</v>
      </c>
      <c r="O239" s="467">
        <f t="shared" si="3"/>
        <v>0.1631999566</v>
      </c>
      <c r="P239" s="468">
        <v>46151.0</v>
      </c>
      <c r="Q239" s="463" t="str">
        <f>IF(SUMIF(GRAFICO!A:A,P239,GRAFICO!B:B)=0,"",SUMIF(GRAFICO!A:A,P239,GRAFICO!B:B))</f>
        <v/>
      </c>
      <c r="R239" s="463" t="str">
        <f t="shared" si="4"/>
        <v/>
      </c>
      <c r="S239" s="471">
        <f>CUENTAS!A228</f>
        <v>45874</v>
      </c>
      <c r="T239" s="459">
        <f>IF(CUENTAS!Q228/CUENTAS!$AB228&lt;&gt;0,CUENTAS!Q228/CUENTAS!$AB228,"")</f>
        <v>0.09657999634</v>
      </c>
      <c r="U239" s="459" t="str">
        <f>IF(CUENTAS!C228/CUENTAS!$AB228&lt;&gt;0,CUENTAS!C228/CUENTAS!$AB228,"")</f>
        <v/>
      </c>
      <c r="V239" s="459" t="str">
        <f>IF(CUENTAS!D228/CUENTAS!$AB228&lt;&gt;0,CUENTAS!D228/CUENTAS!$AB228,"")</f>
        <v/>
      </c>
      <c r="W239" s="459">
        <f>IF(CUENTAS!E228/CUENTAS!$AB228&lt;&gt;0,CUENTAS!E228/CUENTAS!$AB228,"")</f>
        <v>0.04697844827</v>
      </c>
      <c r="X239" s="459">
        <f>IF(CUENTAS!F228/CUENTAS!$AB228&lt;&gt;0,CUENTAS!F228/CUENTAS!$AB228,"")</f>
        <v>0.06143735851</v>
      </c>
      <c r="Y239" s="459">
        <f>IF(CUENTAS!G228/CUENTAS!$AB228&lt;&gt;0,CUENTAS!G228/CUENTAS!$AB228,"")</f>
        <v>0.08083978611</v>
      </c>
      <c r="Z239" s="459">
        <f>IF(CUENTAS!H228/CUENTAS!$AB228&lt;&gt;0,CUENTAS!H228/CUENTAS!$AB228,"")</f>
        <v>0.08662975176</v>
      </c>
      <c r="AA239" s="459">
        <f>IF(CUENTAS!I228/CUENTAS!$AB228&lt;&gt;0,CUENTAS!I228/CUENTAS!$AB228,"")</f>
        <v>0.113810729</v>
      </c>
      <c r="AB239" s="459">
        <f>IF(CUENTAS!J228/CUENTAS!$AB228&lt;&gt;0,CUENTAS!J228/CUENTAS!$AB228,"")</f>
        <v>0.1805546405</v>
      </c>
      <c r="AC239" s="459">
        <f>IF(CUENTAS!K228/CUENTAS!$AB228&lt;&gt;0,CUENTAS!K228/CUENTAS!$AB228,"")</f>
        <v>0.09443027475</v>
      </c>
      <c r="AD239" s="459" t="str">
        <f>IF(CUENTAS!L228/CUENTAS!$AB228&lt;&gt;0,CUENTAS!L228/CUENTAS!$AB228,"")</f>
        <v/>
      </c>
      <c r="AE239" s="459">
        <f>IF(CUENTAS!M228/CUENTAS!$AB228&lt;&gt;0,CUENTAS!M228/CUENTAS!$AB228,"")</f>
        <v>0.1381186968</v>
      </c>
      <c r="AF239" s="459">
        <f>IF(CUENTAS!N228/CUENTAS!$AB228&lt;&gt;0,CUENTAS!N228/CUENTAS!$AB228,"")</f>
        <v>0.05423011474</v>
      </c>
      <c r="AG239" s="459" t="str">
        <f>IF(CUENTAS!O228/CUENTAS!$AB228&lt;&gt;0,CUENTAS!O228/CUENTAS!$AB228,"")</f>
        <v/>
      </c>
      <c r="AH239" s="459">
        <f>IF(CUENTAS!P228/CUENTAS!$AB228&lt;&gt;0,CUENTAS!P228/CUENTAS!$AB228,"")</f>
        <v>0.06838092264</v>
      </c>
      <c r="AI239" s="459">
        <f>IF(CUENTAS!R228/CUENTAS!$AB228&lt;&gt;0,CUENTAS!R228/CUENTAS!$AB228,"")</f>
        <v>0.1126911892</v>
      </c>
      <c r="AJ239" s="459" t="str">
        <f>IF(CUENTAS!B228/CUENTAS!$AB228&lt;&gt;0,CUENTAS!B228/CUENTAS!$AB228,"")</f>
        <v/>
      </c>
      <c r="AK239" s="459">
        <f>IF(CUENTAS!S228/CUENTAS!$AB228&lt;&gt;0,CUENTAS!S228/CUENTAS!$AB228,"")</f>
        <v>0.05855748557</v>
      </c>
      <c r="AL239" s="459">
        <f>IF(CUENTAS!T228/CUENTAS!$AB228&lt;&gt;0,CUENTAS!T228/CUENTAS!$AB228,"")</f>
        <v>0.06067378619</v>
      </c>
      <c r="AM239" s="459">
        <f>IF(CUENTAS!U228/CUENTAS!$AB228&lt;&gt;0,CUENTAS!U228/CUENTAS!$AB228,"")</f>
        <v>0.05775784316</v>
      </c>
      <c r="AN239" s="459">
        <f>IF(CUENTAS!V228/CUENTAS!$AB228&lt;&gt;0,CUENTAS!V228/CUENTAS!$AB228,"")</f>
        <v>0.01857842869</v>
      </c>
      <c r="AO239" s="459" t="str">
        <f>IF(CUENTAS!W228/CUENTAS!$AB228&lt;&gt;0,CUENTAS!W228/CUENTAS!$AB228,"")</f>
        <v/>
      </c>
      <c r="AP239" s="459" t="str">
        <f>IF(CUENTAS!X228/CUENTAS!$AB228&lt;&gt;0,CUENTAS!X228/CUENTAS!$AB228,"")</f>
        <v/>
      </c>
      <c r="AQ239" s="459" t="str">
        <f>IF(CUENTAS!Y228/CUENTAS!$AB228&lt;&gt;0,CUENTAS!Y228/CUENTAS!$AB228,"")</f>
        <v/>
      </c>
      <c r="AR239" s="459">
        <f>IF(CUENTAS!AA228/CUENTAS!$AB228&lt;&gt;0,CUENTAS!AA228/CUENTAS!$AB228,"")</f>
        <v>0.1656006168</v>
      </c>
    </row>
    <row r="240">
      <c r="A240" s="474"/>
      <c r="B240" s="200"/>
      <c r="C240" s="200"/>
      <c r="F240" s="200"/>
      <c r="G240" s="200"/>
      <c r="J240" s="470">
        <v>45420.0</v>
      </c>
      <c r="K240" s="466">
        <f>SUMIF(GRAFICO!A:A,J240,GRAFICO!B:B)</f>
        <v>11413.48155</v>
      </c>
      <c r="L240" s="467">
        <f t="shared" si="2"/>
        <v>0.1221409164</v>
      </c>
      <c r="M240" s="468">
        <v>45785.0</v>
      </c>
      <c r="N240" s="469">
        <f>IF(SUMIF(GRAFICO!A:A,M240,GRAFICO!B:B)=0,"",SUMIF(GRAFICO!A:A,M240,GRAFICO!B:B))</f>
        <v>16296.60478</v>
      </c>
      <c r="O240" s="467">
        <f t="shared" si="3"/>
        <v>0.1578835153</v>
      </c>
      <c r="P240" s="465">
        <v>46150.0</v>
      </c>
      <c r="Q240" s="463" t="str">
        <f>IF(SUMIF(GRAFICO!A:A,P240,GRAFICO!B:B)=0,"",SUMIF(GRAFICO!A:A,P240,GRAFICO!B:B))</f>
        <v/>
      </c>
      <c r="R240" s="463" t="str">
        <f t="shared" si="4"/>
        <v/>
      </c>
      <c r="S240" s="471">
        <f>CUENTAS!A229</f>
        <v>45873</v>
      </c>
      <c r="T240" s="459">
        <f>IF(CUENTAS!Q229/CUENTAS!$AB229&lt;&gt;0,CUENTAS!Q229/CUENTAS!$AB229,"")</f>
        <v>0.09553003055</v>
      </c>
      <c r="U240" s="459" t="str">
        <f>IF(CUENTAS!C229/CUENTAS!$AB229&lt;&gt;0,CUENTAS!C229/CUENTAS!$AB229,"")</f>
        <v/>
      </c>
      <c r="V240" s="459" t="str">
        <f>IF(CUENTAS!D229/CUENTAS!$AB229&lt;&gt;0,CUENTAS!D229/CUENTAS!$AB229,"")</f>
        <v/>
      </c>
      <c r="W240" s="459">
        <f>IF(CUENTAS!E229/CUENTAS!$AB229&lt;&gt;0,CUENTAS!E229/CUENTAS!$AB229,"")</f>
        <v>0.04688946869</v>
      </c>
      <c r="X240" s="459">
        <f>IF(CUENTAS!F229/CUENTAS!$AB229&lt;&gt;0,CUENTAS!F229/CUENTAS!$AB229,"")</f>
        <v>0.0560251307</v>
      </c>
      <c r="Y240" s="459">
        <f>IF(CUENTAS!G229/CUENTAS!$AB229&lt;&gt;0,CUENTAS!G229/CUENTAS!$AB229,"")</f>
        <v>0.08203679853</v>
      </c>
      <c r="Z240" s="459">
        <f>IF(CUENTAS!H229/CUENTAS!$AB229&lt;&gt;0,CUENTAS!H229/CUENTAS!$AB229,"")</f>
        <v>0.08616502391</v>
      </c>
      <c r="AA240" s="459">
        <f>IF(CUENTAS!I229/CUENTAS!$AB229&lt;&gt;0,CUENTAS!I229/CUENTAS!$AB229,"")</f>
        <v>0.1133915224</v>
      </c>
      <c r="AB240" s="459">
        <f>IF(CUENTAS!J229/CUENTAS!$AB229&lt;&gt;0,CUENTAS!J229/CUENTAS!$AB229,"")</f>
        <v>0.1807733956</v>
      </c>
      <c r="AC240" s="459">
        <f>IF(CUENTAS!K229/CUENTAS!$AB229&lt;&gt;0,CUENTAS!K229/CUENTAS!$AB229,"")</f>
        <v>0.09325611679</v>
      </c>
      <c r="AD240" s="459" t="str">
        <f>IF(CUENTAS!L229/CUENTAS!$AB229&lt;&gt;0,CUENTAS!L229/CUENTAS!$AB229,"")</f>
        <v/>
      </c>
      <c r="AE240" s="459">
        <f>IF(CUENTAS!M229/CUENTAS!$AB229&lt;&gt;0,CUENTAS!M229/CUENTAS!$AB229,"")</f>
        <v>0.1388479961</v>
      </c>
      <c r="AF240" s="459">
        <f>IF(CUENTAS!N229/CUENTAS!$AB229&lt;&gt;0,CUENTAS!N229/CUENTAS!$AB229,"")</f>
        <v>0.05426609991</v>
      </c>
      <c r="AG240" s="459" t="str">
        <f>IF(CUENTAS!O229/CUENTAS!$AB229&lt;&gt;0,CUENTAS!O229/CUENTAS!$AB229,"")</f>
        <v/>
      </c>
      <c r="AH240" s="459">
        <f>IF(CUENTAS!P229/CUENTAS!$AB229&lt;&gt;0,CUENTAS!P229/CUENTAS!$AB229,"")</f>
        <v>0.0692618374</v>
      </c>
      <c r="AI240" s="459">
        <f>IF(CUENTAS!R229/CUENTAS!$AB229&lt;&gt;0,CUENTAS!R229/CUENTAS!$AB229,"")</f>
        <v>0.1127568054</v>
      </c>
      <c r="AJ240" s="459" t="str">
        <f>IF(CUENTAS!B229/CUENTAS!$AB229&lt;&gt;0,CUENTAS!B229/CUENTAS!$AB229,"")</f>
        <v/>
      </c>
      <c r="AK240" s="459">
        <f>IF(CUENTAS!S229/CUENTAS!$AB229&lt;&gt;0,CUENTAS!S229/CUENTAS!$AB229,"")</f>
        <v>0.05846552831</v>
      </c>
      <c r="AL240" s="459">
        <f>IF(CUENTAS!T229/CUENTAS!$AB229&lt;&gt;0,CUENTAS!T229/CUENTAS!$AB229,"")</f>
        <v>0.06069755624</v>
      </c>
      <c r="AM240" s="459">
        <f>IF(CUENTAS!U229/CUENTAS!$AB229&lt;&gt;0,CUENTAS!U229/CUENTAS!$AB229,"")</f>
        <v>0.05764997316</v>
      </c>
      <c r="AN240" s="459">
        <f>IF(CUENTAS!V229/CUENTAS!$AB229&lt;&gt;0,CUENTAS!V229/CUENTAS!$AB229,"")</f>
        <v>0.01859075667</v>
      </c>
      <c r="AO240" s="459" t="str">
        <f>IF(CUENTAS!W229/CUENTAS!$AB229&lt;&gt;0,CUENTAS!W229/CUENTAS!$AB229,"")</f>
        <v/>
      </c>
      <c r="AP240" s="459" t="str">
        <f>IF(CUENTAS!X229/CUENTAS!$AB229&lt;&gt;0,CUENTAS!X229/CUENTAS!$AB229,"")</f>
        <v/>
      </c>
      <c r="AQ240" s="459" t="str">
        <f>IF(CUENTAS!Y229/CUENTAS!$AB229&lt;&gt;0,CUENTAS!Y229/CUENTAS!$AB229,"")</f>
        <v/>
      </c>
      <c r="AR240" s="459">
        <f>IF(CUENTAS!AA229/CUENTAS!$AB229&lt;&gt;0,CUENTAS!AA229/CUENTAS!$AB229,"")</f>
        <v>0.1657105035</v>
      </c>
    </row>
    <row r="241">
      <c r="A241" s="474"/>
      <c r="B241" s="200"/>
      <c r="C241" s="200"/>
      <c r="F241" s="200"/>
      <c r="G241" s="200"/>
      <c r="J241" s="465">
        <v>45419.0</v>
      </c>
      <c r="K241" s="466">
        <f>SUMIF(GRAFICO!A:A,J241,GRAFICO!B:B)</f>
        <v>11380.11133</v>
      </c>
      <c r="L241" s="467">
        <f t="shared" si="2"/>
        <v>0.1192128793</v>
      </c>
      <c r="M241" s="468">
        <v>45784.0</v>
      </c>
      <c r="N241" s="469">
        <f>IF(SUMIF(GRAFICO!A:A,M241,GRAFICO!B:B)=0,"",SUMIF(GRAFICO!A:A,M241,GRAFICO!B:B))</f>
        <v>16039.40357</v>
      </c>
      <c r="O241" s="467">
        <f t="shared" si="3"/>
        <v>0.1419751426</v>
      </c>
      <c r="P241" s="468">
        <v>46149.0</v>
      </c>
      <c r="Q241" s="463" t="str">
        <f>IF(SUMIF(GRAFICO!A:A,P241,GRAFICO!B:B)=0,"",SUMIF(GRAFICO!A:A,P241,GRAFICO!B:B))</f>
        <v/>
      </c>
      <c r="R241" s="463" t="str">
        <f t="shared" si="4"/>
        <v/>
      </c>
      <c r="S241" s="471">
        <f>CUENTAS!A230</f>
        <v>45872</v>
      </c>
      <c r="T241" s="459">
        <f>IF(CUENTAS!Q230/CUENTAS!$AB230&lt;&gt;0,CUENTAS!Q230/CUENTAS!$AB230,"")</f>
        <v>0.09567603498</v>
      </c>
      <c r="U241" s="459" t="str">
        <f>IF(CUENTAS!C230/CUENTAS!$AB230&lt;&gt;0,CUENTAS!C230/CUENTAS!$AB230,"")</f>
        <v/>
      </c>
      <c r="V241" s="459" t="str">
        <f>IF(CUENTAS!D230/CUENTAS!$AB230&lt;&gt;0,CUENTAS!D230/CUENTAS!$AB230,"")</f>
        <v/>
      </c>
      <c r="W241" s="459">
        <f>IF(CUENTAS!E230/CUENTAS!$AB230&lt;&gt;0,CUENTAS!E230/CUENTAS!$AB230,"")</f>
        <v>0.04670463122</v>
      </c>
      <c r="X241" s="459">
        <f>IF(CUENTAS!F230/CUENTAS!$AB230&lt;&gt;0,CUENTAS!F230/CUENTAS!$AB230,"")</f>
        <v>0.05603547459</v>
      </c>
      <c r="Y241" s="459">
        <f>IF(CUENTAS!G230/CUENTAS!$AB230&lt;&gt;0,CUENTAS!G230/CUENTAS!$AB230,"")</f>
        <v>0.08349329629</v>
      </c>
      <c r="Z241" s="459">
        <f>IF(CUENTAS!H230/CUENTAS!$AB230&lt;&gt;0,CUENTAS!H230/CUENTAS!$AB230,"")</f>
        <v>0.08691500271</v>
      </c>
      <c r="AA241" s="459">
        <f>IF(CUENTAS!I230/CUENTAS!$AB230&lt;&gt;0,CUENTAS!I230/CUENTAS!$AB230,"")</f>
        <v>0.1126418435</v>
      </c>
      <c r="AB241" s="459">
        <f>IF(CUENTAS!J230/CUENTAS!$AB230&lt;&gt;0,CUENTAS!J230/CUENTAS!$AB230,"")</f>
        <v>0.1833888259</v>
      </c>
      <c r="AC241" s="459">
        <f>IF(CUENTAS!K230/CUENTAS!$AB230&lt;&gt;0,CUENTAS!K230/CUENTAS!$AB230,"")</f>
        <v>0.09131564653</v>
      </c>
      <c r="AD241" s="459" t="str">
        <f>IF(CUENTAS!L230/CUENTAS!$AB230&lt;&gt;0,CUENTAS!L230/CUENTAS!$AB230,"")</f>
        <v/>
      </c>
      <c r="AE241" s="459">
        <f>IF(CUENTAS!M230/CUENTAS!$AB230&lt;&gt;0,CUENTAS!M230/CUENTAS!$AB230,"")</f>
        <v>0.1373824278</v>
      </c>
      <c r="AF241" s="459">
        <f>IF(CUENTAS!N230/CUENTAS!$AB230&lt;&gt;0,CUENTAS!N230/CUENTAS!$AB230,"")</f>
        <v>0.05419104674</v>
      </c>
      <c r="AG241" s="459" t="str">
        <f>IF(CUENTAS!O230/CUENTAS!$AB230&lt;&gt;0,CUENTAS!O230/CUENTAS!$AB230,"")</f>
        <v/>
      </c>
      <c r="AH241" s="459">
        <f>IF(CUENTAS!P230/CUENTAS!$AB230&lt;&gt;0,CUENTAS!P230/CUENTAS!$AB230,"")</f>
        <v>0.06865553298</v>
      </c>
      <c r="AI241" s="459">
        <f>IF(CUENTAS!R230/CUENTAS!$AB230&lt;&gt;0,CUENTAS!R230/CUENTAS!$AB230,"")</f>
        <v>0.1125917073</v>
      </c>
      <c r="AJ241" s="459" t="str">
        <f>IF(CUENTAS!B230/CUENTAS!$AB230&lt;&gt;0,CUENTAS!B230/CUENTAS!$AB230,"")</f>
        <v/>
      </c>
      <c r="AK241" s="459">
        <f>IF(CUENTAS!S230/CUENTAS!$AB230&lt;&gt;0,CUENTAS!S230/CUENTAS!$AB230,"")</f>
        <v>0.05825403408</v>
      </c>
      <c r="AL241" s="459">
        <f>IF(CUENTAS!T230/CUENTAS!$AB230&lt;&gt;0,CUENTAS!T230/CUENTAS!$AB230,"")</f>
        <v>0.06059713989</v>
      </c>
      <c r="AM241" s="459">
        <f>IF(CUENTAS!U230/CUENTAS!$AB230&lt;&gt;0,CUENTAS!U230/CUENTAS!$AB230,"")</f>
        <v>0.05742424605</v>
      </c>
      <c r="AN241" s="459">
        <f>IF(CUENTAS!V230/CUENTAS!$AB230&lt;&gt;0,CUENTAS!V230/CUENTAS!$AB230,"")</f>
        <v>0.01856504458</v>
      </c>
      <c r="AO241" s="459" t="str">
        <f>IF(CUENTAS!W230/CUENTAS!$AB230&lt;&gt;0,CUENTAS!W230/CUENTAS!$AB230,"")</f>
        <v/>
      </c>
      <c r="AP241" s="459" t="str">
        <f>IF(CUENTAS!X230/CUENTAS!$AB230&lt;&gt;0,CUENTAS!X230/CUENTAS!$AB230,"")</f>
        <v/>
      </c>
      <c r="AQ241" s="459" t="str">
        <f>IF(CUENTAS!Y230/CUENTAS!$AB230&lt;&gt;0,CUENTAS!Y230/CUENTAS!$AB230,"")</f>
        <v/>
      </c>
      <c r="AR241" s="459">
        <f>IF(CUENTAS!AA230/CUENTAS!$AB230&lt;&gt;0,CUENTAS!AA230/CUENTAS!$AB230,"")</f>
        <v>0.1654813162</v>
      </c>
    </row>
    <row r="242">
      <c r="A242" s="474"/>
      <c r="B242" s="200"/>
      <c r="C242" s="200"/>
      <c r="F242" s="200"/>
      <c r="G242" s="200"/>
      <c r="J242" s="465">
        <v>45418.0</v>
      </c>
      <c r="K242" s="466">
        <f>SUMIF(GRAFICO!A:A,J242,GRAFICO!B:B)</f>
        <v>11373.40929</v>
      </c>
      <c r="L242" s="467">
        <f t="shared" si="2"/>
        <v>0.1186237802</v>
      </c>
      <c r="M242" s="468">
        <v>45783.0</v>
      </c>
      <c r="N242" s="469">
        <f>IF(SUMIF(GRAFICO!A:A,M242,GRAFICO!B:B)=0,"",SUMIF(GRAFICO!A:A,M242,GRAFICO!B:B))</f>
        <v>15584.01785</v>
      </c>
      <c r="O242" s="467">
        <f t="shared" si="3"/>
        <v>0.1131726173</v>
      </c>
      <c r="P242" s="465">
        <v>46148.0</v>
      </c>
      <c r="Q242" s="463" t="str">
        <f>IF(SUMIF(GRAFICO!A:A,P242,GRAFICO!B:B)=0,"",SUMIF(GRAFICO!A:A,P242,GRAFICO!B:B))</f>
        <v/>
      </c>
      <c r="R242" s="463" t="str">
        <f t="shared" si="4"/>
        <v/>
      </c>
      <c r="S242" s="471">
        <f>CUENTAS!A231</f>
        <v>45871</v>
      </c>
      <c r="T242" s="459">
        <f>IF(CUENTAS!Q231/CUENTAS!$AB231&lt;&gt;0,CUENTAS!Q231/CUENTAS!$AB231,"")</f>
        <v>0.09622983294</v>
      </c>
      <c r="U242" s="459" t="str">
        <f>IF(CUENTAS!C231/CUENTAS!$AB231&lt;&gt;0,CUENTAS!C231/CUENTAS!$AB231,"")</f>
        <v/>
      </c>
      <c r="V242" s="459" t="str">
        <f>IF(CUENTAS!D231/CUENTAS!$AB231&lt;&gt;0,CUENTAS!D231/CUENTAS!$AB231,"")</f>
        <v/>
      </c>
      <c r="W242" s="459">
        <f>IF(CUENTAS!E231/CUENTAS!$AB231&lt;&gt;0,CUENTAS!E231/CUENTAS!$AB231,"")</f>
        <v>0.04685428873</v>
      </c>
      <c r="X242" s="459">
        <f>IF(CUENTAS!F231/CUENTAS!$AB231&lt;&gt;0,CUENTAS!F231/CUENTAS!$AB231,"")</f>
        <v>0.05423970388</v>
      </c>
      <c r="Y242" s="459">
        <f>IF(CUENTAS!G231/CUENTAS!$AB231&lt;&gt;0,CUENTAS!G231/CUENTAS!$AB231,"")</f>
        <v>0.08397657736</v>
      </c>
      <c r="Z242" s="459">
        <f>IF(CUENTAS!H231/CUENTAS!$AB231&lt;&gt;0,CUENTAS!H231/CUENTAS!$AB231,"")</f>
        <v>0.08741808952</v>
      </c>
      <c r="AA242" s="459">
        <f>IF(CUENTAS!I231/CUENTAS!$AB231&lt;&gt;0,CUENTAS!I231/CUENTAS!$AB231,"")</f>
        <v>0.113293844</v>
      </c>
      <c r="AB242" s="459">
        <f>IF(CUENTAS!J231/CUENTAS!$AB231&lt;&gt;0,CUENTAS!J231/CUENTAS!$AB231,"")</f>
        <v>0.1844503285</v>
      </c>
      <c r="AC242" s="459">
        <f>IF(CUENTAS!K231/CUENTAS!$AB231&lt;&gt;0,CUENTAS!K231/CUENTAS!$AB231,"")</f>
        <v>0.09184420542</v>
      </c>
      <c r="AD242" s="459" t="str">
        <f>IF(CUENTAS!L231/CUENTAS!$AB231&lt;&gt;0,CUENTAS!L231/CUENTAS!$AB231,"")</f>
        <v/>
      </c>
      <c r="AE242" s="459">
        <f>IF(CUENTAS!M231/CUENTAS!$AB231&lt;&gt;0,CUENTAS!M231/CUENTAS!$AB231,"")</f>
        <v>0.1381776332</v>
      </c>
      <c r="AF242" s="459">
        <f>IF(CUENTAS!N231/CUENTAS!$AB231&lt;&gt;0,CUENTAS!N231/CUENTAS!$AB231,"")</f>
        <v>0.05450471872</v>
      </c>
      <c r="AG242" s="459" t="str">
        <f>IF(CUENTAS!O231/CUENTAS!$AB231&lt;&gt;0,CUENTAS!O231/CUENTAS!$AB231,"")</f>
        <v/>
      </c>
      <c r="AH242" s="459">
        <f>IF(CUENTAS!P231/CUENTAS!$AB231&lt;&gt;0,CUENTAS!P231/CUENTAS!$AB231,"")</f>
        <v>0.06787692584</v>
      </c>
      <c r="AI242" s="459">
        <f>IF(CUENTAS!R231/CUENTAS!$AB231&lt;&gt;0,CUENTAS!R231/CUENTAS!$AB231,"")</f>
        <v>0.1132342157</v>
      </c>
      <c r="AJ242" s="459" t="str">
        <f>IF(CUENTAS!B231/CUENTAS!$AB231&lt;&gt;0,CUENTAS!B231/CUENTAS!$AB231,"")</f>
        <v/>
      </c>
      <c r="AK242" s="459">
        <f>IF(CUENTAS!S231/CUENTAS!$AB231&lt;&gt;0,CUENTAS!S231/CUENTAS!$AB231,"")</f>
        <v>0.05845983456</v>
      </c>
      <c r="AL242" s="459">
        <f>IF(CUENTAS!T231/CUENTAS!$AB231&lt;&gt;0,CUENTAS!T231/CUENTAS!$AB231,"")</f>
        <v>0.06093132858</v>
      </c>
      <c r="AM242" s="459">
        <f>IF(CUENTAS!U231/CUENTAS!$AB231&lt;&gt;0,CUENTAS!U231/CUENTAS!$AB231,"")</f>
        <v>0.05760979374</v>
      </c>
      <c r="AN242" s="459">
        <f>IF(CUENTAS!V231/CUENTAS!$AB231&lt;&gt;0,CUENTAS!V231/CUENTAS!$AB231,"")</f>
        <v>0.01867250392</v>
      </c>
      <c r="AO242" s="459" t="str">
        <f>IF(CUENTAS!W231/CUENTAS!$AB231&lt;&gt;0,CUENTAS!W231/CUENTAS!$AB231,"")</f>
        <v/>
      </c>
      <c r="AP242" s="459" t="str">
        <f>IF(CUENTAS!X231/CUENTAS!$AB231&lt;&gt;0,CUENTAS!X231/CUENTAS!$AB231,"")</f>
        <v/>
      </c>
      <c r="AQ242" s="459" t="str">
        <f>IF(CUENTAS!Y231/CUENTAS!$AB231&lt;&gt;0,CUENTAS!Y231/CUENTAS!$AB231,"")</f>
        <v/>
      </c>
      <c r="AR242" s="459">
        <f>IF(CUENTAS!AA231/CUENTAS!$AB231&lt;&gt;0,CUENTAS!AA231/CUENTAS!$AB231,"")</f>
        <v>0.1618382134</v>
      </c>
    </row>
    <row r="243">
      <c r="A243" s="474"/>
      <c r="B243" s="200"/>
      <c r="C243" s="200"/>
      <c r="F243" s="200"/>
      <c r="G243" s="200"/>
      <c r="J243" s="465">
        <v>45417.0</v>
      </c>
      <c r="K243" s="466">
        <f>SUMIF(GRAFICO!A:A,J243,GRAFICO!B:B)</f>
        <v>11427.15733</v>
      </c>
      <c r="L243" s="467">
        <f t="shared" si="2"/>
        <v>0.1233384123</v>
      </c>
      <c r="M243" s="468">
        <v>45782.0</v>
      </c>
      <c r="N243" s="469">
        <f>IF(SUMIF(GRAFICO!A:A,M243,GRAFICO!B:B)=0,"",SUMIF(GRAFICO!A:A,M243,GRAFICO!B:B))</f>
        <v>15456.06269</v>
      </c>
      <c r="O243" s="467">
        <f t="shared" si="3"/>
        <v>0.1049280586</v>
      </c>
      <c r="P243" s="468">
        <v>46147.0</v>
      </c>
      <c r="Q243" s="463" t="str">
        <f>IF(SUMIF(GRAFICO!A:A,P243,GRAFICO!B:B)=0,"",SUMIF(GRAFICO!A:A,P243,GRAFICO!B:B))</f>
        <v/>
      </c>
      <c r="R243" s="463" t="str">
        <f t="shared" si="4"/>
        <v/>
      </c>
      <c r="S243" s="471">
        <f>CUENTAS!A232</f>
        <v>45870</v>
      </c>
      <c r="T243" s="459">
        <f>IF(CUENTAS!Q232/CUENTAS!$AB232&lt;&gt;0,CUENTAS!Q232/CUENTAS!$AB232,"")</f>
        <v>0.09615075991</v>
      </c>
      <c r="U243" s="459" t="str">
        <f>IF(CUENTAS!C232/CUENTAS!$AB232&lt;&gt;0,CUENTAS!C232/CUENTAS!$AB232,"")</f>
        <v/>
      </c>
      <c r="V243" s="459" t="str">
        <f>IF(CUENTAS!D232/CUENTAS!$AB232&lt;&gt;0,CUENTAS!D232/CUENTAS!$AB232,"")</f>
        <v/>
      </c>
      <c r="W243" s="459">
        <f>IF(CUENTAS!E232/CUENTAS!$AB232&lt;&gt;0,CUENTAS!E232/CUENTAS!$AB232,"")</f>
        <v>0.04669520612</v>
      </c>
      <c r="X243" s="459">
        <f>IF(CUENTAS!F232/CUENTAS!$AB232&lt;&gt;0,CUENTAS!F232/CUENTAS!$AB232,"")</f>
        <v>0.05216502366</v>
      </c>
      <c r="Y243" s="459">
        <f>IF(CUENTAS!G232/CUENTAS!$AB232&lt;&gt;0,CUENTAS!G232/CUENTAS!$AB232,"")</f>
        <v>0.08390757296</v>
      </c>
      <c r="Z243" s="459">
        <f>IF(CUENTAS!H232/CUENTAS!$AB232&lt;&gt;0,CUENTAS!H232/CUENTAS!$AB232,"")</f>
        <v>0.08734625719</v>
      </c>
      <c r="AA243" s="459">
        <f>IF(CUENTAS!I232/CUENTAS!$AB232&lt;&gt;0,CUENTAS!I232/CUENTAS!$AB232,"")</f>
        <v>0.1132007493</v>
      </c>
      <c r="AB243" s="459">
        <f>IF(CUENTAS!J232/CUENTAS!$AB232&lt;&gt;0,CUENTAS!J232/CUENTAS!$AB232,"")</f>
        <v>0.1842987638</v>
      </c>
      <c r="AC243" s="459">
        <f>IF(CUENTAS!K232/CUENTAS!$AB232&lt;&gt;0,CUENTAS!K232/CUENTAS!$AB232,"")</f>
        <v>0.0917687361</v>
      </c>
      <c r="AD243" s="459" t="str">
        <f>IF(CUENTAS!L232/CUENTAS!$AB232&lt;&gt;0,CUENTAS!L232/CUENTAS!$AB232,"")</f>
        <v/>
      </c>
      <c r="AE243" s="459">
        <f>IF(CUENTAS!M232/CUENTAS!$AB232&lt;&gt;0,CUENTAS!M232/CUENTAS!$AB232,"")</f>
        <v>0.1380640913</v>
      </c>
      <c r="AF243" s="459">
        <f>IF(CUENTAS!N232/CUENTAS!$AB232&lt;&gt;0,CUENTAS!N232/CUENTAS!$AB232,"")</f>
        <v>0.05445993164</v>
      </c>
      <c r="AG243" s="459" t="str">
        <f>IF(CUENTAS!O232/CUENTAS!$AB232&lt;&gt;0,CUENTAS!O232/CUENTAS!$AB232,"")</f>
        <v/>
      </c>
      <c r="AH243" s="459">
        <f>IF(CUENTAS!P232/CUENTAS!$AB232&lt;&gt;0,CUENTAS!P232/CUENTAS!$AB232,"")</f>
        <v>0.06865415815</v>
      </c>
      <c r="AI243" s="459">
        <f>IF(CUENTAS!R232/CUENTAS!$AB232&lt;&gt;0,CUENTAS!R232/CUENTAS!$AB232,"")</f>
        <v>0.1131319756</v>
      </c>
      <c r="AJ243" s="459" t="str">
        <f>IF(CUENTAS!B232/CUENTAS!$AB232&lt;&gt;0,CUENTAS!B232/CUENTAS!$AB232,"")</f>
        <v/>
      </c>
      <c r="AK243" s="459">
        <f>IF(CUENTAS!S232/CUENTAS!$AB232&lt;&gt;0,CUENTAS!S232/CUENTAS!$AB232,"")</f>
        <v>0.05828051634</v>
      </c>
      <c r="AL243" s="459">
        <f>IF(CUENTAS!T232/CUENTAS!$AB232&lt;&gt;0,CUENTAS!T232/CUENTAS!$AB232,"")</f>
        <v>0.06086471088</v>
      </c>
      <c r="AM243" s="459">
        <f>IF(CUENTAS!U232/CUENTAS!$AB232&lt;&gt;0,CUENTAS!U232/CUENTAS!$AB232,"")</f>
        <v>0.05741573694</v>
      </c>
      <c r="AN243" s="459">
        <f>IF(CUENTAS!V232/CUENTAS!$AB232&lt;&gt;0,CUENTAS!V232/CUENTAS!$AB232,"")</f>
        <v>0.01865716054</v>
      </c>
      <c r="AO243" s="459" t="str">
        <f>IF(CUENTAS!W232/CUENTAS!$AB232&lt;&gt;0,CUENTAS!W232/CUENTAS!$AB232,"")</f>
        <v/>
      </c>
      <c r="AP243" s="459" t="str">
        <f>IF(CUENTAS!X232/CUENTAS!$AB232&lt;&gt;0,CUENTAS!X232/CUENTAS!$AB232,"")</f>
        <v/>
      </c>
      <c r="AQ243" s="459" t="str">
        <f>IF(CUENTAS!Y232/CUENTAS!$AB232&lt;&gt;0,CUENTAS!Y232/CUENTAS!$AB232,"")</f>
        <v/>
      </c>
      <c r="AR243" s="459">
        <f>IF(CUENTAS!AA232/CUENTAS!$AB232&lt;&gt;0,CUENTAS!AA232/CUENTAS!$AB232,"")</f>
        <v>0.1617052293</v>
      </c>
    </row>
    <row r="244">
      <c r="A244" s="474"/>
      <c r="B244" s="200"/>
      <c r="C244" s="200"/>
      <c r="F244" s="200"/>
      <c r="G244" s="200"/>
      <c r="J244" s="470">
        <v>45416.0</v>
      </c>
      <c r="K244" s="466">
        <f>SUMIF(GRAFICO!A:A,J244,GRAFICO!B:B)</f>
        <v>11417.46894</v>
      </c>
      <c r="L244" s="467">
        <f t="shared" si="2"/>
        <v>0.1224902128</v>
      </c>
      <c r="M244" s="468">
        <v>45781.0</v>
      </c>
      <c r="N244" s="469">
        <f>IF(SUMIF(GRAFICO!A:A,M244,GRAFICO!B:B)=0,"",SUMIF(GRAFICO!A:A,M244,GRAFICO!B:B))</f>
        <v>15371.60361</v>
      </c>
      <c r="O244" s="467">
        <f t="shared" si="3"/>
        <v>0.09944861067</v>
      </c>
      <c r="P244" s="465">
        <v>46146.0</v>
      </c>
      <c r="Q244" s="463" t="str">
        <f>IF(SUMIF(GRAFICO!A:A,P244,GRAFICO!B:B)=0,"",SUMIF(GRAFICO!A:A,P244,GRAFICO!B:B))</f>
        <v/>
      </c>
      <c r="R244" s="463" t="str">
        <f t="shared" si="4"/>
        <v/>
      </c>
      <c r="S244" s="471">
        <f>CUENTAS!A233</f>
        <v>45869</v>
      </c>
      <c r="T244" s="459">
        <f>IF(CUENTAS!Q233/CUENTAS!$AB233&lt;&gt;0,CUENTAS!Q233/CUENTAS!$AB233,"")</f>
        <v>0.1037610238</v>
      </c>
      <c r="U244" s="459" t="str">
        <f>IF(CUENTAS!C233/CUENTAS!$AB233&lt;&gt;0,CUENTAS!C233/CUENTAS!$AB233,"")</f>
        <v/>
      </c>
      <c r="V244" s="459" t="str">
        <f>IF(CUENTAS!D233/CUENTAS!$AB233&lt;&gt;0,CUENTAS!D233/CUENTAS!$AB233,"")</f>
        <v/>
      </c>
      <c r="W244" s="459">
        <f>IF(CUENTAS!E233/CUENTAS!$AB233&lt;&gt;0,CUENTAS!E233/CUENTAS!$AB233,"")</f>
        <v>0.04925861676</v>
      </c>
      <c r="X244" s="459">
        <f>IF(CUENTAS!F233/CUENTAS!$AB233&lt;&gt;0,CUENTAS!F233/CUENTAS!$AB233,"")</f>
        <v>0.05582464437</v>
      </c>
      <c r="Y244" s="459">
        <f>IF(CUENTAS!G233/CUENTAS!$AB233&lt;&gt;0,CUENTAS!G233/CUENTAS!$AB233,"")</f>
        <v>0.03071872415</v>
      </c>
      <c r="Z244" s="459">
        <f>IF(CUENTAS!H233/CUENTAS!$AB233&lt;&gt;0,CUENTAS!H233/CUENTAS!$AB233,"")</f>
        <v>0.09467084862</v>
      </c>
      <c r="AA244" s="459">
        <f>IF(CUENTAS!I233/CUENTAS!$AB233&lt;&gt;0,CUENTAS!I233/CUENTAS!$AB233,"")</f>
        <v>0.1202493646</v>
      </c>
      <c r="AB244" s="459">
        <f>IF(CUENTAS!J233/CUENTAS!$AB233&lt;&gt;0,CUENTAS!J233/CUENTAS!$AB233,"")</f>
        <v>0.198280175</v>
      </c>
      <c r="AC244" s="459">
        <f>IF(CUENTAS!K233/CUENTAS!$AB233&lt;&gt;0,CUENTAS!K233/CUENTAS!$AB233,"")</f>
        <v>0.09740723639</v>
      </c>
      <c r="AD244" s="459" t="str">
        <f>IF(CUENTAS!L233/CUENTAS!$AB233&lt;&gt;0,CUENTAS!L233/CUENTAS!$AB233,"")</f>
        <v/>
      </c>
      <c r="AE244" s="459">
        <f>IF(CUENTAS!M233/CUENTAS!$AB233&lt;&gt;0,CUENTAS!M233/CUENTAS!$AB233,"")</f>
        <v>0.08869241506</v>
      </c>
      <c r="AF244" s="459">
        <f>IF(CUENTAS!N233/CUENTAS!$AB233&lt;&gt;0,CUENTAS!N233/CUENTAS!$AB233,"")</f>
        <v>0.05759833709</v>
      </c>
      <c r="AG244" s="459" t="str">
        <f>IF(CUENTAS!O233/CUENTAS!$AB233&lt;&gt;0,CUENTAS!O233/CUENTAS!$AB233,"")</f>
        <v/>
      </c>
      <c r="AH244" s="459">
        <f>IF(CUENTAS!P233/CUENTAS!$AB233&lt;&gt;0,CUENTAS!P233/CUENTAS!$AB233,"")</f>
        <v>0.07203876297</v>
      </c>
      <c r="AI244" s="459">
        <f>IF(CUENTAS!R233/CUENTAS!$AB233&lt;&gt;0,CUENTAS!R233/CUENTAS!$AB233,"")</f>
        <v>0.09707019588</v>
      </c>
      <c r="AJ244" s="459" t="str">
        <f>IF(CUENTAS!B233/CUENTAS!$AB233&lt;&gt;0,CUENTAS!B233/CUENTAS!$AB233,"")</f>
        <v/>
      </c>
      <c r="AK244" s="459">
        <f>IF(CUENTAS!S233/CUENTAS!$AB233&lt;&gt;0,CUENTAS!S233/CUENTAS!$AB233,"")</f>
        <v>0.06150024702</v>
      </c>
      <c r="AL244" s="459">
        <f>IF(CUENTAS!T233/CUENTAS!$AB233&lt;&gt;0,CUENTAS!T233/CUENTAS!$AB233,"")</f>
        <v>0.06435470604</v>
      </c>
      <c r="AM244" s="459">
        <f>IF(CUENTAS!U233/CUENTAS!$AB233&lt;&gt;0,CUENTAS!U233/CUENTAS!$AB233,"")</f>
        <v>0.06056930563</v>
      </c>
      <c r="AN244" s="459">
        <f>IF(CUENTAS!V233/CUENTAS!$AB233&lt;&gt;0,CUENTAS!V233/CUENTAS!$AB233,"")</f>
        <v>0.01973233145</v>
      </c>
      <c r="AO244" s="459" t="str">
        <f>IF(CUENTAS!W233/CUENTAS!$AB233&lt;&gt;0,CUENTAS!W233/CUENTAS!$AB233,"")</f>
        <v/>
      </c>
      <c r="AP244" s="459" t="str">
        <f>IF(CUENTAS!X233/CUENTAS!$AB233&lt;&gt;0,CUENTAS!X233/CUENTAS!$AB233,"")</f>
        <v/>
      </c>
      <c r="AQ244" s="459" t="str">
        <f>IF(CUENTAS!Y233/CUENTAS!$AB233&lt;&gt;0,CUENTAS!Y233/CUENTAS!$AB233,"")</f>
        <v/>
      </c>
      <c r="AR244" s="459">
        <f>IF(CUENTAS!AA233/CUENTAS!$AB233&lt;&gt;0,CUENTAS!AA233/CUENTAS!$AB233,"")</f>
        <v>0.2433250658</v>
      </c>
    </row>
    <row r="245">
      <c r="A245" s="474"/>
      <c r="B245" s="200"/>
      <c r="C245" s="200"/>
      <c r="F245" s="200"/>
      <c r="G245" s="200"/>
      <c r="J245" s="465">
        <v>45415.0</v>
      </c>
      <c r="K245" s="466">
        <f>SUMIF(GRAFICO!A:A,J245,GRAFICO!B:B)</f>
        <v>11351.34281</v>
      </c>
      <c r="L245" s="467">
        <f t="shared" si="2"/>
        <v>0.1166817141</v>
      </c>
      <c r="M245" s="468">
        <v>45780.0</v>
      </c>
      <c r="N245" s="469">
        <f>IF(SUMIF(GRAFICO!A:A,M245,GRAFICO!B:B)=0,"",SUMIF(GRAFICO!A:A,M245,GRAFICO!B:B))</f>
        <v>15377.69174</v>
      </c>
      <c r="O245" s="467">
        <f t="shared" si="3"/>
        <v>0.09984459582</v>
      </c>
      <c r="P245" s="468">
        <v>46145.0</v>
      </c>
      <c r="Q245" s="463" t="str">
        <f>IF(SUMIF(GRAFICO!A:A,P245,GRAFICO!B:B)=0,"",SUMIF(GRAFICO!A:A,P245,GRAFICO!B:B))</f>
        <v/>
      </c>
      <c r="R245" s="463" t="str">
        <f t="shared" si="4"/>
        <v/>
      </c>
      <c r="S245" s="471">
        <f>CUENTAS!A234</f>
        <v>45868</v>
      </c>
      <c r="T245" s="459">
        <f>IF(CUENTAS!Q234/CUENTAS!$AB234&lt;&gt;0,CUENTAS!Q234/CUENTAS!$AB234,"")</f>
        <v>0.1050015108</v>
      </c>
      <c r="U245" s="459" t="str">
        <f>IF(CUENTAS!C234/CUENTAS!$AB234&lt;&gt;0,CUENTAS!C234/CUENTAS!$AB234,"")</f>
        <v/>
      </c>
      <c r="V245" s="459" t="str">
        <f>IF(CUENTAS!D234/CUENTAS!$AB234&lt;&gt;0,CUENTAS!D234/CUENTAS!$AB234,"")</f>
        <v/>
      </c>
      <c r="W245" s="459">
        <f>IF(CUENTAS!E234/CUENTAS!$AB234&lt;&gt;0,CUENTAS!E234/CUENTAS!$AB234,"")</f>
        <v>0.04915825143</v>
      </c>
      <c r="X245" s="459">
        <f>IF(CUENTAS!F234/CUENTAS!$AB234&lt;&gt;0,CUENTAS!F234/CUENTAS!$AB234,"")</f>
        <v>0.05585551088</v>
      </c>
      <c r="Y245" s="459">
        <f>IF(CUENTAS!G234/CUENTAS!$AB234&lt;&gt;0,CUENTAS!G234/CUENTAS!$AB234,"")</f>
        <v>0.02973745531</v>
      </c>
      <c r="Z245" s="459">
        <f>IF(CUENTAS!H234/CUENTAS!$AB234&lt;&gt;0,CUENTAS!H234/CUENTAS!$AB234,"")</f>
        <v>0.09749612116</v>
      </c>
      <c r="AA245" s="459">
        <f>IF(CUENTAS!I234/CUENTAS!$AB234&lt;&gt;0,CUENTAS!I234/CUENTAS!$AB234,"")</f>
        <v>0.1195277577</v>
      </c>
      <c r="AB245" s="459">
        <f>IF(CUENTAS!J234/CUENTAS!$AB234&lt;&gt;0,CUENTAS!J234/CUENTAS!$AB234,"")</f>
        <v>0.1980745698</v>
      </c>
      <c r="AC245" s="459">
        <f>IF(CUENTAS!K234/CUENTAS!$AB234&lt;&gt;0,CUENTAS!K234/CUENTAS!$AB234,"")</f>
        <v>0.09518437551</v>
      </c>
      <c r="AD245" s="459" t="str">
        <f>IF(CUENTAS!L234/CUENTAS!$AB234&lt;&gt;0,CUENTAS!L234/CUENTAS!$AB234,"")</f>
        <v/>
      </c>
      <c r="AE245" s="459">
        <f>IF(CUENTAS!M234/CUENTAS!$AB234&lt;&gt;0,CUENTAS!M234/CUENTAS!$AB234,"")</f>
        <v>0.08853907975</v>
      </c>
      <c r="AF245" s="459">
        <f>IF(CUENTAS!N234/CUENTAS!$AB234&lt;&gt;0,CUENTAS!N234/CUENTAS!$AB234,"")</f>
        <v>0.05753678044</v>
      </c>
      <c r="AG245" s="459" t="str">
        <f>IF(CUENTAS!O234/CUENTAS!$AB234&lt;&gt;0,CUENTAS!O234/CUENTAS!$AB234,"")</f>
        <v/>
      </c>
      <c r="AH245" s="459">
        <f>IF(CUENTAS!P234/CUENTAS!$AB234&lt;&gt;0,CUENTAS!P234/CUENTAS!$AB234,"")</f>
        <v>0.07207859457</v>
      </c>
      <c r="AI245" s="459">
        <f>IF(CUENTAS!R234/CUENTAS!$AB234&lt;&gt;0,CUENTAS!R234/CUENTAS!$AB234,"")</f>
        <v>0.07626561738</v>
      </c>
      <c r="AJ245" s="459" t="str">
        <f>IF(CUENTAS!B234/CUENTAS!$AB234&lt;&gt;0,CUENTAS!B234/CUENTAS!$AB234,"")</f>
        <v/>
      </c>
      <c r="AK245" s="459">
        <f>IF(CUENTAS!S234/CUENTAS!$AB234&lt;&gt;0,CUENTAS!S234/CUENTAS!$AB234,"")</f>
        <v>0.06139532828</v>
      </c>
      <c r="AL245" s="459">
        <f>IF(CUENTAS!T234/CUENTAS!$AB234&lt;&gt;0,CUENTAS!T234/CUENTAS!$AB234,"")</f>
        <v>0.06437277576</v>
      </c>
      <c r="AM245" s="459">
        <f>IF(CUENTAS!U234/CUENTAS!$AB234&lt;&gt;0,CUENTAS!U234/CUENTAS!$AB234,"")</f>
        <v>0.06044753647</v>
      </c>
      <c r="AN245" s="459">
        <f>IF(CUENTAS!V234/CUENTAS!$AB234&lt;&gt;0,CUENTAS!V234/CUENTAS!$AB234,"")</f>
        <v>0.01974324183</v>
      </c>
      <c r="AO245" s="459" t="str">
        <f>IF(CUENTAS!W234/CUENTAS!$AB234&lt;&gt;0,CUENTAS!W234/CUENTAS!$AB234,"")</f>
        <v/>
      </c>
      <c r="AP245" s="459" t="str">
        <f>IF(CUENTAS!X234/CUENTAS!$AB234&lt;&gt;0,CUENTAS!X234/CUENTAS!$AB234,"")</f>
        <v/>
      </c>
      <c r="AQ245" s="459" t="str">
        <f>IF(CUENTAS!Y234/CUENTAS!$AB234&lt;&gt;0,CUENTAS!Y234/CUENTAS!$AB234,"")</f>
        <v/>
      </c>
      <c r="AR245" s="459">
        <f>IF(CUENTAS!AA234/CUENTAS!$AB234&lt;&gt;0,CUENTAS!AA234/CUENTAS!$AB234,"")</f>
        <v>0.2643081257</v>
      </c>
    </row>
    <row r="246">
      <c r="A246" s="474"/>
      <c r="B246" s="200"/>
      <c r="C246" s="200"/>
      <c r="F246" s="200"/>
      <c r="G246" s="200"/>
      <c r="J246" s="470">
        <v>45414.0</v>
      </c>
      <c r="K246" s="466">
        <f>SUMIF(GRAFICO!A:A,J246,GRAFICO!B:B)</f>
        <v>11295.66238</v>
      </c>
      <c r="L246" s="467">
        <f t="shared" si="2"/>
        <v>0.1117644597</v>
      </c>
      <c r="M246" s="468">
        <v>45779.0</v>
      </c>
      <c r="N246" s="469">
        <f>IF(SUMIF(GRAFICO!A:A,M246,GRAFICO!B:B)=0,"",SUMIF(GRAFICO!A:A,M246,GRAFICO!B:B))</f>
        <v>15383.77987</v>
      </c>
      <c r="O246" s="467">
        <f t="shared" si="3"/>
        <v>0.1002404242</v>
      </c>
      <c r="P246" s="465">
        <v>46144.0</v>
      </c>
      <c r="Q246" s="463" t="str">
        <f>IF(SUMIF(GRAFICO!A:A,P246,GRAFICO!B:B)=0,"",SUMIF(GRAFICO!A:A,P246,GRAFICO!B:B))</f>
        <v/>
      </c>
      <c r="R246" s="463" t="str">
        <f t="shared" si="4"/>
        <v/>
      </c>
      <c r="S246" s="471">
        <f>CUENTAS!A235</f>
        <v>45867</v>
      </c>
      <c r="T246" s="459">
        <f>IF(CUENTAS!Q235/CUENTAS!$AB235&lt;&gt;0,CUENTAS!Q235/CUENTAS!$AB235,"")</f>
        <v>0.1074858883</v>
      </c>
      <c r="U246" s="459" t="str">
        <f>IF(CUENTAS!C235/CUENTAS!$AB235&lt;&gt;0,CUENTAS!C235/CUENTAS!$AB235,"")</f>
        <v/>
      </c>
      <c r="V246" s="459" t="str">
        <f>IF(CUENTAS!D235/CUENTAS!$AB235&lt;&gt;0,CUENTAS!D235/CUENTAS!$AB235,"")</f>
        <v/>
      </c>
      <c r="W246" s="459">
        <f>IF(CUENTAS!E235/CUENTAS!$AB235&lt;&gt;0,CUENTAS!E235/CUENTAS!$AB235,"")</f>
        <v>0.04935653972</v>
      </c>
      <c r="X246" s="459">
        <f>IF(CUENTAS!F235/CUENTAS!$AB235&lt;&gt;0,CUENTAS!F235/CUENTAS!$AB235,"")</f>
        <v>0.05622676299</v>
      </c>
      <c r="Y246" s="459">
        <f>IF(CUENTAS!G235/CUENTAS!$AB235&lt;&gt;0,CUENTAS!G235/CUENTAS!$AB235,"")</f>
        <v>0.03183910973</v>
      </c>
      <c r="Z246" s="459">
        <f>IF(CUENTAS!H235/CUENTAS!$AB235&lt;&gt;0,CUENTAS!H235/CUENTAS!$AB235,"")</f>
        <v>0.09721369125</v>
      </c>
      <c r="AA246" s="459">
        <f>IF(CUENTAS!I235/CUENTAS!$AB235&lt;&gt;0,CUENTAS!I235/CUENTAS!$AB235,"")</f>
        <v>0.1208511059</v>
      </c>
      <c r="AB246" s="459">
        <f>IF(CUENTAS!J235/CUENTAS!$AB235&lt;&gt;0,CUENTAS!J235/CUENTAS!$AB235,"")</f>
        <v>0.1863804364</v>
      </c>
      <c r="AC246" s="459">
        <f>IF(CUENTAS!K235/CUENTAS!$AB235&lt;&gt;0,CUENTAS!K235/CUENTAS!$AB235,"")</f>
        <v>0.09872592164</v>
      </c>
      <c r="AD246" s="459" t="str">
        <f>IF(CUENTAS!L235/CUENTAS!$AB235&lt;&gt;0,CUENTAS!L235/CUENTAS!$AB235,"")</f>
        <v/>
      </c>
      <c r="AE246" s="459">
        <f>IF(CUENTAS!M235/CUENTAS!$AB235&lt;&gt;0,CUENTAS!M235/CUENTAS!$AB235,"")</f>
        <v>0.08912756815</v>
      </c>
      <c r="AF246" s="459">
        <f>IF(CUENTAS!N235/CUENTAS!$AB235&lt;&gt;0,CUENTAS!N235/CUENTAS!$AB235,"")</f>
        <v>0.05791920736</v>
      </c>
      <c r="AG246" s="459" t="str">
        <f>IF(CUENTAS!O235/CUENTAS!$AB235&lt;&gt;0,CUENTAS!O235/CUENTAS!$AB235,"")</f>
        <v/>
      </c>
      <c r="AH246" s="459">
        <f>IF(CUENTAS!P235/CUENTAS!$AB235&lt;&gt;0,CUENTAS!P235/CUENTAS!$AB235,"")</f>
        <v>0.07255767586</v>
      </c>
      <c r="AI246" s="459">
        <f>IF(CUENTAS!R235/CUENTAS!$AB235&lt;&gt;0,CUENTAS!R235/CUENTAS!$AB235,"")</f>
        <v>0.07676273412</v>
      </c>
      <c r="AJ246" s="459" t="str">
        <f>IF(CUENTAS!B235/CUENTAS!$AB235&lt;&gt;0,CUENTAS!B235/CUENTAS!$AB235,"")</f>
        <v/>
      </c>
      <c r="AK246" s="459">
        <f>IF(CUENTAS!S235/CUENTAS!$AB235&lt;&gt;0,CUENTAS!S235/CUENTAS!$AB235,"")</f>
        <v>0.06166355486</v>
      </c>
      <c r="AL246" s="459">
        <f>IF(CUENTAS!T235/CUENTAS!$AB235&lt;&gt;0,CUENTAS!T235/CUENTAS!$AB235,"")</f>
        <v>0.06478300953</v>
      </c>
      <c r="AM246" s="459">
        <f>IF(CUENTAS!U235/CUENTAS!$AB235&lt;&gt;0,CUENTAS!U235/CUENTAS!$AB235,"")</f>
        <v>0.06069301913</v>
      </c>
      <c r="AN246" s="459">
        <f>IF(CUENTAS!V235/CUENTAS!$AB235&lt;&gt;0,CUENTAS!V235/CUENTAS!$AB235,"")</f>
        <v>0.01987446827</v>
      </c>
      <c r="AO246" s="459" t="str">
        <f>IF(CUENTAS!W235/CUENTAS!$AB235&lt;&gt;0,CUENTAS!W235/CUENTAS!$AB235,"")</f>
        <v/>
      </c>
      <c r="AP246" s="459" t="str">
        <f>IF(CUENTAS!X235/CUENTAS!$AB235&lt;&gt;0,CUENTAS!X235/CUENTAS!$AB235,"")</f>
        <v/>
      </c>
      <c r="AQ246" s="459" t="str">
        <f>IF(CUENTAS!Y235/CUENTAS!$AB235&lt;&gt;0,CUENTAS!Y235/CUENTAS!$AB235,"")</f>
        <v/>
      </c>
      <c r="AR246" s="459">
        <f>IF(CUENTAS!AA235/CUENTAS!$AB235&lt;&gt;0,CUENTAS!AA235/CUENTAS!$AB235,"")</f>
        <v>0.2660648897</v>
      </c>
    </row>
    <row r="247">
      <c r="A247" s="474"/>
      <c r="B247" s="200"/>
      <c r="C247" s="200"/>
      <c r="F247" s="200"/>
      <c r="G247" s="200"/>
      <c r="J247" s="470">
        <v>45413.0</v>
      </c>
      <c r="K247" s="466">
        <f>SUMIF(GRAFICO!A:A,J247,GRAFICO!B:B)</f>
        <v>11192.19922</v>
      </c>
      <c r="L247" s="467">
        <f t="shared" si="2"/>
        <v>0.1025627052</v>
      </c>
      <c r="M247" s="468">
        <v>45778.0</v>
      </c>
      <c r="N247" s="469">
        <f>IF(SUMIF(GRAFICO!A:A,M247,GRAFICO!B:B)=0,"",SUMIF(GRAFICO!A:A,M247,GRAFICO!B:B))</f>
        <v>15285.14334</v>
      </c>
      <c r="O247" s="467">
        <f t="shared" si="3"/>
        <v>0.09380805789</v>
      </c>
      <c r="P247" s="468">
        <v>46143.0</v>
      </c>
      <c r="Q247" s="463" t="str">
        <f>IF(SUMIF(GRAFICO!A:A,P247,GRAFICO!B:B)=0,"",SUMIF(GRAFICO!A:A,P247,GRAFICO!B:B))</f>
        <v/>
      </c>
      <c r="R247" s="463" t="str">
        <f t="shared" si="4"/>
        <v/>
      </c>
      <c r="S247" s="471">
        <f>CUENTAS!A236</f>
        <v>45866</v>
      </c>
      <c r="T247" s="459">
        <f>IF(CUENTAS!Q236/CUENTAS!$AB236&lt;&gt;0,CUENTAS!Q236/CUENTAS!$AB236,"")</f>
        <v>0.1072904054</v>
      </c>
      <c r="U247" s="459" t="str">
        <f>IF(CUENTAS!C236/CUENTAS!$AB236&lt;&gt;0,CUENTAS!C236/CUENTAS!$AB236,"")</f>
        <v/>
      </c>
      <c r="V247" s="459" t="str">
        <f>IF(CUENTAS!D236/CUENTAS!$AB236&lt;&gt;0,CUENTAS!D236/CUENTAS!$AB236,"")</f>
        <v/>
      </c>
      <c r="W247" s="459">
        <f>IF(CUENTAS!E236/CUENTAS!$AB236&lt;&gt;0,CUENTAS!E236/CUENTAS!$AB236,"")</f>
        <v>0.0494123123</v>
      </c>
      <c r="X247" s="459">
        <f>IF(CUENTAS!F236/CUENTAS!$AB236&lt;&gt;0,CUENTAS!F236/CUENTAS!$AB236,"")</f>
        <v>0.05690905832</v>
      </c>
      <c r="Y247" s="459">
        <f>IF(CUENTAS!G236/CUENTAS!$AB236&lt;&gt;0,CUENTAS!G236/CUENTAS!$AB236,"")</f>
        <v>0.03185208488</v>
      </c>
      <c r="Z247" s="459">
        <f>IF(CUENTAS!H236/CUENTAS!$AB236&lt;&gt;0,CUENTAS!H236/CUENTAS!$AB236,"")</f>
        <v>0.09824991861</v>
      </c>
      <c r="AA247" s="459">
        <f>IF(CUENTAS!I236/CUENTAS!$AB236&lt;&gt;0,CUENTAS!I236/CUENTAS!$AB236,"")</f>
        <v>0.1220996587</v>
      </c>
      <c r="AB247" s="459">
        <f>IF(CUENTAS!J236/CUENTAS!$AB236&lt;&gt;0,CUENTAS!J236/CUENTAS!$AB236,"")</f>
        <v>0.1314979899</v>
      </c>
      <c r="AC247" s="459">
        <f>IF(CUENTAS!K236/CUENTAS!$AB236&lt;&gt;0,CUENTAS!K236/CUENTAS!$AB236,"")</f>
        <v>0.09511386457</v>
      </c>
      <c r="AD247" s="459" t="str">
        <f>IF(CUENTAS!L236/CUENTAS!$AB236&lt;&gt;0,CUENTAS!L236/CUENTAS!$AB236,"")</f>
        <v/>
      </c>
      <c r="AE247" s="459">
        <f>IF(CUENTAS!M236/CUENTAS!$AB236&lt;&gt;0,CUENTAS!M236/CUENTAS!$AB236,"")</f>
        <v>0.09007455016</v>
      </c>
      <c r="AF247" s="459">
        <f>IF(CUENTAS!N236/CUENTAS!$AB236&lt;&gt;0,CUENTAS!N236/CUENTAS!$AB236,"")</f>
        <v>0.05813595344</v>
      </c>
      <c r="AG247" s="459" t="str">
        <f>IF(CUENTAS!O236/CUENTAS!$AB236&lt;&gt;0,CUENTAS!O236/CUENTAS!$AB236,"")</f>
        <v/>
      </c>
      <c r="AH247" s="459">
        <f>IF(CUENTAS!P236/CUENTAS!$AB236&lt;&gt;0,CUENTAS!P236/CUENTAS!$AB236,"")</f>
        <v>0.07028103544</v>
      </c>
      <c r="AI247" s="459">
        <f>IF(CUENTAS!R236/CUENTAS!$AB236&lt;&gt;0,CUENTAS!R236/CUENTAS!$AB236,"")</f>
        <v>0.07704016582</v>
      </c>
      <c r="AJ247" s="459" t="str">
        <f>IF(CUENTAS!B236/CUENTAS!$AB236&lt;&gt;0,CUENTAS!B236/CUENTAS!$AB236,"")</f>
        <v/>
      </c>
      <c r="AK247" s="459">
        <f>IF(CUENTAS!S236/CUENTAS!$AB236&lt;&gt;0,CUENTAS!S236/CUENTAS!$AB236,"")</f>
        <v>0.06175394299</v>
      </c>
      <c r="AL247" s="459">
        <f>IF(CUENTAS!T236/CUENTAS!$AB236&lt;&gt;0,CUENTAS!T236/CUENTAS!$AB236,"")</f>
        <v>0.06500774583</v>
      </c>
      <c r="AM247" s="459">
        <f>IF(CUENTAS!U236/CUENTAS!$AB236&lt;&gt;0,CUENTAS!U236/CUENTAS!$AB236,"")</f>
        <v>0.0607632695</v>
      </c>
      <c r="AN247" s="459">
        <f>IF(CUENTAS!V236/CUENTAS!$AB236&lt;&gt;0,CUENTAS!V236/CUENTAS!$AB236,"")</f>
        <v>0.01994884279</v>
      </c>
      <c r="AO247" s="459" t="str">
        <f>IF(CUENTAS!W236/CUENTAS!$AB236&lt;&gt;0,CUENTAS!W236/CUENTAS!$AB236,"")</f>
        <v/>
      </c>
      <c r="AP247" s="459" t="str">
        <f>IF(CUENTAS!X236/CUENTAS!$AB236&lt;&gt;0,CUENTAS!X236/CUENTAS!$AB236,"")</f>
        <v/>
      </c>
      <c r="AQ247" s="459" t="str">
        <f>IF(CUENTAS!Y236/CUENTAS!$AB236&lt;&gt;0,CUENTAS!Y236/CUENTAS!$AB236,"")</f>
        <v/>
      </c>
      <c r="AR247" s="459">
        <f>IF(CUENTAS!AA236/CUENTAS!$AB236&lt;&gt;0,CUENTAS!AA236/CUENTAS!$AB236,"")</f>
        <v>0.323882813</v>
      </c>
    </row>
    <row r="248">
      <c r="A248" s="474"/>
      <c r="B248" s="200"/>
      <c r="C248" s="200"/>
      <c r="F248" s="200"/>
      <c r="G248" s="200"/>
      <c r="J248" s="470">
        <v>45412.0</v>
      </c>
      <c r="K248" s="466">
        <f>SUMIF(GRAFICO!A:A,J248,GRAFICO!B:B)</f>
        <v>11133.26803</v>
      </c>
      <c r="L248" s="467">
        <f t="shared" si="2"/>
        <v>0.09728341349</v>
      </c>
      <c r="M248" s="468">
        <v>45777.0</v>
      </c>
      <c r="N248" s="469">
        <f>IF(SUMIF(GRAFICO!A:A,M248,GRAFICO!B:B)=0,"",SUMIF(GRAFICO!A:A,M248,GRAFICO!B:B))</f>
        <v>15292.69426</v>
      </c>
      <c r="O248" s="467">
        <f t="shared" si="3"/>
        <v>0.0943019403</v>
      </c>
      <c r="P248" s="465">
        <v>46142.0</v>
      </c>
      <c r="Q248" s="463" t="str">
        <f>IF(SUMIF(GRAFICO!A:A,P248,GRAFICO!B:B)=0,"",SUMIF(GRAFICO!A:A,P248,GRAFICO!B:B))</f>
        <v/>
      </c>
      <c r="R248" s="463" t="str">
        <f t="shared" si="4"/>
        <v/>
      </c>
      <c r="S248" s="471">
        <f>CUENTAS!A237</f>
        <v>45865</v>
      </c>
      <c r="T248" s="459">
        <f>IF(CUENTAS!Q237/CUENTAS!$AB237&lt;&gt;0,CUENTAS!Q237/CUENTAS!$AB237,"")</f>
        <v>0.1065849231</v>
      </c>
      <c r="U248" s="459" t="str">
        <f>IF(CUENTAS!C237/CUENTAS!$AB237&lt;&gt;0,CUENTAS!C237/CUENTAS!$AB237,"")</f>
        <v/>
      </c>
      <c r="V248" s="459">
        <f>IF(CUENTAS!D237/CUENTAS!$AB237&lt;&gt;0,CUENTAS!D237/CUENTAS!$AB237,"")</f>
        <v>0.02974623568</v>
      </c>
      <c r="W248" s="459">
        <f>IF(CUENTAS!E237/CUENTAS!$AB237&lt;&gt;0,CUENTAS!E237/CUENTAS!$AB237,"")</f>
        <v>0.04979149169</v>
      </c>
      <c r="X248" s="459">
        <f>IF(CUENTAS!F237/CUENTAS!$AB237&lt;&gt;0,CUENTAS!F237/CUENTAS!$AB237,"")</f>
        <v>0.05749578827</v>
      </c>
      <c r="Y248" s="459" t="str">
        <f>IF(CUENTAS!G237/CUENTAS!$AB237&lt;&gt;0,CUENTAS!G237/CUENTAS!$AB237,"")</f>
        <v/>
      </c>
      <c r="Z248" s="459">
        <f>IF(CUENTAS!H237/CUENTAS!$AB237&lt;&gt;0,CUENTAS!H237/CUENTAS!$AB237,"")</f>
        <v>0.09982900911</v>
      </c>
      <c r="AA248" s="459">
        <f>IF(CUENTAS!I237/CUENTAS!$AB237&lt;&gt;0,CUENTAS!I237/CUENTAS!$AB237,"")</f>
        <v>0.1221785501</v>
      </c>
      <c r="AB248" s="459">
        <f>IF(CUENTAS!J237/CUENTAS!$AB237&lt;&gt;0,CUENTAS!J237/CUENTAS!$AB237,"")</f>
        <v>0.1590470489</v>
      </c>
      <c r="AC248" s="459">
        <f>IF(CUENTAS!K237/CUENTAS!$AB237&lt;&gt;0,CUENTAS!K237/CUENTAS!$AB237,"")</f>
        <v>0.09573692357</v>
      </c>
      <c r="AD248" s="459" t="str">
        <f>IF(CUENTAS!L237/CUENTAS!$AB237&lt;&gt;0,CUENTAS!L237/CUENTAS!$AB237,"")</f>
        <v/>
      </c>
      <c r="AE248" s="459">
        <f>IF(CUENTAS!M237/CUENTAS!$AB237&lt;&gt;0,CUENTAS!M237/CUENTAS!$AB237,"")</f>
        <v>0.08986696591</v>
      </c>
      <c r="AF248" s="459">
        <f>IF(CUENTAS!N237/CUENTAS!$AB237&lt;&gt;0,CUENTAS!N237/CUENTAS!$AB237,"")</f>
        <v>0.05816323523</v>
      </c>
      <c r="AG248" s="459" t="str">
        <f>IF(CUENTAS!O237/CUENTAS!$AB237&lt;&gt;0,CUENTAS!O237/CUENTAS!$AB237,"")</f>
        <v/>
      </c>
      <c r="AH248" s="459">
        <f>IF(CUENTAS!P237/CUENTAS!$AB237&lt;&gt;0,CUENTAS!P237/CUENTAS!$AB237,"")</f>
        <v>0.0710056299</v>
      </c>
      <c r="AI248" s="459">
        <f>IF(CUENTAS!R237/CUENTAS!$AB237&lt;&gt;0,CUENTAS!R237/CUENTAS!$AB237,"")</f>
        <v>0.07782451438</v>
      </c>
      <c r="AJ248" s="459" t="str">
        <f>IF(CUENTAS!B237/CUENTAS!$AB237&lt;&gt;0,CUENTAS!B237/CUENTAS!$AB237,"")</f>
        <v/>
      </c>
      <c r="AK248" s="459">
        <f>IF(CUENTAS!S237/CUENTAS!$AB237&lt;&gt;0,CUENTAS!S237/CUENTAS!$AB237,"")</f>
        <v>0.06224880618</v>
      </c>
      <c r="AL248" s="459">
        <f>IF(CUENTAS!T237/CUENTAS!$AB237&lt;&gt;0,CUENTAS!T237/CUENTAS!$AB237,"")</f>
        <v>0.06566009486</v>
      </c>
      <c r="AM248" s="459">
        <f>IF(CUENTAS!U237/CUENTAS!$AB237&lt;&gt;0,CUENTAS!U237/CUENTAS!$AB237,"")</f>
        <v>0.0612312429</v>
      </c>
      <c r="AN248" s="459">
        <f>IF(CUENTAS!V237/CUENTAS!$AB237&lt;&gt;0,CUENTAS!V237/CUENTAS!$AB237,"")</f>
        <v>0.0201545145</v>
      </c>
      <c r="AO248" s="459" t="str">
        <f>IF(CUENTAS!W237/CUENTAS!$AB237&lt;&gt;0,CUENTAS!W237/CUENTAS!$AB237,"")</f>
        <v/>
      </c>
      <c r="AP248" s="459" t="str">
        <f>IF(CUENTAS!X237/CUENTAS!$AB237&lt;&gt;0,CUENTAS!X237/CUENTAS!$AB237,"")</f>
        <v/>
      </c>
      <c r="AQ248" s="459" t="str">
        <f>IF(CUENTAS!Y237/CUENTAS!$AB237&lt;&gt;0,CUENTAS!Y237/CUENTAS!$AB237,"")</f>
        <v/>
      </c>
      <c r="AR248" s="459">
        <f>IF(CUENTAS!AA237/CUENTAS!$AB237&lt;&gt;0,CUENTAS!AA237/CUENTAS!$AB237,"")</f>
        <v>0.327222031</v>
      </c>
    </row>
    <row r="249">
      <c r="A249" s="474"/>
      <c r="B249" s="200"/>
      <c r="C249" s="200"/>
      <c r="F249" s="200"/>
      <c r="G249" s="200"/>
      <c r="J249" s="465">
        <v>45411.0</v>
      </c>
      <c r="K249" s="466">
        <f>SUMIF(GRAFICO!A:A,J249,GRAFICO!B:B)</f>
        <v>11167.05404</v>
      </c>
      <c r="L249" s="467">
        <f t="shared" si="2"/>
        <v>0.1003135073</v>
      </c>
      <c r="M249" s="468">
        <v>45776.0</v>
      </c>
      <c r="N249" s="469">
        <f>IF(SUMIF(GRAFICO!A:A,M249,GRAFICO!B:B)=0,"",SUMIF(GRAFICO!A:A,M249,GRAFICO!B:B))</f>
        <v>15525.40758</v>
      </c>
      <c r="O249" s="467">
        <f t="shared" si="3"/>
        <v>0.1094046055</v>
      </c>
      <c r="P249" s="468">
        <v>46141.0</v>
      </c>
      <c r="Q249" s="463" t="str">
        <f>IF(SUMIF(GRAFICO!A:A,P249,GRAFICO!B:B)=0,"",SUMIF(GRAFICO!A:A,P249,GRAFICO!B:B))</f>
        <v/>
      </c>
      <c r="R249" s="463" t="str">
        <f t="shared" si="4"/>
        <v/>
      </c>
      <c r="S249" s="471">
        <f>CUENTAS!A238</f>
        <v>45864</v>
      </c>
      <c r="T249" s="459">
        <f>IF(CUENTAS!Q238/CUENTAS!$AB238&lt;&gt;0,CUENTAS!Q238/CUENTAS!$AB238,"")</f>
        <v>0.1768020506</v>
      </c>
      <c r="U249" s="459" t="str">
        <f>IF(CUENTAS!C238/CUENTAS!$AB238&lt;&gt;0,CUENTAS!C238/CUENTAS!$AB238,"")</f>
        <v/>
      </c>
      <c r="V249" s="459">
        <f>IF(CUENTAS!D238/CUENTAS!$AB238&lt;&gt;0,CUENTAS!D238/CUENTAS!$AB238,"")</f>
        <v>0.04923107271</v>
      </c>
      <c r="W249" s="459">
        <f>IF(CUENTAS!E238/CUENTAS!$AB238&lt;&gt;0,CUENTAS!E238/CUENTAS!$AB238,"")</f>
        <v>0.08237757688</v>
      </c>
      <c r="X249" s="459">
        <f>IF(CUENTAS!F238/CUENTAS!$AB238&lt;&gt;0,CUENTAS!F238/CUENTAS!$AB238,"")</f>
        <v>0.09537346341</v>
      </c>
      <c r="Y249" s="459" t="str">
        <f>IF(CUENTAS!G238/CUENTAS!$AB238&lt;&gt;0,CUENTAS!G238/CUENTAS!$AB238,"")</f>
        <v/>
      </c>
      <c r="Z249" s="459">
        <f>IF(CUENTAS!H238/CUENTAS!$AB238&lt;&gt;0,CUENTAS!H238/CUENTAS!$AB238,"")</f>
        <v>0.1655954051</v>
      </c>
      <c r="AA249" s="459">
        <f>IF(CUENTAS!I238/CUENTAS!$AB238&lt;&gt;0,CUENTAS!I238/CUENTAS!$AB238,"")</f>
        <v>0.09007493767</v>
      </c>
      <c r="AB249" s="459">
        <f>IF(CUENTAS!J238/CUENTAS!$AB238&lt;&gt;0,CUENTAS!J238/CUENTAS!$AB238,"")</f>
        <v>0.2638257228</v>
      </c>
      <c r="AC249" s="459">
        <f>IF(CUENTAS!K238/CUENTAS!$AB238&lt;&gt;0,CUENTAS!K238/CUENTAS!$AB238,"")</f>
        <v>0.1588074927</v>
      </c>
      <c r="AD249" s="459" t="str">
        <f>IF(CUENTAS!L238/CUENTAS!$AB238&lt;&gt;0,CUENTAS!L238/CUENTAS!$AB238,"")</f>
        <v/>
      </c>
      <c r="AE249" s="459">
        <f>IF(CUENTAS!M238/CUENTAS!$AB238&lt;&gt;0,CUENTAS!M238/CUENTAS!$AB238,"")</f>
        <v>0.1490704631</v>
      </c>
      <c r="AF249" s="459">
        <f>IF(CUENTAS!N238/CUENTAS!$AB238&lt;&gt;0,CUENTAS!N238/CUENTAS!$AB238,"")</f>
        <v>0.09727144278</v>
      </c>
      <c r="AG249" s="459" t="str">
        <f>IF(CUENTAS!O238/CUENTAS!$AB238&lt;&gt;0,CUENTAS!O238/CUENTAS!$AB238,"")</f>
        <v/>
      </c>
      <c r="AH249" s="459">
        <f>IF(CUENTAS!P238/CUENTAS!$AB238&lt;&gt;0,CUENTAS!P238/CUENTAS!$AB238,"")</f>
        <v>0.1177834594</v>
      </c>
      <c r="AI249" s="459">
        <f>IF(CUENTAS!R238/CUENTAS!$AB238&lt;&gt;0,CUENTAS!R238/CUENTAS!$AB238,"")</f>
        <v>0.09167405119</v>
      </c>
      <c r="AJ249" s="459" t="str">
        <f>IF(CUENTAS!B238/CUENTAS!$AB238&lt;&gt;0,CUENTAS!B238/CUENTAS!$AB238,"")</f>
        <v/>
      </c>
      <c r="AK249" s="459">
        <f>IF(CUENTAS!S238/CUENTAS!$AB238&lt;&gt;0,CUENTAS!S238/CUENTAS!$AB238,"")</f>
        <v>0.1030224788</v>
      </c>
      <c r="AL249" s="459">
        <f>IF(CUENTAS!T238/CUENTAS!$AB238&lt;&gt;0,CUENTAS!T238/CUENTAS!$AB238,"")</f>
        <v>0.08351438745</v>
      </c>
      <c r="AM249" s="459">
        <f>IF(CUENTAS!U238/CUENTAS!$AB238&lt;&gt;0,CUENTAS!U238/CUENTAS!$AB238,"")</f>
        <v>0.1013068927</v>
      </c>
      <c r="AN249" s="459">
        <f>IF(CUENTAS!V238/CUENTAS!$AB238&lt;&gt;0,CUENTAS!V238/CUENTAS!$AB238,"")</f>
        <v>0.0334321158</v>
      </c>
      <c r="AO249" s="459" t="str">
        <f>IF(CUENTAS!W238/CUENTAS!$AB238&lt;&gt;0,CUENTAS!W238/CUENTAS!$AB238,"")</f>
        <v/>
      </c>
      <c r="AP249" s="459" t="str">
        <f>IF(CUENTAS!X238/CUENTAS!$AB238&lt;&gt;0,CUENTAS!X238/CUENTAS!$AB238,"")</f>
        <v/>
      </c>
      <c r="AQ249" s="459" t="str">
        <f>IF(CUENTAS!Y238/CUENTAS!$AB238&lt;&gt;0,CUENTAS!Y238/CUENTAS!$AB238,"")</f>
        <v/>
      </c>
      <c r="AR249" s="459">
        <f>IF(CUENTAS!AA238/CUENTAS!$AB238&lt;&gt;0,CUENTAS!AA238/CUENTAS!$AB238,"")</f>
        <v>0.05830190626</v>
      </c>
    </row>
    <row r="250">
      <c r="A250" s="474"/>
      <c r="B250" s="200"/>
      <c r="C250" s="200"/>
      <c r="F250" s="200"/>
      <c r="G250" s="200"/>
      <c r="J250" s="465">
        <v>45410.0</v>
      </c>
      <c r="K250" s="466">
        <f>SUMIF(GRAFICO!A:A,J250,GRAFICO!B:B)</f>
        <v>11026.82236</v>
      </c>
      <c r="L250" s="467">
        <f t="shared" si="2"/>
        <v>0.08767636831</v>
      </c>
      <c r="M250" s="468">
        <v>45775.0</v>
      </c>
      <c r="N250" s="469">
        <f>IF(SUMIF(GRAFICO!A:A,M250,GRAFICO!B:B)=0,"",SUMIF(GRAFICO!A:A,M250,GRAFICO!B:B))</f>
        <v>15467.30896</v>
      </c>
      <c r="O250" s="467">
        <f t="shared" si="3"/>
        <v>0.1056554223</v>
      </c>
      <c r="P250" s="465">
        <v>46140.0</v>
      </c>
      <c r="Q250" s="463" t="str">
        <f>IF(SUMIF(GRAFICO!A:A,P250,GRAFICO!B:B)=0,"",SUMIF(GRAFICO!A:A,P250,GRAFICO!B:B))</f>
        <v/>
      </c>
      <c r="R250" s="463" t="str">
        <f t="shared" si="4"/>
        <v/>
      </c>
      <c r="S250" s="471">
        <f>CUENTAS!A239</f>
        <v>45863</v>
      </c>
      <c r="T250" s="459">
        <f>IF(CUENTAS!Q239/CUENTAS!$AB239&lt;&gt;0,CUENTAS!Q239/CUENTAS!$AB239,"")</f>
        <v>0.2003431408</v>
      </c>
      <c r="U250" s="459" t="str">
        <f>IF(CUENTAS!C239/CUENTAS!$AB239&lt;&gt;0,CUENTAS!C239/CUENTAS!$AB239,"")</f>
        <v/>
      </c>
      <c r="V250" s="459">
        <f>IF(CUENTAS!D239/CUENTAS!$AB239&lt;&gt;0,CUENTAS!D239/CUENTAS!$AB239,"")</f>
        <v>0.05565959042</v>
      </c>
      <c r="W250" s="459" t="str">
        <f>IF(CUENTAS!E239/CUENTAS!$AB239&lt;&gt;0,CUENTAS!E239/CUENTAS!$AB239,"")</f>
        <v/>
      </c>
      <c r="X250" s="459">
        <f>IF(CUENTAS!F239/CUENTAS!$AB239&lt;&gt;0,CUENTAS!F239/CUENTAS!$AB239,"")</f>
        <v>0.1084308336</v>
      </c>
      <c r="Y250" s="459" t="str">
        <f>IF(CUENTAS!G239/CUENTAS!$AB239&lt;&gt;0,CUENTAS!G239/CUENTAS!$AB239,"")</f>
        <v/>
      </c>
      <c r="Z250" s="459">
        <f>IF(CUENTAS!H239/CUENTAS!$AB239&lt;&gt;0,CUENTAS!H239/CUENTAS!$AB239,"")</f>
        <v>0.1876443369</v>
      </c>
      <c r="AA250" s="459">
        <f>IF(CUENTAS!I239/CUENTAS!$AB239&lt;&gt;0,CUENTAS!I239/CUENTAS!$AB239,"")</f>
        <v>0.1020683632</v>
      </c>
      <c r="AB250" s="459">
        <f>IF(CUENTAS!J239/CUENTAS!$AB239&lt;&gt;0,CUENTAS!J239/CUENTAS!$AB239,"")</f>
        <v>0.2989539643</v>
      </c>
      <c r="AC250" s="459">
        <f>IF(CUENTAS!K239/CUENTAS!$AB239&lt;&gt;0,CUENTAS!K239/CUENTAS!$AB239,"")</f>
        <v>0.1799526179</v>
      </c>
      <c r="AD250" s="459" t="str">
        <f>IF(CUENTAS!L239/CUENTAS!$AB239&lt;&gt;0,CUENTAS!L239/CUENTAS!$AB239,"")</f>
        <v/>
      </c>
      <c r="AE250" s="459">
        <f>IF(CUENTAS!M239/CUENTAS!$AB239&lt;&gt;0,CUENTAS!M239/CUENTAS!$AB239,"")</f>
        <v>0.1689191085</v>
      </c>
      <c r="AF250" s="459">
        <f>IF(CUENTAS!N239/CUENTAS!$AB239&lt;&gt;0,CUENTAS!N239/CUENTAS!$AB239,"")</f>
        <v>0.1102230788</v>
      </c>
      <c r="AG250" s="459" t="str">
        <f>IF(CUENTAS!O239/CUENTAS!$AB239&lt;&gt;0,CUENTAS!O239/CUENTAS!$AB239,"")</f>
        <v/>
      </c>
      <c r="AH250" s="459" t="str">
        <f>IF(CUENTAS!P239/CUENTAS!$AB239&lt;&gt;0,CUENTAS!P239/CUENTAS!$AB239,"")</f>
        <v/>
      </c>
      <c r="AI250" s="459">
        <f>IF(CUENTAS!R239/CUENTAS!$AB239&lt;&gt;0,CUENTAS!R239/CUENTAS!$AB239,"")</f>
        <v>0.1038617285</v>
      </c>
      <c r="AJ250" s="459" t="str">
        <f>IF(CUENTAS!B239/CUENTAS!$AB239&lt;&gt;0,CUENTAS!B239/CUENTAS!$AB239,"")</f>
        <v/>
      </c>
      <c r="AK250" s="459">
        <f>IF(CUENTAS!S239/CUENTAS!$AB239&lt;&gt;0,CUENTAS!S239/CUENTAS!$AB239,"")</f>
        <v>0.116473294</v>
      </c>
      <c r="AL250" s="459">
        <f>IF(CUENTAS!T239/CUENTAS!$AB239&lt;&gt;0,CUENTAS!T239/CUENTAS!$AB239,"")</f>
        <v>0.09460067493</v>
      </c>
      <c r="AM250" s="459">
        <f>IF(CUENTAS!U239/CUENTAS!$AB239&lt;&gt;0,CUENTAS!U239/CUENTAS!$AB239,"")</f>
        <v>0.1144979333</v>
      </c>
      <c r="AN250" s="459">
        <f>IF(CUENTAS!V239/CUENTAS!$AB239&lt;&gt;0,CUENTAS!V239/CUENTAS!$AB239,"")</f>
        <v>0.03788358256</v>
      </c>
      <c r="AO250" s="459" t="str">
        <f>IF(CUENTAS!W239/CUENTAS!$AB239&lt;&gt;0,CUENTAS!W239/CUENTAS!$AB239,"")</f>
        <v/>
      </c>
      <c r="AP250" s="459" t="str">
        <f>IF(CUENTAS!X239/CUENTAS!$AB239&lt;&gt;0,CUENTAS!X239/CUENTAS!$AB239,"")</f>
        <v/>
      </c>
      <c r="AQ250" s="459" t="str">
        <f>IF(CUENTAS!Y239/CUENTAS!$AB239&lt;&gt;0,CUENTAS!Y239/CUENTAS!$AB239,"")</f>
        <v/>
      </c>
      <c r="AR250" s="459">
        <f>IF(CUENTAS!AA239/CUENTAS!$AB239&lt;&gt;0,CUENTAS!AA239/CUENTAS!$AB239,"")</f>
        <v>0.06606477115</v>
      </c>
    </row>
    <row r="251">
      <c r="A251" s="474"/>
      <c r="B251" s="200"/>
      <c r="C251" s="200"/>
      <c r="F251" s="200"/>
      <c r="G251" s="200"/>
      <c r="J251" s="465">
        <v>45409.0</v>
      </c>
      <c r="K251" s="466">
        <f>SUMIF(GRAFICO!A:A,J251,GRAFICO!B:B)</f>
        <v>10996.42454</v>
      </c>
      <c r="L251" s="467">
        <f t="shared" si="2"/>
        <v>0.08491584604</v>
      </c>
      <c r="M251" s="468">
        <v>45774.0</v>
      </c>
      <c r="N251" s="469">
        <f>IF(SUMIF(GRAFICO!A:A,M251,GRAFICO!B:B)=0,"",SUMIF(GRAFICO!A:A,M251,GRAFICO!B:B))</f>
        <v>15426.79843</v>
      </c>
      <c r="O251" s="467">
        <f t="shared" si="3"/>
        <v>0.1030328803</v>
      </c>
      <c r="P251" s="468">
        <v>46139.0</v>
      </c>
      <c r="Q251" s="463" t="str">
        <f>IF(SUMIF(GRAFICO!A:A,P251,GRAFICO!B:B)=0,"",SUMIF(GRAFICO!A:A,P251,GRAFICO!B:B))</f>
        <v/>
      </c>
      <c r="R251" s="463" t="str">
        <f t="shared" si="4"/>
        <v/>
      </c>
      <c r="S251" s="471">
        <f>CUENTAS!A240</f>
        <v>45862</v>
      </c>
      <c r="T251" s="459">
        <f>IF(CUENTAS!Q240/CUENTAS!$AB240&lt;&gt;0,CUENTAS!Q240/CUENTAS!$AB240,"")</f>
        <v>0.2012137525</v>
      </c>
      <c r="U251" s="459" t="str">
        <f>IF(CUENTAS!C240/CUENTAS!$AB240&lt;&gt;0,CUENTAS!C240/CUENTAS!$AB240,"")</f>
        <v/>
      </c>
      <c r="V251" s="459">
        <f>IF(CUENTAS!D240/CUENTAS!$AB240&lt;&gt;0,CUENTAS!D240/CUENTAS!$AB240,"")</f>
        <v>0.05514942129</v>
      </c>
      <c r="W251" s="459" t="str">
        <f>IF(CUENTAS!E240/CUENTAS!$AB240&lt;&gt;0,CUENTAS!E240/CUENTAS!$AB240,"")</f>
        <v/>
      </c>
      <c r="X251" s="459">
        <f>IF(CUENTAS!F240/CUENTAS!$AB240&lt;&gt;0,CUENTAS!F240/CUENTAS!$AB240,"")</f>
        <v>0.1099956648</v>
      </c>
      <c r="Y251" s="459" t="str">
        <f>IF(CUENTAS!G240/CUENTAS!$AB240&lt;&gt;0,CUENTAS!G240/CUENTAS!$AB240,"")</f>
        <v/>
      </c>
      <c r="Z251" s="459">
        <f>IF(CUENTAS!H240/CUENTAS!$AB240&lt;&gt;0,CUENTAS!H240/CUENTAS!$AB240,"")</f>
        <v>0.1843050338</v>
      </c>
      <c r="AA251" s="459">
        <f>IF(CUENTAS!I240/CUENTAS!$AB240&lt;&gt;0,CUENTAS!I240/CUENTAS!$AB240,"")</f>
        <v>0.1007848628</v>
      </c>
      <c r="AB251" s="459">
        <f>IF(CUENTAS!J240/CUENTAS!$AB240&lt;&gt;0,CUENTAS!J240/CUENTAS!$AB240,"")</f>
        <v>0.2968889192</v>
      </c>
      <c r="AC251" s="459">
        <f>IF(CUENTAS!K240/CUENTAS!$AB240&lt;&gt;0,CUENTAS!K240/CUENTAS!$AB240,"")</f>
        <v>0.1835485911</v>
      </c>
      <c r="AD251" s="459" t="str">
        <f>IF(CUENTAS!L240/CUENTAS!$AB240&lt;&gt;0,CUENTAS!L240/CUENTAS!$AB240,"")</f>
        <v/>
      </c>
      <c r="AE251" s="459">
        <f>IF(CUENTAS!M240/CUENTAS!$AB240&lt;&gt;0,CUENTAS!M240/CUENTAS!$AB240,"")</f>
        <v>0.1698732941</v>
      </c>
      <c r="AF251" s="459">
        <f>IF(CUENTAS!N240/CUENTAS!$AB240&lt;&gt;0,CUENTAS!N240/CUENTAS!$AB240,"")</f>
        <v>0.1094617053</v>
      </c>
      <c r="AG251" s="459" t="str">
        <f>IF(CUENTAS!O240/CUENTAS!$AB240&lt;&gt;0,CUENTAS!O240/CUENTAS!$AB240,"")</f>
        <v/>
      </c>
      <c r="AH251" s="459" t="str">
        <f>IF(CUENTAS!P240/CUENTAS!$AB240&lt;&gt;0,CUENTAS!P240/CUENTAS!$AB240,"")</f>
        <v/>
      </c>
      <c r="AI251" s="459">
        <f>IF(CUENTAS!R240/CUENTAS!$AB240&lt;&gt;0,CUENTAS!R240/CUENTAS!$AB240,"")</f>
        <v>0.1031257562</v>
      </c>
      <c r="AJ251" s="459" t="str">
        <f>IF(CUENTAS!B240/CUENTAS!$AB240&lt;&gt;0,CUENTAS!B240/CUENTAS!$AB240,"")</f>
        <v/>
      </c>
      <c r="AK251" s="459">
        <f>IF(CUENTAS!S240/CUENTAS!$AB240&lt;&gt;0,CUENTAS!S240/CUENTAS!$AB240,"")</f>
        <v>0.11540402</v>
      </c>
      <c r="AL251" s="459">
        <f>IF(CUENTAS!T240/CUENTAS!$AB240&lt;&gt;0,CUENTAS!T240/CUENTAS!$AB240,"")</f>
        <v>0.09391384178</v>
      </c>
      <c r="AM251" s="459">
        <f>IF(CUENTAS!U240/CUENTAS!$AB240&lt;&gt;0,CUENTAS!U240/CUENTAS!$AB240,"")</f>
        <v>0.1134111757</v>
      </c>
      <c r="AN251" s="459">
        <f>IF(CUENTAS!V240/CUENTAS!$AB240&lt;&gt;0,CUENTAS!V240/CUENTAS!$AB240,"")</f>
        <v>0.03762189911</v>
      </c>
      <c r="AO251" s="459" t="str">
        <f>IF(CUENTAS!W240/CUENTAS!$AB240&lt;&gt;0,CUENTAS!W240/CUENTAS!$AB240,"")</f>
        <v/>
      </c>
      <c r="AP251" s="459" t="str">
        <f>IF(CUENTAS!X240/CUENTAS!$AB240&lt;&gt;0,CUENTAS!X240/CUENTAS!$AB240,"")</f>
        <v/>
      </c>
      <c r="AQ251" s="459" t="str">
        <f>IF(CUENTAS!Y240/CUENTAS!$AB240&lt;&gt;0,CUENTAS!Y240/CUENTAS!$AB240,"")</f>
        <v/>
      </c>
      <c r="AR251" s="459">
        <f>IF(CUENTAS!AA240/CUENTAS!$AB240&lt;&gt;0,CUENTAS!AA240/CUENTAS!$AB240,"")</f>
        <v>0.06560842419</v>
      </c>
    </row>
    <row r="252">
      <c r="A252" s="474"/>
      <c r="B252" s="200"/>
      <c r="C252" s="200"/>
      <c r="F252" s="200"/>
      <c r="G252" s="200"/>
      <c r="J252" s="470">
        <v>45408.0</v>
      </c>
      <c r="K252" s="466">
        <f>SUMIF(GRAFICO!A:A,J252,GRAFICO!B:B)</f>
        <v>10988.4596</v>
      </c>
      <c r="L252" s="467">
        <f t="shared" si="2"/>
        <v>0.08419126215</v>
      </c>
      <c r="M252" s="468">
        <v>45773.0</v>
      </c>
      <c r="N252" s="469">
        <f>IF(SUMIF(GRAFICO!A:A,M252,GRAFICO!B:B)=0,"",SUMIF(GRAFICO!A:A,M252,GRAFICO!B:B))</f>
        <v>15423.89456</v>
      </c>
      <c r="O252" s="467">
        <f t="shared" si="3"/>
        <v>0.1028446267</v>
      </c>
      <c r="P252" s="465">
        <v>46138.0</v>
      </c>
      <c r="Q252" s="463" t="str">
        <f>IF(SUMIF(GRAFICO!A:A,P252,GRAFICO!B:B)=0,"",SUMIF(GRAFICO!A:A,P252,GRAFICO!B:B))</f>
        <v/>
      </c>
      <c r="R252" s="463" t="str">
        <f t="shared" si="4"/>
        <v/>
      </c>
      <c r="S252" s="471">
        <f>CUENTAS!A241</f>
        <v>45861</v>
      </c>
      <c r="T252" s="459">
        <f>IF(CUENTAS!Q241/CUENTAS!$AB241&lt;&gt;0,CUENTAS!Q241/CUENTAS!$AB241,"")</f>
        <v>0.2012556506</v>
      </c>
      <c r="U252" s="459" t="str">
        <f>IF(CUENTAS!C241/CUENTAS!$AB241&lt;&gt;0,CUENTAS!C241/CUENTAS!$AB241,"")</f>
        <v/>
      </c>
      <c r="V252" s="459">
        <f>IF(CUENTAS!D241/CUENTAS!$AB241&lt;&gt;0,CUENTAS!D241/CUENTAS!$AB241,"")</f>
        <v>0.05503518203</v>
      </c>
      <c r="W252" s="459" t="str">
        <f>IF(CUENTAS!E241/CUENTAS!$AB241&lt;&gt;0,CUENTAS!E241/CUENTAS!$AB241,"")</f>
        <v/>
      </c>
      <c r="X252" s="459">
        <f>IF(CUENTAS!F241/CUENTAS!$AB241&lt;&gt;0,CUENTAS!F241/CUENTAS!$AB241,"")</f>
        <v>0.1100185689</v>
      </c>
      <c r="Y252" s="459" t="str">
        <f>IF(CUENTAS!G241/CUENTAS!$AB241&lt;&gt;0,CUENTAS!G241/CUENTAS!$AB241,"")</f>
        <v/>
      </c>
      <c r="Z252" s="459">
        <f>IF(CUENTAS!H241/CUENTAS!$AB241&lt;&gt;0,CUENTAS!H241/CUENTAS!$AB241,"")</f>
        <v>0.1849776201</v>
      </c>
      <c r="AA252" s="459">
        <f>IF(CUENTAS!I241/CUENTAS!$AB241&lt;&gt;0,CUENTAS!I241/CUENTAS!$AB241,"")</f>
        <v>0.1008058489</v>
      </c>
      <c r="AB252" s="459">
        <f>IF(CUENTAS!J241/CUENTAS!$AB241&lt;&gt;0,CUENTAS!J241/CUENTAS!$AB241,"")</f>
        <v>0.2969507394</v>
      </c>
      <c r="AC252" s="459">
        <f>IF(CUENTAS!K241/CUENTAS!$AB241&lt;&gt;0,CUENTAS!K241/CUENTAS!$AB241,"")</f>
        <v>0.1835868109</v>
      </c>
      <c r="AD252" s="459" t="str">
        <f>IF(CUENTAS!L241/CUENTAS!$AB241&lt;&gt;0,CUENTAS!L241/CUENTAS!$AB241,"")</f>
        <v/>
      </c>
      <c r="AE252" s="459">
        <f>IF(CUENTAS!M241/CUENTAS!$AB241&lt;&gt;0,CUENTAS!M241/CUENTAS!$AB241,"")</f>
        <v>0.168751513</v>
      </c>
      <c r="AF252" s="459">
        <f>IF(CUENTAS!N241/CUENTAS!$AB241&lt;&gt;0,CUENTAS!N241/CUENTAS!$AB241,"")</f>
        <v>0.1094844981</v>
      </c>
      <c r="AG252" s="459" t="str">
        <f>IF(CUENTAS!O241/CUENTAS!$AB241&lt;&gt;0,CUENTAS!O241/CUENTAS!$AB241,"")</f>
        <v/>
      </c>
      <c r="AH252" s="459" t="str">
        <f>IF(CUENTAS!P241/CUENTAS!$AB241&lt;&gt;0,CUENTAS!P241/CUENTAS!$AB241,"")</f>
        <v/>
      </c>
      <c r="AI252" s="459">
        <f>IF(CUENTAS!R241/CUENTAS!$AB241&lt;&gt;0,CUENTAS!R241/CUENTAS!$AB241,"")</f>
        <v>0.1031286856</v>
      </c>
      <c r="AJ252" s="459" t="str">
        <f>IF(CUENTAS!B241/CUENTAS!$AB241&lt;&gt;0,CUENTAS!B241/CUENTAS!$AB241,"")</f>
        <v/>
      </c>
      <c r="AK252" s="459">
        <f>IF(CUENTAS!S241/CUENTAS!$AB241&lt;&gt;0,CUENTAS!S241/CUENTAS!$AB241,"")</f>
        <v>0.1151632685</v>
      </c>
      <c r="AL252" s="459">
        <f>IF(CUENTAS!T241/CUENTAS!$AB241&lt;&gt;0,CUENTAS!T241/CUENTAS!$AB241,"")</f>
        <v>0.09390001774</v>
      </c>
      <c r="AM252" s="459">
        <f>IF(CUENTAS!U241/CUENTAS!$AB241&lt;&gt;0,CUENTAS!U241/CUENTAS!$AB241,"")</f>
        <v>0.1131388741</v>
      </c>
      <c r="AN252" s="459">
        <f>IF(CUENTAS!V241/CUENTAS!$AB241&lt;&gt;0,CUENTAS!V241/CUENTAS!$AB241,"")</f>
        <v>0.03762973299</v>
      </c>
      <c r="AO252" s="459" t="str">
        <f>IF(CUENTAS!W241/CUENTAS!$AB241&lt;&gt;0,CUENTAS!W241/CUENTAS!$AB241,"")</f>
        <v/>
      </c>
      <c r="AP252" s="459" t="str">
        <f>IF(CUENTAS!X241/CUENTAS!$AB241&lt;&gt;0,CUENTAS!X241/CUENTAS!$AB241,"")</f>
        <v/>
      </c>
      <c r="AQ252" s="459" t="str">
        <f>IF(CUENTAS!Y241/CUENTAS!$AB241&lt;&gt;0,CUENTAS!Y241/CUENTAS!$AB241,"")</f>
        <v/>
      </c>
      <c r="AR252" s="459">
        <f>IF(CUENTAS!AA241/CUENTAS!$AB241&lt;&gt;0,CUENTAS!AA241/CUENTAS!$AB241,"")</f>
        <v>0.06562208562</v>
      </c>
    </row>
    <row r="253">
      <c r="A253" s="474"/>
      <c r="B253" s="200"/>
      <c r="C253" s="200"/>
      <c r="F253" s="200"/>
      <c r="G253" s="200"/>
      <c r="J253" s="465">
        <v>45407.0</v>
      </c>
      <c r="K253" s="466">
        <f>SUMIF(GRAFICO!A:A,J253,GRAFICO!B:B)</f>
        <v>10926.2937</v>
      </c>
      <c r="L253" s="467">
        <f t="shared" si="2"/>
        <v>0.07851781758</v>
      </c>
      <c r="M253" s="468">
        <v>45772.0</v>
      </c>
      <c r="N253" s="469">
        <f>IF(SUMIF(GRAFICO!A:A,M253,GRAFICO!B:B)=0,"",SUMIF(GRAFICO!A:A,M253,GRAFICO!B:B))</f>
        <v>15420.99068</v>
      </c>
      <c r="O253" s="467">
        <f t="shared" si="3"/>
        <v>0.1026563378</v>
      </c>
      <c r="P253" s="468">
        <v>46137.0</v>
      </c>
      <c r="Q253" s="463" t="str">
        <f>IF(SUMIF(GRAFICO!A:A,P253,GRAFICO!B:B)=0,"",SUMIF(GRAFICO!A:A,P253,GRAFICO!B:B))</f>
        <v/>
      </c>
      <c r="R253" s="463" t="str">
        <f t="shared" si="4"/>
        <v/>
      </c>
      <c r="S253" s="471">
        <f>CUENTAS!A242</f>
        <v>45860</v>
      </c>
      <c r="T253" s="459">
        <f>IF(CUENTAS!Q242/CUENTAS!$AB242&lt;&gt;0,CUENTAS!Q242/CUENTAS!$AB242,"")</f>
        <v>0.2013251991</v>
      </c>
      <c r="U253" s="459" t="str">
        <f>IF(CUENTAS!C242/CUENTAS!$AB242&lt;&gt;0,CUENTAS!C242/CUENTAS!$AB242,"")</f>
        <v/>
      </c>
      <c r="V253" s="459">
        <f>IF(CUENTAS!D242/CUENTAS!$AB242&lt;&gt;0,CUENTAS!D242/CUENTAS!$AB242,"")</f>
        <v>0.0549284344</v>
      </c>
      <c r="W253" s="459" t="str">
        <f>IF(CUENTAS!E242/CUENTAS!$AB242&lt;&gt;0,CUENTAS!E242/CUENTAS!$AB242,"")</f>
        <v/>
      </c>
      <c r="X253" s="459">
        <f>IF(CUENTAS!F242/CUENTAS!$AB242&lt;&gt;0,CUENTAS!F242/CUENTAS!$AB242,"")</f>
        <v>0.1100565883</v>
      </c>
      <c r="Y253" s="459" t="str">
        <f>IF(CUENTAS!G242/CUENTAS!$AB242&lt;&gt;0,CUENTAS!G242/CUENTAS!$AB242,"")</f>
        <v/>
      </c>
      <c r="Z253" s="459">
        <f>IF(CUENTAS!H242/CUENTAS!$AB242&lt;&gt;0,CUENTAS!H242/CUENTAS!$AB242,"")</f>
        <v>0.183984163</v>
      </c>
      <c r="AA253" s="459">
        <f>IF(CUENTAS!I242/CUENTAS!$AB242&lt;&gt;0,CUENTAS!I242/CUENTAS!$AB242,"")</f>
        <v>0.1014194612</v>
      </c>
      <c r="AB253" s="459">
        <f>IF(CUENTAS!J242/CUENTAS!$AB242&lt;&gt;0,CUENTAS!J242/CUENTAS!$AB242,"")</f>
        <v>0.2970533575</v>
      </c>
      <c r="AC253" s="459">
        <f>IF(CUENTAS!K242/CUENTAS!$AB242&lt;&gt;0,CUENTAS!K242/CUENTAS!$AB242,"")</f>
        <v>0.1848189369</v>
      </c>
      <c r="AD253" s="459" t="str">
        <f>IF(CUENTAS!L242/CUENTAS!$AB242&lt;&gt;0,CUENTAS!L242/CUENTAS!$AB242,"")</f>
        <v/>
      </c>
      <c r="AE253" s="459">
        <f>IF(CUENTAS!M242/CUENTAS!$AB242&lt;&gt;0,CUENTAS!M242/CUENTAS!$AB242,"")</f>
        <v>0.1674593503</v>
      </c>
      <c r="AF253" s="459">
        <f>IF(CUENTAS!N242/CUENTAS!$AB242&lt;&gt;0,CUENTAS!N242/CUENTAS!$AB242,"")</f>
        <v>0.109522333</v>
      </c>
      <c r="AG253" s="459" t="str">
        <f>IF(CUENTAS!O242/CUENTAS!$AB242&lt;&gt;0,CUENTAS!O242/CUENTAS!$AB242,"")</f>
        <v/>
      </c>
      <c r="AH253" s="459" t="str">
        <f>IF(CUENTAS!P242/CUENTAS!$AB242&lt;&gt;0,CUENTAS!P242/CUENTAS!$AB242,"")</f>
        <v/>
      </c>
      <c r="AI253" s="459">
        <f>IF(CUENTAS!R242/CUENTAS!$AB242&lt;&gt;0,CUENTAS!R242/CUENTAS!$AB242,"")</f>
        <v>0.1031457736</v>
      </c>
      <c r="AJ253" s="459" t="str">
        <f>IF(CUENTAS!B242/CUENTAS!$AB242&lt;&gt;0,CUENTAS!B242/CUENTAS!$AB242,"")</f>
        <v/>
      </c>
      <c r="AK253" s="459">
        <f>IF(CUENTAS!S242/CUENTAS!$AB242&lt;&gt;0,CUENTAS!S242/CUENTAS!$AB242,"")</f>
        <v>0.1149381925</v>
      </c>
      <c r="AL253" s="459">
        <f>IF(CUENTAS!T242/CUENTAS!$AB242&lt;&gt;0,CUENTAS!T242/CUENTAS!$AB242,"")</f>
        <v>0.09389907607</v>
      </c>
      <c r="AM253" s="459">
        <f>IF(CUENTAS!U242/CUENTAS!$AB242&lt;&gt;0,CUENTAS!U242/CUENTAS!$AB242,"")</f>
        <v>0.1128819527</v>
      </c>
      <c r="AN253" s="459">
        <f>IF(CUENTAS!V242/CUENTAS!$AB242&lt;&gt;0,CUENTAS!V242/CUENTAS!$AB242,"")</f>
        <v>0.0376427368</v>
      </c>
      <c r="AO253" s="459" t="str">
        <f>IF(CUENTAS!W242/CUENTAS!$AB242&lt;&gt;0,CUENTAS!W242/CUENTAS!$AB242,"")</f>
        <v/>
      </c>
      <c r="AP253" s="459" t="str">
        <f>IF(CUENTAS!X242/CUENTAS!$AB242&lt;&gt;0,CUENTAS!X242/CUENTAS!$AB242,"")</f>
        <v/>
      </c>
      <c r="AQ253" s="459" t="str">
        <f>IF(CUENTAS!Y242/CUENTAS!$AB242&lt;&gt;0,CUENTAS!Y242/CUENTAS!$AB242,"")</f>
        <v/>
      </c>
      <c r="AR253" s="459">
        <f>IF(CUENTAS!AA242/CUENTAS!$AB242&lt;&gt;0,CUENTAS!AA242/CUENTAS!$AB242,"")</f>
        <v>0.06564476283</v>
      </c>
    </row>
    <row r="254">
      <c r="A254" s="474"/>
      <c r="B254" s="200"/>
      <c r="C254" s="200"/>
      <c r="F254" s="200"/>
      <c r="G254" s="200"/>
      <c r="J254" s="470">
        <v>45406.0</v>
      </c>
      <c r="K254" s="466">
        <f>SUMIF(GRAFICO!A:A,J254,GRAFICO!B:B)</f>
        <v>10944.00747</v>
      </c>
      <c r="L254" s="467">
        <f t="shared" si="2"/>
        <v>0.08013771134</v>
      </c>
      <c r="M254" s="468">
        <v>45771.0</v>
      </c>
      <c r="N254" s="469">
        <f>IF(SUMIF(GRAFICO!A:A,M254,GRAFICO!B:B)=0,"",SUMIF(GRAFICO!A:A,M254,GRAFICO!B:B))</f>
        <v>15356.79397</v>
      </c>
      <c r="O254" s="467">
        <f t="shared" si="3"/>
        <v>0.09848470479</v>
      </c>
      <c r="P254" s="465">
        <v>46136.0</v>
      </c>
      <c r="Q254" s="463" t="str">
        <f>IF(SUMIF(GRAFICO!A:A,P254,GRAFICO!B:B)=0,"",SUMIF(GRAFICO!A:A,P254,GRAFICO!B:B))</f>
        <v/>
      </c>
      <c r="R254" s="463" t="str">
        <f t="shared" si="4"/>
        <v/>
      </c>
      <c r="S254" s="471">
        <f>CUENTAS!A243</f>
        <v>45859</v>
      </c>
      <c r="T254" s="459">
        <f>IF(CUENTAS!Q243/CUENTAS!$AB243&lt;&gt;0,CUENTAS!Q243/CUENTAS!$AB243,"")</f>
        <v>0.2005574058</v>
      </c>
      <c r="U254" s="459" t="str">
        <f>IF(CUENTAS!C243/CUENTAS!$AB243&lt;&gt;0,CUENTAS!C243/CUENTAS!$AB243,"")</f>
        <v/>
      </c>
      <c r="V254" s="459">
        <f>IF(CUENTAS!D243/CUENTAS!$AB243&lt;&gt;0,CUENTAS!D243/CUENTAS!$AB243,"")</f>
        <v>0.05459366736</v>
      </c>
      <c r="W254" s="459" t="str">
        <f>IF(CUENTAS!E243/CUENTAS!$AB243&lt;&gt;0,CUENTAS!E243/CUENTAS!$AB243,"")</f>
        <v/>
      </c>
      <c r="X254" s="459">
        <f>IF(CUENTAS!F243/CUENTAS!$AB243&lt;&gt;0,CUENTAS!F243/CUENTAS!$AB243,"")</f>
        <v>0.1099916777</v>
      </c>
      <c r="Y254" s="459" t="str">
        <f>IF(CUENTAS!G243/CUENTAS!$AB243&lt;&gt;0,CUENTAS!G243/CUENTAS!$AB243,"")</f>
        <v/>
      </c>
      <c r="Z254" s="459">
        <f>IF(CUENTAS!H243/CUENTAS!$AB243&lt;&gt;0,CUENTAS!H243/CUENTAS!$AB243,"")</f>
        <v>0.1836336191</v>
      </c>
      <c r="AA254" s="459">
        <f>IF(CUENTAS!I243/CUENTAS!$AB243&lt;&gt;0,CUENTAS!I243/CUENTAS!$AB243,"")</f>
        <v>0.1024519256</v>
      </c>
      <c r="AB254" s="459">
        <f>IF(CUENTAS!J243/CUENTAS!$AB243&lt;&gt;0,CUENTAS!J243/CUENTAS!$AB243,"")</f>
        <v>0.2959204861</v>
      </c>
      <c r="AC254" s="459">
        <f>IF(CUENTAS!K243/CUENTAS!$AB243&lt;&gt;0,CUENTAS!K243/CUENTAS!$AB243,"")</f>
        <v>0.1841140935</v>
      </c>
      <c r="AD254" s="459" t="str">
        <f>IF(CUENTAS!L243/CUENTAS!$AB243&lt;&gt;0,CUENTAS!L243/CUENTAS!$AB243,"")</f>
        <v/>
      </c>
      <c r="AE254" s="459">
        <f>IF(CUENTAS!M243/CUENTAS!$AB243&lt;&gt;0,CUENTAS!M243/CUENTAS!$AB243,"")</f>
        <v>0.168550419</v>
      </c>
      <c r="AF254" s="459">
        <f>IF(CUENTAS!N243/CUENTAS!$AB243&lt;&gt;0,CUENTAS!N243/CUENTAS!$AB243,"")</f>
        <v>0.109104648</v>
      </c>
      <c r="AG254" s="459" t="str">
        <f>IF(CUENTAS!O243/CUENTAS!$AB243&lt;&gt;0,CUENTAS!O243/CUENTAS!$AB243,"")</f>
        <v/>
      </c>
      <c r="AH254" s="459" t="str">
        <f>IF(CUENTAS!P243/CUENTAS!$AB243&lt;&gt;0,CUENTAS!P243/CUENTAS!$AB243,"")</f>
        <v/>
      </c>
      <c r="AI254" s="459">
        <f>IF(CUENTAS!R243/CUENTAS!$AB243&lt;&gt;0,CUENTAS!R243/CUENTAS!$AB243,"")</f>
        <v>0.1027339271</v>
      </c>
      <c r="AJ254" s="459" t="str">
        <f>IF(CUENTAS!B243/CUENTAS!$AB243&lt;&gt;0,CUENTAS!B243/CUENTAS!$AB243,"")</f>
        <v/>
      </c>
      <c r="AK254" s="459">
        <f>IF(CUENTAS!S243/CUENTAS!$AB243&lt;&gt;0,CUENTAS!S243/CUENTAS!$AB243,"")</f>
        <v>0.11423599</v>
      </c>
      <c r="AL254" s="459">
        <f>IF(CUENTAS!T243/CUENTAS!$AB243&lt;&gt;0,CUENTAS!T243/CUENTAS!$AB243,"")</f>
        <v>0.09350770986</v>
      </c>
      <c r="AM254" s="459">
        <f>IF(CUENTAS!U243/CUENTAS!$AB243&lt;&gt;0,CUENTAS!U243/CUENTAS!$AB243,"")</f>
        <v>0.112156565</v>
      </c>
      <c r="AN254" s="459">
        <f>IF(CUENTAS!V243/CUENTAS!$AB243&lt;&gt;0,CUENTAS!V243/CUENTAS!$AB243,"")</f>
        <v>0.03749917882</v>
      </c>
      <c r="AO254" s="459" t="str">
        <f>IF(CUENTAS!W243/CUENTAS!$AB243&lt;&gt;0,CUENTAS!W243/CUENTAS!$AB243,"")</f>
        <v/>
      </c>
      <c r="AP254" s="459" t="str">
        <f>IF(CUENTAS!X243/CUENTAS!$AB243&lt;&gt;0,CUENTAS!X243/CUENTAS!$AB243,"")</f>
        <v/>
      </c>
      <c r="AQ254" s="459" t="str">
        <f>IF(CUENTAS!Y243/CUENTAS!$AB243&lt;&gt;0,CUENTAS!Y243/CUENTAS!$AB243,"")</f>
        <v/>
      </c>
      <c r="AR254" s="459">
        <f>IF(CUENTAS!AA243/CUENTAS!$AB243&lt;&gt;0,CUENTAS!AA243/CUENTAS!$AB243,"")</f>
        <v>0.06539441361</v>
      </c>
    </row>
    <row r="255">
      <c r="A255" s="474"/>
      <c r="B255" s="200"/>
      <c r="C255" s="200"/>
      <c r="F255" s="200"/>
      <c r="G255" s="200"/>
      <c r="J255" s="470">
        <v>45405.0</v>
      </c>
      <c r="K255" s="466">
        <f>SUMIF(GRAFICO!A:A,J255,GRAFICO!B:B)</f>
        <v>11138.59544</v>
      </c>
      <c r="L255" s="467">
        <f t="shared" si="2"/>
        <v>0.09776181108</v>
      </c>
      <c r="M255" s="468">
        <v>45770.0</v>
      </c>
      <c r="N255" s="469">
        <f>IF(SUMIF(GRAFICO!A:A,M255,GRAFICO!B:B)=0,"",SUMIF(GRAFICO!A:A,M255,GRAFICO!B:B))</f>
        <v>15181.55483</v>
      </c>
      <c r="O255" s="467">
        <f t="shared" si="3"/>
        <v>0.08700791835</v>
      </c>
      <c r="P255" s="468">
        <v>46135.0</v>
      </c>
      <c r="Q255" s="463" t="str">
        <f>IF(SUMIF(GRAFICO!A:A,P255,GRAFICO!B:B)=0,"",SUMIF(GRAFICO!A:A,P255,GRAFICO!B:B))</f>
        <v/>
      </c>
      <c r="R255" s="463" t="str">
        <f t="shared" si="4"/>
        <v/>
      </c>
      <c r="S255" s="471">
        <f>CUENTAS!A244</f>
        <v>45858</v>
      </c>
      <c r="T255" s="459">
        <f>IF(CUENTAS!Q244/CUENTAS!$AB244&lt;&gt;0,CUENTAS!Q244/CUENTAS!$AB244,"")</f>
        <v>0.1983956416</v>
      </c>
      <c r="U255" s="459" t="str">
        <f>IF(CUENTAS!C244/CUENTAS!$AB244&lt;&gt;0,CUENTAS!C244/CUENTAS!$AB244,"")</f>
        <v/>
      </c>
      <c r="V255" s="459">
        <f>IF(CUENTAS!D244/CUENTAS!$AB244&lt;&gt;0,CUENTAS!D244/CUENTAS!$AB244,"")</f>
        <v>0.05418483449</v>
      </c>
      <c r="W255" s="459" t="str">
        <f>IF(CUENTAS!E244/CUENTAS!$AB244&lt;&gt;0,CUENTAS!E244/CUENTAS!$AB244,"")</f>
        <v/>
      </c>
      <c r="X255" s="459">
        <f>IF(CUENTAS!F244/CUENTAS!$AB244&lt;&gt;0,CUENTAS!F244/CUENTAS!$AB244,"")</f>
        <v>0.1058894455</v>
      </c>
      <c r="Y255" s="459" t="str">
        <f>IF(CUENTAS!G244/CUENTAS!$AB244&lt;&gt;0,CUENTAS!G244/CUENTAS!$AB244,"")</f>
        <v/>
      </c>
      <c r="Z255" s="459">
        <f>IF(CUENTAS!H244/CUENTAS!$AB244&lt;&gt;0,CUENTAS!H244/CUENTAS!$AB244,"")</f>
        <v>0.1844939752</v>
      </c>
      <c r="AA255" s="459">
        <f>IF(CUENTAS!I244/CUENTAS!$AB244&lt;&gt;0,CUENTAS!I244/CUENTAS!$AB244,"")</f>
        <v>0.1015656265</v>
      </c>
      <c r="AB255" s="459">
        <f>IF(CUENTAS!J244/CUENTAS!$AB244&lt;&gt;0,CUENTAS!J244/CUENTAS!$AB244,"")</f>
        <v>0.2943800119</v>
      </c>
      <c r="AC255" s="459">
        <f>IF(CUENTAS!K244/CUENTAS!$AB244&lt;&gt;0,CUENTAS!K244/CUENTAS!$AB244,"")</f>
        <v>0.1846447206</v>
      </c>
      <c r="AD255" s="459" t="str">
        <f>IF(CUENTAS!L244/CUENTAS!$AB244&lt;&gt;0,CUENTAS!L244/CUENTAS!$AB244,"")</f>
        <v/>
      </c>
      <c r="AE255" s="459">
        <f>IF(CUENTAS!M244/CUENTAS!$AB244&lt;&gt;0,CUENTAS!M244/CUENTAS!$AB244,"")</f>
        <v>0.170732024</v>
      </c>
      <c r="AF255" s="459">
        <f>IF(CUENTAS!N244/CUENTAS!$AB244&lt;&gt;0,CUENTAS!N244/CUENTAS!$AB244,"")</f>
        <v>0.1085366816</v>
      </c>
      <c r="AG255" s="459" t="str">
        <f>IF(CUENTAS!O244/CUENTAS!$AB244&lt;&gt;0,CUENTAS!O244/CUENTAS!$AB244,"")</f>
        <v/>
      </c>
      <c r="AH255" s="459" t="str">
        <f>IF(CUENTAS!P244/CUENTAS!$AB244&lt;&gt;0,CUENTAS!P244/CUENTAS!$AB244,"")</f>
        <v/>
      </c>
      <c r="AI255" s="459">
        <f>IF(CUENTAS!R244/CUENTAS!$AB244&lt;&gt;0,CUENTAS!R244/CUENTAS!$AB244,"")</f>
        <v>0.1021807412</v>
      </c>
      <c r="AJ255" s="459" t="str">
        <f>IF(CUENTAS!B244/CUENTAS!$AB244&lt;&gt;0,CUENTAS!B244/CUENTAS!$AB244,"")</f>
        <v/>
      </c>
      <c r="AK255" s="459">
        <f>IF(CUENTAS!S244/CUENTAS!$AB244&lt;&gt;0,CUENTAS!S244/CUENTAS!$AB244,"")</f>
        <v>0.1133788219</v>
      </c>
      <c r="AL255" s="459">
        <f>IF(CUENTAS!T244/CUENTAS!$AB244&lt;&gt;0,CUENTAS!T244/CUENTAS!$AB244,"")</f>
        <v>0.09298784604</v>
      </c>
      <c r="AM255" s="459">
        <f>IF(CUENTAS!U244/CUENTAS!$AB244&lt;&gt;0,CUENTAS!U244/CUENTAS!$AB244,"")</f>
        <v>0.1112793562</v>
      </c>
      <c r="AN255" s="459">
        <f>IF(CUENTAS!V244/CUENTAS!$AB244&lt;&gt;0,CUENTAS!V244/CUENTAS!$AB244,"")</f>
        <v>0.03730396923</v>
      </c>
      <c r="AO255" s="459" t="str">
        <f>IF(CUENTAS!W244/CUENTAS!$AB244&lt;&gt;0,CUENTAS!W244/CUENTAS!$AB244,"")</f>
        <v/>
      </c>
      <c r="AP255" s="459" t="str">
        <f>IF(CUENTAS!X244/CUENTAS!$AB244&lt;&gt;0,CUENTAS!X244/CUENTAS!$AB244,"")</f>
        <v/>
      </c>
      <c r="AQ255" s="459" t="str">
        <f>IF(CUENTAS!Y244/CUENTAS!$AB244&lt;&gt;0,CUENTAS!Y244/CUENTAS!$AB244,"")</f>
        <v/>
      </c>
      <c r="AR255" s="459">
        <f>IF(CUENTAS!AA244/CUENTAS!$AB244&lt;&gt;0,CUENTAS!AA244/CUENTAS!$AB244,"")</f>
        <v>0.06505398972</v>
      </c>
    </row>
    <row r="256">
      <c r="A256" s="474"/>
      <c r="B256" s="200"/>
      <c r="C256" s="200"/>
      <c r="F256" s="200"/>
      <c r="G256" s="200"/>
      <c r="J256" s="470">
        <v>45404.0</v>
      </c>
      <c r="K256" s="466">
        <f>SUMIF(GRAFICO!A:A,J256,GRAFICO!B:B)</f>
        <v>11016.52672</v>
      </c>
      <c r="L256" s="467">
        <f t="shared" si="2"/>
        <v>0.08674224164</v>
      </c>
      <c r="M256" s="468">
        <v>45769.0</v>
      </c>
      <c r="N256" s="469">
        <f>IF(SUMIF(GRAFICO!A:A,M256,GRAFICO!B:B)=0,"",SUMIF(GRAFICO!A:A,M256,GRAFICO!B:B))</f>
        <v>14679.37772</v>
      </c>
      <c r="O256" s="467">
        <f t="shared" si="3"/>
        <v>0.05337035748</v>
      </c>
      <c r="P256" s="465">
        <v>46134.0</v>
      </c>
      <c r="Q256" s="463" t="str">
        <f>IF(SUMIF(GRAFICO!A:A,P256,GRAFICO!B:B)=0,"",SUMIF(GRAFICO!A:A,P256,GRAFICO!B:B))</f>
        <v/>
      </c>
      <c r="R256" s="463" t="str">
        <f t="shared" si="4"/>
        <v/>
      </c>
      <c r="S256" s="471">
        <f>CUENTAS!A245</f>
        <v>45857</v>
      </c>
      <c r="T256" s="459">
        <f>IF(CUENTAS!Q245/CUENTAS!$AB245&lt;&gt;0,CUENTAS!Q245/CUENTAS!$AB245,"")</f>
        <v>0.1983337629</v>
      </c>
      <c r="U256" s="459" t="str">
        <f>IF(CUENTAS!C245/CUENTAS!$AB245&lt;&gt;0,CUENTAS!C245/CUENTAS!$AB245,"")</f>
        <v/>
      </c>
      <c r="V256" s="459">
        <f>IF(CUENTAS!D245/CUENTAS!$AB245&lt;&gt;0,CUENTAS!D245/CUENTAS!$AB245,"")</f>
        <v>0.0540433389</v>
      </c>
      <c r="W256" s="459" t="str">
        <f>IF(CUENTAS!E245/CUENTAS!$AB245&lt;&gt;0,CUENTAS!E245/CUENTAS!$AB245,"")</f>
        <v/>
      </c>
      <c r="X256" s="459">
        <f>IF(CUENTAS!F245/CUENTAS!$AB245&lt;&gt;0,CUENTAS!F245/CUENTAS!$AB245,"")</f>
        <v>0.1086792569</v>
      </c>
      <c r="Y256" s="459" t="str">
        <f>IF(CUENTAS!G245/CUENTAS!$AB245&lt;&gt;0,CUENTAS!G245/CUENTAS!$AB245,"")</f>
        <v/>
      </c>
      <c r="Z256" s="459">
        <f>IF(CUENTAS!H245/CUENTAS!$AB245&lt;&gt;0,CUENTAS!H245/CUENTAS!$AB245,"")</f>
        <v>0.1844364323</v>
      </c>
      <c r="AA256" s="459">
        <f>IF(CUENTAS!I245/CUENTAS!$AB245&lt;&gt;0,CUENTAS!I245/CUENTAS!$AB245,"")</f>
        <v>0.1015339486</v>
      </c>
      <c r="AB256" s="459">
        <f>IF(CUENTAS!J245/CUENTAS!$AB245&lt;&gt;0,CUENTAS!J245/CUENTAS!$AB245,"")</f>
        <v>0.2942881961</v>
      </c>
      <c r="AC256" s="459">
        <f>IF(CUENTAS!K245/CUENTAS!$AB245&lt;&gt;0,CUENTAS!K245/CUENTAS!$AB245,"")</f>
        <v>0.1845871307</v>
      </c>
      <c r="AD256" s="459" t="str">
        <f>IF(CUENTAS!L245/CUENTAS!$AB245&lt;&gt;0,CUENTAS!L245/CUENTAS!$AB245,"")</f>
        <v/>
      </c>
      <c r="AE256" s="459">
        <f>IF(CUENTAS!M245/CUENTAS!$AB245&lt;&gt;0,CUENTAS!M245/CUENTAS!$AB245,"")</f>
        <v>0.1706787734</v>
      </c>
      <c r="AF256" s="459">
        <f>IF(CUENTAS!N245/CUENTAS!$AB245&lt;&gt;0,CUENTAS!N245/CUENTAS!$AB245,"")</f>
        <v>0.1085028295</v>
      </c>
      <c r="AG256" s="459" t="str">
        <f>IF(CUENTAS!O245/CUENTAS!$AB245&lt;&gt;0,CUENTAS!O245/CUENTAS!$AB245,"")</f>
        <v/>
      </c>
      <c r="AH256" s="459" t="str">
        <f>IF(CUENTAS!P245/CUENTAS!$AB245&lt;&gt;0,CUENTAS!P245/CUENTAS!$AB245,"")</f>
        <v/>
      </c>
      <c r="AI256" s="459">
        <f>IF(CUENTAS!R245/CUENTAS!$AB245&lt;&gt;0,CUENTAS!R245/CUENTAS!$AB245,"")</f>
        <v>0.1021304936</v>
      </c>
      <c r="AJ256" s="459" t="str">
        <f>IF(CUENTAS!B245/CUENTAS!$AB245&lt;&gt;0,CUENTAS!B245/CUENTAS!$AB245,"")</f>
        <v/>
      </c>
      <c r="AK256" s="459">
        <f>IF(CUENTAS!S245/CUENTAS!$AB245&lt;&gt;0,CUENTAS!S245/CUENTAS!$AB245,"")</f>
        <v>0.1130810519</v>
      </c>
      <c r="AL256" s="459">
        <f>IF(CUENTAS!T245/CUENTAS!$AB245&lt;&gt;0,CUENTAS!T245/CUENTAS!$AB245,"")</f>
        <v>0.09292576341</v>
      </c>
      <c r="AM256" s="459">
        <f>IF(CUENTAS!U245/CUENTAS!$AB245&lt;&gt;0,CUENTAS!U245/CUENTAS!$AB245,"")</f>
        <v>0.1109513851</v>
      </c>
      <c r="AN256" s="459">
        <f>IF(CUENTAS!V245/CUENTAS!$AB245&lt;&gt;0,CUENTAS!V245/CUENTAS!$AB245,"")</f>
        <v>0.03729233429</v>
      </c>
      <c r="AO256" s="459" t="str">
        <f>IF(CUENTAS!W245/CUENTAS!$AB245&lt;&gt;0,CUENTAS!W245/CUENTAS!$AB245,"")</f>
        <v/>
      </c>
      <c r="AP256" s="459" t="str">
        <f>IF(CUENTAS!X245/CUENTAS!$AB245&lt;&gt;0,CUENTAS!X245/CUENTAS!$AB245,"")</f>
        <v/>
      </c>
      <c r="AQ256" s="459" t="str">
        <f>IF(CUENTAS!Y245/CUENTAS!$AB245&lt;&gt;0,CUENTAS!Y245/CUENTAS!$AB245,"")</f>
        <v/>
      </c>
      <c r="AR256" s="459">
        <f>IF(CUENTAS!AA245/CUENTAS!$AB245&lt;&gt;0,CUENTAS!AA245/CUENTAS!$AB245,"")</f>
        <v>0.06503369966</v>
      </c>
    </row>
    <row r="257">
      <c r="A257" s="474"/>
      <c r="B257" s="200"/>
      <c r="C257" s="200"/>
      <c r="F257" s="200"/>
      <c r="G257" s="200"/>
      <c r="J257" s="465">
        <v>45403.0</v>
      </c>
      <c r="K257" s="466">
        <f>SUMIF(GRAFICO!A:A,J257,GRAFICO!B:B)</f>
        <v>11008.57103</v>
      </c>
      <c r="L257" s="467">
        <f t="shared" si="2"/>
        <v>0.08601982133</v>
      </c>
      <c r="M257" s="468">
        <v>45768.0</v>
      </c>
      <c r="N257" s="469">
        <f>IF(SUMIF(GRAFICO!A:A,M257,GRAFICO!B:B)=0,"",SUMIF(GRAFICO!A:A,M257,GRAFICO!B:B))</f>
        <v>14231.70454</v>
      </c>
      <c r="O257" s="467">
        <f t="shared" si="3"/>
        <v>0.02239891498</v>
      </c>
      <c r="P257" s="468">
        <v>46133.0</v>
      </c>
      <c r="Q257" s="463" t="str">
        <f>IF(SUMIF(GRAFICO!A:A,P257,GRAFICO!B:B)=0,"",SUMIF(GRAFICO!A:A,P257,GRAFICO!B:B))</f>
        <v/>
      </c>
      <c r="R257" s="463" t="str">
        <f t="shared" si="4"/>
        <v/>
      </c>
      <c r="S257" s="471">
        <f>CUENTAS!A246</f>
        <v>45856</v>
      </c>
      <c r="T257" s="459">
        <f>IF(CUENTAS!Q246/CUENTAS!$AB246&lt;&gt;0,CUENTAS!Q246/CUENTAS!$AB246,"")</f>
        <v>0.198461523</v>
      </c>
      <c r="U257" s="459" t="str">
        <f>IF(CUENTAS!C246/CUENTAS!$AB246&lt;&gt;0,CUENTAS!C246/CUENTAS!$AB246,"")</f>
        <v/>
      </c>
      <c r="V257" s="459">
        <f>IF(CUENTAS!D246/CUENTAS!$AB246&lt;&gt;0,CUENTAS!D246/CUENTAS!$AB246,"")</f>
        <v>0.05395347601</v>
      </c>
      <c r="W257" s="459" t="str">
        <f>IF(CUENTAS!E246/CUENTAS!$AB246&lt;&gt;0,CUENTAS!E246/CUENTAS!$AB246,"")</f>
        <v/>
      </c>
      <c r="X257" s="459">
        <f>IF(CUENTAS!F246/CUENTAS!$AB246&lt;&gt;0,CUENTAS!F246/CUENTAS!$AB246,"")</f>
        <v>0.1069838544</v>
      </c>
      <c r="Y257" s="459" t="str">
        <f>IF(CUENTAS!G246/CUENTAS!$AB246&lt;&gt;0,CUENTAS!G246/CUENTAS!$AB246,"")</f>
        <v/>
      </c>
      <c r="Z257" s="459">
        <f>IF(CUENTAS!H246/CUENTAS!$AB246&lt;&gt;0,CUENTAS!H246/CUENTAS!$AB246,"")</f>
        <v>0.1845552403</v>
      </c>
      <c r="AA257" s="459">
        <f>IF(CUENTAS!I246/CUENTAS!$AB246&lt;&gt;0,CUENTAS!I246/CUENTAS!$AB246,"")</f>
        <v>0.1015993535</v>
      </c>
      <c r="AB257" s="459">
        <f>IF(CUENTAS!J246/CUENTAS!$AB246&lt;&gt;0,CUENTAS!J246/CUENTAS!$AB246,"")</f>
        <v>0.2944777669</v>
      </c>
      <c r="AC257" s="459">
        <f>IF(CUENTAS!K246/CUENTAS!$AB246&lt;&gt;0,CUENTAS!K246/CUENTAS!$AB246,"")</f>
        <v>0.1847060357</v>
      </c>
      <c r="AD257" s="459" t="str">
        <f>IF(CUENTAS!L246/CUENTAS!$AB246&lt;&gt;0,CUENTAS!L246/CUENTAS!$AB246,"")</f>
        <v/>
      </c>
      <c r="AE257" s="459">
        <f>IF(CUENTAS!M246/CUENTAS!$AB246&lt;&gt;0,CUENTAS!M246/CUENTAS!$AB246,"")</f>
        <v>0.1707887191</v>
      </c>
      <c r="AF257" s="459">
        <f>IF(CUENTAS!N246/CUENTAS!$AB246&lt;&gt;0,CUENTAS!N246/CUENTAS!$AB246,"")</f>
        <v>0.1085727235</v>
      </c>
      <c r="AG257" s="459" t="str">
        <f>IF(CUENTAS!O246/CUENTAS!$AB246&lt;&gt;0,CUENTAS!O246/CUENTAS!$AB246,"")</f>
        <v/>
      </c>
      <c r="AH257" s="459" t="str">
        <f>IF(CUENTAS!P246/CUENTAS!$AB246&lt;&gt;0,CUENTAS!P246/CUENTAS!$AB246,"")</f>
        <v/>
      </c>
      <c r="AI257" s="459">
        <f>IF(CUENTAS!R246/CUENTAS!$AB246&lt;&gt;0,CUENTAS!R246/CUENTAS!$AB246,"")</f>
        <v>0.1012767983</v>
      </c>
      <c r="AJ257" s="459" t="str">
        <f>IF(CUENTAS!B246/CUENTAS!$AB246&lt;&gt;0,CUENTAS!B246/CUENTAS!$AB246,"")</f>
        <v/>
      </c>
      <c r="AK257" s="459">
        <f>IF(CUENTAS!S246/CUENTAS!$AB246&lt;&gt;0,CUENTAS!S246/CUENTAS!$AB246,"")</f>
        <v>0.1276030695</v>
      </c>
      <c r="AL257" s="459">
        <f>IF(CUENTAS!T246/CUENTAS!$AB246&lt;&gt;0,CUENTAS!T246/CUENTAS!$AB246,"")</f>
        <v>0.09295252171</v>
      </c>
      <c r="AM257" s="459">
        <f>IF(CUENTAS!U246/CUENTAS!$AB246&lt;&gt;0,CUENTAS!U246/CUENTAS!$AB246,"")</f>
        <v>0.1107294038</v>
      </c>
      <c r="AN257" s="459">
        <f>IF(CUENTAS!V246/CUENTAS!$AB246&lt;&gt;0,CUENTAS!V246/CUENTAS!$AB246,"")</f>
        <v>0.0373163568</v>
      </c>
      <c r="AO257" s="459" t="str">
        <f>IF(CUENTAS!W246/CUENTAS!$AB246&lt;&gt;0,CUENTAS!W246/CUENTAS!$AB246,"")</f>
        <v/>
      </c>
      <c r="AP257" s="459" t="str">
        <f>IF(CUENTAS!X246/CUENTAS!$AB246&lt;&gt;0,CUENTAS!X246/CUENTAS!$AB246,"")</f>
        <v/>
      </c>
      <c r="AQ257" s="459" t="str">
        <f>IF(CUENTAS!Y246/CUENTAS!$AB246&lt;&gt;0,CUENTAS!Y246/CUENTAS!$AB246,"")</f>
        <v/>
      </c>
      <c r="AR257" s="459">
        <f>IF(CUENTAS!AA246/CUENTAS!$AB246&lt;&gt;0,CUENTAS!AA246/CUENTAS!$AB246,"")</f>
        <v>0.0503638411</v>
      </c>
    </row>
    <row r="258">
      <c r="A258" s="474"/>
      <c r="B258" s="200"/>
      <c r="C258" s="200"/>
      <c r="F258" s="200"/>
      <c r="G258" s="200"/>
      <c r="J258" s="465">
        <v>45402.0</v>
      </c>
      <c r="K258" s="466">
        <f>SUMIF(GRAFICO!A:A,J258,GRAFICO!B:B)</f>
        <v>11000.61719</v>
      </c>
      <c r="L258" s="467">
        <f t="shared" si="2"/>
        <v>0.08529704655</v>
      </c>
      <c r="M258" s="468">
        <v>45767.0</v>
      </c>
      <c r="N258" s="469">
        <f>IF(SUMIF(GRAFICO!A:A,M258,GRAFICO!B:B)=0,"",SUMIF(GRAFICO!A:A,M258,GRAFICO!B:B))</f>
        <v>14353.32821</v>
      </c>
      <c r="O258" s="467">
        <f t="shared" si="3"/>
        <v>0.03090857139</v>
      </c>
      <c r="P258" s="465">
        <v>46132.0</v>
      </c>
      <c r="Q258" s="463" t="str">
        <f>IF(SUMIF(GRAFICO!A:A,P258,GRAFICO!B:B)=0,"",SUMIF(GRAFICO!A:A,P258,GRAFICO!B:B))</f>
        <v/>
      </c>
      <c r="R258" s="463" t="str">
        <f t="shared" si="4"/>
        <v/>
      </c>
      <c r="S258" s="471">
        <f>CUENTAS!A247</f>
        <v>45855</v>
      </c>
      <c r="T258" s="459">
        <f>IF(CUENTAS!Q247/CUENTAS!$AB247&lt;&gt;0,CUENTAS!Q247/CUENTAS!$AB247,"")</f>
        <v>0.107445611</v>
      </c>
      <c r="U258" s="459" t="str">
        <f>IF(CUENTAS!C247/CUENTAS!$AB247&lt;&gt;0,CUENTAS!C247/CUENTAS!$AB247,"")</f>
        <v/>
      </c>
      <c r="V258" s="459">
        <f>IF(CUENTAS!D247/CUENTAS!$AB247&lt;&gt;0,CUENTAS!D247/CUENTAS!$AB247,"")</f>
        <v>0.05276327349</v>
      </c>
      <c r="W258" s="459" t="str">
        <f>IF(CUENTAS!E247/CUENTAS!$AB247&lt;&gt;0,CUENTAS!E247/CUENTAS!$AB247,"")</f>
        <v/>
      </c>
      <c r="X258" s="459">
        <f>IF(CUENTAS!F247/CUENTAS!$AB247&lt;&gt;0,CUENTAS!F247/CUENTAS!$AB247,"")</f>
        <v>0.103827859</v>
      </c>
      <c r="Y258" s="459" t="str">
        <f>IF(CUENTAS!G247/CUENTAS!$AB247&lt;&gt;0,CUENTAS!G247/CUENTAS!$AB247,"")</f>
        <v/>
      </c>
      <c r="Z258" s="459">
        <f>IF(CUENTAS!H247/CUENTAS!$AB247&lt;&gt;0,CUENTAS!H247/CUENTAS!$AB247,"")</f>
        <v>0.1930260843</v>
      </c>
      <c r="AA258" s="459">
        <f>IF(CUENTAS!I247/CUENTAS!$AB247&lt;&gt;0,CUENTAS!I247/CUENTAS!$AB247,"")</f>
        <v>0.01679992441</v>
      </c>
      <c r="AB258" s="459">
        <f>IF(CUENTAS!J247/CUENTAS!$AB247&lt;&gt;0,CUENTAS!J247/CUENTAS!$AB247,"")</f>
        <v>0.2919365406</v>
      </c>
      <c r="AC258" s="459">
        <f>IF(CUENTAS!K247/CUENTAS!$AB247&lt;&gt;0,CUENTAS!K247/CUENTAS!$AB247,"")</f>
        <v>0.1795897499</v>
      </c>
      <c r="AD258" s="459" t="str">
        <f>IF(CUENTAS!L247/CUENTAS!$AB247&lt;&gt;0,CUENTAS!L247/CUENTAS!$AB247,"")</f>
        <v/>
      </c>
      <c r="AE258" s="459">
        <f>IF(CUENTAS!M247/CUENTAS!$AB247&lt;&gt;0,CUENTAS!M247/CUENTAS!$AB247,"")</f>
        <v>0.1677829361</v>
      </c>
      <c r="AF258" s="459">
        <f>IF(CUENTAS!N247/CUENTAS!$AB247&lt;&gt;0,CUENTAS!N247/CUENTAS!$AB247,"")</f>
        <v>0.1064235555</v>
      </c>
      <c r="AG258" s="459" t="str">
        <f>IF(CUENTAS!O247/CUENTAS!$AB247&lt;&gt;0,CUENTAS!O247/CUENTAS!$AB247,"")</f>
        <v/>
      </c>
      <c r="AH258" s="459" t="str">
        <f>IF(CUENTAS!P247/CUENTAS!$AB247&lt;&gt;0,CUENTAS!P247/CUENTAS!$AB247,"")</f>
        <v/>
      </c>
      <c r="AI258" s="459">
        <f>IF(CUENTAS!R247/CUENTAS!$AB247&lt;&gt;0,CUENTAS!R247/CUENTAS!$AB247,"")</f>
        <v>0.06862841225</v>
      </c>
      <c r="AJ258" s="459" t="str">
        <f>IF(CUENTAS!B247/CUENTAS!$AB247&lt;&gt;0,CUENTAS!B247/CUENTAS!$AB247,"")</f>
        <v/>
      </c>
      <c r="AK258" s="459">
        <f>IF(CUENTAS!S247/CUENTAS!$AB247&lt;&gt;0,CUENTAS!S247/CUENTAS!$AB247,"")</f>
        <v>0.124810809</v>
      </c>
      <c r="AL258" s="459">
        <f>IF(CUENTAS!T247/CUENTAS!$AB247&lt;&gt;0,CUENTAS!T247/CUENTAS!$AB247,"")</f>
        <v>0.09109993347</v>
      </c>
      <c r="AM258" s="459">
        <f>IF(CUENTAS!U247/CUENTAS!$AB247&lt;&gt;0,CUENTAS!U247/CUENTAS!$AB247,"")</f>
        <v>0.1082499013</v>
      </c>
      <c r="AN258" s="459">
        <f>IF(CUENTAS!V247/CUENTAS!$AB247&lt;&gt;0,CUENTAS!V247/CUENTAS!$AB247,"")</f>
        <v>0.03657768951</v>
      </c>
      <c r="AO258" s="459" t="str">
        <f>IF(CUENTAS!W247/CUENTAS!$AB247&lt;&gt;0,CUENTAS!W247/CUENTAS!$AB247,"")</f>
        <v/>
      </c>
      <c r="AP258" s="459" t="str">
        <f>IF(CUENTAS!X247/CUENTAS!$AB247&lt;&gt;0,CUENTAS!X247/CUENTAS!$AB247,"")</f>
        <v/>
      </c>
      <c r="AQ258" s="459" t="str">
        <f>IF(CUENTAS!Y247/CUENTAS!$AB247&lt;&gt;0,CUENTAS!Y247/CUENTAS!$AB247,"")</f>
        <v/>
      </c>
      <c r="AR258" s="459">
        <f>IF(CUENTAS!AA247/CUENTAS!$AB247&lt;&gt;0,CUENTAS!AA247/CUENTAS!$AB247,"")</f>
        <v>0.2550735047</v>
      </c>
    </row>
    <row r="259">
      <c r="A259" s="474"/>
      <c r="B259" s="200"/>
      <c r="C259" s="200"/>
      <c r="F259" s="200"/>
      <c r="G259" s="200"/>
      <c r="J259" s="465">
        <v>45401.0</v>
      </c>
      <c r="K259" s="466">
        <f>SUMIF(GRAFICO!A:A,J259,GRAFICO!B:B)</f>
        <v>10992.66519</v>
      </c>
      <c r="L259" s="467">
        <f t="shared" si="2"/>
        <v>0.08457391676</v>
      </c>
      <c r="M259" s="468">
        <v>45766.0</v>
      </c>
      <c r="N259" s="469">
        <f>IF(SUMIF(GRAFICO!A:A,M259,GRAFICO!B:B)=0,"",SUMIF(GRAFICO!A:A,M259,GRAFICO!B:B))</f>
        <v>14350.67705</v>
      </c>
      <c r="O259" s="467">
        <f t="shared" si="3"/>
        <v>0.0307238477</v>
      </c>
      <c r="P259" s="468">
        <v>46131.0</v>
      </c>
      <c r="Q259" s="463" t="str">
        <f>IF(SUMIF(GRAFICO!A:A,P259,GRAFICO!B:B)=0,"",SUMIF(GRAFICO!A:A,P259,GRAFICO!B:B))</f>
        <v/>
      </c>
      <c r="R259" s="463" t="str">
        <f t="shared" si="4"/>
        <v/>
      </c>
      <c r="S259" s="471">
        <f>CUENTAS!A248</f>
        <v>45854</v>
      </c>
      <c r="T259" s="459">
        <f>IF(CUENTAS!Q248/CUENTAS!$AB248&lt;&gt;0,CUENTAS!Q248/CUENTAS!$AB248,"")</f>
        <v>0.132778478</v>
      </c>
      <c r="U259" s="459" t="str">
        <f>IF(CUENTAS!C248/CUENTAS!$AB248&lt;&gt;0,CUENTAS!C248/CUENTAS!$AB248,"")</f>
        <v/>
      </c>
      <c r="V259" s="459">
        <f>IF(CUENTAS!D248/CUENTAS!$AB248&lt;&gt;0,CUENTAS!D248/CUENTAS!$AB248,"")</f>
        <v>0.06487124845</v>
      </c>
      <c r="W259" s="459" t="str">
        <f>IF(CUENTAS!E248/CUENTAS!$AB248&lt;&gt;0,CUENTAS!E248/CUENTAS!$AB248,"")</f>
        <v/>
      </c>
      <c r="X259" s="459">
        <f>IF(CUENTAS!F248/CUENTAS!$AB248&lt;&gt;0,CUENTAS!F248/CUENTAS!$AB248,"")</f>
        <v>0.1279503514</v>
      </c>
      <c r="Y259" s="459" t="str">
        <f>IF(CUENTAS!G248/CUENTAS!$AB248&lt;&gt;0,CUENTAS!G248/CUENTAS!$AB248,"")</f>
        <v/>
      </c>
      <c r="Z259" s="459">
        <f>IF(CUENTAS!H248/CUENTAS!$AB248&lt;&gt;0,CUENTAS!H248/CUENTAS!$AB248,"")</f>
        <v>0.2325542064</v>
      </c>
      <c r="AA259" s="459">
        <f>IF(CUENTAS!I248/CUENTAS!$AB248&lt;&gt;0,CUENTAS!I248/CUENTAS!$AB248,"")</f>
        <v>0.0197523355</v>
      </c>
      <c r="AB259" s="459">
        <f>IF(CUENTAS!J248/CUENTAS!$AB248&lt;&gt;0,CUENTAS!J248/CUENTAS!$AB248,"")</f>
        <v>0.3579055663</v>
      </c>
      <c r="AC259" s="459">
        <f>IF(CUENTAS!K248/CUENTAS!$AB248&lt;&gt;0,CUENTAS!K248/CUENTAS!$AB248,"")</f>
        <v>0.2199146665</v>
      </c>
      <c r="AD259" s="459" t="str">
        <f>IF(CUENTAS!L248/CUENTAS!$AB248&lt;&gt;0,CUENTAS!L248/CUENTAS!$AB248,"")</f>
        <v/>
      </c>
      <c r="AE259" s="459">
        <f>IF(CUENTAS!M248/CUENTAS!$AB248&lt;&gt;0,CUENTAS!M248/CUENTAS!$AB248,"")</f>
        <v>0.2053780849</v>
      </c>
      <c r="AF259" s="459">
        <f>IF(CUENTAS!N248/CUENTAS!$AB248&lt;&gt;0,CUENTAS!N248/CUENTAS!$AB248,"")</f>
        <v>0.1311491102</v>
      </c>
      <c r="AG259" s="459" t="str">
        <f>IF(CUENTAS!O248/CUENTAS!$AB248&lt;&gt;0,CUENTAS!O248/CUENTAS!$AB248,"")</f>
        <v/>
      </c>
      <c r="AH259" s="459" t="str">
        <f>IF(CUENTAS!P248/CUENTAS!$AB248&lt;&gt;0,CUENTAS!P248/CUENTAS!$AB248,"")</f>
        <v/>
      </c>
      <c r="AI259" s="459">
        <f>IF(CUENTAS!R248/CUENTAS!$AB248&lt;&gt;0,CUENTAS!R248/CUENTAS!$AB248,"")</f>
        <v>0.08457296093</v>
      </c>
      <c r="AJ259" s="459" t="str">
        <f>IF(CUENTAS!B248/CUENTAS!$AB248&lt;&gt;0,CUENTAS!B248/CUENTAS!$AB248,"")</f>
        <v/>
      </c>
      <c r="AK259" s="459">
        <f>IF(CUENTAS!S248/CUENTAS!$AB248&lt;&gt;0,CUENTAS!S248/CUENTAS!$AB248,"")</f>
        <v>0.1534800206</v>
      </c>
      <c r="AL259" s="459">
        <f>IF(CUENTAS!T248/CUENTAS!$AB248&lt;&gt;0,CUENTAS!T248/CUENTAS!$AB248,"")</f>
        <v>0.112249777</v>
      </c>
      <c r="AM259" s="459">
        <f>IF(CUENTAS!U248/CUENTAS!$AB248&lt;&gt;0,CUENTAS!U248/CUENTAS!$AB248,"")</f>
        <v>0.1330453014</v>
      </c>
      <c r="AN259" s="459">
        <f>IF(CUENTAS!V248/CUENTAS!$AB248&lt;&gt;0,CUENTAS!V248/CUENTAS!$AB248,"")</f>
        <v>0.04507584255</v>
      </c>
      <c r="AO259" s="459" t="str">
        <f>IF(CUENTAS!W248/CUENTAS!$AB248&lt;&gt;0,CUENTAS!W248/CUENTAS!$AB248,"")</f>
        <v/>
      </c>
      <c r="AP259" s="459" t="str">
        <f>IF(CUENTAS!X248/CUENTAS!$AB248&lt;&gt;0,CUENTAS!X248/CUENTAS!$AB248,"")</f>
        <v/>
      </c>
      <c r="AQ259" s="459" t="str">
        <f>IF(CUENTAS!Y248/CUENTAS!$AB248&lt;&gt;0,CUENTAS!Y248/CUENTAS!$AB248,"")</f>
        <v/>
      </c>
      <c r="AR259" s="459">
        <f>IF(CUENTAS!AA248/CUENTAS!$AB248&lt;&gt;0,CUENTAS!AA248/CUENTAS!$AB248,"")</f>
        <v>0.09219911286</v>
      </c>
    </row>
    <row r="260">
      <c r="A260" s="474"/>
      <c r="B260" s="200"/>
      <c r="C260" s="200"/>
      <c r="F260" s="200"/>
      <c r="G260" s="200"/>
      <c r="J260" s="470">
        <v>45400.0</v>
      </c>
      <c r="K260" s="466">
        <f>SUMIF(GRAFICO!A:A,J260,GRAFICO!B:B)</f>
        <v>11013.63405</v>
      </c>
      <c r="L260" s="467">
        <f t="shared" si="2"/>
        <v>0.08647963224</v>
      </c>
      <c r="M260" s="468">
        <v>45765.0</v>
      </c>
      <c r="N260" s="469">
        <f>IF(SUMIF(GRAFICO!A:A,M260,GRAFICO!B:B)=0,"",SUMIF(GRAFICO!A:A,M260,GRAFICO!B:B))</f>
        <v>14348.0259</v>
      </c>
      <c r="O260" s="467">
        <f t="shared" si="3"/>
        <v>0.03053908989</v>
      </c>
      <c r="P260" s="465">
        <v>46130.0</v>
      </c>
      <c r="Q260" s="463" t="str">
        <f>IF(SUMIF(GRAFICO!A:A,P260,GRAFICO!B:B)=0,"",SUMIF(GRAFICO!A:A,P260,GRAFICO!B:B))</f>
        <v/>
      </c>
      <c r="R260" s="463" t="str">
        <f t="shared" si="4"/>
        <v/>
      </c>
      <c r="S260" s="471">
        <f>CUENTAS!A249</f>
        <v>45853</v>
      </c>
      <c r="T260" s="459">
        <f>IF(CUENTAS!Q249/CUENTAS!$AB249&lt;&gt;0,CUENTAS!Q249/CUENTAS!$AB249,"")</f>
        <v>0.1334669856</v>
      </c>
      <c r="U260" s="459" t="str">
        <f>IF(CUENTAS!C249/CUENTAS!$AB249&lt;&gt;0,CUENTAS!C249/CUENTAS!$AB249,"")</f>
        <v/>
      </c>
      <c r="V260" s="459">
        <f>IF(CUENTAS!D249/CUENTAS!$AB249&lt;&gt;0,CUENTAS!D249/CUENTAS!$AB249,"")</f>
        <v>0.06505624933</v>
      </c>
      <c r="W260" s="459" t="str">
        <f>IF(CUENTAS!E249/CUENTAS!$AB249&lt;&gt;0,CUENTAS!E249/CUENTAS!$AB249,"")</f>
        <v/>
      </c>
      <c r="X260" s="459">
        <f>IF(CUENTAS!F249/CUENTAS!$AB249&lt;&gt;0,CUENTAS!F249/CUENTAS!$AB249,"")</f>
        <v>0.1286138234</v>
      </c>
      <c r="Y260" s="459" t="str">
        <f>IF(CUENTAS!G249/CUENTAS!$AB249&lt;&gt;0,CUENTAS!G249/CUENTAS!$AB249,"")</f>
        <v/>
      </c>
      <c r="Z260" s="459">
        <f>IF(CUENTAS!H249/CUENTAS!$AB249&lt;&gt;0,CUENTAS!H249/CUENTAS!$AB249,"")</f>
        <v>0.2307055115</v>
      </c>
      <c r="AA260" s="459">
        <f>IF(CUENTAS!I249/CUENTAS!$AB249&lt;&gt;0,CUENTAS!I249/CUENTAS!$AB249,"")</f>
        <v>0.02009590991</v>
      </c>
      <c r="AB260" s="459">
        <f>IF(CUENTAS!J249/CUENTAS!$AB249&lt;&gt;0,CUENTAS!J249/CUENTAS!$AB249,"")</f>
        <v>0.355518975</v>
      </c>
      <c r="AC260" s="459">
        <f>IF(CUENTAS!K249/CUENTAS!$AB249&lt;&gt;0,CUENTAS!K249/CUENTAS!$AB249,"")</f>
        <v>0.1080713377</v>
      </c>
      <c r="AD260" s="459" t="str">
        <f>IF(CUENTAS!L249/CUENTAS!$AB249&lt;&gt;0,CUENTAS!L249/CUENTAS!$AB249,"")</f>
        <v/>
      </c>
      <c r="AE260" s="459">
        <f>IF(CUENTAS!M249/CUENTAS!$AB249&lt;&gt;0,CUENTAS!M249/CUENTAS!$AB249,"")</f>
        <v>0.2080685854</v>
      </c>
      <c r="AF260" s="459">
        <f>IF(CUENTAS!N249/CUENTAS!$AB249&lt;&gt;0,CUENTAS!N249/CUENTAS!$AB249,"")</f>
        <v>0.131829169</v>
      </c>
      <c r="AG260" s="459" t="str">
        <f>IF(CUENTAS!O249/CUENTAS!$AB249&lt;&gt;0,CUENTAS!O249/CUENTAS!$AB249,"")</f>
        <v/>
      </c>
      <c r="AH260" s="459" t="str">
        <f>IF(CUENTAS!P249/CUENTAS!$AB249&lt;&gt;0,CUENTAS!P249/CUENTAS!$AB249,"")</f>
        <v/>
      </c>
      <c r="AI260" s="459">
        <f>IF(CUENTAS!R249/CUENTAS!$AB249&lt;&gt;0,CUENTAS!R249/CUENTAS!$AB249,"")</f>
        <v>0.08501150439</v>
      </c>
      <c r="AJ260" s="459" t="str">
        <f>IF(CUENTAS!B249/CUENTAS!$AB249&lt;&gt;0,CUENTAS!B249/CUENTAS!$AB249,"")</f>
        <v/>
      </c>
      <c r="AK260" s="459">
        <f>IF(CUENTAS!S249/CUENTAS!$AB249&lt;&gt;0,CUENTAS!S249/CUENTAS!$AB249,"")</f>
        <v>0.1539458883</v>
      </c>
      <c r="AL260" s="459">
        <f>IF(CUENTAS!T249/CUENTAS!$AB249&lt;&gt;0,CUENTAS!T249/CUENTAS!$AB249,"")</f>
        <v>0.1128162053</v>
      </c>
      <c r="AM260" s="459">
        <f>IF(CUENTAS!U249/CUENTAS!$AB249&lt;&gt;0,CUENTAS!U249/CUENTAS!$AB249,"")</f>
        <v>0.1333788822</v>
      </c>
      <c r="AN260" s="459">
        <f>IF(CUENTAS!V249/CUENTAS!$AB249&lt;&gt;0,CUENTAS!V249/CUENTAS!$AB249,"")</f>
        <v>0.0453095782</v>
      </c>
      <c r="AO260" s="459" t="str">
        <f>IF(CUENTAS!W249/CUENTAS!$AB249&lt;&gt;0,CUENTAS!W249/CUENTAS!$AB249,"")</f>
        <v/>
      </c>
      <c r="AP260" s="459" t="str">
        <f>IF(CUENTAS!X249/CUENTAS!$AB249&lt;&gt;0,CUENTAS!X249/CUENTAS!$AB249,"")</f>
        <v/>
      </c>
      <c r="AQ260" s="459" t="str">
        <f>IF(CUENTAS!Y249/CUENTAS!$AB249&lt;&gt;0,CUENTAS!Y249/CUENTAS!$AB249,"")</f>
        <v/>
      </c>
      <c r="AR260" s="459">
        <f>IF(CUENTAS!AA249/CUENTAS!$AB249&lt;&gt;0,CUENTAS!AA249/CUENTAS!$AB249,"")</f>
        <v>0.2055581597</v>
      </c>
    </row>
    <row r="261">
      <c r="A261" s="474"/>
      <c r="B261" s="200"/>
      <c r="C261" s="200"/>
      <c r="F261" s="200"/>
      <c r="G261" s="200"/>
      <c r="J261" s="465">
        <v>45399.0</v>
      </c>
      <c r="K261" s="466">
        <f>SUMIF(GRAFICO!A:A,J261,GRAFICO!B:B)</f>
        <v>11079.85801</v>
      </c>
      <c r="L261" s="467">
        <f t="shared" si="2"/>
        <v>0.09247453341</v>
      </c>
      <c r="M261" s="468">
        <v>45764.0</v>
      </c>
      <c r="N261" s="469">
        <f>IF(SUMIF(GRAFICO!A:A,M261,GRAFICO!B:B)=0,"",SUMIF(GRAFICO!A:A,M261,GRAFICO!B:B))</f>
        <v>14345.37475</v>
      </c>
      <c r="O261" s="467">
        <f t="shared" si="3"/>
        <v>0.03035429794</v>
      </c>
      <c r="P261" s="468">
        <v>46129.0</v>
      </c>
      <c r="Q261" s="463" t="str">
        <f>IF(SUMIF(GRAFICO!A:A,P261,GRAFICO!B:B)=0,"",SUMIF(GRAFICO!A:A,P261,GRAFICO!B:B))</f>
        <v/>
      </c>
      <c r="R261" s="463" t="str">
        <f t="shared" si="4"/>
        <v/>
      </c>
      <c r="S261" s="471">
        <f>CUENTAS!A250</f>
        <v>45852</v>
      </c>
      <c r="T261" s="459">
        <f>IF(CUENTAS!Q250/CUENTAS!$AB250&lt;&gt;0,CUENTAS!Q250/CUENTAS!$AB250,"")</f>
        <v>0.1356201467</v>
      </c>
      <c r="U261" s="459" t="str">
        <f>IF(CUENTAS!C250/CUENTAS!$AB250&lt;&gt;0,CUENTAS!C250/CUENTAS!$AB250,"")</f>
        <v/>
      </c>
      <c r="V261" s="459">
        <f>IF(CUENTAS!D250/CUENTAS!$AB250&lt;&gt;0,CUENTAS!D250/CUENTAS!$AB250,"")</f>
        <v>0.06595194791</v>
      </c>
      <c r="W261" s="459" t="str">
        <f>IF(CUENTAS!E250/CUENTAS!$AB250&lt;&gt;0,CUENTAS!E250/CUENTAS!$AB250,"")</f>
        <v/>
      </c>
      <c r="X261" s="459">
        <f>IF(CUENTAS!F250/CUENTAS!$AB250&lt;&gt;0,CUENTAS!F250/CUENTAS!$AB250,"")</f>
        <v>0.1306886907</v>
      </c>
      <c r="Y261" s="459" t="str">
        <f>IF(CUENTAS!G250/CUENTAS!$AB250&lt;&gt;0,CUENTAS!G250/CUENTAS!$AB250,"")</f>
        <v/>
      </c>
      <c r="Z261" s="459">
        <f>IF(CUENTAS!H250/CUENTAS!$AB250&lt;&gt;0,CUENTAS!H250/CUENTAS!$AB250,"")</f>
        <v>0.2274436998</v>
      </c>
      <c r="AA261" s="459">
        <f>IF(CUENTAS!I250/CUENTAS!$AB250&lt;&gt;0,CUENTAS!I250/CUENTAS!$AB250,"")</f>
        <v>0.02032935188</v>
      </c>
      <c r="AB261" s="459">
        <f>IF(CUENTAS!J250/CUENTAS!$AB250&lt;&gt;0,CUENTAS!J250/CUENTAS!$AB250,"")</f>
        <v>0.353494757</v>
      </c>
      <c r="AC261" s="459">
        <f>IF(CUENTAS!K250/CUENTAS!$AB250&lt;&gt;0,CUENTAS!K250/CUENTAS!$AB250,"")</f>
        <v>0.1098148026</v>
      </c>
      <c r="AD261" s="459" t="str">
        <f>IF(CUENTAS!L250/CUENTAS!$AB250&lt;&gt;0,CUENTAS!L250/CUENTAS!$AB250,"")</f>
        <v/>
      </c>
      <c r="AE261" s="459">
        <f>IF(CUENTAS!M250/CUENTAS!$AB250&lt;&gt;0,CUENTAS!M250/CUENTAS!$AB250,"")</f>
        <v>0.2097734997</v>
      </c>
      <c r="AF261" s="459">
        <f>IF(CUENTAS!N250/CUENTAS!$AB250&lt;&gt;0,CUENTAS!N250/CUENTAS!$AB250,"")</f>
        <v>0.1339559079</v>
      </c>
      <c r="AG261" s="459" t="str">
        <f>IF(CUENTAS!O250/CUENTAS!$AB250&lt;&gt;0,CUENTAS!O250/CUENTAS!$AB250,"")</f>
        <v/>
      </c>
      <c r="AH261" s="459" t="str">
        <f>IF(CUENTAS!P250/CUENTAS!$AB250&lt;&gt;0,CUENTAS!P250/CUENTAS!$AB250,"")</f>
        <v/>
      </c>
      <c r="AI261" s="459">
        <f>IF(CUENTAS!R250/CUENTAS!$AB250&lt;&gt;0,CUENTAS!R250/CUENTAS!$AB250,"")</f>
        <v>0.08638295563</v>
      </c>
      <c r="AJ261" s="459" t="str">
        <f>IF(CUENTAS!B250/CUENTAS!$AB250&lt;&gt;0,CUENTAS!B250/CUENTAS!$AB250,"")</f>
        <v/>
      </c>
      <c r="AK261" s="459">
        <f>IF(CUENTAS!S250/CUENTAS!$AB250&lt;&gt;0,CUENTAS!S250/CUENTAS!$AB250,"")</f>
        <v>0.1560941172</v>
      </c>
      <c r="AL261" s="459">
        <f>IF(CUENTAS!T250/CUENTAS!$AB250&lt;&gt;0,CUENTAS!T250/CUENTAS!$AB250,"")</f>
        <v>0.1146203346</v>
      </c>
      <c r="AM261" s="459">
        <f>IF(CUENTAS!U250/CUENTAS!$AB250&lt;&gt;0,CUENTAS!U250/CUENTAS!$AB250,"")</f>
        <v>0.1351685633</v>
      </c>
      <c r="AN261" s="459">
        <f>IF(CUENTAS!V250/CUENTAS!$AB250&lt;&gt;0,CUENTAS!V250/CUENTAS!$AB250,"")</f>
        <v>0.04604053665</v>
      </c>
      <c r="AO261" s="459" t="str">
        <f>IF(CUENTAS!W250/CUENTAS!$AB250&lt;&gt;0,CUENTAS!W250/CUENTAS!$AB250,"")</f>
        <v/>
      </c>
      <c r="AP261" s="459" t="str">
        <f>IF(CUENTAS!X250/CUENTAS!$AB250&lt;&gt;0,CUENTAS!X250/CUENTAS!$AB250,"")</f>
        <v/>
      </c>
      <c r="AQ261" s="459" t="str">
        <f>IF(CUENTAS!Y250/CUENTAS!$AB250&lt;&gt;0,CUENTAS!Y250/CUENTAS!$AB250,"")</f>
        <v/>
      </c>
      <c r="AR261" s="459">
        <f>IF(CUENTAS!AA250/CUENTAS!$AB250&lt;&gt;0,CUENTAS!AA250/CUENTAS!$AB250,"")</f>
        <v>0.2088743343</v>
      </c>
    </row>
    <row r="262">
      <c r="A262" s="474"/>
      <c r="B262" s="200"/>
      <c r="C262" s="200"/>
      <c r="F262" s="200"/>
      <c r="G262" s="200"/>
      <c r="J262" s="470">
        <v>45398.0</v>
      </c>
      <c r="K262" s="466">
        <f>SUMIF(GRAFICO!A:A,J262,GRAFICO!B:B)</f>
        <v>11100.43932</v>
      </c>
      <c r="L262" s="467">
        <f t="shared" si="2"/>
        <v>0.09433035382</v>
      </c>
      <c r="M262" s="468">
        <v>45763.0</v>
      </c>
      <c r="N262" s="469">
        <f>IF(SUMIF(GRAFICO!A:A,M262,GRAFICO!B:B)=0,"",SUMIF(GRAFICO!A:A,M262,GRAFICO!B:B))</f>
        <v>14342.72359</v>
      </c>
      <c r="O262" s="467">
        <f t="shared" si="3"/>
        <v>0.03016947183</v>
      </c>
      <c r="P262" s="465">
        <v>46128.0</v>
      </c>
      <c r="Q262" s="463" t="str">
        <f>IF(SUMIF(GRAFICO!A:A,P262,GRAFICO!B:B)=0,"",SUMIF(GRAFICO!A:A,P262,GRAFICO!B:B))</f>
        <v/>
      </c>
      <c r="R262" s="463" t="str">
        <f t="shared" si="4"/>
        <v/>
      </c>
      <c r="S262" s="471">
        <f>CUENTAS!A251</f>
        <v>45851</v>
      </c>
      <c r="T262" s="459">
        <f>IF(CUENTAS!Q251/CUENTAS!$AB251&lt;&gt;0,CUENTAS!Q251/CUENTAS!$AB251,"")</f>
        <v>0.1713774735</v>
      </c>
      <c r="U262" s="459" t="str">
        <f>IF(CUENTAS!C251/CUENTAS!$AB251&lt;&gt;0,CUENTAS!C251/CUENTAS!$AB251,"")</f>
        <v/>
      </c>
      <c r="V262" s="459">
        <f>IF(CUENTAS!D251/CUENTAS!$AB251&lt;&gt;0,CUENTAS!D251/CUENTAS!$AB251,"")</f>
        <v>0.08291535915</v>
      </c>
      <c r="W262" s="459" t="str">
        <f>IF(CUENTAS!E251/CUENTAS!$AB251&lt;&gt;0,CUENTAS!E251/CUENTAS!$AB251,"")</f>
        <v/>
      </c>
      <c r="X262" s="459">
        <f>IF(CUENTAS!F251/CUENTAS!$AB251&lt;&gt;0,CUENTAS!F251/CUENTAS!$AB251,"")</f>
        <v>0.1646870616</v>
      </c>
      <c r="Y262" s="459" t="str">
        <f>IF(CUENTAS!G251/CUENTAS!$AB251&lt;&gt;0,CUENTAS!G251/CUENTAS!$AB251,"")</f>
        <v/>
      </c>
      <c r="Z262" s="459">
        <f>IF(CUENTAS!H251/CUENTAS!$AB251&lt;&gt;0,CUENTAS!H251/CUENTAS!$AB251,"")</f>
        <v>0.2797678642</v>
      </c>
      <c r="AA262" s="459">
        <f>IF(CUENTAS!I251/CUENTAS!$AB251&lt;&gt;0,CUENTAS!I251/CUENTAS!$AB251,"")</f>
        <v>0.02543500173</v>
      </c>
      <c r="AB262" s="459">
        <f>IF(CUENTAS!J251/CUENTAS!$AB251&lt;&gt;0,CUENTAS!J251/CUENTAS!$AB251,"")</f>
        <v>0.4495842415</v>
      </c>
      <c r="AC262" s="459">
        <f>IF(CUENTAS!K251/CUENTAS!$AB251&lt;&gt;0,CUENTAS!K251/CUENTAS!$AB251,"")</f>
        <v>0.1392634964</v>
      </c>
      <c r="AD262" s="459" t="str">
        <f>IF(CUENTAS!L251/CUENTAS!$AB251&lt;&gt;0,CUENTAS!L251/CUENTAS!$AB251,"")</f>
        <v/>
      </c>
      <c r="AE262" s="459">
        <f>IF(CUENTAS!M251/CUENTAS!$AB251&lt;&gt;0,CUENTAS!M251/CUENTAS!$AB251,"")</f>
        <v>0.2640482554</v>
      </c>
      <c r="AF262" s="459">
        <f>IF(CUENTAS!N251/CUENTAS!$AB251&lt;&gt;0,CUENTAS!N251/CUENTAS!$AB251,"")</f>
        <v>0.1688042381</v>
      </c>
      <c r="AG262" s="459" t="str">
        <f>IF(CUENTAS!O251/CUENTAS!$AB251&lt;&gt;0,CUENTAS!O251/CUENTAS!$AB251,"")</f>
        <v/>
      </c>
      <c r="AH262" s="459" t="str">
        <f>IF(CUENTAS!P251/CUENTAS!$AB251&lt;&gt;0,CUENTAS!P251/CUENTAS!$AB251,"")</f>
        <v/>
      </c>
      <c r="AI262" s="459">
        <f>IF(CUENTAS!R251/CUENTAS!$AB251&lt;&gt;0,CUENTAS!R251/CUENTAS!$AB251,"")</f>
        <v>0.1074257134</v>
      </c>
      <c r="AJ262" s="459" t="str">
        <f>IF(CUENTAS!B251/CUENTAS!$AB251&lt;&gt;0,CUENTAS!B251/CUENTAS!$AB251,"")</f>
        <v/>
      </c>
      <c r="AK262" s="459">
        <f>IF(CUENTAS!S251/CUENTAS!$AB251&lt;&gt;0,CUENTAS!S251/CUENTAS!$AB251,"")</f>
        <v>0.1962791143</v>
      </c>
      <c r="AL262" s="459">
        <f>IF(CUENTAS!T251/CUENTAS!$AB251&lt;&gt;0,CUENTAS!T251/CUENTAS!$AB251,"")</f>
        <v>0.1444185446</v>
      </c>
      <c r="AM262" s="459">
        <f>IF(CUENTAS!U251/CUENTAS!$AB251&lt;&gt;0,CUENTAS!U251/CUENTAS!$AB251,"")</f>
        <v>0.1698761157</v>
      </c>
      <c r="AN262" s="459">
        <f>IF(CUENTAS!V251/CUENTAS!$AB251&lt;&gt;0,CUENTAS!V251/CUENTAS!$AB251,"")</f>
        <v>0.0580178794</v>
      </c>
      <c r="AO262" s="459" t="str">
        <f>IF(CUENTAS!W251/CUENTAS!$AB251&lt;&gt;0,CUENTAS!W251/CUENTAS!$AB251,"")</f>
        <v/>
      </c>
      <c r="AP262" s="459" t="str">
        <f>IF(CUENTAS!X251/CUENTAS!$AB251&lt;&gt;0,CUENTAS!X251/CUENTAS!$AB251,"")</f>
        <v/>
      </c>
      <c r="AQ262" s="459" t="str">
        <f>IF(CUENTAS!Y251/CUENTAS!$AB251&lt;&gt;0,CUENTAS!Y251/CUENTAS!$AB251,"")</f>
        <v/>
      </c>
      <c r="AR262" s="459">
        <f>IF(CUENTAS!AA251/CUENTAS!$AB251&lt;&gt;0,CUENTAS!AA251/CUENTAS!$AB251,"")</f>
        <v>0.005888992026</v>
      </c>
    </row>
    <row r="263">
      <c r="A263" s="474"/>
      <c r="B263" s="200"/>
      <c r="C263" s="200"/>
      <c r="F263" s="200"/>
      <c r="G263" s="200"/>
      <c r="J263" s="470">
        <v>45397.0</v>
      </c>
      <c r="K263" s="466">
        <f>SUMIF(GRAFICO!A:A,J263,GRAFICO!B:B)</f>
        <v>11095.34746</v>
      </c>
      <c r="L263" s="467">
        <f t="shared" si="2"/>
        <v>0.09387154054</v>
      </c>
      <c r="M263" s="468">
        <v>45762.0</v>
      </c>
      <c r="N263" s="469">
        <f>IF(SUMIF(GRAFICO!A:A,M263,GRAFICO!B:B)=0,"",SUMIF(GRAFICO!A:A,M263,GRAFICO!B:B))</f>
        <v>14449.95619</v>
      </c>
      <c r="O263" s="467">
        <f t="shared" si="3"/>
        <v>0.03761810778</v>
      </c>
      <c r="P263" s="468">
        <v>46127.0</v>
      </c>
      <c r="Q263" s="463" t="str">
        <f>IF(SUMIF(GRAFICO!A:A,P263,GRAFICO!B:B)=0,"",SUMIF(GRAFICO!A:A,P263,GRAFICO!B:B))</f>
        <v/>
      </c>
      <c r="R263" s="463" t="str">
        <f t="shared" si="4"/>
        <v/>
      </c>
      <c r="S263" s="471">
        <f>CUENTAS!A252</f>
        <v>45850</v>
      </c>
      <c r="T263" s="459">
        <f>IF(CUENTAS!Q252/CUENTAS!$AB252&lt;&gt;0,CUENTAS!Q252/CUENTAS!$AB252,"")</f>
        <v>0.1715463383</v>
      </c>
      <c r="U263" s="459" t="str">
        <f>IF(CUENTAS!C252/CUENTAS!$AB252&lt;&gt;0,CUENTAS!C252/CUENTAS!$AB252,"")</f>
        <v/>
      </c>
      <c r="V263" s="459">
        <f>IF(CUENTAS!D252/CUENTAS!$AB252&lt;&gt;0,CUENTAS!D252/CUENTAS!$AB252,"")</f>
        <v>0.08280302721</v>
      </c>
      <c r="W263" s="459" t="str">
        <f>IF(CUENTAS!E252/CUENTAS!$AB252&lt;&gt;0,CUENTAS!E252/CUENTAS!$AB252,"")</f>
        <v/>
      </c>
      <c r="X263" s="459">
        <f>IF(CUENTAS!F252/CUENTAS!$AB252&lt;&gt;0,CUENTAS!F252/CUENTAS!$AB252,"")</f>
        <v>0.1648493341</v>
      </c>
      <c r="Y263" s="459" t="str">
        <f>IF(CUENTAS!G252/CUENTAS!$AB252&lt;&gt;0,CUENTAS!G252/CUENTAS!$AB252,"")</f>
        <v/>
      </c>
      <c r="Z263" s="459">
        <f>IF(CUENTAS!H252/CUENTAS!$AB252&lt;&gt;0,CUENTAS!H252/CUENTAS!$AB252,"")</f>
        <v>0.2800435303</v>
      </c>
      <c r="AA263" s="459">
        <f>IF(CUENTAS!I252/CUENTAS!$AB252&lt;&gt;0,CUENTAS!I252/CUENTAS!$AB252,"")</f>
        <v>0.02546006383</v>
      </c>
      <c r="AB263" s="459">
        <f>IF(CUENTAS!J252/CUENTAS!$AB252&lt;&gt;0,CUENTAS!J252/CUENTAS!$AB252,"")</f>
        <v>0.4500272344</v>
      </c>
      <c r="AC263" s="459">
        <f>IF(CUENTAS!K252/CUENTAS!$AB252&lt;&gt;0,CUENTAS!K252/CUENTAS!$AB252,"")</f>
        <v>0.1394007182</v>
      </c>
      <c r="AD263" s="459" t="str">
        <f>IF(CUENTAS!L252/CUENTAS!$AB252&lt;&gt;0,CUENTAS!L252/CUENTAS!$AB252,"")</f>
        <v/>
      </c>
      <c r="AE263" s="459">
        <f>IF(CUENTAS!M252/CUENTAS!$AB252&lt;&gt;0,CUENTAS!M252/CUENTAS!$AB252,"")</f>
        <v>0.2643084324</v>
      </c>
      <c r="AF263" s="459">
        <f>IF(CUENTAS!N252/CUENTAS!$AB252&lt;&gt;0,CUENTAS!N252/CUENTAS!$AB252,"")</f>
        <v>0.1689705675</v>
      </c>
      <c r="AG263" s="459" t="str">
        <f>IF(CUENTAS!O252/CUENTAS!$AB252&lt;&gt;0,CUENTAS!O252/CUENTAS!$AB252,"")</f>
        <v/>
      </c>
      <c r="AH263" s="459" t="str">
        <f>IF(CUENTAS!P252/CUENTAS!$AB252&lt;&gt;0,CUENTAS!P252/CUENTAS!$AB252,"")</f>
        <v/>
      </c>
      <c r="AI263" s="459">
        <f>IF(CUENTAS!R252/CUENTAS!$AB252&lt;&gt;0,CUENTAS!R252/CUENTAS!$AB252,"")</f>
        <v>0.1061005803</v>
      </c>
      <c r="AJ263" s="459" t="str">
        <f>IF(CUENTAS!B252/CUENTAS!$AB252&lt;&gt;0,CUENTAS!B252/CUENTAS!$AB252,"")</f>
        <v/>
      </c>
      <c r="AK263" s="459">
        <f>IF(CUENTAS!S252/CUENTAS!$AB252&lt;&gt;0,CUENTAS!S252/CUENTAS!$AB252,"")</f>
        <v>0.1960495606</v>
      </c>
      <c r="AL263" s="459">
        <f>IF(CUENTAS!T252/CUENTAS!$AB252&lt;&gt;0,CUENTAS!T252/CUENTAS!$AB252,"")</f>
        <v>0.144540812</v>
      </c>
      <c r="AM263" s="459">
        <f>IF(CUENTAS!U252/CUENTAS!$AB252&lt;&gt;0,CUENTAS!U252/CUENTAS!$AB252,"")</f>
        <v>0.1695868042</v>
      </c>
      <c r="AN263" s="459">
        <f>IF(CUENTAS!V252/CUENTAS!$AB252&lt;&gt;0,CUENTAS!V252/CUENTAS!$AB252,"")</f>
        <v>0.05807504668</v>
      </c>
      <c r="AO263" s="459" t="str">
        <f>IF(CUENTAS!W252/CUENTAS!$AB252&lt;&gt;0,CUENTAS!W252/CUENTAS!$AB252,"")</f>
        <v/>
      </c>
      <c r="AP263" s="459" t="str">
        <f>IF(CUENTAS!X252/CUENTAS!$AB252&lt;&gt;0,CUENTAS!X252/CUENTAS!$AB252,"")</f>
        <v/>
      </c>
      <c r="AQ263" s="459" t="str">
        <f>IF(CUENTAS!Y252/CUENTAS!$AB252&lt;&gt;0,CUENTAS!Y252/CUENTAS!$AB252,"")</f>
        <v/>
      </c>
      <c r="AR263" s="459">
        <f>IF(CUENTAS!AA252/CUENTAS!$AB252&lt;&gt;0,CUENTAS!AA252/CUENTAS!$AB252,"")</f>
        <v>0.00589479468</v>
      </c>
    </row>
    <row r="264">
      <c r="A264" s="474"/>
      <c r="B264" s="200"/>
      <c r="C264" s="200"/>
      <c r="F264" s="200"/>
      <c r="G264" s="200"/>
      <c r="J264" s="470">
        <v>45396.0</v>
      </c>
      <c r="K264" s="466">
        <f>SUMIF(GRAFICO!A:A,J264,GRAFICO!B:B)</f>
        <v>10954.25437</v>
      </c>
      <c r="L264" s="467">
        <f t="shared" si="2"/>
        <v>0.08107357525</v>
      </c>
      <c r="M264" s="468">
        <v>45761.0</v>
      </c>
      <c r="N264" s="469">
        <f>IF(SUMIF(GRAFICO!A:A,M264,GRAFICO!B:B)=0,"",SUMIF(GRAFICO!A:A,M264,GRAFICO!B:B))</f>
        <v>14214.94587</v>
      </c>
      <c r="O264" s="467">
        <f t="shared" si="3"/>
        <v>0.02122066193</v>
      </c>
      <c r="P264" s="465">
        <v>46126.0</v>
      </c>
      <c r="Q264" s="463" t="str">
        <f>IF(SUMIF(GRAFICO!A:A,P264,GRAFICO!B:B)=0,"",SUMIF(GRAFICO!A:A,P264,GRAFICO!B:B))</f>
        <v/>
      </c>
      <c r="R264" s="463" t="str">
        <f t="shared" si="4"/>
        <v/>
      </c>
      <c r="S264" s="471">
        <f>CUENTAS!A253</f>
        <v>45849</v>
      </c>
      <c r="T264" s="459">
        <f>IF(CUENTAS!Q253/CUENTAS!$AB253&lt;&gt;0,CUENTAS!Q253/CUENTAS!$AB253,"")</f>
        <v>0.1717155364</v>
      </c>
      <c r="U264" s="459" t="str">
        <f>IF(CUENTAS!C253/CUENTAS!$AB253&lt;&gt;0,CUENTAS!C253/CUENTAS!$AB253,"")</f>
        <v/>
      </c>
      <c r="V264" s="459">
        <f>IF(CUENTAS!D253/CUENTAS!$AB253&lt;&gt;0,CUENTAS!D253/CUENTAS!$AB253,"")</f>
        <v>0.08269047368</v>
      </c>
      <c r="W264" s="459" t="str">
        <f>IF(CUENTAS!E253/CUENTAS!$AB253&lt;&gt;0,CUENTAS!E253/CUENTAS!$AB253,"")</f>
        <v/>
      </c>
      <c r="X264" s="459">
        <f>IF(CUENTAS!F253/CUENTAS!$AB253&lt;&gt;0,CUENTAS!F253/CUENTAS!$AB253,"")</f>
        <v>0.1650119268</v>
      </c>
      <c r="Y264" s="459" t="str">
        <f>IF(CUENTAS!G253/CUENTAS!$AB253&lt;&gt;0,CUENTAS!G253/CUENTAS!$AB253,"")</f>
        <v/>
      </c>
      <c r="Z264" s="459">
        <f>IF(CUENTAS!H253/CUENTAS!$AB253&lt;&gt;0,CUENTAS!H253/CUENTAS!$AB253,"")</f>
        <v>0.2803197403</v>
      </c>
      <c r="AA264" s="459">
        <f>IF(CUENTAS!I253/CUENTAS!$AB253&lt;&gt;0,CUENTAS!I253/CUENTAS!$AB253,"")</f>
        <v>0.02548517537</v>
      </c>
      <c r="AB264" s="459">
        <f>IF(CUENTAS!J253/CUENTAS!$AB253&lt;&gt;0,CUENTAS!J253/CUENTAS!$AB253,"")</f>
        <v>0.4504711011</v>
      </c>
      <c r="AC264" s="459">
        <f>IF(CUENTAS!K253/CUENTAS!$AB253&lt;&gt;0,CUENTAS!K253/CUENTAS!$AB253,"")</f>
        <v>0.1395382106</v>
      </c>
      <c r="AD264" s="459" t="str">
        <f>IF(CUENTAS!L253/CUENTAS!$AB253&lt;&gt;0,CUENTAS!L253/CUENTAS!$AB253,"")</f>
        <v/>
      </c>
      <c r="AE264" s="459">
        <f>IF(CUENTAS!M253/CUENTAS!$AB253&lt;&gt;0,CUENTAS!M253/CUENTAS!$AB253,"")</f>
        <v>0.2645691227</v>
      </c>
      <c r="AF264" s="459">
        <f>IF(CUENTAS!N253/CUENTAS!$AB253&lt;&gt;0,CUENTAS!N253/CUENTAS!$AB253,"")</f>
        <v>0.169137225</v>
      </c>
      <c r="AG264" s="459" t="str">
        <f>IF(CUENTAS!O253/CUENTAS!$AB253&lt;&gt;0,CUENTAS!O253/CUENTAS!$AB253,"")</f>
        <v/>
      </c>
      <c r="AH264" s="459" t="str">
        <f>IF(CUENTAS!P253/CUENTAS!$AB253&lt;&gt;0,CUENTAS!P253/CUENTAS!$AB253,"")</f>
        <v/>
      </c>
      <c r="AI264" s="459">
        <f>IF(CUENTAS!R253/CUENTAS!$AB253&lt;&gt;0,CUENTAS!R253/CUENTAS!$AB253,"")</f>
        <v>0.1047728332</v>
      </c>
      <c r="AJ264" s="459" t="str">
        <f>IF(CUENTAS!B253/CUENTAS!$AB253&lt;&gt;0,CUENTAS!B253/CUENTAS!$AB253,"")</f>
        <v/>
      </c>
      <c r="AK264" s="459">
        <f>IF(CUENTAS!S253/CUENTAS!$AB253&lt;&gt;0,CUENTAS!S253/CUENTAS!$AB253,"")</f>
        <v>0.1958195541</v>
      </c>
      <c r="AL264" s="459">
        <f>IF(CUENTAS!T253/CUENTAS!$AB253&lt;&gt;0,CUENTAS!T253/CUENTAS!$AB253,"")</f>
        <v>0.1446633206</v>
      </c>
      <c r="AM264" s="459">
        <f>IF(CUENTAS!U253/CUENTAS!$AB253&lt;&gt;0,CUENTAS!U253/CUENTAS!$AB253,"")</f>
        <v>0.1692969221</v>
      </c>
      <c r="AN264" s="459">
        <f>IF(CUENTAS!V253/CUENTAS!$AB253&lt;&gt;0,CUENTAS!V253/CUENTAS!$AB253,"")</f>
        <v>0.05813232672</v>
      </c>
      <c r="AO264" s="459" t="str">
        <f>IF(CUENTAS!W253/CUENTAS!$AB253&lt;&gt;0,CUENTAS!W253/CUENTAS!$AB253,"")</f>
        <v/>
      </c>
      <c r="AP264" s="459" t="str">
        <f>IF(CUENTAS!X253/CUENTAS!$AB253&lt;&gt;0,CUENTAS!X253/CUENTAS!$AB253,"")</f>
        <v/>
      </c>
      <c r="AQ264" s="459" t="str">
        <f>IF(CUENTAS!Y253/CUENTAS!$AB253&lt;&gt;0,CUENTAS!Y253/CUENTAS!$AB253,"")</f>
        <v/>
      </c>
      <c r="AR264" s="459">
        <f>IF(CUENTAS!AA253/CUENTAS!$AB253&lt;&gt;0,CUENTAS!AA253/CUENTAS!$AB253,"")</f>
        <v>0.005900608779</v>
      </c>
    </row>
    <row r="265">
      <c r="A265" s="474"/>
      <c r="B265" s="200"/>
      <c r="C265" s="200"/>
      <c r="F265" s="200"/>
      <c r="G265" s="200"/>
      <c r="J265" s="465">
        <v>45395.0</v>
      </c>
      <c r="K265" s="466">
        <f>SUMIF(GRAFICO!A:A,J265,GRAFICO!B:B)</f>
        <v>10938.15553</v>
      </c>
      <c r="L265" s="467">
        <f t="shared" si="2"/>
        <v>0.07960285128</v>
      </c>
      <c r="M265" s="468">
        <v>45760.0</v>
      </c>
      <c r="N265" s="469">
        <f>IF(SUMIF(GRAFICO!A:A,M265,GRAFICO!B:B)=0,"",SUMIF(GRAFICO!A:A,M265,GRAFICO!B:B))</f>
        <v>14060.86238</v>
      </c>
      <c r="O265" s="467">
        <f t="shared" si="3"/>
        <v>0.01032194562</v>
      </c>
      <c r="P265" s="468">
        <v>46125.0</v>
      </c>
      <c r="Q265" s="463" t="str">
        <f>IF(SUMIF(GRAFICO!A:A,P265,GRAFICO!B:B)=0,"",SUMIF(GRAFICO!A:A,P265,GRAFICO!B:B))</f>
        <v/>
      </c>
      <c r="R265" s="463" t="str">
        <f t="shared" si="4"/>
        <v/>
      </c>
      <c r="S265" s="471">
        <f>CUENTAS!A254</f>
        <v>45848</v>
      </c>
      <c r="T265" s="459">
        <f>IF(CUENTAS!Q254/CUENTAS!$AB254&lt;&gt;0,CUENTAS!Q254/CUENTAS!$AB254,"")</f>
        <v>0.2015521518</v>
      </c>
      <c r="U265" s="459" t="str">
        <f>IF(CUENTAS!C254/CUENTAS!$AB254&lt;&gt;0,CUENTAS!C254/CUENTAS!$AB254,"")</f>
        <v/>
      </c>
      <c r="V265" s="459">
        <f>IF(CUENTAS!D254/CUENTAS!$AB254&lt;&gt;0,CUENTAS!D254/CUENTAS!$AB254,"")</f>
        <v>0.09629549932</v>
      </c>
      <c r="W265" s="459" t="str">
        <f>IF(CUENTAS!E254/CUENTAS!$AB254&lt;&gt;0,CUENTAS!E254/CUENTAS!$AB254,"")</f>
        <v/>
      </c>
      <c r="X265" s="459">
        <f>IF(CUENTAS!F254/CUENTAS!$AB254&lt;&gt;0,CUENTAS!F254/CUENTAS!$AB254,"")</f>
        <v>0.1897244684</v>
      </c>
      <c r="Y265" s="459" t="str">
        <f>IF(CUENTAS!G254/CUENTAS!$AB254&lt;&gt;0,CUENTAS!G254/CUENTAS!$AB254,"")</f>
        <v/>
      </c>
      <c r="Z265" s="459">
        <f>IF(CUENTAS!H254/CUENTAS!$AB254&lt;&gt;0,CUENTAS!H254/CUENTAS!$AB254,"")</f>
        <v>0.3343251711</v>
      </c>
      <c r="AA265" s="459">
        <f>IF(CUENTAS!I254/CUENTAS!$AB254&lt;&gt;0,CUENTAS!I254/CUENTAS!$AB254,"")</f>
        <v>0.03013601434</v>
      </c>
      <c r="AB265" s="459">
        <f>IF(CUENTAS!J254/CUENTAS!$AB254&lt;&gt;0,CUENTAS!J254/CUENTAS!$AB254,"")</f>
        <v>0.3076468397</v>
      </c>
      <c r="AC265" s="459">
        <f>IF(CUENTAS!K254/CUENTAS!$AB254&lt;&gt;0,CUENTAS!K254/CUENTAS!$AB254,"")</f>
        <v>0.163320344</v>
      </c>
      <c r="AD265" s="459" t="str">
        <f>IF(CUENTAS!L254/CUENTAS!$AB254&lt;&gt;0,CUENTAS!L254/CUENTAS!$AB254,"")</f>
        <v/>
      </c>
      <c r="AE265" s="459">
        <f>IF(CUENTAS!M254/CUENTAS!$AB254&lt;&gt;0,CUENTAS!M254/CUENTAS!$AB254,"")</f>
        <v>0.3056939511</v>
      </c>
      <c r="AF265" s="459">
        <f>IF(CUENTAS!N254/CUENTAS!$AB254&lt;&gt;0,CUENTAS!N254/CUENTAS!$AB254,"")</f>
        <v>0.1990341293</v>
      </c>
      <c r="AG265" s="459" t="str">
        <f>IF(CUENTAS!O254/CUENTAS!$AB254&lt;&gt;0,CUENTAS!O254/CUENTAS!$AB254,"")</f>
        <v/>
      </c>
      <c r="AH265" s="459" t="str">
        <f>IF(CUENTAS!P254/CUENTAS!$AB254&lt;&gt;0,CUENTAS!P254/CUENTAS!$AB254,"")</f>
        <v/>
      </c>
      <c r="AI265" s="459">
        <f>IF(CUENTAS!R254/CUENTAS!$AB254&lt;&gt;0,CUENTAS!R254/CUENTAS!$AB254,"")</f>
        <v>0.1222983131</v>
      </c>
      <c r="AJ265" s="459" t="str">
        <f>IF(CUENTAS!B254/CUENTAS!$AB254&lt;&gt;0,CUENTAS!B254/CUENTAS!$AB254,"")</f>
        <v/>
      </c>
      <c r="AK265" s="459">
        <f>IF(CUENTAS!S254/CUENTAS!$AB254&lt;&gt;0,CUENTAS!S254/CUENTAS!$AB254,"")</f>
        <v>0.2280803401</v>
      </c>
      <c r="AL265" s="459">
        <f>IF(CUENTAS!T254/CUENTAS!$AB254&lt;&gt;0,CUENTAS!T254/CUENTAS!$AB254,"")</f>
        <v>0.1688379232</v>
      </c>
      <c r="AM265" s="459">
        <f>IF(CUENTAS!U254/CUENTAS!$AB254&lt;&gt;0,CUENTAS!U254/CUENTAS!$AB254,"")</f>
        <v>0.1970818102</v>
      </c>
      <c r="AN265" s="459">
        <f>IF(CUENTAS!V254/CUENTAS!$AB254&lt;&gt;0,CUENTAS!V254/CUENTAS!$AB254,"")</f>
        <v>0.06785619208</v>
      </c>
      <c r="AO265" s="459" t="str">
        <f>IF(CUENTAS!W254/CUENTAS!$AB254&lt;&gt;0,CUENTAS!W254/CUENTAS!$AB254,"")</f>
        <v/>
      </c>
      <c r="AP265" s="459" t="str">
        <f>IF(CUENTAS!X254/CUENTAS!$AB254&lt;&gt;0,CUENTAS!X254/CUENTAS!$AB254,"")</f>
        <v/>
      </c>
      <c r="AQ265" s="459" t="str">
        <f>IF(CUENTAS!Y254/CUENTAS!$AB254&lt;&gt;0,CUENTAS!Y254/CUENTAS!$AB254,"")</f>
        <v/>
      </c>
      <c r="AR265" s="459">
        <f>IF(CUENTAS!AA254/CUENTAS!$AB254&lt;&gt;0,CUENTAS!AA254/CUENTAS!$AB254,"")</f>
        <v>0.04973679642</v>
      </c>
    </row>
    <row r="266">
      <c r="A266" s="474"/>
      <c r="B266" s="200"/>
      <c r="C266" s="200"/>
      <c r="F266" s="200"/>
      <c r="G266" s="200"/>
      <c r="J266" s="465">
        <v>45394.0</v>
      </c>
      <c r="K266" s="466">
        <f>SUMIF(GRAFICO!A:A,J266,GRAFICO!B:B)</f>
        <v>11066.36653</v>
      </c>
      <c r="L266" s="467">
        <f t="shared" si="2"/>
        <v>0.09125613372</v>
      </c>
      <c r="M266" s="468">
        <v>45759.0</v>
      </c>
      <c r="N266" s="469">
        <f>IF(SUMIF(GRAFICO!A:A,M266,GRAFICO!B:B)=0,"",SUMIF(GRAFICO!A:A,M266,GRAFICO!B:B))</f>
        <v>14058.21123</v>
      </c>
      <c r="O266" s="467">
        <f t="shared" si="3"/>
        <v>0.01013337933</v>
      </c>
      <c r="P266" s="465">
        <v>46124.0</v>
      </c>
      <c r="Q266" s="463" t="str">
        <f>IF(SUMIF(GRAFICO!A:A,P266,GRAFICO!B:B)=0,"",SUMIF(GRAFICO!A:A,P266,GRAFICO!B:B))</f>
        <v/>
      </c>
      <c r="R266" s="463" t="str">
        <f t="shared" si="4"/>
        <v/>
      </c>
      <c r="S266" s="471">
        <f>CUENTAS!A255</f>
        <v>45847</v>
      </c>
      <c r="T266" s="459">
        <f>IF(CUENTAS!Q255/CUENTAS!$AB255&lt;&gt;0,CUENTAS!Q255/CUENTAS!$AB255,"")</f>
        <v>0.2014864115</v>
      </c>
      <c r="U266" s="459" t="str">
        <f>IF(CUENTAS!C255/CUENTAS!$AB255&lt;&gt;0,CUENTAS!C255/CUENTAS!$AB255,"")</f>
        <v/>
      </c>
      <c r="V266" s="459">
        <f>IF(CUENTAS!D255/CUENTAS!$AB255&lt;&gt;0,CUENTAS!D255/CUENTAS!$AB255,"")</f>
        <v>0.09630348527</v>
      </c>
      <c r="W266" s="459" t="str">
        <f>IF(CUENTAS!E255/CUENTAS!$AB255&lt;&gt;0,CUENTAS!E255/CUENTAS!$AB255,"")</f>
        <v/>
      </c>
      <c r="X266" s="459">
        <f>IF(CUENTAS!F255/CUENTAS!$AB255&lt;&gt;0,CUENTAS!F255/CUENTAS!$AB255,"")</f>
        <v>0.190187967</v>
      </c>
      <c r="Y266" s="459" t="str">
        <f>IF(CUENTAS!G255/CUENTAS!$AB255&lt;&gt;0,CUENTAS!G255/CUENTAS!$AB255,"")</f>
        <v/>
      </c>
      <c r="Z266" s="459">
        <f>IF(CUENTAS!H255/CUENTAS!$AB255&lt;&gt;0,CUENTAS!H255/CUENTAS!$AB255,"")</f>
        <v>0.3488991819</v>
      </c>
      <c r="AA266" s="459">
        <f>IF(CUENTAS!I255/CUENTAS!$AB255&lt;&gt;0,CUENTAS!I255/CUENTAS!$AB255,"")</f>
        <v>0.03003532475</v>
      </c>
      <c r="AB266" s="459">
        <f>IF(CUENTAS!J255/CUENTAS!$AB255&lt;&gt;0,CUENTAS!J255/CUENTAS!$AB255,"")</f>
        <v>0.3014594592</v>
      </c>
      <c r="AC266" s="459">
        <f>IF(CUENTAS!K255/CUENTAS!$AB255&lt;&gt;0,CUENTAS!K255/CUENTAS!$AB255,"")</f>
        <v>0.1626868728</v>
      </c>
      <c r="AD266" s="459" t="str">
        <f>IF(CUENTAS!L255/CUENTAS!$AB255&lt;&gt;0,CUENTAS!L255/CUENTAS!$AB255,"")</f>
        <v/>
      </c>
      <c r="AE266" s="459">
        <f>IF(CUENTAS!M255/CUENTAS!$AB255&lt;&gt;0,CUENTAS!M255/CUENTAS!$AB255,"")</f>
        <v>0.2984224051</v>
      </c>
      <c r="AF266" s="459">
        <f>IF(CUENTAS!N255/CUENTAS!$AB255&lt;&gt;0,CUENTAS!N255/CUENTAS!$AB255,"")</f>
        <v>0.1995203715</v>
      </c>
      <c r="AG266" s="459" t="str">
        <f>IF(CUENTAS!O255/CUENTAS!$AB255&lt;&gt;0,CUENTAS!O255/CUENTAS!$AB255,"")</f>
        <v/>
      </c>
      <c r="AH266" s="459" t="str">
        <f>IF(CUENTAS!P255/CUENTAS!$AB255&lt;&gt;0,CUENTAS!P255/CUENTAS!$AB255,"")</f>
        <v/>
      </c>
      <c r="AI266" s="459">
        <f>IF(CUENTAS!R255/CUENTAS!$AB255&lt;&gt;0,CUENTAS!R255/CUENTAS!$AB255,"")</f>
        <v>0.122597089</v>
      </c>
      <c r="AJ266" s="459" t="str">
        <f>IF(CUENTAS!B255/CUENTAS!$AB255&lt;&gt;0,CUENTAS!B255/CUENTAS!$AB255,"")</f>
        <v/>
      </c>
      <c r="AK266" s="459">
        <f>IF(CUENTAS!S255/CUENTAS!$AB255&lt;&gt;0,CUENTAS!S255/CUENTAS!$AB255,"")</f>
        <v>0.2281421448</v>
      </c>
      <c r="AL266" s="459">
        <f>IF(CUENTAS!T255/CUENTAS!$AB255&lt;&gt;0,CUENTAS!T255/CUENTAS!$AB255,"")</f>
        <v>0.1692269307</v>
      </c>
      <c r="AM266" s="459">
        <f>IF(CUENTAS!U255/CUENTAS!$AB255&lt;&gt;0,CUENTAS!U255/CUENTAS!$AB255,"")</f>
        <v>0.2305499321</v>
      </c>
      <c r="AN266" s="459">
        <f>IF(CUENTAS!V255/CUENTAS!$AB255&lt;&gt;0,CUENTAS!V255/CUENTAS!$AB255,"")</f>
        <v>0.06802196537</v>
      </c>
      <c r="AO266" s="459" t="str">
        <f>IF(CUENTAS!W255/CUENTAS!$AB255&lt;&gt;0,CUENTAS!W255/CUENTAS!$AB255,"")</f>
        <v/>
      </c>
      <c r="AP266" s="459" t="str">
        <f>IF(CUENTAS!X255/CUENTAS!$AB255&lt;&gt;0,CUENTAS!X255/CUENTAS!$AB255,"")</f>
        <v/>
      </c>
      <c r="AQ266" s="459" t="str">
        <f>IF(CUENTAS!Y255/CUENTAS!$AB255&lt;&gt;0,CUENTAS!Y255/CUENTAS!$AB255,"")</f>
        <v/>
      </c>
      <c r="AR266" s="459">
        <f>IF(CUENTAS!AA255/CUENTAS!$AB255&lt;&gt;0,CUENTAS!AA255/CUENTAS!$AB255,"")</f>
        <v>0.01633673607</v>
      </c>
    </row>
    <row r="267">
      <c r="A267" s="474"/>
      <c r="B267" s="200"/>
      <c r="C267" s="200"/>
      <c r="F267" s="200"/>
      <c r="G267" s="200"/>
      <c r="J267" s="465">
        <v>45393.0</v>
      </c>
      <c r="K267" s="466">
        <f>SUMIF(GRAFICO!A:A,J267,GRAFICO!B:B)</f>
        <v>11171.51652</v>
      </c>
      <c r="L267" s="467">
        <f t="shared" si="2"/>
        <v>0.1007130383</v>
      </c>
      <c r="M267" s="468">
        <v>45758.0</v>
      </c>
      <c r="N267" s="469">
        <f>IF(SUMIF(GRAFICO!A:A,M267,GRAFICO!B:B)=0,"",SUMIF(GRAFICO!A:A,M267,GRAFICO!B:B))</f>
        <v>14055.56008</v>
      </c>
      <c r="O267" s="467">
        <f t="shared" si="3"/>
        <v>0.009944777468</v>
      </c>
      <c r="P267" s="468">
        <v>46123.0</v>
      </c>
      <c r="Q267" s="463" t="str">
        <f>IF(SUMIF(GRAFICO!A:A,P267,GRAFICO!B:B)=0,"",SUMIF(GRAFICO!A:A,P267,GRAFICO!B:B))</f>
        <v/>
      </c>
      <c r="R267" s="463" t="str">
        <f t="shared" si="4"/>
        <v/>
      </c>
      <c r="S267" s="471">
        <f>CUENTAS!A256</f>
        <v>45846</v>
      </c>
      <c r="T267" s="459">
        <f>IF(CUENTAS!Q256/CUENTAS!$AB256&lt;&gt;0,CUENTAS!Q256/CUENTAS!$AB256,"")</f>
        <v>0.2017717095</v>
      </c>
      <c r="U267" s="459" t="str">
        <f>IF(CUENTAS!C256/CUENTAS!$AB256&lt;&gt;0,CUENTAS!C256/CUENTAS!$AB256,"")</f>
        <v/>
      </c>
      <c r="V267" s="459">
        <f>IF(CUENTAS!D256/CUENTAS!$AB256&lt;&gt;0,CUENTAS!D256/CUENTAS!$AB256,"")</f>
        <v>0.09412635847</v>
      </c>
      <c r="W267" s="459" t="str">
        <f>IF(CUENTAS!E256/CUENTAS!$AB256&lt;&gt;0,CUENTAS!E256/CUENTAS!$AB256,"")</f>
        <v/>
      </c>
      <c r="X267" s="459">
        <f>IF(CUENTAS!F256/CUENTAS!$AB256&lt;&gt;0,CUENTAS!F256/CUENTAS!$AB256,"")</f>
        <v>0.186328112</v>
      </c>
      <c r="Y267" s="459" t="str">
        <f>IF(CUENTAS!G256/CUENTAS!$AB256&lt;&gt;0,CUENTAS!G256/CUENTAS!$AB256,"")</f>
        <v/>
      </c>
      <c r="Z267" s="459">
        <f>IF(CUENTAS!H256/CUENTAS!$AB256&lt;&gt;0,CUENTAS!H256/CUENTAS!$AB256,"")</f>
        <v>0.3419430877</v>
      </c>
      <c r="AA267" s="459">
        <f>IF(CUENTAS!I256/CUENTAS!$AB256&lt;&gt;0,CUENTAS!I256/CUENTAS!$AB256,"")</f>
        <v>0.02976730836</v>
      </c>
      <c r="AB267" s="459">
        <f>IF(CUENTAS!J256/CUENTAS!$AB256&lt;&gt;0,CUENTAS!J256/CUENTAS!$AB256,"")</f>
        <v>0.2976074011</v>
      </c>
      <c r="AC267" s="459">
        <f>IF(CUENTAS!K256/CUENTAS!$AB256&lt;&gt;0,CUENTAS!K256/CUENTAS!$AB256,"")</f>
        <v>0.1601076586</v>
      </c>
      <c r="AD267" s="459" t="str">
        <f>IF(CUENTAS!L256/CUENTAS!$AB256&lt;&gt;0,CUENTAS!L256/CUENTAS!$AB256,"")</f>
        <v/>
      </c>
      <c r="AE267" s="459">
        <f>IF(CUENTAS!M256/CUENTAS!$AB256&lt;&gt;0,CUENTAS!M256/CUENTAS!$AB256,"")</f>
        <v>0.3043201525</v>
      </c>
      <c r="AF267" s="459">
        <f>IF(CUENTAS!N256/CUENTAS!$AB256&lt;&gt;0,CUENTAS!N256/CUENTAS!$AB256,"")</f>
        <v>0.1954711158</v>
      </c>
      <c r="AG267" s="459" t="str">
        <f>IF(CUENTAS!O256/CUENTAS!$AB256&lt;&gt;0,CUENTAS!O256/CUENTAS!$AB256,"")</f>
        <v/>
      </c>
      <c r="AH267" s="459" t="str">
        <f>IF(CUENTAS!P256/CUENTAS!$AB256&lt;&gt;0,CUENTAS!P256/CUENTAS!$AB256,"")</f>
        <v/>
      </c>
      <c r="AI267" s="459">
        <f>IF(CUENTAS!R256/CUENTAS!$AB256&lt;&gt;0,CUENTAS!R256/CUENTAS!$AB256,"")</f>
        <v>0.1201089874</v>
      </c>
      <c r="AJ267" s="459" t="str">
        <f>IF(CUENTAS!B256/CUENTAS!$AB256&lt;&gt;0,CUENTAS!B256/CUENTAS!$AB256,"")</f>
        <v/>
      </c>
      <c r="AK267" s="459">
        <f>IF(CUENTAS!S256/CUENTAS!$AB256&lt;&gt;0,CUENTAS!S256/CUENTAS!$AB256,"")</f>
        <v>0.2230266682</v>
      </c>
      <c r="AL267" s="459">
        <f>IF(CUENTAS!T256/CUENTAS!$AB256&lt;&gt;0,CUENTAS!T256/CUENTAS!$AB256,"")</f>
        <v>0.16576949</v>
      </c>
      <c r="AM267" s="459">
        <f>IF(CUENTAS!U256/CUENTAS!$AB256&lt;&gt;0,CUENTAS!U256/CUENTAS!$AB256,"")</f>
        <v>0.2253468705</v>
      </c>
      <c r="AN267" s="459">
        <f>IF(CUENTAS!V256/CUENTAS!$AB256&lt;&gt;0,CUENTAS!V256/CUENTAS!$AB256,"")</f>
        <v>0.06664146307</v>
      </c>
      <c r="AO267" s="459" t="str">
        <f>IF(CUENTAS!W256/CUENTAS!$AB256&lt;&gt;0,CUENTAS!W256/CUENTAS!$AB256,"")</f>
        <v/>
      </c>
      <c r="AP267" s="459" t="str">
        <f>IF(CUENTAS!X256/CUENTAS!$AB256&lt;&gt;0,CUENTAS!X256/CUENTAS!$AB256,"")</f>
        <v/>
      </c>
      <c r="AQ267" s="459" t="str">
        <f>IF(CUENTAS!Y256/CUENTAS!$AB256&lt;&gt;0,CUENTAS!Y256/CUENTAS!$AB256,"")</f>
        <v/>
      </c>
      <c r="AR267" s="459">
        <f>IF(CUENTAS!AA256/CUENTAS!$AB256&lt;&gt;0,CUENTAS!AA256/CUENTAS!$AB256,"")</f>
        <v>0.01600518284</v>
      </c>
    </row>
    <row r="268">
      <c r="A268" s="474"/>
      <c r="B268" s="200"/>
      <c r="C268" s="200"/>
      <c r="F268" s="200"/>
      <c r="G268" s="200"/>
      <c r="J268" s="470">
        <v>45392.0</v>
      </c>
      <c r="K268" s="466">
        <f>SUMIF(GRAFICO!A:A,J268,GRAFICO!B:B)</f>
        <v>11086.92908</v>
      </c>
      <c r="L268" s="467">
        <f t="shared" si="2"/>
        <v>0.09311252122</v>
      </c>
      <c r="M268" s="468">
        <v>45757.0</v>
      </c>
      <c r="N268" s="469">
        <f>IF(SUMIF(GRAFICO!A:A,M268,GRAFICO!B:B)=0,"",SUMIF(GRAFICO!A:A,M268,GRAFICO!B:B))</f>
        <v>14630.50251</v>
      </c>
      <c r="O268" s="467">
        <f t="shared" si="3"/>
        <v>0.05003528743</v>
      </c>
      <c r="P268" s="465">
        <v>46122.0</v>
      </c>
      <c r="Q268" s="463" t="str">
        <f>IF(SUMIF(GRAFICO!A:A,P268,GRAFICO!B:B)=0,"",SUMIF(GRAFICO!A:A,P268,GRAFICO!B:B))</f>
        <v/>
      </c>
      <c r="R268" s="463" t="str">
        <f t="shared" si="4"/>
        <v/>
      </c>
      <c r="S268" s="471">
        <f>CUENTAS!A257</f>
        <v>45845</v>
      </c>
      <c r="T268" s="459">
        <f>IF(CUENTAS!Q257/CUENTAS!$AB257&lt;&gt;0,CUENTAS!Q257/CUENTAS!$AB257,"")</f>
        <v>0.198783337</v>
      </c>
      <c r="U268" s="459">
        <f>IF(CUENTAS!C257/CUENTAS!$AB257&lt;&gt;0,CUENTAS!C257/CUENTAS!$AB257,"")</f>
        <v>0.226839844</v>
      </c>
      <c r="V268" s="459">
        <f>IF(CUENTAS!D257/CUENTAS!$AB257&lt;&gt;0,CUENTAS!D257/CUENTAS!$AB257,"")</f>
        <v>0.0948257532</v>
      </c>
      <c r="W268" s="459" t="str">
        <f>IF(CUENTAS!E257/CUENTAS!$AB257&lt;&gt;0,CUENTAS!E257/CUENTAS!$AB257,"")</f>
        <v/>
      </c>
      <c r="X268" s="459">
        <f>IF(CUENTAS!F257/CUENTAS!$AB257&lt;&gt;0,CUENTAS!F257/CUENTAS!$AB257,"")</f>
        <v>0.1884760528</v>
      </c>
      <c r="Y268" s="459" t="str">
        <f>IF(CUENTAS!G257/CUENTAS!$AB257&lt;&gt;0,CUENTAS!G257/CUENTAS!$AB257,"")</f>
        <v/>
      </c>
      <c r="Z268" s="459">
        <f>IF(CUENTAS!H257/CUENTAS!$AB257&lt;&gt;0,CUENTAS!H257/CUENTAS!$AB257,"")</f>
        <v>0.3397556775</v>
      </c>
      <c r="AA268" s="459">
        <f>IF(CUENTAS!I257/CUENTAS!$AB257&lt;&gt;0,CUENTAS!I257/CUENTAS!$AB257,"")</f>
        <v>0.0295157107</v>
      </c>
      <c r="AB268" s="459">
        <f>IF(CUENTAS!J257/CUENTAS!$AB257&lt;&gt;0,CUENTAS!J257/CUENTAS!$AB257,"")</f>
        <v>0.2988515454</v>
      </c>
      <c r="AC268" s="459">
        <f>IF(CUENTAS!K257/CUENTAS!$AB257&lt;&gt;0,CUENTAS!K257/CUENTAS!$AB257,"")</f>
        <v>0.1627012098</v>
      </c>
      <c r="AD268" s="459" t="str">
        <f>IF(CUENTAS!L257/CUENTAS!$AB257&lt;&gt;0,CUENTAS!L257/CUENTAS!$AB257,"")</f>
        <v/>
      </c>
      <c r="AE268" s="459">
        <f>IF(CUENTAS!M257/CUENTAS!$AB257&lt;&gt;0,CUENTAS!M257/CUENTAS!$AB257,"")</f>
        <v>0.3086879047</v>
      </c>
      <c r="AF268" s="459">
        <f>IF(CUENTAS!N257/CUENTAS!$AB257&lt;&gt;0,CUENTAS!N257/CUENTAS!$AB257,"")</f>
        <v>0.1973904608</v>
      </c>
      <c r="AG268" s="459" t="str">
        <f>IF(CUENTAS!O257/CUENTAS!$AB257&lt;&gt;0,CUENTAS!O257/CUENTAS!$AB257,"")</f>
        <v/>
      </c>
      <c r="AH268" s="459" t="str">
        <f>IF(CUENTAS!P257/CUENTAS!$AB257&lt;&gt;0,CUENTAS!P257/CUENTAS!$AB257,"")</f>
        <v/>
      </c>
      <c r="AI268" s="459">
        <f>IF(CUENTAS!R257/CUENTAS!$AB257&lt;&gt;0,CUENTAS!R257/CUENTAS!$AB257,"")</f>
        <v>0.1212883462</v>
      </c>
      <c r="AJ268" s="459" t="str">
        <f>IF(CUENTAS!B257/CUENTAS!$AB257&lt;&gt;0,CUENTAS!B257/CUENTAS!$AB257,"")</f>
        <v/>
      </c>
      <c r="AK268" s="459">
        <f>IF(CUENTAS!S257/CUENTAS!$AB257&lt;&gt;0,CUENTAS!S257/CUENTAS!$AB257,"")</f>
        <v>0.2247264739</v>
      </c>
      <c r="AL268" s="459">
        <f>IF(CUENTAS!T257/CUENTAS!$AB257&lt;&gt;0,CUENTAS!T257/CUENTAS!$AB257,"")</f>
        <v>0.1673739779</v>
      </c>
      <c r="AM268" s="459">
        <f>IF(CUENTAS!U257/CUENTAS!$AB257&lt;&gt;0,CUENTAS!U257/CUENTAS!$AB257,"")</f>
        <v>0.2270303593</v>
      </c>
      <c r="AN268" s="459">
        <f>IF(CUENTAS!V257/CUENTAS!$AB257&lt;&gt;0,CUENTAS!V257/CUENTAS!$AB257,"")</f>
        <v>0.06729582039</v>
      </c>
      <c r="AO268" s="459" t="str">
        <f>IF(CUENTAS!W257/CUENTAS!$AB257&lt;&gt;0,CUENTAS!W257/CUENTAS!$AB257,"")</f>
        <v/>
      </c>
      <c r="AP268" s="459" t="str">
        <f>IF(CUENTAS!X257/CUENTAS!$AB257&lt;&gt;0,CUENTAS!X257/CUENTAS!$AB257,"")</f>
        <v/>
      </c>
      <c r="AQ268" s="459" t="str">
        <f>IF(CUENTAS!Y257/CUENTAS!$AB257&lt;&gt;0,CUENTAS!Y257/CUENTAS!$AB257,"")</f>
        <v/>
      </c>
      <c r="AR268" s="459">
        <f>IF(CUENTAS!AA257/CUENTAS!$AB257&lt;&gt;0,CUENTAS!AA257/CUENTAS!$AB257,"")</f>
        <v>0.01616233889</v>
      </c>
    </row>
    <row r="269">
      <c r="A269" s="474"/>
      <c r="B269" s="200"/>
      <c r="C269" s="200"/>
      <c r="F269" s="200"/>
      <c r="G269" s="200"/>
      <c r="J269" s="465">
        <v>45391.0</v>
      </c>
      <c r="K269" s="466">
        <f>SUMIF(GRAFICO!A:A,J269,GRAFICO!B:B)</f>
        <v>11127.6475</v>
      </c>
      <c r="L269" s="467">
        <f t="shared" si="2"/>
        <v>0.09677844508</v>
      </c>
      <c r="M269" s="468">
        <v>45756.0</v>
      </c>
      <c r="N269" s="469">
        <f>IF(SUMIF(GRAFICO!A:A,M269,GRAFICO!B:B)=0,"",SUMIF(GRAFICO!A:A,M269,GRAFICO!B:B))</f>
        <v>14192.12903</v>
      </c>
      <c r="O269" s="467">
        <f t="shared" si="3"/>
        <v>0.0196142425</v>
      </c>
      <c r="P269" s="468">
        <v>46121.0</v>
      </c>
      <c r="Q269" s="463" t="str">
        <f>IF(SUMIF(GRAFICO!A:A,P269,GRAFICO!B:B)=0,"",SUMIF(GRAFICO!A:A,P269,GRAFICO!B:B))</f>
        <v/>
      </c>
      <c r="R269" s="463" t="str">
        <f t="shared" si="4"/>
        <v/>
      </c>
      <c r="S269" s="471">
        <f>CUENTAS!A258</f>
        <v>45844</v>
      </c>
      <c r="T269" s="459">
        <f>IF(CUENTAS!Q258/CUENTAS!$AB258&lt;&gt;0,CUENTAS!Q258/CUENTAS!$AB258,"")</f>
        <v>0.2030153599</v>
      </c>
      <c r="U269" s="459">
        <f>IF(CUENTAS!C258/CUENTAS!$AB258&lt;&gt;0,CUENTAS!C258/CUENTAS!$AB258,"")</f>
        <v>0.2167849413</v>
      </c>
      <c r="V269" s="459">
        <f>IF(CUENTAS!D258/CUENTAS!$AB258&lt;&gt;0,CUENTAS!D258/CUENTAS!$AB258,"")</f>
        <v>0.09477214091</v>
      </c>
      <c r="W269" s="459" t="str">
        <f>IF(CUENTAS!E258/CUENTAS!$AB258&lt;&gt;0,CUENTAS!E258/CUENTAS!$AB258,"")</f>
        <v/>
      </c>
      <c r="X269" s="459">
        <f>IF(CUENTAS!F258/CUENTAS!$AB258&lt;&gt;0,CUENTAS!F258/CUENTAS!$AB258,"")</f>
        <v>0.181800337</v>
      </c>
      <c r="Y269" s="459" t="str">
        <f>IF(CUENTAS!G258/CUENTAS!$AB258&lt;&gt;0,CUENTAS!G258/CUENTAS!$AB258,"")</f>
        <v/>
      </c>
      <c r="Z269" s="459">
        <f>IF(CUENTAS!H258/CUENTAS!$AB258&lt;&gt;0,CUENTAS!H258/CUENTAS!$AB258,"")</f>
        <v>0.3372143751</v>
      </c>
      <c r="AA269" s="459">
        <f>IF(CUENTAS!I258/CUENTAS!$AB258&lt;&gt;0,CUENTAS!I258/CUENTAS!$AB258,"")</f>
        <v>0.02956913376</v>
      </c>
      <c r="AB269" s="459">
        <f>IF(CUENTAS!J258/CUENTAS!$AB258&lt;&gt;0,CUENTAS!J258/CUENTAS!$AB258,"")</f>
        <v>0.2960302198</v>
      </c>
      <c r="AC269" s="459">
        <f>IF(CUENTAS!K258/CUENTAS!$AB258&lt;&gt;0,CUENTAS!K258/CUENTAS!$AB258,"")</f>
        <v>0.1650422796</v>
      </c>
      <c r="AD269" s="459" t="str">
        <f>IF(CUENTAS!L258/CUENTAS!$AB258&lt;&gt;0,CUENTAS!L258/CUENTAS!$AB258,"")</f>
        <v/>
      </c>
      <c r="AE269" s="459">
        <f>IF(CUENTAS!M258/CUENTAS!$AB258&lt;&gt;0,CUENTAS!M258/CUENTAS!$AB258,"")</f>
        <v>0.3075189911</v>
      </c>
      <c r="AF269" s="459">
        <f>IF(CUENTAS!N258/CUENTAS!$AB258&lt;&gt;0,CUENTAS!N258/CUENTAS!$AB258,"")</f>
        <v>0.197747735</v>
      </c>
      <c r="AG269" s="459" t="str">
        <f>IF(CUENTAS!O258/CUENTAS!$AB258&lt;&gt;0,CUENTAS!O258/CUENTAS!$AB258,"")</f>
        <v/>
      </c>
      <c r="AH269" s="459" t="str">
        <f>IF(CUENTAS!P258/CUENTAS!$AB258&lt;&gt;0,CUENTAS!P258/CUENTAS!$AB258,"")</f>
        <v/>
      </c>
      <c r="AI269" s="459">
        <f>IF(CUENTAS!R258/CUENTAS!$AB258&lt;&gt;0,CUENTAS!R258/CUENTAS!$AB258,"")</f>
        <v>0.1215078765</v>
      </c>
      <c r="AJ269" s="459" t="str">
        <f>IF(CUENTAS!B258/CUENTAS!$AB258&lt;&gt;0,CUENTAS!B258/CUENTAS!$AB258,"")</f>
        <v/>
      </c>
      <c r="AK269" s="459">
        <f>IF(CUENTAS!S258/CUENTAS!$AB258&lt;&gt;0,CUENTAS!S258/CUENTAS!$AB258,"")</f>
        <v>0.2246422298</v>
      </c>
      <c r="AL269" s="459">
        <f>IF(CUENTAS!T258/CUENTAS!$AB258&lt;&gt;0,CUENTAS!T258/CUENTAS!$AB258,"")</f>
        <v>0.167653666</v>
      </c>
      <c r="AM269" s="459">
        <f>IF(CUENTAS!U258/CUENTAS!$AB258&lt;&gt;0,CUENTAS!U258/CUENTAS!$AB258,"")</f>
        <v>0.2269111152</v>
      </c>
      <c r="AN269" s="459">
        <f>IF(CUENTAS!V258/CUENTAS!$AB258&lt;&gt;0,CUENTAS!V258/CUENTAS!$AB258,"")</f>
        <v>0.06741762497</v>
      </c>
      <c r="AO269" s="459" t="str">
        <f>IF(CUENTAS!W258/CUENTAS!$AB258&lt;&gt;0,CUENTAS!W258/CUENTAS!$AB258,"")</f>
        <v/>
      </c>
      <c r="AP269" s="459" t="str">
        <f>IF(CUENTAS!X258/CUENTAS!$AB258&lt;&gt;0,CUENTAS!X258/CUENTAS!$AB258,"")</f>
        <v/>
      </c>
      <c r="AQ269" s="459" t="str">
        <f>IF(CUENTAS!Y258/CUENTAS!$AB258&lt;&gt;0,CUENTAS!Y258/CUENTAS!$AB258,"")</f>
        <v/>
      </c>
      <c r="AR269" s="459">
        <f>IF(CUENTAS!AA258/CUENTAS!$AB258&lt;&gt;0,CUENTAS!AA258/CUENTAS!$AB258,"")</f>
        <v>0.01619159251</v>
      </c>
    </row>
    <row r="270">
      <c r="A270" s="474"/>
      <c r="B270" s="200"/>
      <c r="C270" s="200"/>
      <c r="F270" s="200"/>
      <c r="G270" s="200"/>
      <c r="J270" s="470">
        <v>45390.0</v>
      </c>
      <c r="K270" s="466">
        <f>SUMIF(GRAFICO!A:A,J270,GRAFICO!B:B)</f>
        <v>11120.91394</v>
      </c>
      <c r="L270" s="467">
        <f t="shared" si="2"/>
        <v>0.09617314155</v>
      </c>
      <c r="M270" s="468">
        <v>45755.0</v>
      </c>
      <c r="N270" s="469">
        <f>IF(SUMIF(GRAFICO!A:A,M270,GRAFICO!B:B)=0,"",SUMIF(GRAFICO!A:A,M270,GRAFICO!B:B))</f>
        <v>14115.17925</v>
      </c>
      <c r="O270" s="467">
        <f t="shared" si="3"/>
        <v>0.01417748623</v>
      </c>
      <c r="P270" s="465">
        <v>46120.0</v>
      </c>
      <c r="Q270" s="463" t="str">
        <f>IF(SUMIF(GRAFICO!A:A,P270,GRAFICO!B:B)=0,"",SUMIF(GRAFICO!A:A,P270,GRAFICO!B:B))</f>
        <v/>
      </c>
      <c r="R270" s="463" t="str">
        <f t="shared" si="4"/>
        <v/>
      </c>
      <c r="S270" s="471">
        <f>CUENTAS!A259</f>
        <v>45843</v>
      </c>
      <c r="T270" s="459">
        <f>IF(CUENTAS!Q259/CUENTAS!$AB259&lt;&gt;0,CUENTAS!Q259/CUENTAS!$AB259,"")</f>
        <v>0.202910387</v>
      </c>
      <c r="U270" s="459">
        <f>IF(CUENTAS!C259/CUENTAS!$AB259&lt;&gt;0,CUENTAS!C259/CUENTAS!$AB259,"")</f>
        <v>0.2166728486</v>
      </c>
      <c r="V270" s="459">
        <f>IF(CUENTAS!D259/CUENTAS!$AB259&lt;&gt;0,CUENTAS!D259/CUENTAS!$AB259,"")</f>
        <v>0.09449800798</v>
      </c>
      <c r="W270" s="459" t="str">
        <f>IF(CUENTAS!E259/CUENTAS!$AB259&lt;&gt;0,CUENTAS!E259/CUENTAS!$AB259,"")</f>
        <v/>
      </c>
      <c r="X270" s="459">
        <f>IF(CUENTAS!F259/CUENTAS!$AB259&lt;&gt;0,CUENTAS!F259/CUENTAS!$AB259,"")</f>
        <v>0.1817063337</v>
      </c>
      <c r="Y270" s="459" t="str">
        <f>IF(CUENTAS!G259/CUENTAS!$AB259&lt;&gt;0,CUENTAS!G259/CUENTAS!$AB259,"")</f>
        <v/>
      </c>
      <c r="Z270" s="459">
        <f>IF(CUENTAS!H259/CUENTAS!$AB259&lt;&gt;0,CUENTAS!H259/CUENTAS!$AB259,"")</f>
        <v>0.3370400121</v>
      </c>
      <c r="AA270" s="459">
        <f>IF(CUENTAS!I259/CUENTAS!$AB259&lt;&gt;0,CUENTAS!I259/CUENTAS!$AB259,"")</f>
        <v>0.02955384449</v>
      </c>
      <c r="AB270" s="459">
        <f>IF(CUENTAS!J259/CUENTAS!$AB259&lt;&gt;0,CUENTAS!J259/CUENTAS!$AB259,"")</f>
        <v>0.2958771519</v>
      </c>
      <c r="AC270" s="459">
        <f>IF(CUENTAS!K259/CUENTAS!$AB259&lt;&gt;0,CUENTAS!K259/CUENTAS!$AB259,"")</f>
        <v>0.1649569414</v>
      </c>
      <c r="AD270" s="459" t="str">
        <f>IF(CUENTAS!L259/CUENTAS!$AB259&lt;&gt;0,CUENTAS!L259/CUENTAS!$AB259,"")</f>
        <v/>
      </c>
      <c r="AE270" s="459">
        <f>IF(CUENTAS!M259/CUENTAS!$AB259&lt;&gt;0,CUENTAS!M259/CUENTAS!$AB259,"")</f>
        <v>0.3073599827</v>
      </c>
      <c r="AF270" s="459">
        <f>IF(CUENTAS!N259/CUENTAS!$AB259&lt;&gt;0,CUENTAS!N259/CUENTAS!$AB259,"")</f>
        <v>0.1976454858</v>
      </c>
      <c r="AG270" s="459" t="str">
        <f>IF(CUENTAS!O259/CUENTAS!$AB259&lt;&gt;0,CUENTAS!O259/CUENTAS!$AB259,"")</f>
        <v/>
      </c>
      <c r="AH270" s="459" t="str">
        <f>IF(CUENTAS!P259/CUENTAS!$AB259&lt;&gt;0,CUENTAS!P259/CUENTAS!$AB259,"")</f>
        <v/>
      </c>
      <c r="AI270" s="459">
        <f>IF(CUENTAS!R259/CUENTAS!$AB259&lt;&gt;0,CUENTAS!R259/CUENTAS!$AB259,"")</f>
        <v>0.1214450486</v>
      </c>
      <c r="AJ270" s="459" t="str">
        <f>IF(CUENTAS!B259/CUENTAS!$AB259&lt;&gt;0,CUENTAS!B259/CUENTAS!$AB259,"")</f>
        <v/>
      </c>
      <c r="AK270" s="459">
        <f>IF(CUENTAS!S259/CUENTAS!$AB259&lt;&gt;0,CUENTAS!S259/CUENTAS!$AB259,"")</f>
        <v>0.224035332</v>
      </c>
      <c r="AL270" s="459">
        <f>IF(CUENTAS!T259/CUENTAS!$AB259&lt;&gt;0,CUENTAS!T259/CUENTAS!$AB259,"")</f>
        <v>0.167543733</v>
      </c>
      <c r="AM270" s="459">
        <f>IF(CUENTAS!U259/CUENTAS!$AB259&lt;&gt;0,CUENTAS!U259/CUENTAS!$AB259,"")</f>
        <v>0.2262638946</v>
      </c>
      <c r="AN270" s="459">
        <f>IF(CUENTAS!V259/CUENTAS!$AB259&lt;&gt;0,CUENTAS!V259/CUENTAS!$AB259,"")</f>
        <v>0.06738276543</v>
      </c>
      <c r="AO270" s="459" t="str">
        <f>IF(CUENTAS!W259/CUENTAS!$AB259&lt;&gt;0,CUENTAS!W259/CUENTAS!$AB259,"")</f>
        <v/>
      </c>
      <c r="AP270" s="459" t="str">
        <f>IF(CUENTAS!X259/CUENTAS!$AB259&lt;&gt;0,CUENTAS!X259/CUENTAS!$AB259,"")</f>
        <v/>
      </c>
      <c r="AQ270" s="459" t="str">
        <f>IF(CUENTAS!Y259/CUENTAS!$AB259&lt;&gt;0,CUENTAS!Y259/CUENTAS!$AB259,"")</f>
        <v/>
      </c>
      <c r="AR270" s="459">
        <f>IF(CUENTAS!AA259/CUENTAS!$AB259&lt;&gt;0,CUENTAS!AA259/CUENTAS!$AB259,"")</f>
        <v>0.01618322035</v>
      </c>
    </row>
    <row r="271">
      <c r="A271" s="474"/>
      <c r="B271" s="200"/>
      <c r="C271" s="200"/>
      <c r="F271" s="200"/>
      <c r="G271" s="200"/>
      <c r="J271" s="470">
        <v>45389.0</v>
      </c>
      <c r="K271" s="466">
        <f>SUMIF(GRAFICO!A:A,J271,GRAFICO!B:B)</f>
        <v>11096.71549</v>
      </c>
      <c r="L271" s="467">
        <f t="shared" si="2"/>
        <v>0.09399483014</v>
      </c>
      <c r="M271" s="468">
        <v>45754.0</v>
      </c>
      <c r="N271" s="469">
        <f>IF(SUMIF(GRAFICO!A:A,M271,GRAFICO!B:B)=0,"",SUMIF(GRAFICO!A:A,M271,GRAFICO!B:B))</f>
        <v>13991.57776</v>
      </c>
      <c r="O271" s="467">
        <f t="shared" si="3"/>
        <v>0.00538228515</v>
      </c>
      <c r="P271" s="468">
        <v>46119.0</v>
      </c>
      <c r="Q271" s="463" t="str">
        <f>IF(SUMIF(GRAFICO!A:A,P271,GRAFICO!B:B)=0,"",SUMIF(GRAFICO!A:A,P271,GRAFICO!B:B))</f>
        <v/>
      </c>
      <c r="R271" s="463" t="str">
        <f t="shared" si="4"/>
        <v/>
      </c>
      <c r="S271" s="471">
        <f>CUENTAS!A260</f>
        <v>45842</v>
      </c>
      <c r="T271" s="459">
        <f>IF(CUENTAS!Q260/CUENTAS!$AB260&lt;&gt;0,CUENTAS!Q260/CUENTAS!$AB260,"")</f>
        <v>0.2028055226</v>
      </c>
      <c r="U271" s="459" t="str">
        <f>IF(CUENTAS!C260/CUENTAS!$AB260&lt;&gt;0,CUENTAS!C260/CUENTAS!$AB260,"")</f>
        <v/>
      </c>
      <c r="V271" s="459">
        <f>IF(CUENTAS!D260/CUENTAS!$AB260&lt;&gt;0,CUENTAS!D260/CUENTAS!$AB260,"")</f>
        <v>0.09422415839</v>
      </c>
      <c r="W271" s="459" t="str">
        <f>IF(CUENTAS!E260/CUENTAS!$AB260&lt;&gt;0,CUENTAS!E260/CUENTAS!$AB260,"")</f>
        <v/>
      </c>
      <c r="X271" s="459">
        <f>IF(CUENTAS!F260/CUENTAS!$AB260&lt;&gt;0,CUENTAS!F260/CUENTAS!$AB260,"")</f>
        <v>0.184161374</v>
      </c>
      <c r="Y271" s="459" t="str">
        <f>IF(CUENTAS!G260/CUENTAS!$AB260&lt;&gt;0,CUENTAS!G260/CUENTAS!$AB260,"")</f>
        <v/>
      </c>
      <c r="Z271" s="459">
        <f>IF(CUENTAS!H260/CUENTAS!$AB260&lt;&gt;0,CUENTAS!H260/CUENTAS!$AB260,"")</f>
        <v>0.3368658294</v>
      </c>
      <c r="AA271" s="459">
        <f>IF(CUENTAS!I260/CUENTAS!$AB260&lt;&gt;0,CUENTAS!I260/CUENTAS!$AB260,"")</f>
        <v>0.02953857102</v>
      </c>
      <c r="AB271" s="459">
        <f>IF(CUENTAS!J260/CUENTAS!$AB260&lt;&gt;0,CUENTAS!J260/CUENTAS!$AB260,"")</f>
        <v>0.2957242421</v>
      </c>
      <c r="AC271" s="459">
        <f>IF(CUENTAS!K260/CUENTAS!$AB260&lt;&gt;0,CUENTAS!K260/CUENTAS!$AB260,"")</f>
        <v>0.1648716915</v>
      </c>
      <c r="AD271" s="459" t="str">
        <f>IF(CUENTAS!L260/CUENTAS!$AB260&lt;&gt;0,CUENTAS!L260/CUENTAS!$AB260,"")</f>
        <v/>
      </c>
      <c r="AE271" s="459">
        <f>IF(CUENTAS!M260/CUENTAS!$AB260&lt;&gt;0,CUENTAS!M260/CUENTAS!$AB260,"")</f>
        <v>0.3072011386</v>
      </c>
      <c r="AF271" s="459">
        <f>IF(CUENTAS!N260/CUENTAS!$AB260&lt;&gt;0,CUENTAS!N260/CUENTAS!$AB260,"")</f>
        <v>0.1975433424</v>
      </c>
      <c r="AG271" s="459" t="str">
        <f>IF(CUENTAS!O260/CUENTAS!$AB260&lt;&gt;0,CUENTAS!O260/CUENTAS!$AB260,"")</f>
        <v/>
      </c>
      <c r="AH271" s="459" t="str">
        <f>IF(CUENTAS!P260/CUENTAS!$AB260&lt;&gt;0,CUENTAS!P260/CUENTAS!$AB260,"")</f>
        <v/>
      </c>
      <c r="AI271" s="459">
        <f>IF(CUENTAS!R260/CUENTAS!$AB260&lt;&gt;0,CUENTAS!R260/CUENTAS!$AB260,"")</f>
        <v>0.1213822857</v>
      </c>
      <c r="AJ271" s="459" t="str">
        <f>IF(CUENTAS!B260/CUENTAS!$AB260&lt;&gt;0,CUENTAS!B260/CUENTAS!$AB260,"")</f>
        <v/>
      </c>
      <c r="AK271" s="459">
        <f>IF(CUENTAS!S260/CUENTAS!$AB260&lt;&gt;0,CUENTAS!S260/CUENTAS!$AB260,"")</f>
        <v>0.2234290615</v>
      </c>
      <c r="AL271" s="459">
        <f>IF(CUENTAS!T260/CUENTAS!$AB260&lt;&gt;0,CUENTAS!T260/CUENTAS!$AB260,"")</f>
        <v>0.1674339136</v>
      </c>
      <c r="AM271" s="459">
        <f>IF(CUENTAS!U260/CUENTAS!$AB260&lt;&gt;0,CUENTAS!U260/CUENTAS!$AB260,"")</f>
        <v>0.2256173429</v>
      </c>
      <c r="AN271" s="459">
        <f>IF(CUENTAS!V260/CUENTAS!$AB260&lt;&gt;0,CUENTAS!V260/CUENTAS!$AB260,"")</f>
        <v>0.06734794193</v>
      </c>
      <c r="AO271" s="459" t="str">
        <f>IF(CUENTAS!W260/CUENTAS!$AB260&lt;&gt;0,CUENTAS!W260/CUENTAS!$AB260,"")</f>
        <v/>
      </c>
      <c r="AP271" s="459" t="str">
        <f>IF(CUENTAS!X260/CUENTAS!$AB260&lt;&gt;0,CUENTAS!X260/CUENTAS!$AB260,"")</f>
        <v/>
      </c>
      <c r="AQ271" s="459" t="str">
        <f>IF(CUENTAS!Y260/CUENTAS!$AB260&lt;&gt;0,CUENTAS!Y260/CUENTAS!$AB260,"")</f>
        <v/>
      </c>
      <c r="AR271" s="459">
        <f>IF(CUENTAS!AA260/CUENTAS!$AB260&lt;&gt;0,CUENTAS!AA260/CUENTAS!$AB260,"")</f>
        <v>0.01617485684</v>
      </c>
    </row>
    <row r="272">
      <c r="A272" s="474"/>
      <c r="B272" s="200"/>
      <c r="C272" s="200"/>
      <c r="F272" s="200"/>
      <c r="G272" s="200"/>
      <c r="J272" s="470">
        <v>45388.0</v>
      </c>
      <c r="K272" s="466">
        <f>SUMIF(GRAFICO!A:A,J272,GRAFICO!B:B)</f>
        <v>11088.55705</v>
      </c>
      <c r="L272" s="467">
        <f t="shared" si="2"/>
        <v>0.09325934732</v>
      </c>
      <c r="M272" s="468">
        <v>45753.0</v>
      </c>
      <c r="N272" s="469">
        <f>IF(SUMIF(GRAFICO!A:A,M272,GRAFICO!B:B)=0,"",SUMIF(GRAFICO!A:A,M272,GRAFICO!B:B))</f>
        <v>13314.95988</v>
      </c>
      <c r="O272" s="467">
        <f t="shared" si="3"/>
        <v>-0.04418506874</v>
      </c>
      <c r="P272" s="465">
        <v>46118.0</v>
      </c>
      <c r="Q272" s="463" t="str">
        <f>IF(SUMIF(GRAFICO!A:A,P272,GRAFICO!B:B)=0,"",SUMIF(GRAFICO!A:A,P272,GRAFICO!B:B))</f>
        <v/>
      </c>
      <c r="R272" s="463" t="str">
        <f t="shared" si="4"/>
        <v/>
      </c>
      <c r="S272" s="471">
        <f>CUENTAS!A261</f>
        <v>45841</v>
      </c>
      <c r="T272" s="459">
        <f>IF(CUENTAS!Q261/CUENTAS!$AB261&lt;&gt;0,CUENTAS!Q261/CUENTAS!$AB261,"")</f>
        <v>0.2008263023</v>
      </c>
      <c r="U272" s="459" t="str">
        <f>IF(CUENTAS!C261/CUENTAS!$AB261&lt;&gt;0,CUENTAS!C261/CUENTAS!$AB261,"")</f>
        <v/>
      </c>
      <c r="V272" s="459">
        <f>IF(CUENTAS!D261/CUENTAS!$AB261&lt;&gt;0,CUENTAS!D261/CUENTAS!$AB261,"")</f>
        <v>0.09384894632</v>
      </c>
      <c r="W272" s="459" t="str">
        <f>IF(CUENTAS!E261/CUENTAS!$AB261&lt;&gt;0,CUENTAS!E261/CUENTAS!$AB261,"")</f>
        <v/>
      </c>
      <c r="X272" s="459">
        <f>IF(CUENTAS!F261/CUENTAS!$AB261&lt;&gt;0,CUENTAS!F261/CUENTAS!$AB261,"")</f>
        <v>0.1813222331</v>
      </c>
      <c r="Y272" s="459" t="str">
        <f>IF(CUENTAS!G261/CUENTAS!$AB261&lt;&gt;0,CUENTAS!G261/CUENTAS!$AB261,"")</f>
        <v/>
      </c>
      <c r="Z272" s="459">
        <f>IF(CUENTAS!H261/CUENTAS!$AB261&lt;&gt;0,CUENTAS!H261/CUENTAS!$AB261,"")</f>
        <v>0.3398532689</v>
      </c>
      <c r="AA272" s="459">
        <f>IF(CUENTAS!I261/CUENTAS!$AB261&lt;&gt;0,CUENTAS!I261/CUENTAS!$AB261,"")</f>
        <v>0.03018060854</v>
      </c>
      <c r="AB272" s="459">
        <f>IF(CUENTAS!J261/CUENTAS!$AB261&lt;&gt;0,CUENTAS!J261/CUENTAS!$AB261,"")</f>
        <v>0.2947944289</v>
      </c>
      <c r="AC272" s="459">
        <f>IF(CUENTAS!K261/CUENTAS!$AB261&lt;&gt;0,CUENTAS!K261/CUENTAS!$AB261,"")</f>
        <v>0.1635876463</v>
      </c>
      <c r="AD272" s="459" t="str">
        <f>IF(CUENTAS!L261/CUENTAS!$AB261&lt;&gt;0,CUENTAS!L261/CUENTAS!$AB261,"")</f>
        <v/>
      </c>
      <c r="AE272" s="459">
        <f>IF(CUENTAS!M261/CUENTAS!$AB261&lt;&gt;0,CUENTAS!M261/CUENTAS!$AB261,"")</f>
        <v>0.3067102686</v>
      </c>
      <c r="AF272" s="459">
        <f>IF(CUENTAS!N261/CUENTAS!$AB261&lt;&gt;0,CUENTAS!N261/CUENTAS!$AB261,"")</f>
        <v>0.1972276922</v>
      </c>
      <c r="AG272" s="459" t="str">
        <f>IF(CUENTAS!O261/CUENTAS!$AB261&lt;&gt;0,CUENTAS!O261/CUENTAS!$AB261,"")</f>
        <v/>
      </c>
      <c r="AH272" s="459" t="str">
        <f>IF(CUENTAS!P261/CUENTAS!$AB261&lt;&gt;0,CUENTAS!P261/CUENTAS!$AB261,"")</f>
        <v/>
      </c>
      <c r="AI272" s="459">
        <f>IF(CUENTAS!R261/CUENTAS!$AB261&lt;&gt;0,CUENTAS!R261/CUENTAS!$AB261,"")</f>
        <v>0.1211883316</v>
      </c>
      <c r="AJ272" s="459" t="str">
        <f>IF(CUENTAS!B261/CUENTAS!$AB261&lt;&gt;0,CUENTAS!B261/CUENTAS!$AB261,"")</f>
        <v/>
      </c>
      <c r="AK272" s="459">
        <f>IF(CUENTAS!S261/CUENTAS!$AB261&lt;&gt;0,CUENTAS!S261/CUENTAS!$AB261,"")</f>
        <v>0.222582344</v>
      </c>
      <c r="AL272" s="459">
        <f>IF(CUENTAS!T261/CUENTAS!$AB261&lt;&gt;0,CUENTAS!T261/CUENTAS!$AB261,"")</f>
        <v>0.1671431791</v>
      </c>
      <c r="AM272" s="459">
        <f>IF(CUENTAS!U261/CUENTAS!$AB261&lt;&gt;0,CUENTAS!U261/CUENTAS!$AB261,"")</f>
        <v>0.224728062</v>
      </c>
      <c r="AN272" s="459">
        <f>IF(CUENTAS!V261/CUENTAS!$AB261&lt;&gt;0,CUENTAS!V261/CUENTAS!$AB261,"")</f>
        <v>0.06724032812</v>
      </c>
      <c r="AO272" s="459" t="str">
        <f>IF(CUENTAS!W261/CUENTAS!$AB261&lt;&gt;0,CUENTAS!W261/CUENTAS!$AB261,"")</f>
        <v/>
      </c>
      <c r="AP272" s="459" t="str">
        <f>IF(CUENTAS!X261/CUENTAS!$AB261&lt;&gt;0,CUENTAS!X261/CUENTAS!$AB261,"")</f>
        <v/>
      </c>
      <c r="AQ272" s="459" t="str">
        <f>IF(CUENTAS!Y261/CUENTAS!$AB261&lt;&gt;0,CUENTAS!Y261/CUENTAS!$AB261,"")</f>
        <v/>
      </c>
      <c r="AR272" s="459">
        <f>IF(CUENTAS!AA261/CUENTAS!$AB261&lt;&gt;0,CUENTAS!AA261/CUENTAS!$AB261,"")</f>
        <v>0.01614901139</v>
      </c>
    </row>
    <row r="273">
      <c r="A273" s="474"/>
      <c r="B273" s="200"/>
      <c r="C273" s="200"/>
      <c r="F273" s="200"/>
      <c r="G273" s="200"/>
      <c r="J273" s="465">
        <v>45387.0</v>
      </c>
      <c r="K273" s="466">
        <f>SUMIF(GRAFICO!A:A,J273,GRAFICO!B:B)</f>
        <v>11079.59693</v>
      </c>
      <c r="L273" s="467">
        <f t="shared" si="2"/>
        <v>0.09245097021</v>
      </c>
      <c r="M273" s="468">
        <v>45752.0</v>
      </c>
      <c r="N273" s="469">
        <f>IF(SUMIF(GRAFICO!A:A,M273,GRAFICO!B:B)=0,"",SUMIF(GRAFICO!A:A,M273,GRAFICO!B:B))</f>
        <v>13312.30873</v>
      </c>
      <c r="O273" s="467">
        <f t="shared" si="3"/>
        <v>-0.04438419955</v>
      </c>
      <c r="P273" s="468">
        <v>46117.0</v>
      </c>
      <c r="Q273" s="463" t="str">
        <f>IF(SUMIF(GRAFICO!A:A,P273,GRAFICO!B:B)=0,"",SUMIF(GRAFICO!A:A,P273,GRAFICO!B:B))</f>
        <v/>
      </c>
      <c r="R273" s="463" t="str">
        <f t="shared" si="4"/>
        <v/>
      </c>
      <c r="S273" s="471">
        <f>CUENTAS!A262</f>
        <v>45840</v>
      </c>
      <c r="T273" s="459">
        <f>IF(CUENTAS!Q262/CUENTAS!$AB262&lt;&gt;0,CUENTAS!Q262/CUENTAS!$AB262,"")</f>
        <v>0.2031861044</v>
      </c>
      <c r="U273" s="459" t="str">
        <f>IF(CUENTAS!C262/CUENTAS!$AB262&lt;&gt;0,CUENTAS!C262/CUENTAS!$AB262,"")</f>
        <v/>
      </c>
      <c r="V273" s="459">
        <f>IF(CUENTAS!D262/CUENTAS!$AB262&lt;&gt;0,CUENTAS!D262/CUENTAS!$AB262,"")</f>
        <v>0.09293716855</v>
      </c>
      <c r="W273" s="459" t="str">
        <f>IF(CUENTAS!E262/CUENTAS!$AB262&lt;&gt;0,CUENTAS!E262/CUENTAS!$AB262,"")</f>
        <v/>
      </c>
      <c r="X273" s="459">
        <f>IF(CUENTAS!F262/CUENTAS!$AB262&lt;&gt;0,CUENTAS!F262/CUENTAS!$AB262,"")</f>
        <v>0.1799914788</v>
      </c>
      <c r="Y273" s="459" t="str">
        <f>IF(CUENTAS!G262/CUENTAS!$AB262&lt;&gt;0,CUENTAS!G262/CUENTAS!$AB262,"")</f>
        <v/>
      </c>
      <c r="Z273" s="459">
        <f>IF(CUENTAS!H262/CUENTAS!$AB262&lt;&gt;0,CUENTAS!H262/CUENTAS!$AB262,"")</f>
        <v>0.3359840937</v>
      </c>
      <c r="AA273" s="459">
        <f>IF(CUENTAS!I262/CUENTAS!$AB262&lt;&gt;0,CUENTAS!I262/CUENTAS!$AB262,"")</f>
        <v>0.03070907247</v>
      </c>
      <c r="AB273" s="459">
        <f>IF(CUENTAS!J262/CUENTAS!$AB262&lt;&gt;0,CUENTAS!J262/CUENTAS!$AB262,"")</f>
        <v>0.2905125622</v>
      </c>
      <c r="AC273" s="459">
        <f>IF(CUENTAS!K262/CUENTAS!$AB262&lt;&gt;0,CUENTAS!K262/CUENTAS!$AB262,"")</f>
        <v>0.1647027289</v>
      </c>
      <c r="AD273" s="459" t="str">
        <f>IF(CUENTAS!L262/CUENTAS!$AB262&lt;&gt;0,CUENTAS!L262/CUENTAS!$AB262,"")</f>
        <v/>
      </c>
      <c r="AE273" s="459">
        <f>IF(CUENTAS!M262/CUENTAS!$AB262&lt;&gt;0,CUENTAS!M262/CUENTAS!$AB262,"")</f>
        <v>0.307880161</v>
      </c>
      <c r="AF273" s="459">
        <f>IF(CUENTAS!N262/CUENTAS!$AB262&lt;&gt;0,CUENTAS!N262/CUENTAS!$AB262,"")</f>
        <v>0.195780205</v>
      </c>
      <c r="AG273" s="459" t="str">
        <f>IF(CUENTAS!O262/CUENTAS!$AB262&lt;&gt;0,CUENTAS!O262/CUENTAS!$AB262,"")</f>
        <v/>
      </c>
      <c r="AH273" s="459" t="str">
        <f>IF(CUENTAS!P262/CUENTAS!$AB262&lt;&gt;0,CUENTAS!P262/CUENTAS!$AB262,"")</f>
        <v/>
      </c>
      <c r="AI273" s="459">
        <f>IF(CUENTAS!R262/CUENTAS!$AB262&lt;&gt;0,CUENTAS!R262/CUENTAS!$AB262,"")</f>
        <v>0.12029891</v>
      </c>
      <c r="AJ273" s="459" t="str">
        <f>IF(CUENTAS!B262/CUENTAS!$AB262&lt;&gt;0,CUENTAS!B262/CUENTAS!$AB262,"")</f>
        <v/>
      </c>
      <c r="AK273" s="459">
        <f>IF(CUENTAS!S262/CUENTAS!$AB262&lt;&gt;0,CUENTAS!S262/CUENTAS!$AB262,"")</f>
        <v>0.2204626638</v>
      </c>
      <c r="AL273" s="459">
        <f>IF(CUENTAS!T262/CUENTAS!$AB262&lt;&gt;0,CUENTAS!T262/CUENTAS!$AB262,"")</f>
        <v>0.165893462</v>
      </c>
      <c r="AM273" s="459">
        <f>IF(CUENTAS!U262/CUENTAS!$AB262&lt;&gt;0,CUENTAS!U262/CUENTAS!$AB262,"")</f>
        <v>0.2225538538</v>
      </c>
      <c r="AN273" s="459">
        <f>IF(CUENTAS!V262/CUENTAS!$AB262&lt;&gt;0,CUENTAS!V262/CUENTAS!$AB262,"")</f>
        <v>0.06674684004</v>
      </c>
      <c r="AO273" s="459" t="str">
        <f>IF(CUENTAS!W262/CUENTAS!$AB262&lt;&gt;0,CUENTAS!W262/CUENTAS!$AB262,"")</f>
        <v/>
      </c>
      <c r="AP273" s="459" t="str">
        <f>IF(CUENTAS!X262/CUENTAS!$AB262&lt;&gt;0,CUENTAS!X262/CUENTAS!$AB262,"")</f>
        <v/>
      </c>
      <c r="AQ273" s="459" t="str">
        <f>IF(CUENTAS!Y262/CUENTAS!$AB262&lt;&gt;0,CUENTAS!Y262/CUENTAS!$AB262,"")</f>
        <v/>
      </c>
      <c r="AR273" s="459">
        <f>IF(CUENTAS!AA262/CUENTAS!$AB262&lt;&gt;0,CUENTAS!AA262/CUENTAS!$AB262,"")</f>
        <v>0.01603049108</v>
      </c>
    </row>
    <row r="274">
      <c r="A274" s="474"/>
      <c r="B274" s="200"/>
      <c r="C274" s="200"/>
      <c r="F274" s="200"/>
      <c r="G274" s="200"/>
      <c r="J274" s="465">
        <v>45386.0</v>
      </c>
      <c r="K274" s="466">
        <f>SUMIF(GRAFICO!A:A,J274,GRAFICO!B:B)</f>
        <v>11096.06847</v>
      </c>
      <c r="L274" s="467">
        <f t="shared" si="2"/>
        <v>0.09393652116</v>
      </c>
      <c r="M274" s="468">
        <v>45751.0</v>
      </c>
      <c r="N274" s="469">
        <f>IF(SUMIF(GRAFICO!A:A,M274,GRAFICO!B:B)=0,"",SUMIF(GRAFICO!A:A,M274,GRAFICO!B:B))</f>
        <v>13309.65757</v>
      </c>
      <c r="O274" s="467">
        <f t="shared" si="3"/>
        <v>-0.04458337002</v>
      </c>
      <c r="P274" s="465">
        <v>46116.0</v>
      </c>
      <c r="Q274" s="463" t="str">
        <f>IF(SUMIF(GRAFICO!A:A,P274,GRAFICO!B:B)=0,"",SUMIF(GRAFICO!A:A,P274,GRAFICO!B:B))</f>
        <v/>
      </c>
      <c r="R274" s="463" t="str">
        <f t="shared" si="4"/>
        <v/>
      </c>
      <c r="S274" s="471">
        <f>CUENTAS!A263</f>
        <v>45839</v>
      </c>
      <c r="T274" s="459">
        <f>IF(CUENTAS!Q263/CUENTAS!$AB263&lt;&gt;0,CUENTAS!Q263/CUENTAS!$AB263,"")</f>
        <v>0.1975669292</v>
      </c>
      <c r="U274" s="459" t="str">
        <f>IF(CUENTAS!C263/CUENTAS!$AB263&lt;&gt;0,CUENTAS!C263/CUENTAS!$AB263,"")</f>
        <v/>
      </c>
      <c r="V274" s="459">
        <f>IF(CUENTAS!D263/CUENTAS!$AB263&lt;&gt;0,CUENTAS!D263/CUENTAS!$AB263,"")</f>
        <v>0.09316349945</v>
      </c>
      <c r="W274" s="459" t="str">
        <f>IF(CUENTAS!E263/CUENTAS!$AB263&lt;&gt;0,CUENTAS!E263/CUENTAS!$AB263,"")</f>
        <v/>
      </c>
      <c r="X274" s="459">
        <f>IF(CUENTAS!F263/CUENTAS!$AB263&lt;&gt;0,CUENTAS!F263/CUENTAS!$AB263,"")</f>
        <v>0.1808638002</v>
      </c>
      <c r="Y274" s="459" t="str">
        <f>IF(CUENTAS!G263/CUENTAS!$AB263&lt;&gt;0,CUENTAS!G263/CUENTAS!$AB263,"")</f>
        <v/>
      </c>
      <c r="Z274" s="459">
        <f>IF(CUENTAS!H263/CUENTAS!$AB263&lt;&gt;0,CUENTAS!H263/CUENTAS!$AB263,"")</f>
        <v>0.3436412205</v>
      </c>
      <c r="AA274" s="459">
        <f>IF(CUENTAS!I263/CUENTAS!$AB263&lt;&gt;0,CUENTAS!I263/CUENTAS!$AB263,"")</f>
        <v>0.02946969377</v>
      </c>
      <c r="AB274" s="459">
        <f>IF(CUENTAS!J263/CUENTAS!$AB263&lt;&gt;0,CUENTAS!J263/CUENTAS!$AB263,"")</f>
        <v>0.2919205197</v>
      </c>
      <c r="AC274" s="459">
        <f>IF(CUENTAS!K263/CUENTAS!$AB263&lt;&gt;0,CUENTAS!K263/CUENTAS!$AB263,"")</f>
        <v>0.1662281111</v>
      </c>
      <c r="AD274" s="459" t="str">
        <f>IF(CUENTAS!L263/CUENTAS!$AB263&lt;&gt;0,CUENTAS!L263/CUENTAS!$AB263,"")</f>
        <v/>
      </c>
      <c r="AE274" s="459">
        <f>IF(CUENTAS!M263/CUENTAS!$AB263&lt;&gt;0,CUENTAS!M263/CUENTAS!$AB263,"")</f>
        <v>0.305247326</v>
      </c>
      <c r="AF274" s="459">
        <f>IF(CUENTAS!N263/CUENTAS!$AB263&lt;&gt;0,CUENTAS!N263/CUENTAS!$AB263,"")</f>
        <v>0.1967290459</v>
      </c>
      <c r="AG274" s="459" t="str">
        <f>IF(CUENTAS!O263/CUENTAS!$AB263&lt;&gt;0,CUENTAS!O263/CUENTAS!$AB263,"")</f>
        <v/>
      </c>
      <c r="AH274" s="459" t="str">
        <f>IF(CUENTAS!P263/CUENTAS!$AB263&lt;&gt;0,CUENTAS!P263/CUENTAS!$AB263,"")</f>
        <v/>
      </c>
      <c r="AI274" s="459">
        <f>IF(CUENTAS!R263/CUENTAS!$AB263&lt;&gt;0,CUENTAS!R263/CUENTAS!$AB263,"")</f>
        <v>0.1208819339</v>
      </c>
      <c r="AJ274" s="459" t="str">
        <f>IF(CUENTAS!B263/CUENTAS!$AB263&lt;&gt;0,CUENTAS!B263/CUENTAS!$AB263,"")</f>
        <v/>
      </c>
      <c r="AK274" s="459">
        <f>IF(CUENTAS!S263/CUENTAS!$AB263&lt;&gt;0,CUENTAS!S263/CUENTAS!$AB263,"")</f>
        <v>0.2210426604</v>
      </c>
      <c r="AL274" s="459">
        <f>IF(CUENTAS!T263/CUENTAS!$AB263&lt;&gt;0,CUENTAS!T263/CUENTAS!$AB263,"")</f>
        <v>0.1666743212</v>
      </c>
      <c r="AM274" s="459">
        <f>IF(CUENTAS!U263/CUENTAS!$AB263&lt;&gt;0,CUENTAS!U263/CUENTAS!$AB263,"")</f>
        <v>0.223105017</v>
      </c>
      <c r="AN274" s="459">
        <f>IF(CUENTAS!V263/CUENTAS!$AB263&lt;&gt;0,CUENTAS!V263/CUENTAS!$AB263,"")</f>
        <v>0.06707032592</v>
      </c>
      <c r="AO274" s="459" t="str">
        <f>IF(CUENTAS!W263/CUENTAS!$AB263&lt;&gt;0,CUENTAS!W263/CUENTAS!$AB263,"")</f>
        <v/>
      </c>
      <c r="AP274" s="459" t="str">
        <f>IF(CUENTAS!X263/CUENTAS!$AB263&lt;&gt;0,CUENTAS!X263/CUENTAS!$AB263,"")</f>
        <v/>
      </c>
      <c r="AQ274" s="459" t="str">
        <f>IF(CUENTAS!Y263/CUENTAS!$AB263&lt;&gt;0,CUENTAS!Y263/CUENTAS!$AB263,"")</f>
        <v/>
      </c>
      <c r="AR274" s="459">
        <f>IF(CUENTAS!AA263/CUENTAS!$AB263&lt;&gt;0,CUENTAS!AA263/CUENTAS!$AB263,"")</f>
        <v>0.01610818221</v>
      </c>
    </row>
    <row r="275">
      <c r="A275" s="474"/>
      <c r="B275" s="200"/>
      <c r="C275" s="200"/>
      <c r="F275" s="200"/>
      <c r="G275" s="200"/>
      <c r="J275" s="465">
        <v>45385.0</v>
      </c>
      <c r="K275" s="466">
        <f>SUMIF(GRAFICO!A:A,J275,GRAFICO!B:B)</f>
        <v>11031.4451</v>
      </c>
      <c r="L275" s="467">
        <f t="shared" si="2"/>
        <v>0.08809550779</v>
      </c>
      <c r="M275" s="468">
        <v>45750.0</v>
      </c>
      <c r="N275" s="469">
        <f>IF(SUMIF(GRAFICO!A:A,M275,GRAFICO!B:B)=0,"",SUMIF(GRAFICO!A:A,M275,GRAFICO!B:B))</f>
        <v>14176.73608</v>
      </c>
      <c r="O275" s="467">
        <f t="shared" si="3"/>
        <v>0.01852904164</v>
      </c>
      <c r="P275" s="468">
        <v>46115.0</v>
      </c>
      <c r="Q275" s="463" t="str">
        <f>IF(SUMIF(GRAFICO!A:A,P275,GRAFICO!B:B)=0,"",SUMIF(GRAFICO!A:A,P275,GRAFICO!B:B))</f>
        <v/>
      </c>
      <c r="R275" s="463" t="str">
        <f t="shared" si="4"/>
        <v/>
      </c>
      <c r="S275" s="471">
        <f>CUENTAS!A264</f>
        <v>45838</v>
      </c>
      <c r="T275" s="459">
        <f>IF(CUENTAS!Q264/CUENTAS!$AB264&lt;&gt;0,CUENTAS!Q264/CUENTAS!$AB264,"")</f>
        <v>0.201194888</v>
      </c>
      <c r="U275" s="459" t="str">
        <f>IF(CUENTAS!C264/CUENTAS!$AB264&lt;&gt;0,CUENTAS!C264/CUENTAS!$AB264,"")</f>
        <v/>
      </c>
      <c r="V275" s="459">
        <f>IF(CUENTAS!D264/CUENTAS!$AB264&lt;&gt;0,CUENTAS!D264/CUENTAS!$AB264,"")</f>
        <v>0.0933459946</v>
      </c>
      <c r="W275" s="459" t="str">
        <f>IF(CUENTAS!E264/CUENTAS!$AB264&lt;&gt;0,CUENTAS!E264/CUENTAS!$AB264,"")</f>
        <v/>
      </c>
      <c r="X275" s="459">
        <f>IF(CUENTAS!F264/CUENTAS!$AB264&lt;&gt;0,CUENTAS!F264/CUENTAS!$AB264,"")</f>
        <v>0.1880288825</v>
      </c>
      <c r="Y275" s="459" t="str">
        <f>IF(CUENTAS!G264/CUENTAS!$AB264&lt;&gt;0,CUENTAS!G264/CUENTAS!$AB264,"")</f>
        <v/>
      </c>
      <c r="Z275" s="459">
        <f>IF(CUENTAS!H264/CUENTAS!$AB264&lt;&gt;0,CUENTAS!H264/CUENTAS!$AB264,"")</f>
        <v>0.3432523022</v>
      </c>
      <c r="AA275" s="459" t="str">
        <f>IF(CUENTAS!I264/CUENTAS!$AB264&lt;&gt;0,CUENTAS!I264/CUENTAS!$AB264,"")</f>
        <v/>
      </c>
      <c r="AB275" s="459" t="str">
        <f>IF(CUENTAS!J264/CUENTAS!$AB264&lt;&gt;0,CUENTAS!J264/CUENTAS!$AB264,"")</f>
        <v/>
      </c>
      <c r="AC275" s="459">
        <f>IF(CUENTAS!K264/CUENTAS!$AB264&lt;&gt;0,CUENTAS!K264/CUENTAS!$AB264,"")</f>
        <v>0.1678317123</v>
      </c>
      <c r="AD275" s="459" t="str">
        <f>IF(CUENTAS!L264/CUENTAS!$AB264&lt;&gt;0,CUENTAS!L264/CUENTAS!$AB264,"")</f>
        <v/>
      </c>
      <c r="AE275" s="459">
        <f>IF(CUENTAS!M264/CUENTAS!$AB264&lt;&gt;0,CUENTAS!M264/CUENTAS!$AB264,"")</f>
        <v>0.3065826864</v>
      </c>
      <c r="AF275" s="459">
        <f>IF(CUENTAS!N264/CUENTAS!$AB264&lt;&gt;0,CUENTAS!N264/CUENTAS!$AB264,"")</f>
        <v>0.1975896731</v>
      </c>
      <c r="AG275" s="459" t="str">
        <f>IF(CUENTAS!O264/CUENTAS!$AB264&lt;&gt;0,CUENTAS!O264/CUENTAS!$AB264,"")</f>
        <v/>
      </c>
      <c r="AH275" s="459" t="str">
        <f>IF(CUENTAS!P264/CUENTAS!$AB264&lt;&gt;0,CUENTAS!P264/CUENTAS!$AB264,"")</f>
        <v/>
      </c>
      <c r="AI275" s="459">
        <f>IF(CUENTAS!R264/CUENTAS!$AB264&lt;&gt;0,CUENTAS!R264/CUENTAS!$AB264,"")</f>
        <v>0.121410754</v>
      </c>
      <c r="AJ275" s="459" t="str">
        <f>IF(CUENTAS!B264/CUENTAS!$AB264&lt;&gt;0,CUENTAS!B264/CUENTAS!$AB264,"")</f>
        <v/>
      </c>
      <c r="AK275" s="459">
        <f>IF(CUENTAS!S264/CUENTAS!$AB264&lt;&gt;0,CUENTAS!S264/CUENTAS!$AB264,"")</f>
        <v>0.2215190482</v>
      </c>
      <c r="AL275" s="459">
        <f>IF(CUENTAS!T264/CUENTAS!$AB264&lt;&gt;0,CUENTAS!T264/CUENTAS!$AB264,"")</f>
        <v>0.1673802305</v>
      </c>
      <c r="AM275" s="459">
        <f>IF(CUENTAS!U264/CUENTAS!$AB264&lt;&gt;0,CUENTAS!U264/CUENTAS!$AB264,"")</f>
        <v>0.2235512884</v>
      </c>
      <c r="AN275" s="459">
        <f>IF(CUENTAS!V264/CUENTAS!$AB264&lt;&gt;0,CUENTAS!V264/CUENTAS!$AB264,"")</f>
        <v>0.06736373736</v>
      </c>
      <c r="AO275" s="459" t="str">
        <f>IF(CUENTAS!W264/CUENTAS!$AB264&lt;&gt;0,CUENTAS!W264/CUENTAS!$AB264,"")</f>
        <v/>
      </c>
      <c r="AP275" s="459" t="str">
        <f>IF(CUENTAS!X264/CUENTAS!$AB264&lt;&gt;0,CUENTAS!X264/CUENTAS!$AB264,"")</f>
        <v/>
      </c>
      <c r="AQ275" s="459" t="str">
        <f>IF(CUENTAS!Y264/CUENTAS!$AB264&lt;&gt;0,CUENTAS!Y264/CUENTAS!$AB264,"")</f>
        <v/>
      </c>
      <c r="AR275" s="459">
        <f>IF(CUENTAS!AA264/CUENTAS!$AB264&lt;&gt;0,CUENTAS!AA264/CUENTAS!$AB264,"")</f>
        <v>0.3323354063</v>
      </c>
    </row>
    <row r="276">
      <c r="A276" s="474"/>
      <c r="B276" s="200"/>
      <c r="C276" s="200"/>
      <c r="F276" s="200"/>
      <c r="G276" s="200"/>
      <c r="J276" s="470">
        <v>45384.0</v>
      </c>
      <c r="K276" s="466">
        <f>SUMIF(GRAFICO!A:A,J276,GRAFICO!B:B)</f>
        <v>10995.72823</v>
      </c>
      <c r="L276" s="467">
        <f t="shared" si="2"/>
        <v>0.08485252208</v>
      </c>
      <c r="M276" s="468">
        <v>45749.0</v>
      </c>
      <c r="N276" s="469">
        <f>IF(SUMIF(GRAFICO!A:A,M276,GRAFICO!B:B)=0,"",SUMIF(GRAFICO!A:A,M276,GRAFICO!B:B))</f>
        <v>14362.35999</v>
      </c>
      <c r="O276" s="467">
        <f t="shared" si="3"/>
        <v>0.03153761995</v>
      </c>
      <c r="P276" s="465">
        <v>46114.0</v>
      </c>
      <c r="Q276" s="463" t="str">
        <f>IF(SUMIF(GRAFICO!A:A,P276,GRAFICO!B:B)=0,"",SUMIF(GRAFICO!A:A,P276,GRAFICO!B:B))</f>
        <v/>
      </c>
      <c r="R276" s="463" t="str">
        <f t="shared" si="4"/>
        <v/>
      </c>
      <c r="S276" s="471">
        <f>CUENTAS!A265</f>
        <v>45837</v>
      </c>
      <c r="T276" s="459">
        <f>IF(CUENTAS!Q265/CUENTAS!$AB265&lt;&gt;0,CUENTAS!Q265/CUENTAS!$AB265,"")</f>
        <v>0.2225003974</v>
      </c>
      <c r="U276" s="459" t="str">
        <f>IF(CUENTAS!C265/CUENTAS!$AB265&lt;&gt;0,CUENTAS!C265/CUENTAS!$AB265,"")</f>
        <v/>
      </c>
      <c r="V276" s="459">
        <f>IF(CUENTAS!D265/CUENTAS!$AB265&lt;&gt;0,CUENTAS!D265/CUENTAS!$AB265,"")</f>
        <v>0.102981959</v>
      </c>
      <c r="W276" s="459" t="str">
        <f>IF(CUENTAS!E265/CUENTAS!$AB265&lt;&gt;0,CUENTAS!E265/CUENTAS!$AB265,"")</f>
        <v/>
      </c>
      <c r="X276" s="459">
        <f>IF(CUENTAS!F265/CUENTAS!$AB265&lt;&gt;0,CUENTAS!F265/CUENTAS!$AB265,"")</f>
        <v>0.2044157695</v>
      </c>
      <c r="Y276" s="459" t="str">
        <f>IF(CUENTAS!G265/CUENTAS!$AB265&lt;&gt;0,CUENTAS!G265/CUENTAS!$AB265,"")</f>
        <v/>
      </c>
      <c r="Z276" s="459">
        <f>IF(CUENTAS!H265/CUENTAS!$AB265&lt;&gt;0,CUENTAS!H265/CUENTAS!$AB265,"")</f>
        <v>0.3796009651</v>
      </c>
      <c r="AA276" s="459" t="str">
        <f>IF(CUENTAS!I265/CUENTAS!$AB265&lt;&gt;0,CUENTAS!I265/CUENTAS!$AB265,"")</f>
        <v/>
      </c>
      <c r="AB276" s="459" t="str">
        <f>IF(CUENTAS!J265/CUENTAS!$AB265&lt;&gt;0,CUENTAS!J265/CUENTAS!$AB265,"")</f>
        <v/>
      </c>
      <c r="AC276" s="459">
        <f>IF(CUENTAS!K265/CUENTAS!$AB265&lt;&gt;0,CUENTAS!K265/CUENTAS!$AB265,"")</f>
        <v>0.1856042321</v>
      </c>
      <c r="AD276" s="459" t="str">
        <f>IF(CUENTAS!L265/CUENTAS!$AB265&lt;&gt;0,CUENTAS!L265/CUENTAS!$AB265,"")</f>
        <v/>
      </c>
      <c r="AE276" s="459">
        <f>IF(CUENTAS!M265/CUENTAS!$AB265&lt;&gt;0,CUENTAS!M265/CUENTAS!$AB265,"")</f>
        <v>0.3390482246</v>
      </c>
      <c r="AF276" s="459">
        <f>IF(CUENTAS!N265/CUENTAS!$AB265&lt;&gt;0,CUENTAS!N265/CUENTAS!$AB265,"")</f>
        <v>0.2185134088</v>
      </c>
      <c r="AG276" s="459" t="str">
        <f>IF(CUENTAS!O265/CUENTAS!$AB265&lt;&gt;0,CUENTAS!O265/CUENTAS!$AB265,"")</f>
        <v/>
      </c>
      <c r="AH276" s="459" t="str">
        <f>IF(CUENTAS!P265/CUENTAS!$AB265&lt;&gt;0,CUENTAS!P265/CUENTAS!$AB265,"")</f>
        <v/>
      </c>
      <c r="AI276" s="459">
        <f>IF(CUENTAS!R265/CUENTAS!$AB265&lt;&gt;0,CUENTAS!R265/CUENTAS!$AB265,"")</f>
        <v>0.1342675318</v>
      </c>
      <c r="AJ276" s="459" t="str">
        <f>IF(CUENTAS!B265/CUENTAS!$AB265&lt;&gt;0,CUENTAS!B265/CUENTAS!$AB265,"")</f>
        <v/>
      </c>
      <c r="AK276" s="459">
        <f>IF(CUENTAS!S265/CUENTAS!$AB265&lt;&gt;0,CUENTAS!S265/CUENTAS!$AB265,"")</f>
        <v>0.2444342261</v>
      </c>
      <c r="AL276" s="459">
        <f>IF(CUENTAS!T265/CUENTAS!$AB265&lt;&gt;0,CUENTAS!T265/CUENTAS!$AB265,"")</f>
        <v>0.1850792419</v>
      </c>
      <c r="AM276" s="459">
        <f>IF(CUENTAS!U265/CUENTAS!$AB265&lt;&gt;0,CUENTAS!U265/CUENTAS!$AB265,"")</f>
        <v>0.2466383869</v>
      </c>
      <c r="AN276" s="459">
        <f>IF(CUENTAS!V265/CUENTAS!$AB265&lt;&gt;0,CUENTAS!V265/CUENTAS!$AB265,"")</f>
        <v>0.07449721255</v>
      </c>
      <c r="AO276" s="459" t="str">
        <f>IF(CUENTAS!W265/CUENTAS!$AB265&lt;&gt;0,CUENTAS!W265/CUENTAS!$AB265,"")</f>
        <v/>
      </c>
      <c r="AP276" s="459" t="str">
        <f>IF(CUENTAS!X265/CUENTAS!$AB265&lt;&gt;0,CUENTAS!X265/CUENTAS!$AB265,"")</f>
        <v/>
      </c>
      <c r="AQ276" s="459" t="str">
        <f>IF(CUENTAS!Y265/CUENTAS!$AB265&lt;&gt;0,CUENTAS!Y265/CUENTAS!$AB265,"")</f>
        <v/>
      </c>
      <c r="AR276" s="459">
        <f>IF(CUENTAS!AA265/CUENTAS!$AB265&lt;&gt;0,CUENTAS!AA265/CUENTAS!$AB265,"")</f>
        <v>0.2610614792</v>
      </c>
    </row>
    <row r="277">
      <c r="A277" s="474"/>
      <c r="B277" s="200"/>
      <c r="C277" s="200"/>
      <c r="F277" s="200"/>
      <c r="G277" s="200"/>
      <c r="J277" s="465">
        <v>45383.0</v>
      </c>
      <c r="K277" s="466">
        <f>SUMIF(GRAFICO!A:A,J277,GRAFICO!B:B)</f>
        <v>10948.45126</v>
      </c>
      <c r="L277" s="467">
        <f t="shared" si="2"/>
        <v>0.08054367633</v>
      </c>
      <c r="M277" s="468">
        <v>45748.0</v>
      </c>
      <c r="N277" s="469">
        <f>IF(SUMIF(GRAFICO!A:A,M277,GRAFICO!B:B)=0,"",SUMIF(GRAFICO!A:A,M277,GRAFICO!B:B))</f>
        <v>14326.57796</v>
      </c>
      <c r="O277" s="467">
        <f t="shared" si="3"/>
        <v>0.02904313613</v>
      </c>
      <c r="P277" s="468">
        <v>46113.0</v>
      </c>
      <c r="Q277" s="463" t="str">
        <f>IF(SUMIF(GRAFICO!A:A,P277,GRAFICO!B:B)=0,"",SUMIF(GRAFICO!A:A,P277,GRAFICO!B:B))</f>
        <v/>
      </c>
      <c r="R277" s="463" t="str">
        <f t="shared" si="4"/>
        <v/>
      </c>
      <c r="S277" s="471">
        <f>CUENTAS!A266</f>
        <v>45836</v>
      </c>
      <c r="T277" s="459">
        <f>IF(CUENTAS!Q266/CUENTAS!$AB266&lt;&gt;0,CUENTAS!Q266/CUENTAS!$AB266,"")</f>
        <v>0.222373275</v>
      </c>
      <c r="U277" s="459" t="str">
        <f>IF(CUENTAS!C266/CUENTAS!$AB266&lt;&gt;0,CUENTAS!C266/CUENTAS!$AB266,"")</f>
        <v/>
      </c>
      <c r="V277" s="459">
        <f>IF(CUENTAS!D266/CUENTAS!$AB266&lt;&gt;0,CUENTAS!D266/CUENTAS!$AB266,"")</f>
        <v>0.102674365</v>
      </c>
      <c r="W277" s="459" t="str">
        <f>IF(CUENTAS!E266/CUENTAS!$AB266&lt;&gt;0,CUENTAS!E266/CUENTAS!$AB266,"")</f>
        <v/>
      </c>
      <c r="X277" s="459">
        <f>IF(CUENTAS!F266/CUENTAS!$AB266&lt;&gt;0,CUENTAS!F266/CUENTAS!$AB266,"")</f>
        <v>0.2078213757</v>
      </c>
      <c r="Y277" s="459" t="str">
        <f>IF(CUENTAS!G266/CUENTAS!$AB266&lt;&gt;0,CUENTAS!G266/CUENTAS!$AB266,"")</f>
        <v/>
      </c>
      <c r="Z277" s="459">
        <f>IF(CUENTAS!H266/CUENTAS!$AB266&lt;&gt;0,CUENTAS!H266/CUENTAS!$AB266,"")</f>
        <v>0.3793840856</v>
      </c>
      <c r="AA277" s="459" t="str">
        <f>IF(CUENTAS!I266/CUENTAS!$AB266&lt;&gt;0,CUENTAS!I266/CUENTAS!$AB266,"")</f>
        <v/>
      </c>
      <c r="AB277" s="459" t="str">
        <f>IF(CUENTAS!J266/CUENTAS!$AB266&lt;&gt;0,CUENTAS!J266/CUENTAS!$AB266,"")</f>
        <v/>
      </c>
      <c r="AC277" s="459">
        <f>IF(CUENTAS!K266/CUENTAS!$AB266&lt;&gt;0,CUENTAS!K266/CUENTAS!$AB266,"")</f>
        <v>0.1854981898</v>
      </c>
      <c r="AD277" s="459" t="str">
        <f>IF(CUENTAS!L266/CUENTAS!$AB266&lt;&gt;0,CUENTAS!L266/CUENTAS!$AB266,"")</f>
        <v/>
      </c>
      <c r="AE277" s="459">
        <f>IF(CUENTAS!M266/CUENTAS!$AB266&lt;&gt;0,CUENTAS!M266/CUENTAS!$AB266,"")</f>
        <v>0.3388545143</v>
      </c>
      <c r="AF277" s="459">
        <f>IF(CUENTAS!N266/CUENTAS!$AB266&lt;&gt;0,CUENTAS!N266/CUENTAS!$AB266,"")</f>
        <v>0.2183885643</v>
      </c>
      <c r="AG277" s="459" t="str">
        <f>IF(CUENTAS!O266/CUENTAS!$AB266&lt;&gt;0,CUENTAS!O266/CUENTAS!$AB266,"")</f>
        <v/>
      </c>
      <c r="AH277" s="459" t="str">
        <f>IF(CUENTAS!P266/CUENTAS!$AB266&lt;&gt;0,CUENTAS!P266/CUENTAS!$AB266,"")</f>
        <v/>
      </c>
      <c r="AI277" s="459">
        <f>IF(CUENTAS!R266/CUENTAS!$AB266&lt;&gt;0,CUENTAS!R266/CUENTAS!$AB266,"")</f>
        <v>0.13419082</v>
      </c>
      <c r="AJ277" s="459" t="str">
        <f>IF(CUENTAS!B266/CUENTAS!$AB266&lt;&gt;0,CUENTAS!B266/CUENTAS!$AB266,"")</f>
        <v/>
      </c>
      <c r="AK277" s="459">
        <f>IF(CUENTAS!S266/CUENTAS!$AB266&lt;&gt;0,CUENTAS!S266/CUENTAS!$AB266,"")</f>
        <v>0.2437523259</v>
      </c>
      <c r="AL277" s="459">
        <f>IF(CUENTAS!T266/CUENTAS!$AB266&lt;&gt;0,CUENTAS!T266/CUENTAS!$AB266,"")</f>
        <v>0.1849478154</v>
      </c>
      <c r="AM277" s="459">
        <f>IF(CUENTAS!U266/CUENTAS!$AB266&lt;&gt;0,CUENTAS!U266/CUENTAS!$AB266,"")</f>
        <v>0.245911969</v>
      </c>
      <c r="AN277" s="459">
        <f>IF(CUENTAS!V266/CUENTAS!$AB266&lt;&gt;0,CUENTAS!V266/CUENTAS!$AB266,"")</f>
        <v>0.07445464965</v>
      </c>
      <c r="AO277" s="459" t="str">
        <f>IF(CUENTAS!W266/CUENTAS!$AB266&lt;&gt;0,CUENTAS!W266/CUENTAS!$AB266,"")</f>
        <v/>
      </c>
      <c r="AP277" s="459" t="str">
        <f>IF(CUENTAS!X266/CUENTAS!$AB266&lt;&gt;0,CUENTAS!X266/CUENTAS!$AB266,"")</f>
        <v/>
      </c>
      <c r="AQ277" s="459" t="str">
        <f>IF(CUENTAS!Y266/CUENTAS!$AB266&lt;&gt;0,CUENTAS!Y266/CUENTAS!$AB266,"")</f>
        <v/>
      </c>
      <c r="AR277" s="459">
        <f>IF(CUENTAS!AA266/CUENTAS!$AB266&lt;&gt;0,CUENTAS!AA266/CUENTAS!$AB266,"")</f>
        <v>0.2609123255</v>
      </c>
    </row>
    <row r="278">
      <c r="A278" s="474"/>
      <c r="B278" s="200"/>
      <c r="C278" s="200"/>
      <c r="F278" s="200"/>
      <c r="G278" s="200"/>
      <c r="J278" s="470">
        <v>45382.0</v>
      </c>
      <c r="K278" s="466">
        <f>SUMIF(GRAFICO!A:A,J278,GRAFICO!B:B)</f>
        <v>10939.91597</v>
      </c>
      <c r="L278" s="467">
        <f t="shared" si="2"/>
        <v>0.07976378389</v>
      </c>
      <c r="M278" s="468">
        <v>45747.0</v>
      </c>
      <c r="N278" s="469">
        <f>IF(SUMIF(GRAFICO!A:A,M278,GRAFICO!B:B)=0,"",SUMIF(GRAFICO!A:A,M278,GRAFICO!B:B))</f>
        <v>14071.20796</v>
      </c>
      <c r="O278" s="467">
        <f t="shared" si="3"/>
        <v>0.0110574463</v>
      </c>
      <c r="P278" s="465">
        <v>46112.0</v>
      </c>
      <c r="Q278" s="463" t="str">
        <f>IF(SUMIF(GRAFICO!A:A,P278,GRAFICO!B:B)=0,"",SUMIF(GRAFICO!A:A,P278,GRAFICO!B:B))</f>
        <v/>
      </c>
      <c r="R278" s="463" t="str">
        <f t="shared" si="4"/>
        <v/>
      </c>
      <c r="S278" s="471">
        <f>CUENTAS!A267</f>
        <v>45835</v>
      </c>
      <c r="T278" s="459">
        <f>IF(CUENTAS!Q267/CUENTAS!$AB267&lt;&gt;0,CUENTAS!Q267/CUENTAS!$AB267,"")</f>
        <v>0.2222462978</v>
      </c>
      <c r="U278" s="459" t="str">
        <f>IF(CUENTAS!C267/CUENTAS!$AB267&lt;&gt;0,CUENTAS!C267/CUENTAS!$AB267,"")</f>
        <v/>
      </c>
      <c r="V278" s="459">
        <f>IF(CUENTAS!D267/CUENTAS!$AB267&lt;&gt;0,CUENTAS!D267/CUENTAS!$AB267,"")</f>
        <v>0.1023671222</v>
      </c>
      <c r="W278" s="459" t="str">
        <f>IF(CUENTAS!E267/CUENTAS!$AB267&lt;&gt;0,CUENTAS!E267/CUENTAS!$AB267,"")</f>
        <v/>
      </c>
      <c r="X278" s="459">
        <f>IF(CUENTAS!F267/CUENTAS!$AB267&lt;&gt;0,CUENTAS!F267/CUENTAS!$AB267,"")</f>
        <v>0.1989017456</v>
      </c>
      <c r="Y278" s="459" t="str">
        <f>IF(CUENTAS!G267/CUENTAS!$AB267&lt;&gt;0,CUENTAS!G267/CUENTAS!$AB267,"")</f>
        <v/>
      </c>
      <c r="Z278" s="459">
        <f>IF(CUENTAS!H267/CUENTAS!$AB267&lt;&gt;0,CUENTAS!H267/CUENTAS!$AB267,"")</f>
        <v>0.3791674538</v>
      </c>
      <c r="AA278" s="459" t="str">
        <f>IF(CUENTAS!I267/CUENTAS!$AB267&lt;&gt;0,CUENTAS!I267/CUENTAS!$AB267,"")</f>
        <v/>
      </c>
      <c r="AB278" s="459" t="str">
        <f>IF(CUENTAS!J267/CUENTAS!$AB267&lt;&gt;0,CUENTAS!J267/CUENTAS!$AB267,"")</f>
        <v/>
      </c>
      <c r="AC278" s="459">
        <f>IF(CUENTAS!K267/CUENTAS!$AB267&lt;&gt;0,CUENTAS!K267/CUENTAS!$AB267,"")</f>
        <v>0.1853922686</v>
      </c>
      <c r="AD278" s="459" t="str">
        <f>IF(CUENTAS!L267/CUENTAS!$AB267&lt;&gt;0,CUENTAS!L267/CUENTAS!$AB267,"")</f>
        <v/>
      </c>
      <c r="AE278" s="459">
        <f>IF(CUENTAS!M267/CUENTAS!$AB267&lt;&gt;0,CUENTAS!M267/CUENTAS!$AB267,"")</f>
        <v>0.3386610253</v>
      </c>
      <c r="AF278" s="459">
        <f>IF(CUENTAS!N267/CUENTAS!$AB267&lt;&gt;0,CUENTAS!N267/CUENTAS!$AB267,"")</f>
        <v>0.2182638624</v>
      </c>
      <c r="AG278" s="459" t="str">
        <f>IF(CUENTAS!O267/CUENTAS!$AB267&lt;&gt;0,CUENTAS!O267/CUENTAS!$AB267,"")</f>
        <v/>
      </c>
      <c r="AH278" s="459" t="str">
        <f>IF(CUENTAS!P267/CUENTAS!$AB267&lt;&gt;0,CUENTAS!P267/CUENTAS!$AB267,"")</f>
        <v/>
      </c>
      <c r="AI278" s="459">
        <f>IF(CUENTAS!R267/CUENTAS!$AB267&lt;&gt;0,CUENTAS!R267/CUENTAS!$AB267,"")</f>
        <v>0.1341141958</v>
      </c>
      <c r="AJ278" s="459" t="str">
        <f>IF(CUENTAS!B267/CUENTAS!$AB267&lt;&gt;0,CUENTAS!B267/CUENTAS!$AB267,"")</f>
        <v/>
      </c>
      <c r="AK278" s="459">
        <f>IF(CUENTAS!S267/CUENTAS!$AB267&lt;&gt;0,CUENTAS!S267/CUENTAS!$AB267,"")</f>
        <v>0.2430712045</v>
      </c>
      <c r="AL278" s="459">
        <f>IF(CUENTAS!T267/CUENTAS!$AB267&lt;&gt;0,CUENTAS!T267/CUENTAS!$AB267,"")</f>
        <v>0.184816539</v>
      </c>
      <c r="AM278" s="459">
        <f>IF(CUENTAS!U267/CUENTAS!$AB267&lt;&gt;0,CUENTAS!U267/CUENTAS!$AB267,"")</f>
        <v>0.2451863806</v>
      </c>
      <c r="AN278" s="459">
        <f>IF(CUENTAS!V267/CUENTAS!$AB267&lt;&gt;0,CUENTAS!V267/CUENTAS!$AB267,"")</f>
        <v>0.07441213536</v>
      </c>
      <c r="AO278" s="459" t="str">
        <f>IF(CUENTAS!W267/CUENTAS!$AB267&lt;&gt;0,CUENTAS!W267/CUENTAS!$AB267,"")</f>
        <v/>
      </c>
      <c r="AP278" s="459" t="str">
        <f>IF(CUENTAS!X267/CUENTAS!$AB267&lt;&gt;0,CUENTAS!X267/CUENTAS!$AB267,"")</f>
        <v/>
      </c>
      <c r="AQ278" s="459" t="str">
        <f>IF(CUENTAS!Y267/CUENTAS!$AB267&lt;&gt;0,CUENTAS!Y267/CUENTAS!$AB267,"")</f>
        <v/>
      </c>
      <c r="AR278" s="459">
        <f>IF(CUENTAS!AA267/CUENTAS!$AB267&lt;&gt;0,CUENTAS!AA267/CUENTAS!$AB267,"")</f>
        <v>0.2607633422</v>
      </c>
    </row>
    <row r="279">
      <c r="A279" s="474"/>
      <c r="B279" s="200"/>
      <c r="C279" s="200"/>
      <c r="F279" s="200"/>
      <c r="G279" s="200"/>
      <c r="J279" s="470">
        <v>45381.0</v>
      </c>
      <c r="K279" s="466">
        <f>SUMIF(GRAFICO!A:A,J279,GRAFICO!B:B)</f>
        <v>10916.4268</v>
      </c>
      <c r="L279" s="467">
        <f t="shared" si="2"/>
        <v>0.07761436798</v>
      </c>
      <c r="M279" s="468">
        <v>45746.0</v>
      </c>
      <c r="N279" s="469">
        <f>SUMIF(GRAFICO!A:A,M279,GRAFICO!B:B)</f>
        <v>14145.59488</v>
      </c>
      <c r="O279" s="467">
        <f t="shared" si="3"/>
        <v>0.01632998468</v>
      </c>
      <c r="P279" s="468">
        <v>46111.0</v>
      </c>
      <c r="Q279" s="463" t="str">
        <f>IF(SUMIF(GRAFICO!A:A,P279,GRAFICO!B:B)=0,"",SUMIF(GRAFICO!A:A,P279,GRAFICO!B:B))</f>
        <v/>
      </c>
      <c r="R279" s="463" t="str">
        <f t="shared" si="4"/>
        <v/>
      </c>
      <c r="S279" s="471">
        <f>CUENTAS!A268</f>
        <v>45834</v>
      </c>
      <c r="T279" s="459">
        <f>IF(CUENTAS!Q268/CUENTAS!$AB268&lt;&gt;0,CUENTAS!Q268/CUENTAS!$AB268,"")</f>
        <v>0.2718922599</v>
      </c>
      <c r="U279" s="459" t="str">
        <f>IF(CUENTAS!C268/CUENTAS!$AB268&lt;&gt;0,CUENTAS!C268/CUENTAS!$AB268,"")</f>
        <v/>
      </c>
      <c r="V279" s="459">
        <f>IF(CUENTAS!D268/CUENTAS!$AB268&lt;&gt;0,CUENTAS!D268/CUENTAS!$AB268,"")</f>
        <v>0.1209428802</v>
      </c>
      <c r="W279" s="459" t="str">
        <f>IF(CUENTAS!E268/CUENTAS!$AB268&lt;&gt;0,CUENTAS!E268/CUENTAS!$AB268,"")</f>
        <v/>
      </c>
      <c r="X279" s="459">
        <f>IF(CUENTAS!F268/CUENTAS!$AB268&lt;&gt;0,CUENTAS!F268/CUENTAS!$AB268,"")</f>
        <v>0.2293130044</v>
      </c>
      <c r="Y279" s="459" t="str">
        <f>IF(CUENTAS!G268/CUENTAS!$AB268&lt;&gt;0,CUENTAS!G268/CUENTAS!$AB268,"")</f>
        <v/>
      </c>
      <c r="Z279" s="459">
        <f>IF(CUENTAS!H268/CUENTAS!$AB268&lt;&gt;0,CUENTAS!H268/CUENTAS!$AB268,"")</f>
        <v>0.4455968607</v>
      </c>
      <c r="AA279" s="459" t="str">
        <f>IF(CUENTAS!I268/CUENTAS!$AB268&lt;&gt;0,CUENTAS!I268/CUENTAS!$AB268,"")</f>
        <v/>
      </c>
      <c r="AB279" s="459" t="str">
        <f>IF(CUENTAS!J268/CUENTAS!$AB268&lt;&gt;0,CUENTAS!J268/CUENTAS!$AB268,"")</f>
        <v/>
      </c>
      <c r="AC279" s="459">
        <f>IF(CUENTAS!K268/CUENTAS!$AB268&lt;&gt;0,CUENTAS!K268/CUENTAS!$AB268,"")</f>
        <v>0.218802825</v>
      </c>
      <c r="AD279" s="459" t="str">
        <f>IF(CUENTAS!L268/CUENTAS!$AB268&lt;&gt;0,CUENTAS!L268/CUENTAS!$AB268,"")</f>
        <v/>
      </c>
      <c r="AE279" s="459">
        <f>IF(CUENTAS!M268/CUENTAS!$AB268&lt;&gt;0,CUENTAS!M268/CUENTAS!$AB268,"")</f>
        <v>0.4010892913</v>
      </c>
      <c r="AF279" s="459">
        <f>IF(CUENTAS!N268/CUENTAS!$AB268&lt;&gt;0,CUENTAS!N268/CUENTAS!$AB268,"")</f>
        <v>0.2584982958</v>
      </c>
      <c r="AG279" s="459" t="str">
        <f>IF(CUENTAS!O268/CUENTAS!$AB268&lt;&gt;0,CUENTAS!O268/CUENTAS!$AB268,"")</f>
        <v/>
      </c>
      <c r="AH279" s="459" t="str">
        <f>IF(CUENTAS!P268/CUENTAS!$AB268&lt;&gt;0,CUENTAS!P268/CUENTAS!$AB268,"")</f>
        <v/>
      </c>
      <c r="AI279" s="459">
        <f>IF(CUENTAS!R268/CUENTAS!$AB268&lt;&gt;0,CUENTAS!R268/CUENTAS!$AB268,"")</f>
        <v>0.1588366057</v>
      </c>
      <c r="AJ279" s="459" t="str">
        <f>IF(CUENTAS!B268/CUENTAS!$AB268&lt;&gt;0,CUENTAS!B268/CUENTAS!$AB268,"")</f>
        <v/>
      </c>
      <c r="AK279" s="459">
        <f>IF(CUENTAS!S268/CUENTAS!$AB268&lt;&gt;0,CUENTAS!S268/CUENTAS!$AB268,"")</f>
        <v>0.2872098229</v>
      </c>
      <c r="AL279" s="459">
        <f>IF(CUENTAS!T268/CUENTAS!$AB268&lt;&gt;0,CUENTAS!T268/CUENTAS!$AB268,"")</f>
        <v>0.2188549416</v>
      </c>
      <c r="AM279" s="459">
        <f>IF(CUENTAS!U268/CUENTAS!$AB268&lt;&gt;0,CUENTAS!U268/CUENTAS!$AB268,"")</f>
        <v>0.2896906309</v>
      </c>
      <c r="AN279" s="459">
        <f>IF(CUENTAS!V268/CUENTAS!$AB268&lt;&gt;0,CUENTAS!V268/CUENTAS!$AB268,"")</f>
        <v>0.0881291569</v>
      </c>
      <c r="AO279" s="459" t="str">
        <f>IF(CUENTAS!W268/CUENTAS!$AB268&lt;&gt;0,CUENTAS!W268/CUENTAS!$AB268,"")</f>
        <v/>
      </c>
      <c r="AP279" s="459" t="str">
        <f>IF(CUENTAS!X268/CUENTAS!$AB268&lt;&gt;0,CUENTAS!X268/CUENTAS!$AB268,"")</f>
        <v/>
      </c>
      <c r="AQ279" s="459" t="str">
        <f>IF(CUENTAS!Y268/CUENTAS!$AB268&lt;&gt;0,CUENTAS!Y268/CUENTAS!$AB268,"")</f>
        <v/>
      </c>
      <c r="AR279" s="459">
        <f>IF(CUENTAS!AA268/CUENTAS!$AB268&lt;&gt;0,CUENTAS!AA268/CUENTAS!$AB268,"")</f>
        <v>0.1193969405</v>
      </c>
    </row>
    <row r="280">
      <c r="A280" s="474"/>
      <c r="B280" s="200"/>
      <c r="C280" s="200"/>
      <c r="F280" s="200"/>
      <c r="G280" s="200"/>
      <c r="J280" s="470">
        <v>45380.0</v>
      </c>
      <c r="K280" s="466">
        <f>SUMIF(GRAFICO!A:A,J280,GRAFICO!B:B)</f>
        <v>10892.93762</v>
      </c>
      <c r="L280" s="467">
        <f t="shared" si="2"/>
        <v>0.07546032213</v>
      </c>
      <c r="M280" s="468">
        <v>45745.0</v>
      </c>
      <c r="N280" s="469">
        <f>SUMIF(GRAFICO!A:A,M280,GRAFICO!B:B)</f>
        <v>14142.49379</v>
      </c>
      <c r="O280" s="467">
        <f t="shared" si="3"/>
        <v>0.01611073449</v>
      </c>
      <c r="P280" s="465">
        <v>46110.0</v>
      </c>
      <c r="Q280" s="463" t="str">
        <f>IF(SUMIF(GRAFICO!A:A,P280,GRAFICO!B:B)=0,"",SUMIF(GRAFICO!A:A,P280,GRAFICO!B:B))</f>
        <v/>
      </c>
      <c r="R280" s="463" t="str">
        <f t="shared" si="4"/>
        <v/>
      </c>
      <c r="S280" s="471">
        <f>CUENTAS!A269</f>
        <v>45833</v>
      </c>
      <c r="T280" s="459">
        <f>IF(CUENTAS!Q269/CUENTAS!$AB269&lt;&gt;0,CUENTAS!Q269/CUENTAS!$AB269,"")</f>
        <v>0.2769697713</v>
      </c>
      <c r="U280" s="459" t="str">
        <f>IF(CUENTAS!C269/CUENTAS!$AB269&lt;&gt;0,CUENTAS!C269/CUENTAS!$AB269,"")</f>
        <v/>
      </c>
      <c r="V280" s="459">
        <f>IF(CUENTAS!D269/CUENTAS!$AB269&lt;&gt;0,CUENTAS!D269/CUENTAS!$AB269,"")</f>
        <v>0.1216078116</v>
      </c>
      <c r="W280" s="459" t="str">
        <f>IF(CUENTAS!E269/CUENTAS!$AB269&lt;&gt;0,CUENTAS!E269/CUENTAS!$AB269,"")</f>
        <v/>
      </c>
      <c r="X280" s="459">
        <f>IF(CUENTAS!F269/CUENTAS!$AB269&lt;&gt;0,CUENTAS!F269/CUENTAS!$AB269,"")</f>
        <v>0.2311364616</v>
      </c>
      <c r="Y280" s="459" t="str">
        <f>IF(CUENTAS!G269/CUENTAS!$AB269&lt;&gt;0,CUENTAS!G269/CUENTAS!$AB269,"")</f>
        <v/>
      </c>
      <c r="Z280" s="459">
        <f>IF(CUENTAS!H269/CUENTAS!$AB269&lt;&gt;0,CUENTAS!H269/CUENTAS!$AB269,"")</f>
        <v>0.4408227591</v>
      </c>
      <c r="AA280" s="459" t="str">
        <f>IF(CUENTAS!I269/CUENTAS!$AB269&lt;&gt;0,CUENTAS!I269/CUENTAS!$AB269,"")</f>
        <v/>
      </c>
      <c r="AB280" s="459" t="str">
        <f>IF(CUENTAS!J269/CUENTAS!$AB269&lt;&gt;0,CUENTAS!J269/CUENTAS!$AB269,"")</f>
        <v/>
      </c>
      <c r="AC280" s="459">
        <f>IF(CUENTAS!K269/CUENTAS!$AB269&lt;&gt;0,CUENTAS!K269/CUENTAS!$AB269,"")</f>
        <v>0.2168830464</v>
      </c>
      <c r="AD280" s="459" t="str">
        <f>IF(CUENTAS!L269/CUENTAS!$AB269&lt;&gt;0,CUENTAS!L269/CUENTAS!$AB269,"")</f>
        <v/>
      </c>
      <c r="AE280" s="459">
        <f>IF(CUENTAS!M269/CUENTAS!$AB269&lt;&gt;0,CUENTAS!M269/CUENTAS!$AB269,"")</f>
        <v>0.4047339525</v>
      </c>
      <c r="AF280" s="459">
        <f>IF(CUENTAS!N269/CUENTAS!$AB269&lt;&gt;0,CUENTAS!N269/CUENTAS!$AB269,"")</f>
        <v>0.2605538294</v>
      </c>
      <c r="AG280" s="459" t="str">
        <f>IF(CUENTAS!O269/CUENTAS!$AB269&lt;&gt;0,CUENTAS!O269/CUENTAS!$AB269,"")</f>
        <v/>
      </c>
      <c r="AH280" s="459" t="str">
        <f>IF(CUENTAS!P269/CUENTAS!$AB269&lt;&gt;0,CUENTAS!P269/CUENTAS!$AB269,"")</f>
        <v/>
      </c>
      <c r="AI280" s="459">
        <f>IF(CUENTAS!R269/CUENTAS!$AB269&lt;&gt;0,CUENTAS!R269/CUENTAS!$AB269,"")</f>
        <v>0.1600996469</v>
      </c>
      <c r="AJ280" s="459" t="str">
        <f>IF(CUENTAS!B269/CUENTAS!$AB269&lt;&gt;0,CUENTAS!B269/CUENTAS!$AB269,"")</f>
        <v/>
      </c>
      <c r="AK280" s="459">
        <f>IF(CUENTAS!S269/CUENTAS!$AB269&lt;&gt;0,CUENTAS!S269/CUENTAS!$AB269,"")</f>
        <v>0.2888195844</v>
      </c>
      <c r="AL280" s="459">
        <f>IF(CUENTAS!T269/CUENTAS!$AB269&lt;&gt;0,CUENTAS!T269/CUENTAS!$AB269,"")</f>
        <v>0.220564595</v>
      </c>
      <c r="AM280" s="459">
        <f>IF(CUENTAS!U269/CUENTAS!$AB269&lt;&gt;0,CUENTAS!U269/CUENTAS!$AB269,"")</f>
        <v>0.2912956497</v>
      </c>
      <c r="AN280" s="459">
        <f>IF(CUENTAS!V269/CUENTAS!$AB269&lt;&gt;0,CUENTAS!V269/CUENTAS!$AB269,"")</f>
        <v>0.08882994466</v>
      </c>
      <c r="AO280" s="459" t="str">
        <f>IF(CUENTAS!W269/CUENTAS!$AB269&lt;&gt;0,CUENTAS!W269/CUENTAS!$AB269,"")</f>
        <v/>
      </c>
      <c r="AP280" s="459" t="str">
        <f>IF(CUENTAS!X269/CUENTAS!$AB269&lt;&gt;0,CUENTAS!X269/CUENTAS!$AB269,"")</f>
        <v/>
      </c>
      <c r="AQ280" s="459" t="str">
        <f>IF(CUENTAS!Y269/CUENTAS!$AB269&lt;&gt;0,CUENTAS!Y269/CUENTAS!$AB269,"")</f>
        <v/>
      </c>
      <c r="AR280" s="459">
        <f>IF(CUENTAS!AA269/CUENTAS!$AB269&lt;&gt;0,CUENTAS!AA269/CUENTAS!$AB269,"")</f>
        <v>0.1203463643</v>
      </c>
    </row>
    <row r="281">
      <c r="A281" s="474"/>
      <c r="B281" s="200"/>
      <c r="C281" s="200"/>
      <c r="F281" s="200"/>
      <c r="G281" s="200"/>
      <c r="J281" s="465">
        <v>45379.0</v>
      </c>
      <c r="K281" s="466">
        <f>SUMIF(GRAFICO!A:A,J281,GRAFICO!B:B)</f>
        <v>10869.44845</v>
      </c>
      <c r="L281" s="467">
        <f t="shared" si="2"/>
        <v>0.07330162635</v>
      </c>
      <c r="M281" s="468">
        <v>45744.0</v>
      </c>
      <c r="N281" s="469">
        <f>SUMIF(GRAFICO!A:A,M281,GRAFICO!B:B)</f>
        <v>14139.39256</v>
      </c>
      <c r="O281" s="467">
        <f t="shared" si="3"/>
        <v>0.01589142579</v>
      </c>
      <c r="P281" s="468">
        <v>46109.0</v>
      </c>
      <c r="Q281" s="463" t="str">
        <f>IF(SUMIF(GRAFICO!A:A,P281,GRAFICO!B:B)=0,"",SUMIF(GRAFICO!A:A,P281,GRAFICO!B:B))</f>
        <v/>
      </c>
      <c r="R281" s="463" t="str">
        <f t="shared" si="4"/>
        <v/>
      </c>
      <c r="S281" s="471">
        <f>CUENTAS!A270</f>
        <v>45832</v>
      </c>
      <c r="T281" s="459">
        <f>IF(CUENTAS!Q270/CUENTAS!$AB270&lt;&gt;0,CUENTAS!Q270/CUENTAS!$AB270,"")</f>
        <v>0.2781954958</v>
      </c>
      <c r="U281" s="459" t="str">
        <f>IF(CUENTAS!C270/CUENTAS!$AB270&lt;&gt;0,CUENTAS!C270/CUENTAS!$AB270,"")</f>
        <v/>
      </c>
      <c r="V281" s="459">
        <f>IF(CUENTAS!D270/CUENTAS!$AB270&lt;&gt;0,CUENTAS!D270/CUENTAS!$AB270,"")</f>
        <v>0.1205786372</v>
      </c>
      <c r="W281" s="459" t="str">
        <f>IF(CUENTAS!E270/CUENTAS!$AB270&lt;&gt;0,CUENTAS!E270/CUENTAS!$AB270,"")</f>
        <v/>
      </c>
      <c r="X281" s="459">
        <f>IF(CUENTAS!F270/CUENTAS!$AB270&lt;&gt;0,CUENTAS!F270/CUENTAS!$AB270,"")</f>
        <v>0.2297410251</v>
      </c>
      <c r="Y281" s="459" t="str">
        <f>IF(CUENTAS!G270/CUENTAS!$AB270&lt;&gt;0,CUENTAS!G270/CUENTAS!$AB270,"")</f>
        <v/>
      </c>
      <c r="Z281" s="459">
        <f>IF(CUENTAS!H270/CUENTAS!$AB270&lt;&gt;0,CUENTAS!H270/CUENTAS!$AB270,"")</f>
        <v>0.446097895</v>
      </c>
      <c r="AA281" s="459" t="str">
        <f>IF(CUENTAS!I270/CUENTAS!$AB270&lt;&gt;0,CUENTAS!I270/CUENTAS!$AB270,"")</f>
        <v/>
      </c>
      <c r="AB281" s="459" t="str">
        <f>IF(CUENTAS!J270/CUENTAS!$AB270&lt;&gt;0,CUENTAS!J270/CUENTAS!$AB270,"")</f>
        <v/>
      </c>
      <c r="AC281" s="459">
        <f>IF(CUENTAS!K270/CUENTAS!$AB270&lt;&gt;0,CUENTAS!K270/CUENTAS!$AB270,"")</f>
        <v>0.2119360956</v>
      </c>
      <c r="AD281" s="459" t="str">
        <f>IF(CUENTAS!L270/CUENTAS!$AB270&lt;&gt;0,CUENTAS!L270/CUENTAS!$AB270,"")</f>
        <v/>
      </c>
      <c r="AE281" s="459">
        <f>IF(CUENTAS!M270/CUENTAS!$AB270&lt;&gt;0,CUENTAS!M270/CUENTAS!$AB270,"")</f>
        <v>0.4004803778</v>
      </c>
      <c r="AF281" s="459">
        <f>IF(CUENTAS!N270/CUENTAS!$AB270&lt;&gt;0,CUENTAS!N270/CUENTAS!$AB270,"")</f>
        <v>0.2589807919</v>
      </c>
      <c r="AG281" s="459" t="str">
        <f>IF(CUENTAS!O270/CUENTAS!$AB270&lt;&gt;0,CUENTAS!O270/CUENTAS!$AB270,"")</f>
        <v/>
      </c>
      <c r="AH281" s="459" t="str">
        <f>IF(CUENTAS!P270/CUENTAS!$AB270&lt;&gt;0,CUENTAS!P270/CUENTAS!$AB270,"")</f>
        <v/>
      </c>
      <c r="AI281" s="459">
        <f>IF(CUENTAS!R270/CUENTAS!$AB270&lt;&gt;0,CUENTAS!R270/CUENTAS!$AB270,"")</f>
        <v>0.1591330798</v>
      </c>
      <c r="AJ281" s="459" t="str">
        <f>IF(CUENTAS!B270/CUENTAS!$AB270&lt;&gt;0,CUENTAS!B270/CUENTAS!$AB270,"")</f>
        <v/>
      </c>
      <c r="AK281" s="459">
        <f>IF(CUENTAS!S270/CUENTAS!$AB270&lt;&gt;0,CUENTAS!S270/CUENTAS!$AB270,"")</f>
        <v>0.2864058869</v>
      </c>
      <c r="AL281" s="459">
        <f>IF(CUENTAS!T270/CUENTAS!$AB270&lt;&gt;0,CUENTAS!T270/CUENTAS!$AB270,"")</f>
        <v>0.2192025258</v>
      </c>
      <c r="AM281" s="459">
        <f>IF(CUENTAS!U270/CUENTAS!$AB270&lt;&gt;0,CUENTAS!U270/CUENTAS!$AB270,"")</f>
        <v>0.2888426817</v>
      </c>
      <c r="AN281" s="459">
        <f>IF(CUENTAS!V270/CUENTAS!$AB270&lt;&gt;0,CUENTAS!V270/CUENTAS!$AB270,"")</f>
        <v>0.08829365304</v>
      </c>
      <c r="AO281" s="459" t="str">
        <f>IF(CUENTAS!W270/CUENTAS!$AB270&lt;&gt;0,CUENTAS!W270/CUENTAS!$AB270,"")</f>
        <v/>
      </c>
      <c r="AP281" s="459" t="str">
        <f>IF(CUENTAS!X270/CUENTAS!$AB270&lt;&gt;0,CUENTAS!X270/CUENTAS!$AB270,"")</f>
        <v/>
      </c>
      <c r="AQ281" s="459" t="str">
        <f>IF(CUENTAS!Y270/CUENTAS!$AB270&lt;&gt;0,CUENTAS!Y270/CUENTAS!$AB270,"")</f>
        <v/>
      </c>
      <c r="AR281" s="459">
        <f>IF(CUENTAS!AA270/CUENTAS!$AB270&lt;&gt;0,CUENTAS!AA270/CUENTAS!$AB270,"")</f>
        <v>0.1196197991</v>
      </c>
    </row>
    <row r="282">
      <c r="A282" s="474"/>
      <c r="B282" s="200"/>
      <c r="C282" s="200"/>
      <c r="F282" s="200"/>
      <c r="G282" s="200"/>
      <c r="J282" s="465">
        <v>45378.0</v>
      </c>
      <c r="K282" s="466">
        <f>SUMIF(GRAFICO!A:A,J282,GRAFICO!B:B)</f>
        <v>10845.95927</v>
      </c>
      <c r="L282" s="467">
        <f t="shared" si="2"/>
        <v>0.07113826052</v>
      </c>
      <c r="M282" s="468">
        <v>45743.0</v>
      </c>
      <c r="N282" s="469">
        <f>SUMIF(GRAFICO!A:A,M282,GRAFICO!B:B)</f>
        <v>14513.18008</v>
      </c>
      <c r="O282" s="467">
        <f t="shared" si="3"/>
        <v>0.04198393266</v>
      </c>
      <c r="P282" s="465">
        <v>46108.0</v>
      </c>
      <c r="Q282" s="463" t="str">
        <f>IF(SUMIF(GRAFICO!A:A,P282,GRAFICO!B:B)=0,"",SUMIF(GRAFICO!A:A,P282,GRAFICO!B:B))</f>
        <v/>
      </c>
      <c r="R282" s="463" t="str">
        <f t="shared" si="4"/>
        <v/>
      </c>
      <c r="S282" s="471">
        <f>CUENTAS!A271</f>
        <v>45831</v>
      </c>
      <c r="T282" s="459">
        <f>IF(CUENTAS!Q271/CUENTAS!$AB271&lt;&gt;0,CUENTAS!Q271/CUENTAS!$AB271,"")</f>
        <v>0.2938587403</v>
      </c>
      <c r="U282" s="459" t="str">
        <f>IF(CUENTAS!C271/CUENTAS!$AB271&lt;&gt;0,CUENTAS!C271/CUENTAS!$AB271,"")</f>
        <v/>
      </c>
      <c r="V282" s="459">
        <f>IF(CUENTAS!D271/CUENTAS!$AB271&lt;&gt;0,CUENTAS!D271/CUENTAS!$AB271,"")</f>
        <v>0.1219737361</v>
      </c>
      <c r="W282" s="459" t="str">
        <f>IF(CUENTAS!E271/CUENTAS!$AB271&lt;&gt;0,CUENTAS!E271/CUENTAS!$AB271,"")</f>
        <v/>
      </c>
      <c r="X282" s="459">
        <f>IF(CUENTAS!F271/CUENTAS!$AB271&lt;&gt;0,CUENTAS!F271/CUENTAS!$AB271,"")</f>
        <v>0.2316983509</v>
      </c>
      <c r="Y282" s="459" t="str">
        <f>IF(CUENTAS!G271/CUENTAS!$AB271&lt;&gt;0,CUENTAS!G271/CUENTAS!$AB271,"")</f>
        <v/>
      </c>
      <c r="Z282" s="459">
        <f>IF(CUENTAS!H271/CUENTAS!$AB271&lt;&gt;0,CUENTAS!H271/CUENTAS!$AB271,"")</f>
        <v>0.418329537</v>
      </c>
      <c r="AA282" s="459" t="str">
        <f>IF(CUENTAS!I271/CUENTAS!$AB271&lt;&gt;0,CUENTAS!I271/CUENTAS!$AB271,"")</f>
        <v/>
      </c>
      <c r="AB282" s="459" t="str">
        <f>IF(CUENTAS!J271/CUENTAS!$AB271&lt;&gt;0,CUENTAS!J271/CUENTAS!$AB271,"")</f>
        <v/>
      </c>
      <c r="AC282" s="459">
        <f>IF(CUENTAS!K271/CUENTAS!$AB271&lt;&gt;0,CUENTAS!K271/CUENTAS!$AB271,"")</f>
        <v>0.2224854823</v>
      </c>
      <c r="AD282" s="459" t="str">
        <f>IF(CUENTAS!L271/CUENTAS!$AB271&lt;&gt;0,CUENTAS!L271/CUENTAS!$AB271,"")</f>
        <v/>
      </c>
      <c r="AE282" s="459">
        <f>IF(CUENTAS!M271/CUENTAS!$AB271&lt;&gt;0,CUENTAS!M271/CUENTAS!$AB271,"")</f>
        <v>0.4061074843</v>
      </c>
      <c r="AF282" s="459">
        <f>IF(CUENTAS!N271/CUENTAS!$AB271&lt;&gt;0,CUENTAS!N271/CUENTAS!$AB271,"")</f>
        <v>0.262619703</v>
      </c>
      <c r="AG282" s="459" t="str">
        <f>IF(CUENTAS!O271/CUENTAS!$AB271&lt;&gt;0,CUENTAS!O271/CUENTAS!$AB271,"")</f>
        <v/>
      </c>
      <c r="AH282" s="459" t="str">
        <f>IF(CUENTAS!P271/CUENTAS!$AB271&lt;&gt;0,CUENTAS!P271/CUENTAS!$AB271,"")</f>
        <v/>
      </c>
      <c r="AI282" s="459">
        <f>IF(CUENTAS!R271/CUENTAS!$AB271&lt;&gt;0,CUENTAS!R271/CUENTAS!$AB271,"")</f>
        <v>0.1613690415</v>
      </c>
      <c r="AJ282" s="459" t="str">
        <f>IF(CUENTAS!B271/CUENTAS!$AB271&lt;&gt;0,CUENTAS!B271/CUENTAS!$AB271,"")</f>
        <v/>
      </c>
      <c r="AK282" s="459">
        <f>IF(CUENTAS!S271/CUENTAS!$AB271&lt;&gt;0,CUENTAS!S271/CUENTAS!$AB271,"")</f>
        <v>0.2897507193</v>
      </c>
      <c r="AL282" s="459">
        <f>IF(CUENTAS!T271/CUENTAS!$AB271&lt;&gt;0,CUENTAS!T271/CUENTAS!$AB271,"")</f>
        <v>0.2222516307</v>
      </c>
      <c r="AM282" s="459">
        <f>IF(CUENTAS!U271/CUENTAS!$AB271&lt;&gt;0,CUENTAS!U271/CUENTAS!$AB271,"")</f>
        <v>0.2921970897</v>
      </c>
      <c r="AN282" s="459">
        <f>IF(CUENTAS!V271/CUENTAS!$AB271&lt;&gt;0,CUENTAS!V271/CUENTAS!$AB271,"")</f>
        <v>0.08953425763</v>
      </c>
      <c r="AO282" s="459" t="str">
        <f>IF(CUENTAS!W271/CUENTAS!$AB271&lt;&gt;0,CUENTAS!W271/CUENTAS!$AB271,"")</f>
        <v/>
      </c>
      <c r="AP282" s="459" t="str">
        <f>IF(CUENTAS!X271/CUENTAS!$AB271&lt;&gt;0,CUENTAS!X271/CUENTAS!$AB271,"")</f>
        <v/>
      </c>
      <c r="AQ282" s="459" t="str">
        <f>IF(CUENTAS!Y271/CUENTAS!$AB271&lt;&gt;0,CUENTAS!Y271/CUENTAS!$AB271,"")</f>
        <v/>
      </c>
      <c r="AR282" s="459">
        <f>IF(CUENTAS!AA271/CUENTAS!$AB271&lt;&gt;0,CUENTAS!AA271/CUENTAS!$AB271,"")</f>
        <v>0.1213005639</v>
      </c>
    </row>
    <row r="283">
      <c r="A283" s="474"/>
      <c r="B283" s="200"/>
      <c r="C283" s="200"/>
      <c r="F283" s="200"/>
      <c r="G283" s="200"/>
      <c r="J283" s="465">
        <v>45377.0</v>
      </c>
      <c r="K283" s="466">
        <f>SUMIF(GRAFICO!A:A,J283,GRAFICO!B:B)</f>
        <v>10822.47009</v>
      </c>
      <c r="L283" s="467">
        <f t="shared" si="2"/>
        <v>0.06897020439</v>
      </c>
      <c r="M283" s="468">
        <v>45742.0</v>
      </c>
      <c r="N283" s="469">
        <f>SUMIF(GRAFICO!A:A,M283,GRAFICO!B:B)</f>
        <v>14440.75665</v>
      </c>
      <c r="O283" s="467">
        <f t="shared" si="3"/>
        <v>0.036981257</v>
      </c>
      <c r="P283" s="468">
        <v>46107.0</v>
      </c>
      <c r="Q283" s="463" t="str">
        <f>IF(SUMIF(GRAFICO!A:A,P283,GRAFICO!B:B)=0,"",SUMIF(GRAFICO!A:A,P283,GRAFICO!B:B))</f>
        <v/>
      </c>
      <c r="R283" s="463" t="str">
        <f t="shared" si="4"/>
        <v/>
      </c>
      <c r="S283" s="471">
        <f>CUENTAS!A272</f>
        <v>45830</v>
      </c>
      <c r="T283" s="459">
        <f>IF(CUENTAS!Q272/CUENTAS!$AB272&lt;&gt;0,CUENTAS!Q272/CUENTAS!$AB272,"")</f>
        <v>0.2936650112</v>
      </c>
      <c r="U283" s="459" t="str">
        <f>IF(CUENTAS!C272/CUENTAS!$AB272&lt;&gt;0,CUENTAS!C272/CUENTAS!$AB272,"")</f>
        <v/>
      </c>
      <c r="V283" s="459">
        <f>IF(CUENTAS!D272/CUENTAS!$AB272&lt;&gt;0,CUENTAS!D272/CUENTAS!$AB272,"")</f>
        <v>0.1215943825</v>
      </c>
      <c r="W283" s="459" t="str">
        <f>IF(CUENTAS!E272/CUENTAS!$AB272&lt;&gt;0,CUENTAS!E272/CUENTAS!$AB272,"")</f>
        <v/>
      </c>
      <c r="X283" s="459">
        <f>IF(CUENTAS!F272/CUENTAS!$AB272&lt;&gt;0,CUENTAS!F272/CUENTAS!$AB272,"")</f>
        <v>0.2256193888</v>
      </c>
      <c r="Y283" s="459" t="str">
        <f>IF(CUENTAS!G272/CUENTAS!$AB272&lt;&gt;0,CUENTAS!G272/CUENTAS!$AB272,"")</f>
        <v/>
      </c>
      <c r="Z283" s="459">
        <f>IF(CUENTAS!H272/CUENTAS!$AB272&lt;&gt;0,CUENTAS!H272/CUENTAS!$AB272,"")</f>
        <v>0.4180537494</v>
      </c>
      <c r="AA283" s="459" t="str">
        <f>IF(CUENTAS!I272/CUENTAS!$AB272&lt;&gt;0,CUENTAS!I272/CUENTAS!$AB272,"")</f>
        <v/>
      </c>
      <c r="AB283" s="459" t="str">
        <f>IF(CUENTAS!J272/CUENTAS!$AB272&lt;&gt;0,CUENTAS!J272/CUENTAS!$AB272,"")</f>
        <v/>
      </c>
      <c r="AC283" s="459">
        <f>IF(CUENTAS!K272/CUENTAS!$AB272&lt;&gt;0,CUENTAS!K272/CUENTAS!$AB272,"")</f>
        <v>0.2223388067</v>
      </c>
      <c r="AD283" s="459" t="str">
        <f>IF(CUENTAS!L272/CUENTAS!$AB272&lt;&gt;0,CUENTAS!L272/CUENTAS!$AB272,"")</f>
        <v/>
      </c>
      <c r="AE283" s="459">
        <f>IF(CUENTAS!M272/CUENTAS!$AB272&lt;&gt;0,CUENTAS!M272/CUENTAS!$AB272,"")</f>
        <v>0.4058397542</v>
      </c>
      <c r="AF283" s="459">
        <f>IF(CUENTAS!N272/CUENTAS!$AB272&lt;&gt;0,CUENTAS!N272/CUENTAS!$AB272,"")</f>
        <v>0.2624465686</v>
      </c>
      <c r="AG283" s="459" t="str">
        <f>IF(CUENTAS!O272/CUENTAS!$AB272&lt;&gt;0,CUENTAS!O272/CUENTAS!$AB272,"")</f>
        <v/>
      </c>
      <c r="AH283" s="459" t="str">
        <f>IF(CUENTAS!P272/CUENTAS!$AB272&lt;&gt;0,CUENTAS!P272/CUENTAS!$AB272,"")</f>
        <v/>
      </c>
      <c r="AI283" s="459">
        <f>IF(CUENTAS!R272/CUENTAS!$AB272&lt;&gt;0,CUENTAS!R272/CUENTAS!$AB272,"")</f>
        <v>0.1612626575</v>
      </c>
      <c r="AJ283" s="459" t="str">
        <f>IF(CUENTAS!B272/CUENTAS!$AB272&lt;&gt;0,CUENTAS!B272/CUENTAS!$AB272,"")</f>
        <v/>
      </c>
      <c r="AK283" s="459">
        <f>IF(CUENTAS!S272/CUENTAS!$AB272&lt;&gt;0,CUENTAS!S272/CUENTAS!$AB272,"")</f>
        <v>0.2888807206</v>
      </c>
      <c r="AL283" s="459">
        <f>IF(CUENTAS!T272/CUENTAS!$AB272&lt;&gt;0,CUENTAS!T272/CUENTAS!$AB272,"")</f>
        <v>0.2220742436</v>
      </c>
      <c r="AM283" s="459">
        <f>IF(CUENTAS!U272/CUENTAS!$AB272&lt;&gt;0,CUENTAS!U272/CUENTAS!$AB272,"")</f>
        <v>0.2913008309</v>
      </c>
      <c r="AN283" s="459">
        <f>IF(CUENTAS!V272/CUENTAS!$AB272&lt;&gt;0,CUENTAS!V272/CUENTAS!$AB272,"")</f>
        <v>0.08947523134</v>
      </c>
      <c r="AO283" s="459" t="str">
        <f>IF(CUENTAS!W272/CUENTAS!$AB272&lt;&gt;0,CUENTAS!W272/CUENTAS!$AB272,"")</f>
        <v/>
      </c>
      <c r="AP283" s="459" t="str">
        <f>IF(CUENTAS!X272/CUENTAS!$AB272&lt;&gt;0,CUENTAS!X272/CUENTAS!$AB272,"")</f>
        <v/>
      </c>
      <c r="AQ283" s="459" t="str">
        <f>IF(CUENTAS!Y272/CUENTAS!$AB272&lt;&gt;0,CUENTAS!Y272/CUENTAS!$AB272,"")</f>
        <v/>
      </c>
      <c r="AR283" s="459">
        <f>IF(CUENTAS!AA272/CUENTAS!$AB272&lt;&gt;0,CUENTAS!AA272/CUENTAS!$AB272,"")</f>
        <v>0.1212205954</v>
      </c>
    </row>
    <row r="284">
      <c r="A284" s="474"/>
      <c r="B284" s="200"/>
      <c r="C284" s="200"/>
      <c r="F284" s="200"/>
      <c r="G284" s="200"/>
      <c r="J284" s="470">
        <v>45376.0</v>
      </c>
      <c r="K284" s="466">
        <f>SUMIF(GRAFICO!A:A,J284,GRAFICO!B:B)</f>
        <v>10798.98092</v>
      </c>
      <c r="L284" s="467">
        <f t="shared" si="2"/>
        <v>0.06679743758</v>
      </c>
      <c r="M284" s="468">
        <v>45741.0</v>
      </c>
      <c r="N284" s="469">
        <f>SUMIF(GRAFICO!A:A,M284,GRAFICO!B:B)</f>
        <v>14569.26133</v>
      </c>
      <c r="O284" s="467">
        <f t="shared" si="3"/>
        <v>0.04584064608</v>
      </c>
      <c r="P284" s="465">
        <v>46106.0</v>
      </c>
      <c r="Q284" s="463" t="str">
        <f>IF(SUMIF(GRAFICO!A:A,P284,GRAFICO!B:B)=0,"",SUMIF(GRAFICO!A:A,P284,GRAFICO!B:B))</f>
        <v/>
      </c>
      <c r="R284" s="463" t="str">
        <f t="shared" si="4"/>
        <v/>
      </c>
      <c r="S284" s="471">
        <f>CUENTAS!A273</f>
        <v>45829</v>
      </c>
      <c r="T284" s="459">
        <f>IF(CUENTAS!Q273/CUENTAS!$AB273&lt;&gt;0,CUENTAS!Q273/CUENTAS!$AB273,"")</f>
        <v>0.2934715374</v>
      </c>
      <c r="U284" s="459" t="str">
        <f>IF(CUENTAS!C273/CUENTAS!$AB273&lt;&gt;0,CUENTAS!C273/CUENTAS!$AB273,"")</f>
        <v/>
      </c>
      <c r="V284" s="459">
        <f>IF(CUENTAS!D273/CUENTAS!$AB273&lt;&gt;0,CUENTAS!D273/CUENTAS!$AB273,"")</f>
        <v>0.1212155287</v>
      </c>
      <c r="W284" s="459" t="str">
        <f>IF(CUENTAS!E273/CUENTAS!$AB273&lt;&gt;0,CUENTAS!E273/CUENTAS!$AB273,"")</f>
        <v/>
      </c>
      <c r="X284" s="459">
        <f>IF(CUENTAS!F273/CUENTAS!$AB273&lt;&gt;0,CUENTAS!F273/CUENTAS!$AB273,"")</f>
        <v>0.2225095909</v>
      </c>
      <c r="Y284" s="459" t="str">
        <f>IF(CUENTAS!G273/CUENTAS!$AB273&lt;&gt;0,CUENTAS!G273/CUENTAS!$AB273,"")</f>
        <v/>
      </c>
      <c r="Z284" s="459">
        <f>IF(CUENTAS!H273/CUENTAS!$AB273&lt;&gt;0,CUENTAS!H273/CUENTAS!$AB273,"")</f>
        <v>0.4177783252</v>
      </c>
      <c r="AA284" s="459" t="str">
        <f>IF(CUENTAS!I273/CUENTAS!$AB273&lt;&gt;0,CUENTAS!I273/CUENTAS!$AB273,"")</f>
        <v/>
      </c>
      <c r="AB284" s="459" t="str">
        <f>IF(CUENTAS!J273/CUENTAS!$AB273&lt;&gt;0,CUENTAS!J273/CUENTAS!$AB273,"")</f>
        <v/>
      </c>
      <c r="AC284" s="459">
        <f>IF(CUENTAS!K273/CUENTAS!$AB273&lt;&gt;0,CUENTAS!K273/CUENTAS!$AB273,"")</f>
        <v>0.2221923243</v>
      </c>
      <c r="AD284" s="459" t="str">
        <f>IF(CUENTAS!L273/CUENTAS!$AB273&lt;&gt;0,CUENTAS!L273/CUENTAS!$AB273,"")</f>
        <v/>
      </c>
      <c r="AE284" s="459">
        <f>IF(CUENTAS!M273/CUENTAS!$AB273&lt;&gt;0,CUENTAS!M273/CUENTAS!$AB273,"")</f>
        <v>0.4055723769</v>
      </c>
      <c r="AF284" s="459">
        <f>IF(CUENTAS!N273/CUENTAS!$AB273&lt;&gt;0,CUENTAS!N273/CUENTAS!$AB273,"")</f>
        <v>0.2622736622</v>
      </c>
      <c r="AG284" s="459" t="str">
        <f>IF(CUENTAS!O273/CUENTAS!$AB273&lt;&gt;0,CUENTAS!O273/CUENTAS!$AB273,"")</f>
        <v/>
      </c>
      <c r="AH284" s="459" t="str">
        <f>IF(CUENTAS!P273/CUENTAS!$AB273&lt;&gt;0,CUENTAS!P273/CUENTAS!$AB273,"")</f>
        <v/>
      </c>
      <c r="AI284" s="459">
        <f>IF(CUENTAS!R273/CUENTAS!$AB273&lt;&gt;0,CUENTAS!R273/CUENTAS!$AB273,"")</f>
        <v>0.1303110569</v>
      </c>
      <c r="AJ284" s="459" t="str">
        <f>IF(CUENTAS!B273/CUENTAS!$AB273&lt;&gt;0,CUENTAS!B273/CUENTAS!$AB273,"")</f>
        <v/>
      </c>
      <c r="AK284" s="459">
        <f>IF(CUENTAS!S273/CUENTAS!$AB273&lt;&gt;0,CUENTAS!S273/CUENTAS!$AB273,"")</f>
        <v>0.2880118682</v>
      </c>
      <c r="AL284" s="459">
        <f>IF(CUENTAS!T273/CUENTAS!$AB273&lt;&gt;0,CUENTAS!T273/CUENTAS!$AB273,"")</f>
        <v>0.2218970902</v>
      </c>
      <c r="AM284" s="459">
        <f>IF(CUENTAS!U273/CUENTAS!$AB273&lt;&gt;0,CUENTAS!U273/CUENTAS!$AB273,"")</f>
        <v>0.290405753</v>
      </c>
      <c r="AN284" s="459">
        <f>IF(CUENTAS!V273/CUENTAS!$AB273&lt;&gt;0,CUENTAS!V273/CUENTAS!$AB273,"")</f>
        <v>0.08941628283</v>
      </c>
      <c r="AO284" s="459" t="str">
        <f>IF(CUENTAS!W273/CUENTAS!$AB273&lt;&gt;0,CUENTAS!W273/CUENTAS!$AB273,"")</f>
        <v/>
      </c>
      <c r="AP284" s="459" t="str">
        <f>IF(CUENTAS!X273/CUENTAS!$AB273&lt;&gt;0,CUENTAS!X273/CUENTAS!$AB273,"")</f>
        <v/>
      </c>
      <c r="AQ284" s="459" t="str">
        <f>IF(CUENTAS!Y273/CUENTAS!$AB273&lt;&gt;0,CUENTAS!Y273/CUENTAS!$AB273,"")</f>
        <v/>
      </c>
      <c r="AR284" s="459">
        <f>IF(CUENTAS!AA273/CUENTAS!$AB273&lt;&gt;0,CUENTAS!AA273/CUENTAS!$AB273,"")</f>
        <v>0.1607990481</v>
      </c>
    </row>
    <row r="285">
      <c r="A285" s="474"/>
      <c r="B285" s="200"/>
      <c r="C285" s="200"/>
      <c r="F285" s="200"/>
      <c r="G285" s="200"/>
      <c r="J285" s="465">
        <v>45375.0</v>
      </c>
      <c r="K285" s="466">
        <f>SUMIF(GRAFICO!A:A,J285,GRAFICO!B:B)</f>
        <v>10744.7537</v>
      </c>
      <c r="L285" s="467">
        <f t="shared" si="2"/>
        <v>0.06176327536</v>
      </c>
      <c r="M285" s="468">
        <v>45740.0</v>
      </c>
      <c r="N285" s="469">
        <f>SUMIF(GRAFICO!A:A,M285,GRAFICO!B:B)</f>
        <v>14664.88081</v>
      </c>
      <c r="O285" s="467">
        <f t="shared" si="3"/>
        <v>0.05238229981</v>
      </c>
      <c r="P285" s="468">
        <v>46105.0</v>
      </c>
      <c r="Q285" s="463" t="str">
        <f>IF(SUMIF(GRAFICO!A:A,P285,GRAFICO!B:B)=0,"",SUMIF(GRAFICO!A:A,P285,GRAFICO!B:B))</f>
        <v/>
      </c>
      <c r="R285" s="463" t="str">
        <f t="shared" si="4"/>
        <v/>
      </c>
      <c r="S285" s="471">
        <f>CUENTAS!A274</f>
        <v>45828</v>
      </c>
      <c r="T285" s="459">
        <f>IF(CUENTAS!Q274/CUENTAS!$AB274&lt;&gt;0,CUENTAS!Q274/CUENTAS!$AB274,"")</f>
        <v>0.2944192367</v>
      </c>
      <c r="U285" s="459" t="str">
        <f>IF(CUENTAS!C274/CUENTAS!$AB274&lt;&gt;0,CUENTAS!C274/CUENTAS!$AB274,"")</f>
        <v/>
      </c>
      <c r="V285" s="459">
        <f>IF(CUENTAS!D274/CUENTAS!$AB274&lt;&gt;0,CUENTAS!D274/CUENTAS!$AB274,"")</f>
        <v>0.1213072576</v>
      </c>
      <c r="W285" s="459" t="str">
        <f>IF(CUENTAS!E274/CUENTAS!$AB274&lt;&gt;0,CUENTAS!E274/CUENTAS!$AB274,"")</f>
        <v/>
      </c>
      <c r="X285" s="459">
        <f>IF(CUENTAS!F274/CUENTAS!$AB274&lt;&gt;0,CUENTAS!F274/CUENTAS!$AB274,"")</f>
        <v>0.2079501636</v>
      </c>
      <c r="Y285" s="459" t="str">
        <f>IF(CUENTAS!G274/CUENTAS!$AB274&lt;&gt;0,CUENTAS!G274/CUENTAS!$AB274,"")</f>
        <v/>
      </c>
      <c r="Z285" s="459">
        <f>IF(CUENTAS!H274/CUENTAS!$AB274&lt;&gt;0,CUENTAS!H274/CUENTAS!$AB274,"")</f>
        <v>0.4191274449</v>
      </c>
      <c r="AA285" s="459" t="str">
        <f>IF(CUENTAS!I274/CUENTAS!$AB274&lt;&gt;0,CUENTAS!I274/CUENTAS!$AB274,"")</f>
        <v/>
      </c>
      <c r="AB285" s="459" t="str">
        <f>IF(CUENTAS!J274/CUENTAS!$AB274&lt;&gt;0,CUENTAS!J274/CUENTAS!$AB274,"")</f>
        <v/>
      </c>
      <c r="AC285" s="459">
        <f>IF(CUENTAS!K274/CUENTAS!$AB274&lt;&gt;0,CUENTAS!K274/CUENTAS!$AB274,"")</f>
        <v>0.2190196196</v>
      </c>
      <c r="AD285" s="459" t="str">
        <f>IF(CUENTAS!L274/CUENTAS!$AB274&lt;&gt;0,CUENTAS!L274/CUENTAS!$AB274,"")</f>
        <v/>
      </c>
      <c r="AE285" s="459">
        <f>IF(CUENTAS!M274/CUENTAS!$AB274&lt;&gt;0,CUENTAS!M274/CUENTAS!$AB274,"")</f>
        <v>0.4068820803</v>
      </c>
      <c r="AF285" s="459">
        <f>IF(CUENTAS!N274/CUENTAS!$AB274&lt;&gt;0,CUENTAS!N274/CUENTAS!$AB274,"")</f>
        <v>0.2631206152</v>
      </c>
      <c r="AG285" s="459" t="str">
        <f>IF(CUENTAS!O274/CUENTAS!$AB274&lt;&gt;0,CUENTAS!O274/CUENTAS!$AB274,"")</f>
        <v/>
      </c>
      <c r="AH285" s="459" t="str">
        <f>IF(CUENTAS!P274/CUENTAS!$AB274&lt;&gt;0,CUENTAS!P274/CUENTAS!$AB274,"")</f>
        <v/>
      </c>
      <c r="AI285" s="459">
        <f>IF(CUENTAS!R274/CUENTAS!$AB274&lt;&gt;0,CUENTAS!R274/CUENTAS!$AB274,"")</f>
        <v>0.1307318667</v>
      </c>
      <c r="AJ285" s="459" t="str">
        <f>IF(CUENTAS!B274/CUENTAS!$AB274&lt;&gt;0,CUENTAS!B274/CUENTAS!$AB274,"")</f>
        <v/>
      </c>
      <c r="AK285" s="459">
        <f>IF(CUENTAS!S274/CUENTAS!$AB274&lt;&gt;0,CUENTAS!S274/CUENTAS!$AB274,"")</f>
        <v>0.2882612151</v>
      </c>
      <c r="AL285" s="459">
        <f>IF(CUENTAS!T274/CUENTAS!$AB274&lt;&gt;0,CUENTAS!T274/CUENTAS!$AB274,"")</f>
        <v>0.2225827112</v>
      </c>
      <c r="AM285" s="459">
        <f>IF(CUENTAS!U274/CUENTAS!$AB274&lt;&gt;0,CUENTAS!U274/CUENTAS!$AB274,"")</f>
        <v>0.2906381197</v>
      </c>
      <c r="AN285" s="459">
        <f>IF(CUENTAS!V274/CUENTAS!$AB274&lt;&gt;0,CUENTAS!V274/CUENTAS!$AB274,"")</f>
        <v>0.08970503231</v>
      </c>
      <c r="AO285" s="459" t="str">
        <f>IF(CUENTAS!W274/CUENTAS!$AB274&lt;&gt;0,CUENTAS!W274/CUENTAS!$AB274,"")</f>
        <v/>
      </c>
      <c r="AP285" s="459" t="str">
        <f>IF(CUENTAS!X274/CUENTAS!$AB274&lt;&gt;0,CUENTAS!X274/CUENTAS!$AB274,"")</f>
        <v/>
      </c>
      <c r="AQ285" s="459" t="str">
        <f>IF(CUENTAS!Y274/CUENTAS!$AB274&lt;&gt;0,CUENTAS!Y274/CUENTAS!$AB274,"")</f>
        <v/>
      </c>
      <c r="AR285" s="459">
        <f>IF(CUENTAS!AA274/CUENTAS!$AB274&lt;&gt;0,CUENTAS!AA274/CUENTAS!$AB274,"")</f>
        <v>0.161318312</v>
      </c>
    </row>
    <row r="286">
      <c r="A286" s="474"/>
      <c r="B286" s="200"/>
      <c r="C286" s="200"/>
      <c r="F286" s="200"/>
      <c r="G286" s="200"/>
      <c r="J286" s="470">
        <v>45374.0</v>
      </c>
      <c r="K286" s="466">
        <f>SUMIF(GRAFICO!A:A,J286,GRAFICO!B:B)</f>
        <v>10721.79536</v>
      </c>
      <c r="L286" s="467">
        <f t="shared" si="2"/>
        <v>0.05962428635</v>
      </c>
      <c r="M286" s="468">
        <v>45739.0</v>
      </c>
      <c r="N286" s="469">
        <f>SUMIF(GRAFICO!A:A,M286,GRAFICO!B:B)</f>
        <v>14661.65432</v>
      </c>
      <c r="O286" s="467">
        <f t="shared" si="3"/>
        <v>0.05216226083</v>
      </c>
      <c r="P286" s="465">
        <v>46104.0</v>
      </c>
      <c r="Q286" s="463" t="str">
        <f>IF(SUMIF(GRAFICO!A:A,P286,GRAFICO!B:B)=0,"",SUMIF(GRAFICO!A:A,P286,GRAFICO!B:B))</f>
        <v/>
      </c>
      <c r="R286" s="463" t="str">
        <f t="shared" si="4"/>
        <v/>
      </c>
      <c r="S286" s="471">
        <f>CUENTAS!A275</f>
        <v>45827</v>
      </c>
      <c r="T286" s="459">
        <f>IF(CUENTAS!Q275/CUENTAS!$AB275&lt;&gt;0,CUENTAS!Q275/CUENTAS!$AB275,"")</f>
        <v>0.2925670079</v>
      </c>
      <c r="U286" s="459" t="str">
        <f>IF(CUENTAS!C275/CUENTAS!$AB275&lt;&gt;0,CUENTAS!C275/CUENTAS!$AB275,"")</f>
        <v/>
      </c>
      <c r="V286" s="459">
        <f>IF(CUENTAS!D275/CUENTAS!$AB275&lt;&gt;0,CUENTAS!D275/CUENTAS!$AB275,"")</f>
        <v>0.1205476438</v>
      </c>
      <c r="W286" s="459" t="str">
        <f>IF(CUENTAS!E275/CUENTAS!$AB275&lt;&gt;0,CUENTAS!E275/CUENTAS!$AB275,"")</f>
        <v/>
      </c>
      <c r="X286" s="459">
        <f>IF(CUENTAS!F275/CUENTAS!$AB275&lt;&gt;0,CUENTAS!F275/CUENTAS!$AB275,"")</f>
        <v>0.2071598223</v>
      </c>
      <c r="Y286" s="459" t="str">
        <f>IF(CUENTAS!G275/CUENTAS!$AB275&lt;&gt;0,CUENTAS!G275/CUENTAS!$AB275,"")</f>
        <v/>
      </c>
      <c r="Z286" s="459">
        <f>IF(CUENTAS!H275/CUENTAS!$AB275&lt;&gt;0,CUENTAS!H275/CUENTAS!$AB275,"")</f>
        <v>0.4175344972</v>
      </c>
      <c r="AA286" s="459" t="str">
        <f>IF(CUENTAS!I275/CUENTAS!$AB275&lt;&gt;0,CUENTAS!I275/CUENTAS!$AB275,"")</f>
        <v/>
      </c>
      <c r="AB286" s="459" t="str">
        <f>IF(CUENTAS!J275/CUENTAS!$AB275&lt;&gt;0,CUENTAS!J275/CUENTAS!$AB275,"")</f>
        <v/>
      </c>
      <c r="AC286" s="459">
        <f>IF(CUENTAS!K275/CUENTAS!$AB275&lt;&gt;0,CUENTAS!K275/CUENTAS!$AB275,"")</f>
        <v>0.2220626462</v>
      </c>
      <c r="AD286" s="459" t="str">
        <f>IF(CUENTAS!L275/CUENTAS!$AB275&lt;&gt;0,CUENTAS!L275/CUENTAS!$AB275,"")</f>
        <v/>
      </c>
      <c r="AE286" s="459">
        <f>IF(CUENTAS!M275/CUENTAS!$AB275&lt;&gt;0,CUENTAS!M275/CUENTAS!$AB275,"")</f>
        <v>0.4053356726</v>
      </c>
      <c r="AF286" s="459">
        <f>IF(CUENTAS!N275/CUENTAS!$AB275&lt;&gt;0,CUENTAS!N275/CUENTAS!$AB275,"")</f>
        <v>0.2621205914</v>
      </c>
      <c r="AG286" s="459" t="str">
        <f>IF(CUENTAS!O275/CUENTAS!$AB275&lt;&gt;0,CUENTAS!O275/CUENTAS!$AB275,"")</f>
        <v/>
      </c>
      <c r="AH286" s="459" t="str">
        <f>IF(CUENTAS!P275/CUENTAS!$AB275&lt;&gt;0,CUENTAS!P275/CUENTAS!$AB275,"")</f>
        <v/>
      </c>
      <c r="AI286" s="459">
        <f>IF(CUENTAS!R275/CUENTAS!$AB275&lt;&gt;0,CUENTAS!R275/CUENTAS!$AB275,"")</f>
        <v>0.1302350034</v>
      </c>
      <c r="AJ286" s="459" t="str">
        <f>IF(CUENTAS!B275/CUENTAS!$AB275&lt;&gt;0,CUENTAS!B275/CUENTAS!$AB275,"")</f>
        <v/>
      </c>
      <c r="AK286" s="459">
        <f>IF(CUENTAS!S275/CUENTAS!$AB275&lt;&gt;0,CUENTAS!S275/CUENTAS!$AB275,"")</f>
        <v>0.2864875067</v>
      </c>
      <c r="AL286" s="459">
        <f>IF(CUENTAS!T275/CUENTAS!$AB275&lt;&gt;0,CUENTAS!T275/CUENTAS!$AB275,"")</f>
        <v>0.2217059297</v>
      </c>
      <c r="AM286" s="459">
        <f>IF(CUENTAS!U275/CUENTAS!$AB275&lt;&gt;0,CUENTAS!U275/CUENTAS!$AB275,"")</f>
        <v>0.2888307609</v>
      </c>
      <c r="AN286" s="459">
        <f>IF(CUENTAS!V275/CUENTAS!$AB275&lt;&gt;0,CUENTAS!V275/CUENTAS!$AB275,"")</f>
        <v>0.08936409679</v>
      </c>
      <c r="AO286" s="459" t="str">
        <f>IF(CUENTAS!W275/CUENTAS!$AB275&lt;&gt;0,CUENTAS!W275/CUENTAS!$AB275,"")</f>
        <v/>
      </c>
      <c r="AP286" s="459" t="str">
        <f>IF(CUENTAS!X275/CUENTAS!$AB275&lt;&gt;0,CUENTAS!X275/CUENTAS!$AB275,"")</f>
        <v/>
      </c>
      <c r="AQ286" s="459" t="str">
        <f>IF(CUENTAS!Y275/CUENTAS!$AB275&lt;&gt;0,CUENTAS!Y275/CUENTAS!$AB275,"")</f>
        <v/>
      </c>
      <c r="AR286" s="459">
        <f>IF(CUENTAS!AA275/CUENTAS!$AB275&lt;&gt;0,CUENTAS!AA275/CUENTAS!$AB275,"")</f>
        <v>0.160705201</v>
      </c>
    </row>
    <row r="287">
      <c r="A287" s="474"/>
      <c r="B287" s="200"/>
      <c r="C287" s="200"/>
      <c r="F287" s="200"/>
      <c r="G287" s="200"/>
      <c r="J287" s="470">
        <v>45373.0</v>
      </c>
      <c r="K287" s="466">
        <f>SUMIF(GRAFICO!A:A,J287,GRAFICO!B:B)</f>
        <v>10679.66859</v>
      </c>
      <c r="L287" s="467">
        <f t="shared" si="2"/>
        <v>0.05568746939</v>
      </c>
      <c r="M287" s="468">
        <v>45738.0</v>
      </c>
      <c r="N287" s="469">
        <f>SUMIF(GRAFICO!A:A,M287,GRAFICO!B:B)</f>
        <v>14658.42783</v>
      </c>
      <c r="O287" s="467">
        <f t="shared" si="3"/>
        <v>0.05194217343</v>
      </c>
      <c r="P287" s="468">
        <v>46103.0</v>
      </c>
      <c r="Q287" s="463" t="str">
        <f>IF(SUMIF(GRAFICO!A:A,P287,GRAFICO!B:B)=0,"",SUMIF(GRAFICO!A:A,P287,GRAFICO!B:B))</f>
        <v/>
      </c>
      <c r="R287" s="463" t="str">
        <f t="shared" si="4"/>
        <v/>
      </c>
      <c r="S287" s="471">
        <f>CUENTAS!A276</f>
        <v>45826</v>
      </c>
      <c r="T287" s="459">
        <f>IF(CUENTAS!Q276/CUENTAS!$AB276&lt;&gt;0,CUENTAS!Q276/CUENTAS!$AB276,"")</f>
        <v>0.2931389497</v>
      </c>
      <c r="U287" s="459" t="str">
        <f>IF(CUENTAS!C276/CUENTAS!$AB276&lt;&gt;0,CUENTAS!C276/CUENTAS!$AB276,"")</f>
        <v/>
      </c>
      <c r="V287" s="459">
        <f>IF(CUENTAS!D276/CUENTAS!$AB276&lt;&gt;0,CUENTAS!D276/CUENTAS!$AB276,"")</f>
        <v>0.1220131364</v>
      </c>
      <c r="W287" s="459" t="str">
        <f>IF(CUENTAS!E276/CUENTAS!$AB276&lt;&gt;0,CUENTAS!E276/CUENTAS!$AB276,"")</f>
        <v/>
      </c>
      <c r="X287" s="459">
        <f>IF(CUENTAS!F276/CUENTAS!$AB276&lt;&gt;0,CUENTAS!F276/CUENTAS!$AB276,"")</f>
        <v>0.2101988719</v>
      </c>
      <c r="Y287" s="459" t="str">
        <f>IF(CUENTAS!G276/CUENTAS!$AB276&lt;&gt;0,CUENTAS!G276/CUENTAS!$AB276,"")</f>
        <v/>
      </c>
      <c r="Z287" s="459">
        <f>IF(CUENTAS!H276/CUENTAS!$AB276&lt;&gt;0,CUENTAS!H276/CUENTAS!$AB276,"")</f>
        <v>0.4236597586</v>
      </c>
      <c r="AA287" s="459" t="str">
        <f>IF(CUENTAS!I276/CUENTAS!$AB276&lt;&gt;0,CUENTAS!I276/CUENTAS!$AB276,"")</f>
        <v/>
      </c>
      <c r="AB287" s="459" t="str">
        <f>IF(CUENTAS!J276/CUENTAS!$AB276&lt;&gt;0,CUENTAS!J276/CUENTAS!$AB276,"")</f>
        <v/>
      </c>
      <c r="AC287" s="459">
        <f>IF(CUENTAS!K276/CUENTAS!$AB276&lt;&gt;0,CUENTAS!K276/CUENTAS!$AB276,"")</f>
        <v>0.2253203213</v>
      </c>
      <c r="AD287" s="459" t="str">
        <f>IF(CUENTAS!L276/CUENTAS!$AB276&lt;&gt;0,CUENTAS!L276/CUENTAS!$AB276,"")</f>
        <v/>
      </c>
      <c r="AE287" s="459">
        <f>IF(CUENTAS!M276/CUENTAS!$AB276&lt;&gt;0,CUENTAS!M276/CUENTAS!$AB276,"")</f>
        <v>0.3996638414</v>
      </c>
      <c r="AF287" s="459">
        <f>IF(CUENTAS!N276/CUENTAS!$AB276&lt;&gt;0,CUENTAS!N276/CUENTAS!$AB276,"")</f>
        <v>0.2659659195</v>
      </c>
      <c r="AG287" s="459" t="str">
        <f>IF(CUENTAS!O276/CUENTAS!$AB276&lt;&gt;0,CUENTAS!O276/CUENTAS!$AB276,"")</f>
        <v/>
      </c>
      <c r="AH287" s="459" t="str">
        <f>IF(CUENTAS!P276/CUENTAS!$AB276&lt;&gt;0,CUENTAS!P276/CUENTAS!$AB276,"")</f>
        <v/>
      </c>
      <c r="AI287" s="459">
        <f>IF(CUENTAS!R276/CUENTAS!$AB276&lt;&gt;0,CUENTAS!R276/CUENTAS!$AB276,"")</f>
        <v>0.1321455603</v>
      </c>
      <c r="AJ287" s="459" t="str">
        <f>IF(CUENTAS!B276/CUENTAS!$AB276&lt;&gt;0,CUENTAS!B276/CUENTAS!$AB276,"")</f>
        <v/>
      </c>
      <c r="AK287" s="459">
        <f>IF(CUENTAS!S276/CUENTAS!$AB276&lt;&gt;0,CUENTAS!S276/CUENTAS!$AB276,"")</f>
        <v>0.2900022164</v>
      </c>
      <c r="AL287" s="459">
        <f>IF(CUENTAS!T276/CUENTAS!$AB276&lt;&gt;0,CUENTAS!T276/CUENTAS!$AB276,"")</f>
        <v>0.2249270922</v>
      </c>
      <c r="AM287" s="459">
        <f>IF(CUENTAS!U276/CUENTAS!$AB276&lt;&gt;0,CUENTAS!U276/CUENTAS!$AB276,"")</f>
        <v>0.2923548685</v>
      </c>
      <c r="AN287" s="459">
        <f>IF(CUENTAS!V276/CUENTAS!$AB276&lt;&gt;0,CUENTAS!V276/CUENTAS!$AB276,"")</f>
        <v>0.09067507458</v>
      </c>
      <c r="AO287" s="459" t="str">
        <f>IF(CUENTAS!W276/CUENTAS!$AB276&lt;&gt;0,CUENTAS!W276/CUENTAS!$AB276,"")</f>
        <v/>
      </c>
      <c r="AP287" s="459" t="str">
        <f>IF(CUENTAS!X276/CUENTAS!$AB276&lt;&gt;0,CUENTAS!X276/CUENTAS!$AB276,"")</f>
        <v/>
      </c>
      <c r="AQ287" s="459" t="str">
        <f>IF(CUENTAS!Y276/CUENTAS!$AB276&lt;&gt;0,CUENTAS!Y276/CUENTAS!$AB276,"")</f>
        <v/>
      </c>
      <c r="AR287" s="459">
        <f>IF(CUENTAS!AA276/CUENTAS!$AB276&lt;&gt;0,CUENTAS!AA276/CUENTAS!$AB276,"")</f>
        <v>0.1630627579</v>
      </c>
    </row>
    <row r="288">
      <c r="A288" s="474"/>
      <c r="B288" s="200"/>
      <c r="C288" s="200"/>
      <c r="F288" s="200"/>
      <c r="G288" s="200"/>
      <c r="J288" s="470">
        <v>45372.0</v>
      </c>
      <c r="K288" s="466">
        <f>SUMIF(GRAFICO!A:A,J288,GRAFICO!B:B)</f>
        <v>10654.87879</v>
      </c>
      <c r="L288" s="467">
        <f t="shared" si="2"/>
        <v>0.05336355744</v>
      </c>
      <c r="M288" s="468">
        <v>45737.0</v>
      </c>
      <c r="N288" s="469">
        <f>SUMIF(GRAFICO!A:A,M288,GRAFICO!B:B)</f>
        <v>14655.20134</v>
      </c>
      <c r="O288" s="467">
        <f t="shared" si="3"/>
        <v>0.05172203758</v>
      </c>
      <c r="P288" s="465">
        <v>46102.0</v>
      </c>
      <c r="Q288" s="463" t="str">
        <f>IF(SUMIF(GRAFICO!A:A,P288,GRAFICO!B:B)=0,"",SUMIF(GRAFICO!A:A,P288,GRAFICO!B:B))</f>
        <v/>
      </c>
      <c r="R288" s="463" t="str">
        <f t="shared" si="4"/>
        <v/>
      </c>
      <c r="S288" s="471">
        <f>CUENTAS!A277</f>
        <v>45825</v>
      </c>
      <c r="T288" s="459">
        <f>IF(CUENTAS!Q277/CUENTAS!$AB277&lt;&gt;0,CUENTAS!Q277/CUENTAS!$AB277,"")</f>
        <v>0.2940333488</v>
      </c>
      <c r="U288" s="459" t="str">
        <f>IF(CUENTAS!C277/CUENTAS!$AB277&lt;&gt;0,CUENTAS!C277/CUENTAS!$AB277,"")</f>
        <v/>
      </c>
      <c r="V288" s="459">
        <f>IF(CUENTAS!D277/CUENTAS!$AB277&lt;&gt;0,CUENTAS!D277/CUENTAS!$AB277,"")</f>
        <v>0.1223921776</v>
      </c>
      <c r="W288" s="459" t="str">
        <f>IF(CUENTAS!E277/CUENTAS!$AB277&lt;&gt;0,CUENTAS!E277/CUENTAS!$AB277,"")</f>
        <v/>
      </c>
      <c r="X288" s="459">
        <f>IF(CUENTAS!F277/CUENTAS!$AB277&lt;&gt;0,CUENTAS!F277/CUENTAS!$AB277,"")</f>
        <v>0.2113767008</v>
      </c>
      <c r="Y288" s="459" t="str">
        <f>IF(CUENTAS!G277/CUENTAS!$AB277&lt;&gt;0,CUENTAS!G277/CUENTAS!$AB277,"")</f>
        <v/>
      </c>
      <c r="Z288" s="459">
        <f>IF(CUENTAS!H277/CUENTAS!$AB277&lt;&gt;0,CUENTAS!H277/CUENTAS!$AB277,"")</f>
        <v>0.4251799198</v>
      </c>
      <c r="AA288" s="459" t="str">
        <f>IF(CUENTAS!I277/CUENTAS!$AB277&lt;&gt;0,CUENTAS!I277/CUENTAS!$AB277,"")</f>
        <v/>
      </c>
      <c r="AB288" s="459" t="str">
        <f>IF(CUENTAS!J277/CUENTAS!$AB277&lt;&gt;0,CUENTAS!J277/CUENTAS!$AB277,"")</f>
        <v/>
      </c>
      <c r="AC288" s="459">
        <f>IF(CUENTAS!K277/CUENTAS!$AB277&lt;&gt;0,CUENTAS!K277/CUENTAS!$AB277,"")</f>
        <v>0.2265828818</v>
      </c>
      <c r="AD288" s="459" t="str">
        <f>IF(CUENTAS!L277/CUENTAS!$AB277&lt;&gt;0,CUENTAS!L277/CUENTAS!$AB277,"")</f>
        <v/>
      </c>
      <c r="AE288" s="459">
        <f>IF(CUENTAS!M277/CUENTAS!$AB277&lt;&gt;0,CUENTAS!M277/CUENTAS!$AB277,"")</f>
        <v>0.3972300244</v>
      </c>
      <c r="AF288" s="459">
        <f>IF(CUENTAS!N277/CUENTAS!$AB277&lt;&gt;0,CUENTAS!N277/CUENTAS!$AB277,"")</f>
        <v>0.2674562336</v>
      </c>
      <c r="AG288" s="459" t="str">
        <f>IF(CUENTAS!O277/CUENTAS!$AB277&lt;&gt;0,CUENTAS!O277/CUENTAS!$AB277,"")</f>
        <v/>
      </c>
      <c r="AH288" s="459" t="str">
        <f>IF(CUENTAS!P277/CUENTAS!$AB277&lt;&gt;0,CUENTAS!P277/CUENTAS!$AB277,"")</f>
        <v/>
      </c>
      <c r="AI288" s="459">
        <f>IF(CUENTAS!R277/CUENTAS!$AB277&lt;&gt;0,CUENTAS!R277/CUENTAS!$AB277,"")</f>
        <v>0.1328860251</v>
      </c>
      <c r="AJ288" s="459" t="str">
        <f>IF(CUENTAS!B277/CUENTAS!$AB277&lt;&gt;0,CUENTAS!B277/CUENTAS!$AB277,"")</f>
        <v/>
      </c>
      <c r="AK288" s="459">
        <f>IF(CUENTAS!S277/CUENTAS!$AB277&lt;&gt;0,CUENTAS!S277/CUENTAS!$AB277,"")</f>
        <v>0.2909352771</v>
      </c>
      <c r="AL288" s="459">
        <f>IF(CUENTAS!T277/CUENTAS!$AB277&lt;&gt;0,CUENTAS!T277/CUENTAS!$AB277,"")</f>
        <v>0.2261559943</v>
      </c>
      <c r="AM288" s="459">
        <f>IF(CUENTAS!U277/CUENTAS!$AB277&lt;&gt;0,CUENTAS!U277/CUENTAS!$AB277,"")</f>
        <v>0.2932759943</v>
      </c>
      <c r="AN288" s="459">
        <f>IF(CUENTAS!V277/CUENTAS!$AB277&lt;&gt;0,CUENTAS!V277/CUENTAS!$AB277,"")</f>
        <v>0.09118316351</v>
      </c>
      <c r="AO288" s="459" t="str">
        <f>IF(CUENTAS!W277/CUENTAS!$AB277&lt;&gt;0,CUENTAS!W277/CUENTAS!$AB277,"")</f>
        <v/>
      </c>
      <c r="AP288" s="459" t="str">
        <f>IF(CUENTAS!X277/CUENTAS!$AB277&lt;&gt;0,CUENTAS!X277/CUENTAS!$AB277,"")</f>
        <v/>
      </c>
      <c r="AQ288" s="459" t="str">
        <f>IF(CUENTAS!Y277/CUENTAS!$AB277&lt;&gt;0,CUENTAS!Y277/CUENTAS!$AB277,"")</f>
        <v/>
      </c>
      <c r="AR288" s="459">
        <f>IF(CUENTAS!AA277/CUENTAS!$AB277&lt;&gt;0,CUENTAS!AA277/CUENTAS!$AB277,"")</f>
        <v>0.1639764642</v>
      </c>
    </row>
    <row r="289">
      <c r="A289" s="474"/>
      <c r="B289" s="200"/>
      <c r="C289" s="200"/>
      <c r="F289" s="200"/>
      <c r="G289" s="200"/>
      <c r="J289" s="465">
        <v>45371.0</v>
      </c>
      <c r="K289" s="466">
        <f>SUMIF(GRAFICO!A:A,J289,GRAFICO!B:B)</f>
        <v>10634.10699</v>
      </c>
      <c r="L289" s="467">
        <f t="shared" si="2"/>
        <v>0.05141214364</v>
      </c>
      <c r="M289" s="468">
        <v>45736.0</v>
      </c>
      <c r="N289" s="469">
        <f>SUMIF(GRAFICO!A:A,M289,GRAFICO!B:B)</f>
        <v>14654.06884</v>
      </c>
      <c r="O289" s="467">
        <f t="shared" si="3"/>
        <v>0.05164475842</v>
      </c>
      <c r="P289" s="468">
        <v>46101.0</v>
      </c>
      <c r="Q289" s="463" t="str">
        <f>IF(SUMIF(GRAFICO!A:A,P289,GRAFICO!B:B)=0,"",SUMIF(GRAFICO!A:A,P289,GRAFICO!B:B))</f>
        <v/>
      </c>
      <c r="R289" s="463" t="str">
        <f t="shared" si="4"/>
        <v/>
      </c>
      <c r="S289" s="471">
        <f>CUENTAS!A278</f>
        <v>45824</v>
      </c>
      <c r="T289" s="459">
        <f>IF(CUENTAS!Q278/CUENTAS!$AB278&lt;&gt;0,CUENTAS!Q278/CUENTAS!$AB278,"")</f>
        <v>0.2881563577</v>
      </c>
      <c r="U289" s="459" t="str">
        <f>IF(CUENTAS!C278/CUENTAS!$AB278&lt;&gt;0,CUENTAS!C278/CUENTAS!$AB278,"")</f>
        <v/>
      </c>
      <c r="V289" s="459">
        <f>IF(CUENTAS!D278/CUENTAS!$AB278&lt;&gt;0,CUENTAS!D278/CUENTAS!$AB278,"")</f>
        <v>0.1208776122</v>
      </c>
      <c r="W289" s="459" t="str">
        <f>IF(CUENTAS!E278/CUENTAS!$AB278&lt;&gt;0,CUENTAS!E278/CUENTAS!$AB278,"")</f>
        <v/>
      </c>
      <c r="X289" s="459">
        <f>IF(CUENTAS!F278/CUENTAS!$AB278&lt;&gt;0,CUENTAS!F278/CUENTAS!$AB278,"")</f>
        <v>0.2165427058</v>
      </c>
      <c r="Y289" s="459" t="str">
        <f>IF(CUENTAS!G278/CUENTAS!$AB278&lt;&gt;0,CUENTAS!G278/CUENTAS!$AB278,"")</f>
        <v/>
      </c>
      <c r="Z289" s="459">
        <f>IF(CUENTAS!H278/CUENTAS!$AB278&lt;&gt;0,CUENTAS!H278/CUENTAS!$AB278,"")</f>
        <v>0.4311100467</v>
      </c>
      <c r="AA289" s="459" t="str">
        <f>IF(CUENTAS!I278/CUENTAS!$AB278&lt;&gt;0,CUENTAS!I278/CUENTAS!$AB278,"")</f>
        <v/>
      </c>
      <c r="AB289" s="459" t="str">
        <f>IF(CUENTAS!J278/CUENTAS!$AB278&lt;&gt;0,CUENTAS!J278/CUENTAS!$AB278,"")</f>
        <v/>
      </c>
      <c r="AC289" s="459">
        <f>IF(CUENTAS!K278/CUENTAS!$AB278&lt;&gt;0,CUENTAS!K278/CUENTAS!$AB278,"")</f>
        <v>0.224337389</v>
      </c>
      <c r="AD289" s="459" t="str">
        <f>IF(CUENTAS!L278/CUENTAS!$AB278&lt;&gt;0,CUENTAS!L278/CUENTAS!$AB278,"")</f>
        <v/>
      </c>
      <c r="AE289" s="459">
        <f>IF(CUENTAS!M278/CUENTAS!$AB278&lt;&gt;0,CUENTAS!M278/CUENTAS!$AB278,"")</f>
        <v>0.3979203568</v>
      </c>
      <c r="AF289" s="459">
        <f>IF(CUENTAS!N278/CUENTAS!$AB278&lt;&gt;0,CUENTAS!N278/CUENTAS!$AB278,"")</f>
        <v>0.2622430402</v>
      </c>
      <c r="AG289" s="459" t="str">
        <f>IF(CUENTAS!O278/CUENTAS!$AB278&lt;&gt;0,CUENTAS!O278/CUENTAS!$AB278,"")</f>
        <v/>
      </c>
      <c r="AH289" s="459" t="str">
        <f>IF(CUENTAS!P278/CUENTAS!$AB278&lt;&gt;0,CUENTAS!P278/CUENTAS!$AB278,"")</f>
        <v/>
      </c>
      <c r="AI289" s="459">
        <f>IF(CUENTAS!R278/CUENTAS!$AB278&lt;&gt;0,CUENTAS!R278/CUENTAS!$AB278,"")</f>
        <v>0.1315690915</v>
      </c>
      <c r="AJ289" s="459" t="str">
        <f>IF(CUENTAS!B278/CUENTAS!$AB278&lt;&gt;0,CUENTAS!B278/CUENTAS!$AB278,"")</f>
        <v/>
      </c>
      <c r="AK289" s="459">
        <f>IF(CUENTAS!S278/CUENTAS!$AB278&lt;&gt;0,CUENTAS!S278/CUENTAS!$AB278,"")</f>
        <v>0.2873669549</v>
      </c>
      <c r="AL289" s="459">
        <f>IF(CUENTAS!T278/CUENTAS!$AB278&lt;&gt;0,CUENTAS!T278/CUENTAS!$AB278,"")</f>
        <v>0.223883589</v>
      </c>
      <c r="AM289" s="459">
        <f>IF(CUENTAS!U278/CUENTAS!$AB278&lt;&gt;0,CUENTAS!U278/CUENTAS!$AB278,"")</f>
        <v>0.2896596061</v>
      </c>
      <c r="AN289" s="459">
        <f>IF(CUENTAS!V278/CUENTAS!$AB278&lt;&gt;0,CUENTAS!V278/CUENTAS!$AB278,"")</f>
        <v>0.09027951566</v>
      </c>
      <c r="AO289" s="459" t="str">
        <f>IF(CUENTAS!W278/CUENTAS!$AB278&lt;&gt;0,CUENTAS!W278/CUENTAS!$AB278,"")</f>
        <v/>
      </c>
      <c r="AP289" s="459" t="str">
        <f>IF(CUENTAS!X278/CUENTAS!$AB278&lt;&gt;0,CUENTAS!X278/CUENTAS!$AB278,"")</f>
        <v/>
      </c>
      <c r="AQ289" s="459" t="str">
        <f>IF(CUENTAS!Y278/CUENTAS!$AB278&lt;&gt;0,CUENTAS!Y278/CUENTAS!$AB278,"")</f>
        <v/>
      </c>
      <c r="AR289" s="459">
        <f>IF(CUENTAS!AA278/CUENTAS!$AB278&lt;&gt;0,CUENTAS!AA278/CUENTAS!$AB278,"")</f>
        <v>0.1623514166</v>
      </c>
    </row>
    <row r="290">
      <c r="A290" s="474"/>
      <c r="B290" s="200"/>
      <c r="C290" s="200"/>
      <c r="F290" s="200"/>
      <c r="G290" s="200"/>
      <c r="J290" s="465">
        <v>45370.0</v>
      </c>
      <c r="K290" s="466">
        <f>SUMIF(GRAFICO!A:A,J290,GRAFICO!B:B)</f>
        <v>10550.21</v>
      </c>
      <c r="L290" s="467">
        <f t="shared" si="2"/>
        <v>0.04349143259</v>
      </c>
      <c r="M290" s="468">
        <v>45735.0</v>
      </c>
      <c r="N290" s="469">
        <f>SUMIF(GRAFICO!A:A,M290,GRAFICO!B:B)</f>
        <v>14981.88354</v>
      </c>
      <c r="O290" s="467">
        <f t="shared" si="3"/>
        <v>0.07376843195</v>
      </c>
      <c r="P290" s="465">
        <v>46100.0</v>
      </c>
      <c r="Q290" s="463" t="str">
        <f>IF(SUMIF(GRAFICO!A:A,P290,GRAFICO!B:B)=0,"",SUMIF(GRAFICO!A:A,P290,GRAFICO!B:B))</f>
        <v/>
      </c>
      <c r="R290" s="463" t="str">
        <f t="shared" si="4"/>
        <v/>
      </c>
      <c r="S290" s="471">
        <f>CUENTAS!A279</f>
        <v>45823</v>
      </c>
      <c r="T290" s="459">
        <f>IF(CUENTAS!Q279/CUENTAS!$AB279&lt;&gt;0,CUENTAS!Q279/CUENTAS!$AB279,"")</f>
        <v>0.290571945</v>
      </c>
      <c r="U290" s="459" t="str">
        <f>IF(CUENTAS!C279/CUENTAS!$AB279&lt;&gt;0,CUENTAS!C279/CUENTAS!$AB279,"")</f>
        <v/>
      </c>
      <c r="V290" s="459">
        <f>IF(CUENTAS!D279/CUENTAS!$AB279&lt;&gt;0,CUENTAS!D279/CUENTAS!$AB279,"")</f>
        <v>0.1191366497</v>
      </c>
      <c r="W290" s="459" t="str">
        <f>IF(CUENTAS!E279/CUENTAS!$AB279&lt;&gt;0,CUENTAS!E279/CUENTAS!$AB279,"")</f>
        <v/>
      </c>
      <c r="X290" s="459">
        <f>IF(CUENTAS!F279/CUENTAS!$AB279&lt;&gt;0,CUENTAS!F279/CUENTAS!$AB279,"")</f>
        <v>0.2185998848</v>
      </c>
      <c r="Y290" s="459" t="str">
        <f>IF(CUENTAS!G279/CUENTAS!$AB279&lt;&gt;0,CUENTAS!G279/CUENTAS!$AB279,"")</f>
        <v/>
      </c>
      <c r="Z290" s="459">
        <f>IF(CUENTAS!H279/CUENTAS!$AB279&lt;&gt;0,CUENTAS!H279/CUENTAS!$AB279,"")</f>
        <v>0.4131013829</v>
      </c>
      <c r="AA290" s="459" t="str">
        <f>IF(CUENTAS!I279/CUENTAS!$AB279&lt;&gt;0,CUENTAS!I279/CUENTAS!$AB279,"")</f>
        <v/>
      </c>
      <c r="AB290" s="459" t="str">
        <f>IF(CUENTAS!J279/CUENTAS!$AB279&lt;&gt;0,CUENTAS!J279/CUENTAS!$AB279,"")</f>
        <v/>
      </c>
      <c r="AC290" s="459">
        <f>IF(CUENTAS!K279/CUENTAS!$AB279&lt;&gt;0,CUENTAS!K279/CUENTAS!$AB279,"")</f>
        <v>0.2216594391</v>
      </c>
      <c r="AD290" s="459" t="str">
        <f>IF(CUENTAS!L279/CUENTAS!$AB279&lt;&gt;0,CUENTAS!L279/CUENTAS!$AB279,"")</f>
        <v/>
      </c>
      <c r="AE290" s="459">
        <f>IF(CUENTAS!M279/CUENTAS!$AB279&lt;&gt;0,CUENTAS!M279/CUENTAS!$AB279,"")</f>
        <v>0.411457312</v>
      </c>
      <c r="AF290" s="459">
        <f>IF(CUENTAS!N279/CUENTAS!$AB279&lt;&gt;0,CUENTAS!N279/CUENTAS!$AB279,"")</f>
        <v>0.2591126047</v>
      </c>
      <c r="AG290" s="459" t="str">
        <f>IF(CUENTAS!O279/CUENTAS!$AB279&lt;&gt;0,CUENTAS!O279/CUENTAS!$AB279,"")</f>
        <v/>
      </c>
      <c r="AH290" s="459" t="str">
        <f>IF(CUENTAS!P279/CUENTAS!$AB279&lt;&gt;0,CUENTAS!P279/CUENTAS!$AB279,"")</f>
        <v/>
      </c>
      <c r="AI290" s="459">
        <f>IF(CUENTAS!R279/CUENTAS!$AB279&lt;&gt;0,CUENTAS!R279/CUENTAS!$AB279,"")</f>
        <v>0.129998531</v>
      </c>
      <c r="AJ290" s="459" t="str">
        <f>IF(CUENTAS!B279/CUENTAS!$AB279&lt;&gt;0,CUENTAS!B279/CUENTAS!$AB279,"")</f>
        <v/>
      </c>
      <c r="AK290" s="459">
        <f>IF(CUENTAS!S279/CUENTAS!$AB279&lt;&gt;0,CUENTAS!S279/CUENTAS!$AB279,"")</f>
        <v>0.2832597081</v>
      </c>
      <c r="AL290" s="459">
        <f>IF(CUENTAS!T279/CUENTAS!$AB279&lt;&gt;0,CUENTAS!T279/CUENTAS!$AB279,"")</f>
        <v>0.2211802848</v>
      </c>
      <c r="AM290" s="459">
        <f>IF(CUENTAS!U279/CUENTAS!$AB279&lt;&gt;0,CUENTAS!U279/CUENTAS!$AB279,"")</f>
        <v>0.2855004197</v>
      </c>
      <c r="AN290" s="459">
        <f>IF(CUENTAS!V279/CUENTAS!$AB279&lt;&gt;0,CUENTAS!V279/CUENTAS!$AB279,"")</f>
        <v>0.08920183521</v>
      </c>
      <c r="AO290" s="459" t="str">
        <f>IF(CUENTAS!W279/CUENTAS!$AB279&lt;&gt;0,CUENTAS!W279/CUENTAS!$AB279,"")</f>
        <v/>
      </c>
      <c r="AP290" s="459" t="str">
        <f>IF(CUENTAS!X279/CUENTAS!$AB279&lt;&gt;0,CUENTAS!X279/CUENTAS!$AB279,"")</f>
        <v/>
      </c>
      <c r="AQ290" s="459" t="str">
        <f>IF(CUENTAS!Y279/CUENTAS!$AB279&lt;&gt;0,CUENTAS!Y279/CUENTAS!$AB279,"")</f>
        <v/>
      </c>
      <c r="AR290" s="459">
        <f>IF(CUENTAS!AA279/CUENTAS!$AB279&lt;&gt;0,CUENTAS!AA279/CUENTAS!$AB279,"")</f>
        <v>0.1604134028</v>
      </c>
    </row>
    <row r="291">
      <c r="A291" s="474"/>
      <c r="B291" s="200"/>
      <c r="C291" s="200"/>
      <c r="F291" s="200"/>
      <c r="G291" s="200"/>
      <c r="J291" s="465">
        <v>45369.0</v>
      </c>
      <c r="K291" s="466">
        <f>SUMIF(GRAFICO!A:A,J291,GRAFICO!B:B)</f>
        <v>10565.89564</v>
      </c>
      <c r="L291" s="467">
        <f t="shared" si="2"/>
        <v>0.04497708931</v>
      </c>
      <c r="M291" s="468">
        <v>45734.0</v>
      </c>
      <c r="N291" s="469">
        <f>SUMIF(GRAFICO!A:A,M291,GRAFICO!B:B)</f>
        <v>14745.17687</v>
      </c>
      <c r="O291" s="467">
        <f t="shared" si="3"/>
        <v>0.05784276287</v>
      </c>
      <c r="P291" s="468">
        <v>46099.0</v>
      </c>
      <c r="Q291" s="463" t="str">
        <f>IF(SUMIF(GRAFICO!A:A,P291,GRAFICO!B:B)=0,"",SUMIF(GRAFICO!A:A,P291,GRAFICO!B:B))</f>
        <v/>
      </c>
      <c r="R291" s="463" t="str">
        <f t="shared" si="4"/>
        <v/>
      </c>
      <c r="S291" s="471">
        <f>CUENTAS!A280</f>
        <v>45822</v>
      </c>
      <c r="T291" s="459">
        <f>IF(CUENTAS!Q280/CUENTAS!$AB280&lt;&gt;0,CUENTAS!Q280/CUENTAS!$AB280,"")</f>
        <v>0.2903810935</v>
      </c>
      <c r="U291" s="459" t="str">
        <f>IF(CUENTAS!C280/CUENTAS!$AB280&lt;&gt;0,CUENTAS!C280/CUENTAS!$AB280,"")</f>
        <v/>
      </c>
      <c r="V291" s="459">
        <f>IF(CUENTAS!D280/CUENTAS!$AB280&lt;&gt;0,CUENTAS!D280/CUENTAS!$AB280,"")</f>
        <v>0.1187605671</v>
      </c>
      <c r="W291" s="459" t="str">
        <f>IF(CUENTAS!E280/CUENTAS!$AB280&lt;&gt;0,CUENTAS!E280/CUENTAS!$AB280,"")</f>
        <v/>
      </c>
      <c r="X291" s="459">
        <f>IF(CUENTAS!F280/CUENTAS!$AB280&lt;&gt;0,CUENTAS!F280/CUENTAS!$AB280,"")</f>
        <v>0.2319516757</v>
      </c>
      <c r="Y291" s="459" t="str">
        <f>IF(CUENTAS!G280/CUENTAS!$AB280&lt;&gt;0,CUENTAS!G280/CUENTAS!$AB280,"")</f>
        <v/>
      </c>
      <c r="Z291" s="459">
        <f>IF(CUENTAS!H280/CUENTAS!$AB280&lt;&gt;0,CUENTAS!H280/CUENTAS!$AB280,"")</f>
        <v>0.4128300525</v>
      </c>
      <c r="AA291" s="459" t="str">
        <f>IF(CUENTAS!I280/CUENTAS!$AB280&lt;&gt;0,CUENTAS!I280/CUENTAS!$AB280,"")</f>
        <v/>
      </c>
      <c r="AB291" s="459" t="str">
        <f>IF(CUENTAS!J280/CUENTAS!$AB280&lt;&gt;0,CUENTAS!J280/CUENTAS!$AB280,"")</f>
        <v/>
      </c>
      <c r="AC291" s="459">
        <f>IF(CUENTAS!K280/CUENTAS!$AB280&lt;&gt;0,CUENTAS!K280/CUENTAS!$AB280,"")</f>
        <v>0.2215138503</v>
      </c>
      <c r="AD291" s="459" t="str">
        <f>IF(CUENTAS!L280/CUENTAS!$AB280&lt;&gt;0,CUENTAS!L280/CUENTAS!$AB280,"")</f>
        <v/>
      </c>
      <c r="AE291" s="459">
        <f>IF(CUENTAS!M280/CUENTAS!$AB280&lt;&gt;0,CUENTAS!M280/CUENTAS!$AB280,"")</f>
        <v>0.4111870615</v>
      </c>
      <c r="AF291" s="459">
        <f>IF(CUENTAS!N280/CUENTAS!$AB280&lt;&gt;0,CUENTAS!N280/CUENTAS!$AB280,"")</f>
        <v>0.2589424161</v>
      </c>
      <c r="AG291" s="459" t="str">
        <f>IF(CUENTAS!O280/CUENTAS!$AB280&lt;&gt;0,CUENTAS!O280/CUENTAS!$AB280,"")</f>
        <v/>
      </c>
      <c r="AH291" s="459" t="str">
        <f>IF(CUENTAS!P280/CUENTAS!$AB280&lt;&gt;0,CUENTAS!P280/CUENTAS!$AB280,"")</f>
        <v/>
      </c>
      <c r="AI291" s="459">
        <f>IF(CUENTAS!R280/CUENTAS!$AB280&lt;&gt;0,CUENTAS!R280/CUENTAS!$AB280,"")</f>
        <v>0.1299131463</v>
      </c>
      <c r="AJ291" s="459" t="str">
        <f>IF(CUENTAS!B280/CUENTAS!$AB280&lt;&gt;0,CUENTAS!B280/CUENTAS!$AB280,"")</f>
        <v/>
      </c>
      <c r="AK291" s="459">
        <f>IF(CUENTAS!S280/CUENTAS!$AB280&lt;&gt;0,CUENTAS!S280/CUENTAS!$AB280,"")</f>
        <v>0.2823972008</v>
      </c>
      <c r="AL291" s="459">
        <f>IF(CUENTAS!T280/CUENTAS!$AB280&lt;&gt;0,CUENTAS!T280/CUENTAS!$AB280,"")</f>
        <v>0.2210042595</v>
      </c>
      <c r="AM291" s="459">
        <f>IF(CUENTAS!U280/CUENTAS!$AB280&lt;&gt;0,CUENTAS!U280/CUENTAS!$AB280,"")</f>
        <v>0.2846118847</v>
      </c>
      <c r="AN291" s="459">
        <f>IF(CUENTAS!V280/CUENTAS!$AB280&lt;&gt;0,CUENTAS!V280/CUENTAS!$AB280,"")</f>
        <v>0.08914324627</v>
      </c>
      <c r="AO291" s="459" t="str">
        <f>IF(CUENTAS!W280/CUENTAS!$AB280&lt;&gt;0,CUENTAS!W280/CUENTAS!$AB280,"")</f>
        <v/>
      </c>
      <c r="AP291" s="459" t="str">
        <f>IF(CUENTAS!X280/CUENTAS!$AB280&lt;&gt;0,CUENTAS!X280/CUENTAS!$AB280,"")</f>
        <v/>
      </c>
      <c r="AQ291" s="459" t="str">
        <f>IF(CUENTAS!Y280/CUENTAS!$AB280&lt;&gt;0,CUENTAS!Y280/CUENTAS!$AB280,"")</f>
        <v/>
      </c>
      <c r="AR291" s="459">
        <f>IF(CUENTAS!AA280/CUENTAS!$AB280&lt;&gt;0,CUENTAS!AA280/CUENTAS!$AB280,"")</f>
        <v>0.1603080412</v>
      </c>
    </row>
    <row r="292">
      <c r="A292" s="474"/>
      <c r="B292" s="200"/>
      <c r="C292" s="200"/>
      <c r="F292" s="200"/>
      <c r="G292" s="200"/>
      <c r="J292" s="470">
        <v>45368.0</v>
      </c>
      <c r="K292" s="466">
        <f>SUMIF(GRAFICO!A:A,J292,GRAFICO!B:B)</f>
        <v>10519.97777</v>
      </c>
      <c r="L292" s="467">
        <f t="shared" si="2"/>
        <v>0.04062176125</v>
      </c>
      <c r="M292" s="468">
        <v>45733.0</v>
      </c>
      <c r="N292" s="469">
        <f>SUMIF(GRAFICO!A:A,M292,GRAFICO!B:B)</f>
        <v>14848.05394</v>
      </c>
      <c r="O292" s="467">
        <f t="shared" si="3"/>
        <v>0.06479553389</v>
      </c>
      <c r="P292" s="465">
        <v>46098.0</v>
      </c>
      <c r="Q292" s="463" t="str">
        <f>IF(SUMIF(GRAFICO!A:A,P292,GRAFICO!B:B)=0,"",SUMIF(GRAFICO!A:A,P292,GRAFICO!B:B))</f>
        <v/>
      </c>
      <c r="R292" s="463" t="str">
        <f t="shared" si="4"/>
        <v/>
      </c>
      <c r="S292" s="471">
        <f>CUENTAS!A281</f>
        <v>45821</v>
      </c>
      <c r="T292" s="459">
        <f>IF(CUENTAS!Q281/CUENTAS!$AB281&lt;&gt;0,CUENTAS!Q281/CUENTAS!$AB281,"")</f>
        <v>0.2901904926</v>
      </c>
      <c r="U292" s="459" t="str">
        <f>IF(CUENTAS!C281/CUENTAS!$AB281&lt;&gt;0,CUENTAS!C281/CUENTAS!$AB281,"")</f>
        <v/>
      </c>
      <c r="V292" s="459">
        <f>IF(CUENTAS!D281/CUENTAS!$AB281&lt;&gt;0,CUENTAS!D281/CUENTAS!$AB281,"")</f>
        <v>0.1183849782</v>
      </c>
      <c r="W292" s="459" t="str">
        <f>IF(CUENTAS!E281/CUENTAS!$AB281&lt;&gt;0,CUENTAS!E281/CUENTAS!$AB281,"")</f>
        <v/>
      </c>
      <c r="X292" s="459">
        <f>IF(CUENTAS!F281/CUENTAS!$AB281&lt;&gt;0,CUENTAS!F281/CUENTAS!$AB281,"")</f>
        <v>0.2275848918</v>
      </c>
      <c r="Y292" s="459" t="str">
        <f>IF(CUENTAS!G281/CUENTAS!$AB281&lt;&gt;0,CUENTAS!G281/CUENTAS!$AB281,"")</f>
        <v/>
      </c>
      <c r="Z292" s="459">
        <f>IF(CUENTAS!H281/CUENTAS!$AB281&lt;&gt;0,CUENTAS!H281/CUENTAS!$AB281,"")</f>
        <v>0.4125590783</v>
      </c>
      <c r="AA292" s="459" t="str">
        <f>IF(CUENTAS!I281/CUENTAS!$AB281&lt;&gt;0,CUENTAS!I281/CUENTAS!$AB281,"")</f>
        <v/>
      </c>
      <c r="AB292" s="459" t="str">
        <f>IF(CUENTAS!J281/CUENTAS!$AB281&lt;&gt;0,CUENTAS!J281/CUENTAS!$AB281,"")</f>
        <v/>
      </c>
      <c r="AC292" s="459">
        <f>IF(CUENTAS!K281/CUENTAS!$AB281&lt;&gt;0,CUENTAS!K281/CUENTAS!$AB281,"")</f>
        <v>0.2213684526</v>
      </c>
      <c r="AD292" s="459" t="str">
        <f>IF(CUENTAS!L281/CUENTAS!$AB281&lt;&gt;0,CUENTAS!L281/CUENTAS!$AB281,"")</f>
        <v/>
      </c>
      <c r="AE292" s="459">
        <f>IF(CUENTAS!M281/CUENTAS!$AB281&lt;&gt;0,CUENTAS!M281/CUENTAS!$AB281,"")</f>
        <v>0.4109171657</v>
      </c>
      <c r="AF292" s="459">
        <f>IF(CUENTAS!N281/CUENTAS!$AB281&lt;&gt;0,CUENTAS!N281/CUENTAS!$AB281,"")</f>
        <v>0.258772451</v>
      </c>
      <c r="AG292" s="459" t="str">
        <f>IF(CUENTAS!O281/CUENTAS!$AB281&lt;&gt;0,CUENTAS!O281/CUENTAS!$AB281,"")</f>
        <v/>
      </c>
      <c r="AH292" s="459" t="str">
        <f>IF(CUENTAS!P281/CUENTAS!$AB281&lt;&gt;0,CUENTAS!P281/CUENTAS!$AB281,"")</f>
        <v/>
      </c>
      <c r="AI292" s="459">
        <f>IF(CUENTAS!R281/CUENTAS!$AB281&lt;&gt;0,CUENTAS!R281/CUENTAS!$AB281,"")</f>
        <v>0.1298278736</v>
      </c>
      <c r="AJ292" s="459" t="str">
        <f>IF(CUENTAS!B281/CUENTAS!$AB281&lt;&gt;0,CUENTAS!B281/CUENTAS!$AB281,"")</f>
        <v/>
      </c>
      <c r="AK292" s="459">
        <f>IF(CUENTAS!S281/CUENTAS!$AB281&lt;&gt;0,CUENTAS!S281/CUENTAS!$AB281,"")</f>
        <v>0.2815358257</v>
      </c>
      <c r="AL292" s="459">
        <f>IF(CUENTAS!T281/CUENTAS!$AB281&lt;&gt;0,CUENTAS!T281/CUENTAS!$AB281,"")</f>
        <v>0.2208284653</v>
      </c>
      <c r="AM292" s="459">
        <f>IF(CUENTAS!U281/CUENTAS!$AB281&lt;&gt;0,CUENTAS!U281/CUENTAS!$AB281,"")</f>
        <v>0.2837245162</v>
      </c>
      <c r="AN292" s="459">
        <f>IF(CUENTAS!V281/CUENTAS!$AB281&lt;&gt;0,CUENTAS!V281/CUENTAS!$AB281,"")</f>
        <v>0.08908473425</v>
      </c>
      <c r="AO292" s="459" t="str">
        <f>IF(CUENTAS!W281/CUENTAS!$AB281&lt;&gt;0,CUENTAS!W281/CUENTAS!$AB281,"")</f>
        <v/>
      </c>
      <c r="AP292" s="459" t="str">
        <f>IF(CUENTAS!X281/CUENTAS!$AB281&lt;&gt;0,CUENTAS!X281/CUENTAS!$AB281,"")</f>
        <v/>
      </c>
      <c r="AQ292" s="459" t="str">
        <f>IF(CUENTAS!Y281/CUENTAS!$AB281&lt;&gt;0,CUENTAS!Y281/CUENTAS!$AB281,"")</f>
        <v/>
      </c>
      <c r="AR292" s="459">
        <f>IF(CUENTAS!AA281/CUENTAS!$AB281&lt;&gt;0,CUENTAS!AA281/CUENTAS!$AB281,"")</f>
        <v>0.1602028179</v>
      </c>
    </row>
    <row r="293">
      <c r="A293" s="474"/>
      <c r="B293" s="200"/>
      <c r="C293" s="200"/>
      <c r="F293" s="200"/>
      <c r="G293" s="200"/>
      <c r="J293" s="465">
        <v>45367.0</v>
      </c>
      <c r="K293" s="466">
        <f>SUMIF(GRAFICO!A:A,J293,GRAFICO!B:B)</f>
        <v>10495.00779</v>
      </c>
      <c r="L293" s="467">
        <f t="shared" si="2"/>
        <v>0.03824536315</v>
      </c>
      <c r="M293" s="468">
        <v>45732.0</v>
      </c>
      <c r="N293" s="469">
        <f>SUMIF(GRAFICO!A:A,M293,GRAFICO!B:B)</f>
        <v>14314.1669</v>
      </c>
      <c r="O293" s="467">
        <f t="shared" si="3"/>
        <v>0.02817646447</v>
      </c>
      <c r="P293" s="468">
        <v>46097.0</v>
      </c>
      <c r="Q293" s="463" t="str">
        <f>IF(SUMIF(GRAFICO!A:A,P293,GRAFICO!B:B)=0,"",SUMIF(GRAFICO!A:A,P293,GRAFICO!B:B))</f>
        <v/>
      </c>
      <c r="R293" s="463" t="str">
        <f t="shared" si="4"/>
        <v/>
      </c>
      <c r="S293" s="471">
        <f>CUENTAS!A282</f>
        <v>45820</v>
      </c>
      <c r="T293" s="459">
        <f>IF(CUENTAS!Q282/CUENTAS!$AB282&lt;&gt;0,CUENTAS!Q282/CUENTAS!$AB282,"")</f>
        <v>0.2819022549</v>
      </c>
      <c r="U293" s="459" t="str">
        <f>IF(CUENTAS!C282/CUENTAS!$AB282&lt;&gt;0,CUENTAS!C282/CUENTAS!$AB282,"")</f>
        <v/>
      </c>
      <c r="V293" s="459">
        <f>IF(CUENTAS!D282/CUENTAS!$AB282&lt;&gt;0,CUENTAS!D282/CUENTAS!$AB282,"")</f>
        <v>0.1182901256</v>
      </c>
      <c r="W293" s="459" t="str">
        <f>IF(CUENTAS!E282/CUENTAS!$AB282&lt;&gt;0,CUENTAS!E282/CUENTAS!$AB282,"")</f>
        <v/>
      </c>
      <c r="X293" s="459">
        <f>IF(CUENTAS!F282/CUENTAS!$AB282&lt;&gt;0,CUENTAS!F282/CUENTAS!$AB282,"")</f>
        <v>0.2279757091</v>
      </c>
      <c r="Y293" s="459" t="str">
        <f>IF(CUENTAS!G282/CUENTAS!$AB282&lt;&gt;0,CUENTAS!G282/CUENTAS!$AB282,"")</f>
        <v/>
      </c>
      <c r="Z293" s="459">
        <f>IF(CUENTAS!H282/CUENTAS!$AB282&lt;&gt;0,CUENTAS!H282/CUENTAS!$AB282,"")</f>
        <v>0.4186151187</v>
      </c>
      <c r="AA293" s="459" t="str">
        <f>IF(CUENTAS!I282/CUENTAS!$AB282&lt;&gt;0,CUENTAS!I282/CUENTAS!$AB282,"")</f>
        <v/>
      </c>
      <c r="AB293" s="459" t="str">
        <f>IF(CUENTAS!J282/CUENTAS!$AB282&lt;&gt;0,CUENTAS!J282/CUENTAS!$AB282,"")</f>
        <v/>
      </c>
      <c r="AC293" s="459">
        <f>IF(CUENTAS!K282/CUENTAS!$AB282&lt;&gt;0,CUENTAS!K282/CUENTAS!$AB282,"")</f>
        <v>0.2228128333</v>
      </c>
      <c r="AD293" s="459" t="str">
        <f>IF(CUENTAS!L282/CUENTAS!$AB282&lt;&gt;0,CUENTAS!L282/CUENTAS!$AB282,"")</f>
        <v/>
      </c>
      <c r="AE293" s="459">
        <f>IF(CUENTAS!M282/CUENTAS!$AB282&lt;&gt;0,CUENTAS!M282/CUENTAS!$AB282,"")</f>
        <v>0.4116228081</v>
      </c>
      <c r="AF293" s="459">
        <f>IF(CUENTAS!N282/CUENTAS!$AB282&lt;&gt;0,CUENTAS!N282/CUENTAS!$AB282,"")</f>
        <v>0.2592168248</v>
      </c>
      <c r="AG293" s="459" t="str">
        <f>IF(CUENTAS!O282/CUENTAS!$AB282&lt;&gt;0,CUENTAS!O282/CUENTAS!$AB282,"")</f>
        <v/>
      </c>
      <c r="AH293" s="459" t="str">
        <f>IF(CUENTAS!P282/CUENTAS!$AB282&lt;&gt;0,CUENTAS!P282/CUENTAS!$AB282,"")</f>
        <v/>
      </c>
      <c r="AI293" s="459">
        <f>IF(CUENTAS!R282/CUENTAS!$AB282&lt;&gt;0,CUENTAS!R282/CUENTAS!$AB282,"")</f>
        <v>0.130050819</v>
      </c>
      <c r="AJ293" s="459" t="str">
        <f>IF(CUENTAS!B282/CUENTAS!$AB282&lt;&gt;0,CUENTAS!B282/CUENTAS!$AB282,"")</f>
        <v/>
      </c>
      <c r="AK293" s="459">
        <f>IF(CUENTAS!S282/CUENTAS!$AB282&lt;&gt;0,CUENTAS!S282/CUENTAS!$AB282,"")</f>
        <v>0.2813421142</v>
      </c>
      <c r="AL293" s="459">
        <f>IF(CUENTAS!T282/CUENTAS!$AB282&lt;&gt;0,CUENTAS!T282/CUENTAS!$AB282,"")</f>
        <v>0.2211768965</v>
      </c>
      <c r="AM293" s="459">
        <f>IF(CUENTAS!U282/CUENTAS!$AB282&lt;&gt;0,CUENTAS!U282/CUENTAS!$AB282,"")</f>
        <v>0.2835099813</v>
      </c>
      <c r="AN293" s="459">
        <f>IF(CUENTAS!V282/CUENTAS!$AB282&lt;&gt;0,CUENTAS!V282/CUENTAS!$AB282,"")</f>
        <v>0.08923771392</v>
      </c>
      <c r="AO293" s="459" t="str">
        <f>IF(CUENTAS!W282/CUENTAS!$AB282&lt;&gt;0,CUENTAS!W282/CUENTAS!$AB282,"")</f>
        <v/>
      </c>
      <c r="AP293" s="459" t="str">
        <f>IF(CUENTAS!X282/CUENTAS!$AB282&lt;&gt;0,CUENTAS!X282/CUENTAS!$AB282,"")</f>
        <v/>
      </c>
      <c r="AQ293" s="459" t="str">
        <f>IF(CUENTAS!Y282/CUENTAS!$AB282&lt;&gt;0,CUENTAS!Y282/CUENTAS!$AB282,"")</f>
        <v/>
      </c>
      <c r="AR293" s="459">
        <f>IF(CUENTAS!AA282/CUENTAS!$AB282&lt;&gt;0,CUENTAS!AA282/CUENTAS!$AB282,"")</f>
        <v>0.1604779242</v>
      </c>
    </row>
    <row r="294">
      <c r="A294" s="474"/>
      <c r="B294" s="200"/>
      <c r="C294" s="200"/>
      <c r="F294" s="200"/>
      <c r="G294" s="200"/>
      <c r="J294" s="470">
        <v>45366.0</v>
      </c>
      <c r="K294" s="466">
        <f>SUMIF(GRAFICO!A:A,J294,GRAFICO!B:B)</f>
        <v>10669.36668</v>
      </c>
      <c r="L294" s="467">
        <f t="shared" si="2"/>
        <v>0.05472237585</v>
      </c>
      <c r="M294" s="468">
        <v>45731.0</v>
      </c>
      <c r="N294" s="469">
        <f>SUMIF(GRAFICO!A:A,M294,GRAFICO!B:B)</f>
        <v>14305.22952</v>
      </c>
      <c r="O294" s="467">
        <f t="shared" si="3"/>
        <v>0.02755189648</v>
      </c>
      <c r="P294" s="465">
        <v>46096.0</v>
      </c>
      <c r="Q294" s="463" t="str">
        <f>IF(SUMIF(GRAFICO!A:A,P294,GRAFICO!B:B)=0,"",SUMIF(GRAFICO!A:A,P294,GRAFICO!B:B))</f>
        <v/>
      </c>
      <c r="R294" s="463" t="str">
        <f t="shared" si="4"/>
        <v/>
      </c>
      <c r="S294" s="471">
        <f>CUENTAS!A283</f>
        <v>45819</v>
      </c>
      <c r="T294" s="459">
        <f>IF(CUENTAS!Q283/CUENTAS!$AB283&lt;&gt;0,CUENTAS!Q283/CUENTAS!$AB283,"")</f>
        <v>0.2720373353</v>
      </c>
      <c r="U294" s="459" t="str">
        <f>IF(CUENTAS!C283/CUENTAS!$AB283&lt;&gt;0,CUENTAS!C283/CUENTAS!$AB283,"")</f>
        <v/>
      </c>
      <c r="V294" s="459">
        <f>IF(CUENTAS!D283/CUENTAS!$AB283&lt;&gt;0,CUENTAS!D283/CUENTAS!$AB283,"")</f>
        <v>0.1135679714</v>
      </c>
      <c r="W294" s="459" t="str">
        <f>IF(CUENTAS!E283/CUENTAS!$AB283&lt;&gt;0,CUENTAS!E283/CUENTAS!$AB283,"")</f>
        <v/>
      </c>
      <c r="X294" s="459">
        <f>IF(CUENTAS!F283/CUENTAS!$AB283&lt;&gt;0,CUENTAS!F283/CUENTAS!$AB283,"")</f>
        <v>0.2194279584</v>
      </c>
      <c r="Y294" s="459" t="str">
        <f>IF(CUENTAS!G283/CUENTAS!$AB283&lt;&gt;0,CUENTAS!G283/CUENTAS!$AB283,"")</f>
        <v/>
      </c>
      <c r="Z294" s="459">
        <f>IF(CUENTAS!H283/CUENTAS!$AB283&lt;&gt;0,CUENTAS!H283/CUENTAS!$AB283,"")</f>
        <v>0.4270464261</v>
      </c>
      <c r="AA294" s="459" t="str">
        <f>IF(CUENTAS!I283/CUENTAS!$AB283&lt;&gt;0,CUENTAS!I283/CUENTAS!$AB283,"")</f>
        <v/>
      </c>
      <c r="AB294" s="459" t="str">
        <f>IF(CUENTAS!J283/CUENTAS!$AB283&lt;&gt;0,CUENTAS!J283/CUENTAS!$AB283,"")</f>
        <v/>
      </c>
      <c r="AC294" s="459">
        <f>IF(CUENTAS!K283/CUENTAS!$AB283&lt;&gt;0,CUENTAS!K283/CUENTAS!$AB283,"")</f>
        <v>0.2154829959</v>
      </c>
      <c r="AD294" s="459" t="str">
        <f>IF(CUENTAS!L283/CUENTAS!$AB283&lt;&gt;0,CUENTAS!L283/CUENTAS!$AB283,"")</f>
        <v/>
      </c>
      <c r="AE294" s="459">
        <f>IF(CUENTAS!M283/CUENTAS!$AB283&lt;&gt;0,CUENTAS!M283/CUENTAS!$AB283,"")</f>
        <v>0.4071946297</v>
      </c>
      <c r="AF294" s="459">
        <f>IF(CUENTAS!N283/CUENTAS!$AB283&lt;&gt;0,CUENTAS!N283/CUENTAS!$AB283,"")</f>
        <v>0.2494977157</v>
      </c>
      <c r="AG294" s="459" t="str">
        <f>IF(CUENTAS!O283/CUENTAS!$AB283&lt;&gt;0,CUENTAS!O283/CUENTAS!$AB283,"")</f>
        <v/>
      </c>
      <c r="AH294" s="459" t="str">
        <f>IF(CUENTAS!P283/CUENTAS!$AB283&lt;&gt;0,CUENTAS!P283/CUENTAS!$AB283,"")</f>
        <v/>
      </c>
      <c r="AI294" s="459">
        <f>IF(CUENTAS!R283/CUENTAS!$AB283&lt;&gt;0,CUENTAS!R283/CUENTAS!$AB283,"")</f>
        <v>0.1251746768</v>
      </c>
      <c r="AJ294" s="459" t="str">
        <f>IF(CUENTAS!B283/CUENTAS!$AB283&lt;&gt;0,CUENTAS!B283/CUENTAS!$AB283,"")</f>
        <v/>
      </c>
      <c r="AK294" s="459">
        <f>IF(CUENTAS!S283/CUENTAS!$AB283&lt;&gt;0,CUENTAS!S283/CUENTAS!$AB283,"")</f>
        <v>0.2701416512</v>
      </c>
      <c r="AL294" s="459">
        <f>IF(CUENTAS!T283/CUENTAS!$AB283&lt;&gt;0,CUENTAS!T283/CUENTAS!$AB283,"")</f>
        <v>0.2128544318</v>
      </c>
      <c r="AM294" s="459">
        <f>IF(CUENTAS!U283/CUENTAS!$AB283&lt;&gt;0,CUENTAS!U283/CUENTAS!$AB283,"")</f>
        <v>0.2722045758</v>
      </c>
      <c r="AN294" s="459">
        <f>IF(CUENTAS!V283/CUENTAS!$AB283&lt;&gt;0,CUENTAS!V283/CUENTAS!$AB283,"")</f>
        <v>0.08589182355</v>
      </c>
      <c r="AO294" s="459" t="str">
        <f>IF(CUENTAS!W283/CUENTAS!$AB283&lt;&gt;0,CUENTAS!W283/CUENTAS!$AB283,"")</f>
        <v/>
      </c>
      <c r="AP294" s="459" t="str">
        <f>IF(CUENTAS!X283/CUENTAS!$AB283&lt;&gt;0,CUENTAS!X283/CUENTAS!$AB283,"")</f>
        <v/>
      </c>
      <c r="AQ294" s="459" t="str">
        <f>IF(CUENTAS!Y283/CUENTAS!$AB283&lt;&gt;0,CUENTAS!Y283/CUENTAS!$AB283,"")</f>
        <v/>
      </c>
      <c r="AR294" s="459">
        <f>IF(CUENTAS!AA283/CUENTAS!$AB283&lt;&gt;0,CUENTAS!AA283/CUENTAS!$AB283,"")</f>
        <v>0.1544609442</v>
      </c>
    </row>
    <row r="295">
      <c r="A295" s="474"/>
      <c r="B295" s="200"/>
      <c r="C295" s="200"/>
      <c r="F295" s="200"/>
      <c r="G295" s="200"/>
      <c r="J295" s="470">
        <v>45365.0</v>
      </c>
      <c r="K295" s="466">
        <f>SUMIF(GRAFICO!A:A,J295,GRAFICO!B:B)</f>
        <v>10659.76412</v>
      </c>
      <c r="L295" s="467">
        <f t="shared" si="2"/>
        <v>0.05382195879</v>
      </c>
      <c r="M295" s="468">
        <v>45730.0</v>
      </c>
      <c r="N295" s="469">
        <f>SUMIF(GRAFICO!A:A,M295,GRAFICO!B:B)</f>
        <v>14292.86561</v>
      </c>
      <c r="O295" s="467">
        <f t="shared" si="3"/>
        <v>0.02668722958</v>
      </c>
      <c r="P295" s="468">
        <v>46095.0</v>
      </c>
      <c r="Q295" s="463" t="str">
        <f>IF(SUMIF(GRAFICO!A:A,P295,GRAFICO!B:B)=0,"",SUMIF(GRAFICO!A:A,P295,GRAFICO!B:B))</f>
        <v/>
      </c>
      <c r="R295" s="463" t="str">
        <f t="shared" si="4"/>
        <v/>
      </c>
      <c r="S295" s="471">
        <f>CUENTAS!A284</f>
        <v>45818</v>
      </c>
      <c r="T295" s="459">
        <f>IF(CUENTAS!Q284/CUENTAS!$AB284&lt;&gt;0,CUENTAS!Q284/CUENTAS!$AB284,"")</f>
        <v>0.2746297057</v>
      </c>
      <c r="U295" s="459" t="str">
        <f>IF(CUENTAS!C284/CUENTAS!$AB284&lt;&gt;0,CUENTAS!C284/CUENTAS!$AB284,"")</f>
        <v/>
      </c>
      <c r="V295" s="459">
        <f>IF(CUENTAS!D284/CUENTAS!$AB284&lt;&gt;0,CUENTAS!D284/CUENTAS!$AB284,"")</f>
        <v>0.1164727093</v>
      </c>
      <c r="W295" s="459" t="str">
        <f>IF(CUENTAS!E284/CUENTAS!$AB284&lt;&gt;0,CUENTAS!E284/CUENTAS!$AB284,"")</f>
        <v/>
      </c>
      <c r="X295" s="459">
        <f>IF(CUENTAS!F284/CUENTAS!$AB284&lt;&gt;0,CUENTAS!F284/CUENTAS!$AB284,"")</f>
        <v>0.2247747754</v>
      </c>
      <c r="Y295" s="459" t="str">
        <f>IF(CUENTAS!G284/CUENTAS!$AB284&lt;&gt;0,CUENTAS!G284/CUENTAS!$AB284,"")</f>
        <v/>
      </c>
      <c r="Z295" s="459">
        <f>IF(CUENTAS!H284/CUENTAS!$AB284&lt;&gt;0,CUENTAS!H284/CUENTAS!$AB284,"")</f>
        <v>0.4142718182</v>
      </c>
      <c r="AA295" s="459" t="str">
        <f>IF(CUENTAS!I284/CUENTAS!$AB284&lt;&gt;0,CUENTAS!I284/CUENTAS!$AB284,"")</f>
        <v/>
      </c>
      <c r="AB295" s="459" t="str">
        <f>IF(CUENTAS!J284/CUENTAS!$AB284&lt;&gt;0,CUENTAS!J284/CUENTAS!$AB284,"")</f>
        <v/>
      </c>
      <c r="AC295" s="459">
        <f>IF(CUENTAS!K284/CUENTAS!$AB284&lt;&gt;0,CUENTAS!K284/CUENTAS!$AB284,"")</f>
        <v>0.2226074535</v>
      </c>
      <c r="AD295" s="459" t="str">
        <f>IF(CUENTAS!L284/CUENTAS!$AB284&lt;&gt;0,CUENTAS!L284/CUENTAS!$AB284,"")</f>
        <v/>
      </c>
      <c r="AE295" s="459">
        <f>IF(CUENTAS!M284/CUENTAS!$AB284&lt;&gt;0,CUENTAS!M284/CUENTAS!$AB284,"")</f>
        <v>0.4186673906</v>
      </c>
      <c r="AF295" s="459">
        <f>IF(CUENTAS!N284/CUENTAS!$AB284&lt;&gt;0,CUENTAS!N284/CUENTAS!$AB284,"")</f>
        <v>0.2565273459</v>
      </c>
      <c r="AG295" s="459" t="str">
        <f>IF(CUENTAS!O284/CUENTAS!$AB284&lt;&gt;0,CUENTAS!O284/CUENTAS!$AB284,"")</f>
        <v/>
      </c>
      <c r="AH295" s="459" t="str">
        <f>IF(CUENTAS!P284/CUENTAS!$AB284&lt;&gt;0,CUENTAS!P284/CUENTAS!$AB284,"")</f>
        <v/>
      </c>
      <c r="AI295" s="459">
        <f>IF(CUENTAS!R284/CUENTAS!$AB284&lt;&gt;0,CUENTAS!R284/CUENTAS!$AB284,"")</f>
        <v>0.1287014894</v>
      </c>
      <c r="AJ295" s="459" t="str">
        <f>IF(CUENTAS!B284/CUENTAS!$AB284&lt;&gt;0,CUENTAS!B284/CUENTAS!$AB284,"")</f>
        <v/>
      </c>
      <c r="AK295" s="459">
        <f>IF(CUENTAS!S284/CUENTAS!$AB284&lt;&gt;0,CUENTAS!S284/CUENTAS!$AB284,"")</f>
        <v>0.2770827774</v>
      </c>
      <c r="AL295" s="459">
        <f>IF(CUENTAS!T284/CUENTAS!$AB284&lt;&gt;0,CUENTAS!T284/CUENTAS!$AB284,"")</f>
        <v>0.2188211684</v>
      </c>
      <c r="AM295" s="459">
        <f>IF(CUENTAS!U284/CUENTAS!$AB284&lt;&gt;0,CUENTAS!U284/CUENTAS!$AB284,"")</f>
        <v>0.2791794983</v>
      </c>
      <c r="AN295" s="459">
        <f>IF(CUENTAS!V284/CUENTAS!$AB284&lt;&gt;0,CUENTAS!V284/CUENTAS!$AB284,"")</f>
        <v>0.0883118367</v>
      </c>
      <c r="AO295" s="459" t="str">
        <f>IF(CUENTAS!W284/CUENTAS!$AB284&lt;&gt;0,CUENTAS!W284/CUENTAS!$AB284,"")</f>
        <v/>
      </c>
      <c r="AP295" s="459" t="str">
        <f>IF(CUENTAS!X284/CUENTAS!$AB284&lt;&gt;0,CUENTAS!X284/CUENTAS!$AB284,"")</f>
        <v/>
      </c>
      <c r="AQ295" s="459" t="str">
        <f>IF(CUENTAS!Y284/CUENTAS!$AB284&lt;&gt;0,CUENTAS!Y284/CUENTAS!$AB284,"")</f>
        <v/>
      </c>
      <c r="AR295" s="459">
        <f>IF(CUENTAS!AA284/CUENTAS!$AB284&lt;&gt;0,CUENTAS!AA284/CUENTAS!$AB284,"")</f>
        <v>0.1588129011</v>
      </c>
    </row>
    <row r="296">
      <c r="A296" s="474"/>
      <c r="B296" s="200"/>
      <c r="C296" s="200"/>
      <c r="F296" s="200"/>
      <c r="G296" s="200"/>
      <c r="J296" s="470">
        <v>45364.0</v>
      </c>
      <c r="K296" s="466">
        <f>SUMIF(GRAFICO!A:A,J296,GRAFICO!B:B)</f>
        <v>10656.56847</v>
      </c>
      <c r="L296" s="467">
        <f t="shared" si="2"/>
        <v>0.05352212727</v>
      </c>
      <c r="M296" s="468">
        <v>45729.0</v>
      </c>
      <c r="N296" s="469">
        <f>SUMIF(GRAFICO!A:A,M296,GRAFICO!B:B)</f>
        <v>14123.59503</v>
      </c>
      <c r="O296" s="467">
        <f t="shared" si="3"/>
        <v>0.01477353024</v>
      </c>
      <c r="P296" s="465">
        <v>46094.0</v>
      </c>
      <c r="Q296" s="463" t="str">
        <f>IF(SUMIF(GRAFICO!A:A,P296,GRAFICO!B:B)=0,"",SUMIF(GRAFICO!A:A,P296,GRAFICO!B:B))</f>
        <v/>
      </c>
      <c r="R296" s="463" t="str">
        <f t="shared" si="4"/>
        <v/>
      </c>
      <c r="S296" s="471">
        <f>CUENTAS!A285</f>
        <v>45817</v>
      </c>
      <c r="T296" s="459">
        <f>IF(CUENTAS!Q285/CUENTAS!$AB285&lt;&gt;0,CUENTAS!Q285/CUENTAS!$AB285,"")</f>
        <v>0.270755879</v>
      </c>
      <c r="U296" s="459" t="str">
        <f>IF(CUENTAS!C285/CUENTAS!$AB285&lt;&gt;0,CUENTAS!C285/CUENTAS!$AB285,"")</f>
        <v/>
      </c>
      <c r="V296" s="459">
        <f>IF(CUENTAS!D285/CUENTAS!$AB285&lt;&gt;0,CUENTAS!D285/CUENTAS!$AB285,"")</f>
        <v>0.1173249765</v>
      </c>
      <c r="W296" s="459" t="str">
        <f>IF(CUENTAS!E285/CUENTAS!$AB285&lt;&gt;0,CUENTAS!E285/CUENTAS!$AB285,"")</f>
        <v/>
      </c>
      <c r="X296" s="459">
        <f>IF(CUENTAS!F285/CUENTAS!$AB285&lt;&gt;0,CUENTAS!F285/CUENTAS!$AB285,"")</f>
        <v>0.2269945563</v>
      </c>
      <c r="Y296" s="459" t="str">
        <f>IF(CUENTAS!G285/CUENTAS!$AB285&lt;&gt;0,CUENTAS!G285/CUENTAS!$AB285,"")</f>
        <v/>
      </c>
      <c r="Z296" s="459">
        <f>IF(CUENTAS!H285/CUENTAS!$AB285&lt;&gt;0,CUENTAS!H285/CUENTAS!$AB285,"")</f>
        <v>0.4133526568</v>
      </c>
      <c r="AA296" s="459" t="str">
        <f>IF(CUENTAS!I285/CUENTAS!$AB285&lt;&gt;0,CUENTAS!I285/CUENTAS!$AB285,"")</f>
        <v/>
      </c>
      <c r="AB296" s="459" t="str">
        <f>IF(CUENTAS!J285/CUENTAS!$AB285&lt;&gt;0,CUENTAS!J285/CUENTAS!$AB285,"")</f>
        <v/>
      </c>
      <c r="AC296" s="459">
        <f>IF(CUENTAS!K285/CUENTAS!$AB285&lt;&gt;0,CUENTAS!K285/CUENTAS!$AB285,"")</f>
        <v>0.2258694284</v>
      </c>
      <c r="AD296" s="459" t="str">
        <f>IF(CUENTAS!L285/CUENTAS!$AB285&lt;&gt;0,CUENTAS!L285/CUENTAS!$AB285,"")</f>
        <v/>
      </c>
      <c r="AE296" s="459">
        <f>IF(CUENTAS!M285/CUENTAS!$AB285&lt;&gt;0,CUENTAS!M285/CUENTAS!$AB285,"")</f>
        <v>0.4228019733</v>
      </c>
      <c r="AF296" s="459">
        <f>IF(CUENTAS!N285/CUENTAS!$AB285&lt;&gt;0,CUENTAS!N285/CUENTAS!$AB285,"")</f>
        <v>0.2590607018</v>
      </c>
      <c r="AG296" s="459" t="str">
        <f>IF(CUENTAS!O285/CUENTAS!$AB285&lt;&gt;0,CUENTAS!O285/CUENTAS!$AB285,"")</f>
        <v/>
      </c>
      <c r="AH296" s="459" t="str">
        <f>IF(CUENTAS!P285/CUENTAS!$AB285&lt;&gt;0,CUENTAS!P285/CUENTAS!$AB285,"")</f>
        <v/>
      </c>
      <c r="AI296" s="459">
        <f>IF(CUENTAS!R285/CUENTAS!$AB285&lt;&gt;0,CUENTAS!R285/CUENTAS!$AB285,"")</f>
        <v>0.129972491</v>
      </c>
      <c r="AJ296" s="459" t="str">
        <f>IF(CUENTAS!B285/CUENTAS!$AB285&lt;&gt;0,CUENTAS!B285/CUENTAS!$AB285,"")</f>
        <v/>
      </c>
      <c r="AK296" s="459">
        <f>IF(CUENTAS!S285/CUENTAS!$AB285&lt;&gt;0,CUENTAS!S285/CUENTAS!$AB285,"")</f>
        <v>0.2791423624</v>
      </c>
      <c r="AL296" s="459">
        <f>IF(CUENTAS!T285/CUENTAS!$AB285&lt;&gt;0,CUENTAS!T285/CUENTAS!$AB285,"")</f>
        <v>0.2209513888</v>
      </c>
      <c r="AM296" s="459">
        <f>IF(CUENTAS!U285/CUENTAS!$AB285&lt;&gt;0,CUENTAS!U285/CUENTAS!$AB285,"")</f>
        <v>0.2812352226</v>
      </c>
      <c r="AN296" s="459">
        <f>IF(CUENTAS!V285/CUENTAS!$AB285&lt;&gt;0,CUENTAS!V285/CUENTAS!$AB285,"")</f>
        <v>0.08918396717</v>
      </c>
      <c r="AO296" s="459" t="str">
        <f>IF(CUENTAS!W285/CUENTAS!$AB285&lt;&gt;0,CUENTAS!W285/CUENTAS!$AB285,"")</f>
        <v/>
      </c>
      <c r="AP296" s="459" t="str">
        <f>IF(CUENTAS!X285/CUENTAS!$AB285&lt;&gt;0,CUENTAS!X285/CUENTAS!$AB285,"")</f>
        <v/>
      </c>
      <c r="AQ296" s="459" t="str">
        <f>IF(CUENTAS!Y285/CUENTAS!$AB285&lt;&gt;0,CUENTAS!Y285/CUENTAS!$AB285,"")</f>
        <v/>
      </c>
      <c r="AR296" s="459">
        <f>IF(CUENTAS!AA285/CUENTAS!$AB285&lt;&gt;0,CUENTAS!AA285/CUENTAS!$AB285,"")</f>
        <v>0.1603812703</v>
      </c>
    </row>
    <row r="297">
      <c r="A297" s="474"/>
      <c r="B297" s="200"/>
      <c r="C297" s="200"/>
      <c r="F297" s="200"/>
      <c r="G297" s="200"/>
      <c r="J297" s="465">
        <v>45363.0</v>
      </c>
      <c r="K297" s="466">
        <f>SUMIF(GRAFICO!A:A,J297,GRAFICO!B:B)</f>
        <v>10647.04431</v>
      </c>
      <c r="L297" s="467">
        <f t="shared" si="2"/>
        <v>0.05262799155</v>
      </c>
      <c r="M297" s="468">
        <v>45728.0</v>
      </c>
      <c r="N297" s="469">
        <f>SUMIF(GRAFICO!A:A,M297,GRAFICO!B:B)</f>
        <v>14161.43935</v>
      </c>
      <c r="O297" s="467">
        <f t="shared" si="3"/>
        <v>0.01744945704</v>
      </c>
      <c r="P297" s="468">
        <v>46093.0</v>
      </c>
      <c r="Q297" s="463" t="str">
        <f>IF(SUMIF(GRAFICO!A:A,P297,GRAFICO!B:B)=0,"",SUMIF(GRAFICO!A:A,P297,GRAFICO!B:B))</f>
        <v/>
      </c>
      <c r="R297" s="463" t="str">
        <f t="shared" si="4"/>
        <v/>
      </c>
      <c r="S297" s="471">
        <f>CUENTAS!A286</f>
        <v>45816</v>
      </c>
      <c r="T297" s="459">
        <f>IF(CUENTAS!Q286/CUENTAS!$AB286&lt;&gt;0,CUENTAS!Q286/CUENTAS!$AB286,"")</f>
        <v>0.2683012911</v>
      </c>
      <c r="U297" s="459" t="str">
        <f>IF(CUENTAS!C286/CUENTAS!$AB286&lt;&gt;0,CUENTAS!C286/CUENTAS!$AB286,"")</f>
        <v/>
      </c>
      <c r="V297" s="459">
        <f>IF(CUENTAS!D286/CUENTAS!$AB286&lt;&gt;0,CUENTAS!D286/CUENTAS!$AB286,"")</f>
        <v>0.1162803494</v>
      </c>
      <c r="W297" s="459" t="str">
        <f>IF(CUENTAS!E286/CUENTAS!$AB286&lt;&gt;0,CUENTAS!E286/CUENTAS!$AB286,"")</f>
        <v/>
      </c>
      <c r="X297" s="459">
        <f>IF(CUENTAS!F286/CUENTAS!$AB286&lt;&gt;0,CUENTAS!F286/CUENTAS!$AB286,"")</f>
        <v>0.2230308934</v>
      </c>
      <c r="Y297" s="459" t="str">
        <f>IF(CUENTAS!G286/CUENTAS!$AB286&lt;&gt;0,CUENTAS!G286/CUENTAS!$AB286,"")</f>
        <v/>
      </c>
      <c r="Z297" s="459">
        <f>IF(CUENTAS!H286/CUENTAS!$AB286&lt;&gt;0,CUENTAS!H286/CUENTAS!$AB286,"")</f>
        <v>0.415693741</v>
      </c>
      <c r="AA297" s="459" t="str">
        <f>IF(CUENTAS!I286/CUENTAS!$AB286&lt;&gt;0,CUENTAS!I286/CUENTAS!$AB286,"")</f>
        <v/>
      </c>
      <c r="AB297" s="459" t="str">
        <f>IF(CUENTAS!J286/CUENTAS!$AB286&lt;&gt;0,CUENTAS!J286/CUENTAS!$AB286,"")</f>
        <v/>
      </c>
      <c r="AC297" s="459">
        <f>IF(CUENTAS!K286/CUENTAS!$AB286&lt;&gt;0,CUENTAS!K286/CUENTAS!$AB286,"")</f>
        <v>0.2254851415</v>
      </c>
      <c r="AD297" s="459" t="str">
        <f>IF(CUENTAS!L286/CUENTAS!$AB286&lt;&gt;0,CUENTAS!L286/CUENTAS!$AB286,"")</f>
        <v/>
      </c>
      <c r="AE297" s="459">
        <f>IF(CUENTAS!M286/CUENTAS!$AB286&lt;&gt;0,CUENTAS!M286/CUENTAS!$AB286,"")</f>
        <v>0.4201044005</v>
      </c>
      <c r="AF297" s="459">
        <f>IF(CUENTAS!N286/CUENTAS!$AB286&lt;&gt;0,CUENTAS!N286/CUENTAS!$AB286,"")</f>
        <v>0.2578270666</v>
      </c>
      <c r="AG297" s="459" t="str">
        <f>IF(CUENTAS!O286/CUENTAS!$AB286&lt;&gt;0,CUENTAS!O286/CUENTAS!$AB286,"")</f>
        <v/>
      </c>
      <c r="AH297" s="459" t="str">
        <f>IF(CUENTAS!P286/CUENTAS!$AB286&lt;&gt;0,CUENTAS!P286/CUENTAS!$AB286,"")</f>
        <v/>
      </c>
      <c r="AI297" s="459">
        <f>IF(CUENTAS!R286/CUENTAS!$AB286&lt;&gt;0,CUENTAS!R286/CUENTAS!$AB286,"")</f>
        <v>0.1291432369</v>
      </c>
      <c r="AJ297" s="459" t="str">
        <f>IF(CUENTAS!B286/CUENTAS!$AB286&lt;&gt;0,CUENTAS!B286/CUENTAS!$AB286,"")</f>
        <v/>
      </c>
      <c r="AK297" s="459">
        <f>IF(CUENTAS!S286/CUENTAS!$AB286&lt;&gt;0,CUENTAS!S286/CUENTAS!$AB286,"")</f>
        <v>0.2766889209</v>
      </c>
      <c r="AL297" s="459">
        <f>IF(CUENTAS!T286/CUENTAS!$AB286&lt;&gt;0,CUENTAS!T286/CUENTAS!$AB286,"")</f>
        <v>0.2195110997</v>
      </c>
      <c r="AM297" s="459">
        <f>IF(CUENTAS!U286/CUENTAS!$AB286&lt;&gt;0,CUENTAS!U286/CUENTAS!$AB286,"")</f>
        <v>0.2787440179</v>
      </c>
      <c r="AN297" s="459">
        <f>IF(CUENTAS!V286/CUENTAS!$AB286&lt;&gt;0,CUENTAS!V286/CUENTAS!$AB286,"")</f>
        <v>0.08861495316</v>
      </c>
      <c r="AO297" s="459" t="str">
        <f>IF(CUENTAS!W286/CUENTAS!$AB286&lt;&gt;0,CUENTAS!W286/CUENTAS!$AB286,"")</f>
        <v/>
      </c>
      <c r="AP297" s="459" t="str">
        <f>IF(CUENTAS!X286/CUENTAS!$AB286&lt;&gt;0,CUENTAS!X286/CUENTAS!$AB286,"")</f>
        <v/>
      </c>
      <c r="AQ297" s="459" t="str">
        <f>IF(CUENTAS!Y286/CUENTAS!$AB286&lt;&gt;0,CUENTAS!Y286/CUENTAS!$AB286,"")</f>
        <v/>
      </c>
      <c r="AR297" s="459">
        <f>IF(CUENTAS!AA286/CUENTAS!$AB286&lt;&gt;0,CUENTAS!AA286/CUENTAS!$AB286,"")</f>
        <v>0.1593580014</v>
      </c>
    </row>
    <row r="298">
      <c r="A298" s="474"/>
      <c r="B298" s="200"/>
      <c r="C298" s="200"/>
      <c r="F298" s="200"/>
      <c r="G298" s="200"/>
      <c r="J298" s="465">
        <v>45362.0</v>
      </c>
      <c r="K298" s="466">
        <f>SUMIF(GRAFICO!A:A,J298,GRAFICO!B:B)</f>
        <v>10649.77728</v>
      </c>
      <c r="L298" s="467">
        <f t="shared" si="2"/>
        <v>0.05288464654</v>
      </c>
      <c r="M298" s="468">
        <v>45727.0</v>
      </c>
      <c r="N298" s="469">
        <f>SUMIF(GRAFICO!A:A,M298,GRAFICO!B:B)</f>
        <v>13892.75171</v>
      </c>
      <c r="O298" s="467">
        <f t="shared" si="3"/>
        <v>-0.001706030494</v>
      </c>
      <c r="P298" s="465">
        <v>46092.0</v>
      </c>
      <c r="Q298" s="463" t="str">
        <f>IF(SUMIF(GRAFICO!A:A,P298,GRAFICO!B:B)=0,"",SUMIF(GRAFICO!A:A,P298,GRAFICO!B:B))</f>
        <v/>
      </c>
      <c r="R298" s="463" t="str">
        <f t="shared" si="4"/>
        <v/>
      </c>
      <c r="S298" s="471">
        <f>CUENTAS!A287</f>
        <v>45815</v>
      </c>
      <c r="T298" s="459">
        <f>IF(CUENTAS!Q287/CUENTAS!$AB287&lt;&gt;0,CUENTAS!Q287/CUENTAS!$AB287,"")</f>
        <v>0.2688019254</v>
      </c>
      <c r="U298" s="459" t="str">
        <f>IF(CUENTAS!C287/CUENTAS!$AB287&lt;&gt;0,CUENTAS!C287/CUENTAS!$AB287,"")</f>
        <v/>
      </c>
      <c r="V298" s="459">
        <f>IF(CUENTAS!D287/CUENTAS!$AB287&lt;&gt;0,CUENTAS!D287/CUENTAS!$AB287,"")</f>
        <v>0.1162007021</v>
      </c>
      <c r="W298" s="459" t="str">
        <f>IF(CUENTAS!E287/CUENTAS!$AB287&lt;&gt;0,CUENTAS!E287/CUENTAS!$AB287,"")</f>
        <v/>
      </c>
      <c r="X298" s="459">
        <f>IF(CUENTAS!F287/CUENTAS!$AB287&lt;&gt;0,CUENTAS!F287/CUENTAS!$AB287,"")</f>
        <v>0.222187016</v>
      </c>
      <c r="Y298" s="459" t="str">
        <f>IF(CUENTAS!G287/CUENTAS!$AB287&lt;&gt;0,CUENTAS!G287/CUENTAS!$AB287,"")</f>
        <v/>
      </c>
      <c r="Z298" s="459">
        <f>IF(CUENTAS!H287/CUENTAS!$AB287&lt;&gt;0,CUENTAS!H287/CUENTAS!$AB287,"")</f>
        <v>0.4164694008</v>
      </c>
      <c r="AA298" s="459" t="str">
        <f>IF(CUENTAS!I287/CUENTAS!$AB287&lt;&gt;0,CUENTAS!I287/CUENTAS!$AB287,"")</f>
        <v/>
      </c>
      <c r="AB298" s="459" t="str">
        <f>IF(CUENTAS!J287/CUENTAS!$AB287&lt;&gt;0,CUENTAS!J287/CUENTAS!$AB287,"")</f>
        <v/>
      </c>
      <c r="AC298" s="459">
        <f>IF(CUENTAS!K287/CUENTAS!$AB287&lt;&gt;0,CUENTAS!K287/CUENTAS!$AB287,"")</f>
        <v>0.2259058834</v>
      </c>
      <c r="AD298" s="459" t="str">
        <f>IF(CUENTAS!L287/CUENTAS!$AB287&lt;&gt;0,CUENTAS!L287/CUENTAS!$AB287,"")</f>
        <v/>
      </c>
      <c r="AE298" s="459">
        <f>IF(CUENTAS!M287/CUENTAS!$AB287&lt;&gt;0,CUENTAS!M287/CUENTAS!$AB287,"")</f>
        <v>0.4208882903</v>
      </c>
      <c r="AF298" s="459">
        <f>IF(CUENTAS!N287/CUENTAS!$AB287&lt;&gt;0,CUENTAS!N287/CUENTAS!$AB287,"")</f>
        <v>0.255788077</v>
      </c>
      <c r="AG298" s="459" t="str">
        <f>IF(CUENTAS!O287/CUENTAS!$AB287&lt;&gt;0,CUENTAS!O287/CUENTAS!$AB287,"")</f>
        <v/>
      </c>
      <c r="AH298" s="459" t="str">
        <f>IF(CUENTAS!P287/CUENTAS!$AB287&lt;&gt;0,CUENTAS!P287/CUENTAS!$AB287,"")</f>
        <v/>
      </c>
      <c r="AI298" s="459">
        <f>IF(CUENTAS!R287/CUENTAS!$AB287&lt;&gt;0,CUENTAS!R287/CUENTAS!$AB287,"")</f>
        <v>0.1293842105</v>
      </c>
      <c r="AJ298" s="459" t="str">
        <f>IF(CUENTAS!B287/CUENTAS!$AB287&lt;&gt;0,CUENTAS!B287/CUENTAS!$AB287,"")</f>
        <v/>
      </c>
      <c r="AK298" s="459">
        <f>IF(CUENTAS!S287/CUENTAS!$AB287&lt;&gt;0,CUENTAS!S287/CUENTAS!$AB287,"")</f>
        <v>0.2765315016</v>
      </c>
      <c r="AL298" s="459">
        <f>IF(CUENTAS!T287/CUENTAS!$AB287&lt;&gt;0,CUENTAS!T287/CUENTAS!$AB287,"")</f>
        <v>0.2198900684</v>
      </c>
      <c r="AM298" s="459">
        <f>IF(CUENTAS!U287/CUENTAS!$AB287&lt;&gt;0,CUENTAS!U287/CUENTAS!$AB287,"")</f>
        <v>0.2785659773</v>
      </c>
      <c r="AN298" s="459">
        <f>IF(CUENTAS!V287/CUENTAS!$AB287&lt;&gt;0,CUENTAS!V287/CUENTAS!$AB287,"")</f>
        <v>0.0887803034</v>
      </c>
      <c r="AO298" s="459" t="str">
        <f>IF(CUENTAS!W287/CUENTAS!$AB287&lt;&gt;0,CUENTAS!W287/CUENTAS!$AB287,"")</f>
        <v/>
      </c>
      <c r="AP298" s="459" t="str">
        <f>IF(CUENTAS!X287/CUENTAS!$AB287&lt;&gt;0,CUENTAS!X287/CUENTAS!$AB287,"")</f>
        <v/>
      </c>
      <c r="AQ298" s="459" t="str">
        <f>IF(CUENTAS!Y287/CUENTAS!$AB287&lt;&gt;0,CUENTAS!Y287/CUENTAS!$AB287,"")</f>
        <v/>
      </c>
      <c r="AR298" s="459">
        <f>IF(CUENTAS!AA287/CUENTAS!$AB287&lt;&gt;0,CUENTAS!AA287/CUENTAS!$AB287,"")</f>
        <v>0.1596553539</v>
      </c>
    </row>
    <row r="299">
      <c r="A299" s="474"/>
      <c r="B299" s="200"/>
      <c r="C299" s="200"/>
      <c r="F299" s="200"/>
      <c r="G299" s="200"/>
      <c r="J299" s="465">
        <v>45361.0</v>
      </c>
      <c r="K299" s="466">
        <f>SUMIF(GRAFICO!A:A,J299,GRAFICO!B:B)</f>
        <v>10643.00819</v>
      </c>
      <c r="L299" s="467">
        <f t="shared" si="2"/>
        <v>0.0522488365</v>
      </c>
      <c r="M299" s="468">
        <v>45726.0</v>
      </c>
      <c r="N299" s="469">
        <f>SUMIF(GRAFICO!A:A,M299,GRAFICO!B:B)</f>
        <v>13967.52644</v>
      </c>
      <c r="O299" s="467">
        <f t="shared" si="3"/>
        <v>0.003661820576</v>
      </c>
      <c r="P299" s="468">
        <v>46091.0</v>
      </c>
      <c r="Q299" s="463" t="str">
        <f>IF(SUMIF(GRAFICO!A:A,P299,GRAFICO!B:B)=0,"",SUMIF(GRAFICO!A:A,P299,GRAFICO!B:B))</f>
        <v/>
      </c>
      <c r="R299" s="463" t="str">
        <f t="shared" si="4"/>
        <v/>
      </c>
      <c r="S299" s="471">
        <f>CUENTAS!A288</f>
        <v>45814</v>
      </c>
      <c r="T299" s="459">
        <f>IF(CUENTAS!Q288/CUENTAS!$AB288&lt;&gt;0,CUENTAS!Q288/CUENTAS!$AB288,"")</f>
        <v>0.2680505244</v>
      </c>
      <c r="U299" s="459" t="str">
        <f>IF(CUENTAS!C288/CUENTAS!$AB288&lt;&gt;0,CUENTAS!C288/CUENTAS!$AB288,"")</f>
        <v/>
      </c>
      <c r="V299" s="459">
        <f>IF(CUENTAS!D288/CUENTAS!$AB288&lt;&gt;0,CUENTAS!D288/CUENTAS!$AB288,"")</f>
        <v>0.1155800877</v>
      </c>
      <c r="W299" s="459" t="str">
        <f>IF(CUENTAS!E288/CUENTAS!$AB288&lt;&gt;0,CUENTAS!E288/CUENTAS!$AB288,"")</f>
        <v/>
      </c>
      <c r="X299" s="459">
        <f>IF(CUENTAS!F288/CUENTAS!$AB288&lt;&gt;0,CUENTAS!F288/CUENTAS!$AB288,"")</f>
        <v>0.22198476</v>
      </c>
      <c r="Y299" s="459" t="str">
        <f>IF(CUENTAS!G288/CUENTAS!$AB288&lt;&gt;0,CUENTAS!G288/CUENTAS!$AB288,"")</f>
        <v/>
      </c>
      <c r="Z299" s="459">
        <f>IF(CUENTAS!H288/CUENTAS!$AB288&lt;&gt;0,CUENTAS!H288/CUENTAS!$AB288,"")</f>
        <v>0.4153052144</v>
      </c>
      <c r="AA299" s="459" t="str">
        <f>IF(CUENTAS!I288/CUENTAS!$AB288&lt;&gt;0,CUENTAS!I288/CUENTAS!$AB288,"")</f>
        <v/>
      </c>
      <c r="AB299" s="459" t="str">
        <f>IF(CUENTAS!J288/CUENTAS!$AB288&lt;&gt;0,CUENTAS!J288/CUENTAS!$AB288,"")</f>
        <v/>
      </c>
      <c r="AC299" s="459">
        <f>IF(CUENTAS!K288/CUENTAS!$AB288&lt;&gt;0,CUENTAS!K288/CUENTAS!$AB288,"")</f>
        <v>0.2252743927</v>
      </c>
      <c r="AD299" s="459" t="str">
        <f>IF(CUENTAS!L288/CUENTAS!$AB288&lt;&gt;0,CUENTAS!L288/CUENTAS!$AB288,"")</f>
        <v/>
      </c>
      <c r="AE299" s="459">
        <f>IF(CUENTAS!M288/CUENTAS!$AB288&lt;&gt;0,CUENTAS!M288/CUENTAS!$AB288,"")</f>
        <v>0.4197117515</v>
      </c>
      <c r="AF299" s="459">
        <f>IF(CUENTAS!N288/CUENTAS!$AB288&lt;&gt;0,CUENTAS!N288/CUENTAS!$AB288,"")</f>
        <v>0.2571672503</v>
      </c>
      <c r="AG299" s="459" t="str">
        <f>IF(CUENTAS!O288/CUENTAS!$AB288&lt;&gt;0,CUENTAS!O288/CUENTAS!$AB288,"")</f>
        <v/>
      </c>
      <c r="AH299" s="459" t="str">
        <f>IF(CUENTAS!P288/CUENTAS!$AB288&lt;&gt;0,CUENTAS!P288/CUENTAS!$AB288,"")</f>
        <v/>
      </c>
      <c r="AI299" s="459">
        <f>IF(CUENTAS!R288/CUENTAS!$AB288&lt;&gt;0,CUENTAS!R288/CUENTAS!$AB288,"")</f>
        <v>0.1290225337</v>
      </c>
      <c r="AJ299" s="459" t="str">
        <f>IF(CUENTAS!B288/CUENTAS!$AB288&lt;&gt;0,CUENTAS!B288/CUENTAS!$AB288,"")</f>
        <v/>
      </c>
      <c r="AK299" s="459">
        <f>IF(CUENTAS!S288/CUENTAS!$AB288&lt;&gt;0,CUENTAS!S288/CUENTAS!$AB288,"")</f>
        <v>0.2751355368</v>
      </c>
      <c r="AL299" s="459">
        <f>IF(CUENTAS!T288/CUENTAS!$AB288&lt;&gt;0,CUENTAS!T288/CUENTAS!$AB288,"")</f>
        <v>0.2192448538</v>
      </c>
      <c r="AM299" s="459">
        <f>IF(CUENTAS!U288/CUENTAS!$AB288&lt;&gt;0,CUENTAS!U288/CUENTAS!$AB288,"")</f>
        <v>0.2770910733</v>
      </c>
      <c r="AN299" s="459">
        <f>IF(CUENTAS!V288/CUENTAS!$AB288&lt;&gt;0,CUENTAS!V288/CUENTAS!$AB288,"")</f>
        <v>0.08853212953</v>
      </c>
      <c r="AO299" s="459" t="str">
        <f>IF(CUENTAS!W288/CUENTAS!$AB288&lt;&gt;0,CUENTAS!W288/CUENTAS!$AB288,"")</f>
        <v/>
      </c>
      <c r="AP299" s="459" t="str">
        <f>IF(CUENTAS!X288/CUENTAS!$AB288&lt;&gt;0,CUENTAS!X288/CUENTAS!$AB288,"")</f>
        <v/>
      </c>
      <c r="AQ299" s="459" t="str">
        <f>IF(CUENTAS!Y288/CUENTAS!$AB288&lt;&gt;0,CUENTAS!Y288/CUENTAS!$AB288,"")</f>
        <v/>
      </c>
      <c r="AR299" s="459">
        <f>IF(CUENTAS!AA288/CUENTAS!$AB288&lt;&gt;0,CUENTAS!AA288/CUENTAS!$AB288,"")</f>
        <v>0.159209058</v>
      </c>
    </row>
    <row r="300">
      <c r="A300" s="474"/>
      <c r="B300" s="200"/>
      <c r="C300" s="200"/>
      <c r="F300" s="200"/>
      <c r="G300" s="200"/>
      <c r="J300" s="470">
        <v>45360.0</v>
      </c>
      <c r="K300" s="466">
        <f>SUMIF(GRAFICO!A:A,J300,GRAFICO!B:B)</f>
        <v>10635.60318</v>
      </c>
      <c r="L300" s="467">
        <f t="shared" si="2"/>
        <v>0.05155283148</v>
      </c>
      <c r="M300" s="468">
        <v>45725.0</v>
      </c>
      <c r="N300" s="469">
        <f>SUMIF(GRAFICO!A:A,M300,GRAFICO!B:B)</f>
        <v>13964.29995</v>
      </c>
      <c r="O300" s="467">
        <f t="shared" si="3"/>
        <v>0.003430794482</v>
      </c>
      <c r="P300" s="465">
        <v>46090.0</v>
      </c>
      <c r="Q300" s="463" t="str">
        <f>IF(SUMIF(GRAFICO!A:A,P300,GRAFICO!B:B)=0,"",SUMIF(GRAFICO!A:A,P300,GRAFICO!B:B))</f>
        <v/>
      </c>
      <c r="R300" s="463" t="str">
        <f t="shared" si="4"/>
        <v/>
      </c>
      <c r="S300" s="471">
        <f>CUENTAS!A289</f>
        <v>45813</v>
      </c>
      <c r="T300" s="459">
        <f>IF(CUENTAS!Q289/CUENTAS!$AB289&lt;&gt;0,CUENTAS!Q289/CUENTAS!$AB289,"")</f>
        <v>0.2623670511</v>
      </c>
      <c r="U300" s="459" t="str">
        <f>IF(CUENTAS!C289/CUENTAS!$AB289&lt;&gt;0,CUENTAS!C289/CUENTAS!$AB289,"")</f>
        <v/>
      </c>
      <c r="V300" s="459">
        <f>IF(CUENTAS!D289/CUENTAS!$AB289&lt;&gt;0,CUENTAS!D289/CUENTAS!$AB289,"")</f>
        <v>0.1169604844</v>
      </c>
      <c r="W300" s="459" t="str">
        <f>IF(CUENTAS!E289/CUENTAS!$AB289&lt;&gt;0,CUENTAS!E289/CUENTAS!$AB289,"")</f>
        <v/>
      </c>
      <c r="X300" s="459">
        <f>IF(CUENTAS!F289/CUENTAS!$AB289&lt;&gt;0,CUENTAS!F289/CUENTAS!$AB289,"")</f>
        <v>0.2252123285</v>
      </c>
      <c r="Y300" s="459" t="str">
        <f>IF(CUENTAS!G289/CUENTAS!$AB289&lt;&gt;0,CUENTAS!G289/CUENTAS!$AB289,"")</f>
        <v/>
      </c>
      <c r="Z300" s="459">
        <f>IF(CUENTAS!H289/CUENTAS!$AB289&lt;&gt;0,CUENTAS!H289/CUENTAS!$AB289,"")</f>
        <v>0.4158770504</v>
      </c>
      <c r="AA300" s="459" t="str">
        <f>IF(CUENTAS!I289/CUENTAS!$AB289&lt;&gt;0,CUENTAS!I289/CUENTAS!$AB289,"")</f>
        <v/>
      </c>
      <c r="AB300" s="459" t="str">
        <f>IF(CUENTAS!J289/CUENTAS!$AB289&lt;&gt;0,CUENTAS!J289/CUENTAS!$AB289,"")</f>
        <v/>
      </c>
      <c r="AC300" s="459">
        <f>IF(CUENTAS!K289/CUENTAS!$AB289&lt;&gt;0,CUENTAS!K289/CUENTAS!$AB289,"")</f>
        <v>0.2296209661</v>
      </c>
      <c r="AD300" s="459" t="str">
        <f>IF(CUENTAS!L289/CUENTAS!$AB289&lt;&gt;0,CUENTAS!L289/CUENTAS!$AB289,"")</f>
        <v/>
      </c>
      <c r="AE300" s="459">
        <f>IF(CUENTAS!M289/CUENTAS!$AB289&lt;&gt;0,CUENTAS!M289/CUENTAS!$AB289,"")</f>
        <v>0.4258141903</v>
      </c>
      <c r="AF300" s="459">
        <f>IF(CUENTAS!N289/CUENTAS!$AB289&lt;&gt;0,CUENTAS!N289/CUENTAS!$AB289,"")</f>
        <v>0.2596315712</v>
      </c>
      <c r="AG300" s="459" t="str">
        <f>IF(CUENTAS!O289/CUENTAS!$AB289&lt;&gt;0,CUENTAS!O289/CUENTAS!$AB289,"")</f>
        <v/>
      </c>
      <c r="AH300" s="459" t="str">
        <f>IF(CUENTAS!P289/CUENTAS!$AB289&lt;&gt;0,CUENTAS!P289/CUENTAS!$AB289,"")</f>
        <v/>
      </c>
      <c r="AI300" s="459">
        <f>IF(CUENTAS!R289/CUENTAS!$AB289&lt;&gt;0,CUENTAS!R289/CUENTAS!$AB289,"")</f>
        <v>0.1308984691</v>
      </c>
      <c r="AJ300" s="459" t="str">
        <f>IF(CUENTAS!B289/CUENTAS!$AB289&lt;&gt;0,CUENTAS!B289/CUENTAS!$AB289,"")</f>
        <v/>
      </c>
      <c r="AK300" s="459">
        <f>IF(CUENTAS!S289/CUENTAS!$AB289&lt;&gt;0,CUENTAS!S289/CUENTAS!$AB289,"")</f>
        <v>0.2785038819</v>
      </c>
      <c r="AL300" s="459">
        <f>IF(CUENTAS!T289/CUENTAS!$AB289&lt;&gt;0,CUENTAS!T289/CUENTAS!$AB289,"")</f>
        <v>0.2224016007</v>
      </c>
      <c r="AM300" s="459">
        <f>IF(CUENTAS!U289/CUENTAS!$AB289&lt;&gt;0,CUENTAS!U289/CUENTAS!$AB289,"")</f>
        <v>0.280413534</v>
      </c>
      <c r="AN300" s="459">
        <f>IF(CUENTAS!V289/CUENTAS!$AB289&lt;&gt;0,CUENTAS!V289/CUENTAS!$AB289,"")</f>
        <v>0.08981935083</v>
      </c>
      <c r="AO300" s="459" t="str">
        <f>IF(CUENTAS!W289/CUENTAS!$AB289&lt;&gt;0,CUENTAS!W289/CUENTAS!$AB289,"")</f>
        <v/>
      </c>
      <c r="AP300" s="459" t="str">
        <f>IF(CUENTAS!X289/CUENTAS!$AB289&lt;&gt;0,CUENTAS!X289/CUENTAS!$AB289,"")</f>
        <v/>
      </c>
      <c r="AQ300" s="459" t="str">
        <f>IF(CUENTAS!Y289/CUENTAS!$AB289&lt;&gt;0,CUENTAS!Y289/CUENTAS!$AB289,"")</f>
        <v/>
      </c>
      <c r="AR300" s="459">
        <f>IF(CUENTAS!AA289/CUENTAS!$AB289&lt;&gt;0,CUENTAS!AA289/CUENTAS!$AB289,"")</f>
        <v>0.1615238932</v>
      </c>
    </row>
    <row r="301">
      <c r="A301" s="474"/>
      <c r="B301" s="200"/>
      <c r="C301" s="200"/>
      <c r="F301" s="200"/>
      <c r="G301" s="200"/>
      <c r="J301" s="465">
        <v>45359.0</v>
      </c>
      <c r="K301" s="466">
        <f>SUMIF(GRAFICO!A:A,J301,GRAFICO!B:B)</f>
        <v>10627.20594</v>
      </c>
      <c r="L301" s="467">
        <f t="shared" si="2"/>
        <v>0.05076297877</v>
      </c>
      <c r="M301" s="468">
        <v>45724.0</v>
      </c>
      <c r="N301" s="469">
        <f>SUMIF(GRAFICO!A:A,M301,GRAFICO!B:B)</f>
        <v>13961.07346</v>
      </c>
      <c r="O301" s="467">
        <f t="shared" si="3"/>
        <v>0.003199715003</v>
      </c>
      <c r="P301" s="468">
        <v>46089.0</v>
      </c>
      <c r="Q301" s="463">
        <f>IF(SUMIF(GRAFICO!A:A,P301,GRAFICO!B:B)=0,"",SUMIF(GRAFICO!A:A,P301,GRAFICO!B:B))</f>
        <v>20664.60449</v>
      </c>
      <c r="R301" s="463">
        <f t="shared" si="4"/>
        <v>-0.004019506362</v>
      </c>
      <c r="S301" s="471">
        <f>CUENTAS!A290</f>
        <v>45812</v>
      </c>
      <c r="T301" s="459">
        <f>IF(CUENTAS!Q290/CUENTAS!$AB290&lt;&gt;0,CUENTAS!Q290/CUENTAS!$AB290,"")</f>
        <v>0.259974032</v>
      </c>
      <c r="U301" s="459" t="str">
        <f>IF(CUENTAS!C290/CUENTAS!$AB290&lt;&gt;0,CUENTAS!C290/CUENTAS!$AB290,"")</f>
        <v/>
      </c>
      <c r="V301" s="459">
        <f>IF(CUENTAS!D290/CUENTAS!$AB290&lt;&gt;0,CUENTAS!D290/CUENTAS!$AB290,"")</f>
        <v>0.1165787528</v>
      </c>
      <c r="W301" s="459" t="str">
        <f>IF(CUENTAS!E290/CUENTAS!$AB290&lt;&gt;0,CUENTAS!E290/CUENTAS!$AB290,"")</f>
        <v/>
      </c>
      <c r="X301" s="459">
        <f>IF(CUENTAS!F290/CUENTAS!$AB290&lt;&gt;0,CUENTAS!F290/CUENTAS!$AB290,"")</f>
        <v>0.2250547218</v>
      </c>
      <c r="Y301" s="459" t="str">
        <f>IF(CUENTAS!G290/CUENTAS!$AB290&lt;&gt;0,CUENTAS!G290/CUENTAS!$AB290,"")</f>
        <v/>
      </c>
      <c r="Z301" s="459">
        <f>IF(CUENTAS!H290/CUENTAS!$AB290&lt;&gt;0,CUENTAS!H290/CUENTAS!$AB290,"")</f>
        <v>0.413316889</v>
      </c>
      <c r="AA301" s="459" t="str">
        <f>IF(CUENTAS!I290/CUENTAS!$AB290&lt;&gt;0,CUENTAS!I290/CUENTAS!$AB290,"")</f>
        <v/>
      </c>
      <c r="AB301" s="459" t="str">
        <f>IF(CUENTAS!J290/CUENTAS!$AB290&lt;&gt;0,CUENTAS!J290/CUENTAS!$AB290,"")</f>
        <v/>
      </c>
      <c r="AC301" s="459">
        <f>IF(CUENTAS!K290/CUENTAS!$AB290&lt;&gt;0,CUENTAS!K290/CUENTAS!$AB290,"")</f>
        <v>0.2305306995</v>
      </c>
      <c r="AD301" s="459" t="str">
        <f>IF(CUENTAS!L290/CUENTAS!$AB290&lt;&gt;0,CUENTAS!L290/CUENTAS!$AB290,"")</f>
        <v/>
      </c>
      <c r="AE301" s="459">
        <f>IF(CUENTAS!M290/CUENTAS!$AB290&lt;&gt;0,CUENTAS!M290/CUENTAS!$AB290,"")</f>
        <v>0.4255161996</v>
      </c>
      <c r="AF301" s="459">
        <f>IF(CUENTAS!N290/CUENTAS!$AB290&lt;&gt;0,CUENTAS!N290/CUENTAS!$AB290,"")</f>
        <v>0.2628469298</v>
      </c>
      <c r="AG301" s="459" t="str">
        <f>IF(CUENTAS!O290/CUENTAS!$AB290&lt;&gt;0,CUENTAS!O290/CUENTAS!$AB290,"")</f>
        <v/>
      </c>
      <c r="AH301" s="459" t="str">
        <f>IF(CUENTAS!P290/CUENTAS!$AB290&lt;&gt;0,CUENTAS!P290/CUENTAS!$AB290,"")</f>
        <v/>
      </c>
      <c r="AI301" s="459">
        <f>IF(CUENTAS!R290/CUENTAS!$AB290&lt;&gt;0,CUENTAS!R290/CUENTAS!$AB290,"")</f>
        <v>0.1308068645</v>
      </c>
      <c r="AJ301" s="459" t="str">
        <f>IF(CUENTAS!B290/CUENTAS!$AB290&lt;&gt;0,CUENTAS!B290/CUENTAS!$AB290,"")</f>
        <v/>
      </c>
      <c r="AK301" s="459">
        <f>IF(CUENTAS!S290/CUENTAS!$AB290&lt;&gt;0,CUENTAS!S290/CUENTAS!$AB290,"")</f>
        <v>0.2776774091</v>
      </c>
      <c r="AL301" s="459">
        <f>IF(CUENTAS!T290/CUENTAS!$AB290&lt;&gt;0,CUENTAS!T290/CUENTAS!$AB290,"")</f>
        <v>0.2222149983</v>
      </c>
      <c r="AM301" s="459">
        <f>IF(CUENTAS!U290/CUENTAS!$AB290&lt;&gt;0,CUENTAS!U290/CUENTAS!$AB290,"")</f>
        <v>0.2795114597</v>
      </c>
      <c r="AN301" s="459">
        <f>IF(CUENTAS!V290/CUENTAS!$AB290&lt;&gt;0,CUENTAS!V290/CUENTAS!$AB290,"")</f>
        <v>0.089756494</v>
      </c>
      <c r="AO301" s="459" t="str">
        <f>IF(CUENTAS!W290/CUENTAS!$AB290&lt;&gt;0,CUENTAS!W290/CUENTAS!$AB290,"")</f>
        <v/>
      </c>
      <c r="AP301" s="459" t="str">
        <f>IF(CUENTAS!X290/CUENTAS!$AB290&lt;&gt;0,CUENTAS!X290/CUENTAS!$AB290,"")</f>
        <v/>
      </c>
      <c r="AQ301" s="459" t="str">
        <f>IF(CUENTAS!Y290/CUENTAS!$AB290&lt;&gt;0,CUENTAS!Y290/CUENTAS!$AB290,"")</f>
        <v/>
      </c>
      <c r="AR301" s="459">
        <f>IF(CUENTAS!AA290/CUENTAS!$AB290&lt;&gt;0,CUENTAS!AA290/CUENTAS!$AB290,"")</f>
        <v>0.1614108565</v>
      </c>
    </row>
    <row r="302">
      <c r="A302" s="474"/>
      <c r="B302" s="200"/>
      <c r="C302" s="200"/>
      <c r="F302" s="200"/>
      <c r="G302" s="200"/>
      <c r="J302" s="470">
        <v>45358.0</v>
      </c>
      <c r="K302" s="466">
        <f>SUMIF(GRAFICO!A:A,J302,GRAFICO!B:B)</f>
        <v>10628.23759</v>
      </c>
      <c r="L302" s="467">
        <f t="shared" si="2"/>
        <v>0.05086004991</v>
      </c>
      <c r="M302" s="468">
        <v>45723.0</v>
      </c>
      <c r="N302" s="469">
        <f>SUMIF(GRAFICO!A:A,M302,GRAFICO!B:B)</f>
        <v>13883.02977</v>
      </c>
      <c r="O302" s="467">
        <f t="shared" si="3"/>
        <v>-0.002406060176</v>
      </c>
      <c r="P302" s="465">
        <v>46088.0</v>
      </c>
      <c r="Q302" s="463">
        <f>IF(SUMIF(GRAFICO!A:A,P302,GRAFICO!B:B)=0,"",SUMIF(GRAFICO!A:A,P302,GRAFICO!B:B))</f>
        <v>20661.72716</v>
      </c>
      <c r="R302" s="463">
        <f t="shared" si="4"/>
        <v>-0.004158755258</v>
      </c>
      <c r="S302" s="471">
        <f>CUENTAS!A291</f>
        <v>45811</v>
      </c>
      <c r="T302" s="459">
        <f>IF(CUENTAS!Q291/CUENTAS!$AB291&lt;&gt;0,CUENTAS!Q291/CUENTAS!$AB291,"")</f>
        <v>0.2588210636</v>
      </c>
      <c r="U302" s="459" t="str">
        <f>IF(CUENTAS!C291/CUENTAS!$AB291&lt;&gt;0,CUENTAS!C291/CUENTAS!$AB291,"")</f>
        <v/>
      </c>
      <c r="V302" s="459">
        <f>IF(CUENTAS!D291/CUENTAS!$AB291&lt;&gt;0,CUENTAS!D291/CUENTAS!$AB291,"")</f>
        <v>0.1151109955</v>
      </c>
      <c r="W302" s="459" t="str">
        <f>IF(CUENTAS!E291/CUENTAS!$AB291&lt;&gt;0,CUENTAS!E291/CUENTAS!$AB291,"")</f>
        <v/>
      </c>
      <c r="X302" s="459">
        <f>IF(CUENTAS!F291/CUENTAS!$AB291&lt;&gt;0,CUENTAS!F291/CUENTAS!$AB291,"")</f>
        <v>0.2227943276</v>
      </c>
      <c r="Y302" s="459" t="str">
        <f>IF(CUENTAS!G291/CUENTAS!$AB291&lt;&gt;0,CUENTAS!G291/CUENTAS!$AB291,"")</f>
        <v/>
      </c>
      <c r="Z302" s="459">
        <f>IF(CUENTAS!H291/CUENTAS!$AB291&lt;&gt;0,CUENTAS!H291/CUENTAS!$AB291,"")</f>
        <v>0.4159878365</v>
      </c>
      <c r="AA302" s="459" t="str">
        <f>IF(CUENTAS!I291/CUENTAS!$AB291&lt;&gt;0,CUENTAS!I291/CUENTAS!$AB291,"")</f>
        <v/>
      </c>
      <c r="AB302" s="459" t="str">
        <f>IF(CUENTAS!J291/CUENTAS!$AB291&lt;&gt;0,CUENTAS!J291/CUENTAS!$AB291,"")</f>
        <v/>
      </c>
      <c r="AC302" s="459">
        <f>IF(CUENTAS!K291/CUENTAS!$AB291&lt;&gt;0,CUENTAS!K291/CUENTAS!$AB291,"")</f>
        <v>0.2292749802</v>
      </c>
      <c r="AD302" s="459" t="str">
        <f>IF(CUENTAS!L291/CUENTAS!$AB291&lt;&gt;0,CUENTAS!L291/CUENTAS!$AB291,"")</f>
        <v/>
      </c>
      <c r="AE302" s="459">
        <f>IF(CUENTAS!M291/CUENTAS!$AB291&lt;&gt;0,CUENTAS!M291/CUENTAS!$AB291,"")</f>
        <v>0.4212424197</v>
      </c>
      <c r="AF302" s="459">
        <f>IF(CUENTAS!N291/CUENTAS!$AB291&lt;&gt;0,CUENTAS!N291/CUENTAS!$AB291,"")</f>
        <v>0.26020696</v>
      </c>
      <c r="AG302" s="459" t="str">
        <f>IF(CUENTAS!O291/CUENTAS!$AB291&lt;&gt;0,CUENTAS!O291/CUENTAS!$AB291,"")</f>
        <v/>
      </c>
      <c r="AH302" s="459" t="str">
        <f>IF(CUENTAS!P291/CUENTAS!$AB291&lt;&gt;0,CUENTAS!P291/CUENTAS!$AB291,"")</f>
        <v/>
      </c>
      <c r="AI302" s="459">
        <f>IF(CUENTAS!R291/CUENTAS!$AB291&lt;&gt;0,CUENTAS!R291/CUENTAS!$AB291,"")</f>
        <v>0.1294930726</v>
      </c>
      <c r="AJ302" s="459" t="str">
        <f>IF(CUENTAS!B291/CUENTAS!$AB291&lt;&gt;0,CUENTAS!B291/CUENTAS!$AB291,"")</f>
        <v/>
      </c>
      <c r="AK302" s="459">
        <f>IF(CUENTAS!S291/CUENTAS!$AB291&lt;&gt;0,CUENTAS!S291/CUENTAS!$AB291,"")</f>
        <v>0.2742632571</v>
      </c>
      <c r="AL302" s="459">
        <f>IF(CUENTAS!T291/CUENTAS!$AB291&lt;&gt;0,CUENTAS!T291/CUENTAS!$AB291,"")</f>
        <v>0.2199524738</v>
      </c>
      <c r="AM302" s="459">
        <f>IF(CUENTAS!U291/CUENTAS!$AB291&lt;&gt;0,CUENTAS!U291/CUENTAS!$AB291,"")</f>
        <v>0.2760053676</v>
      </c>
      <c r="AN302" s="459">
        <f>IF(CUENTAS!V291/CUENTAS!$AB291&lt;&gt;0,CUENTAS!V291/CUENTAS!$AB291,"")</f>
        <v>0.08885500188</v>
      </c>
      <c r="AO302" s="459" t="str">
        <f>IF(CUENTAS!W291/CUENTAS!$AB291&lt;&gt;0,CUENTAS!W291/CUENTAS!$AB291,"")</f>
        <v/>
      </c>
      <c r="AP302" s="459" t="str">
        <f>IF(CUENTAS!X291/CUENTAS!$AB291&lt;&gt;0,CUENTAS!X291/CUENTAS!$AB291,"")</f>
        <v/>
      </c>
      <c r="AQ302" s="459" t="str">
        <f>IF(CUENTAS!Y291/CUENTAS!$AB291&lt;&gt;0,CUENTAS!Y291/CUENTAS!$AB291,"")</f>
        <v/>
      </c>
      <c r="AR302" s="459">
        <f>IF(CUENTAS!AA291/CUENTAS!$AB291&lt;&gt;0,CUENTAS!AA291/CUENTAS!$AB291,"")</f>
        <v>0.1597896856</v>
      </c>
    </row>
    <row r="303">
      <c r="A303" s="474"/>
      <c r="B303" s="200"/>
      <c r="C303" s="200"/>
      <c r="F303" s="200"/>
      <c r="G303" s="200"/>
      <c r="J303" s="470">
        <v>45357.0</v>
      </c>
      <c r="K303" s="466">
        <f>SUMIF(GRAFICO!A:A,J303,GRAFICO!B:B)</f>
        <v>10622.01268</v>
      </c>
      <c r="L303" s="467">
        <f t="shared" si="2"/>
        <v>0.05027418353</v>
      </c>
      <c r="M303" s="468">
        <v>45722.0</v>
      </c>
      <c r="N303" s="469">
        <f>SUMIF(GRAFICO!A:A,M303,GRAFICO!B:B)</f>
        <v>13898.83764</v>
      </c>
      <c r="O303" s="467">
        <f t="shared" si="3"/>
        <v>-0.001268060985</v>
      </c>
      <c r="P303" s="468">
        <v>46087.0</v>
      </c>
      <c r="Q303" s="463">
        <f>IF(SUMIF(GRAFICO!A:A,P303,GRAFICO!B:B)=0,"",SUMIF(GRAFICO!A:A,P303,GRAFICO!B:B))</f>
        <v>20657.79907</v>
      </c>
      <c r="R303" s="463">
        <f t="shared" si="4"/>
        <v>-0.004348887736</v>
      </c>
      <c r="S303" s="471">
        <f>CUENTAS!A292</f>
        <v>45810</v>
      </c>
      <c r="T303" s="459">
        <f>IF(CUENTAS!Q292/CUENTAS!$AB292&lt;&gt;0,CUENTAS!Q292/CUENTAS!$AB292,"")</f>
        <v>0.2956356096</v>
      </c>
      <c r="U303" s="459" t="str">
        <f>IF(CUENTAS!C292/CUENTAS!$AB292&lt;&gt;0,CUENTAS!C292/CUENTAS!$AB292,"")</f>
        <v/>
      </c>
      <c r="V303" s="459">
        <f>IF(CUENTAS!D292/CUENTAS!$AB292&lt;&gt;0,CUENTAS!D292/CUENTAS!$AB292,"")</f>
        <v>0.1337831943</v>
      </c>
      <c r="W303" s="459" t="str">
        <f>IF(CUENTAS!E292/CUENTAS!$AB292&lt;&gt;0,CUENTAS!E292/CUENTAS!$AB292,"")</f>
        <v/>
      </c>
      <c r="X303" s="459">
        <f>IF(CUENTAS!F292/CUENTAS!$AB292&lt;&gt;0,CUENTAS!F292/CUENTAS!$AB292,"")</f>
        <v>0.2600932111</v>
      </c>
      <c r="Y303" s="459" t="str">
        <f>IF(CUENTAS!G292/CUENTAS!$AB292&lt;&gt;0,CUENTAS!G292/CUENTAS!$AB292,"")</f>
        <v/>
      </c>
      <c r="Z303" s="459">
        <f>IF(CUENTAS!H292/CUENTAS!$AB292&lt;&gt;0,CUENTAS!H292/CUENTAS!$AB292,"")</f>
        <v>0.4847154554</v>
      </c>
      <c r="AA303" s="459" t="str">
        <f>IF(CUENTAS!I292/CUENTAS!$AB292&lt;&gt;0,CUENTAS!I292/CUENTAS!$AB292,"")</f>
        <v/>
      </c>
      <c r="AB303" s="459" t="str">
        <f>IF(CUENTAS!J292/CUENTAS!$AB292&lt;&gt;0,CUENTAS!J292/CUENTAS!$AB292,"")</f>
        <v/>
      </c>
      <c r="AC303" s="459">
        <f>IF(CUENTAS!K292/CUENTAS!$AB292&lt;&gt;0,CUENTAS!K292/CUENTAS!$AB292,"")</f>
        <v>0.2550317613</v>
      </c>
      <c r="AD303" s="459" t="str">
        <f>IF(CUENTAS!L292/CUENTAS!$AB292&lt;&gt;0,CUENTAS!L292/CUENTAS!$AB292,"")</f>
        <v/>
      </c>
      <c r="AE303" s="459">
        <f>IF(CUENTAS!M292/CUENTAS!$AB292&lt;&gt;0,CUENTAS!M292/CUENTAS!$AB292,"")</f>
        <v>0.4908381769</v>
      </c>
      <c r="AF303" s="459">
        <f>IF(CUENTAS!N292/CUENTAS!$AB292&lt;&gt;0,CUENTAS!N292/CUENTAS!$AB292,"")</f>
        <v>0.3031971707</v>
      </c>
      <c r="AG303" s="459" t="str">
        <f>IF(CUENTAS!O292/CUENTAS!$AB292&lt;&gt;0,CUENTAS!O292/CUENTAS!$AB292,"")</f>
        <v/>
      </c>
      <c r="AH303" s="459" t="str">
        <f>IF(CUENTAS!P292/CUENTAS!$AB292&lt;&gt;0,CUENTAS!P292/CUENTAS!$AB292,"")</f>
        <v/>
      </c>
      <c r="AI303" s="459">
        <f>IF(CUENTAS!R292/CUENTAS!$AB292&lt;&gt;0,CUENTAS!R292/CUENTAS!$AB292,"")</f>
        <v>0.1508873292</v>
      </c>
      <c r="AJ303" s="459" t="str">
        <f>IF(CUENTAS!B292/CUENTAS!$AB292&lt;&gt;0,CUENTAS!B292/CUENTAS!$AB292,"")</f>
        <v/>
      </c>
      <c r="AK303" s="459">
        <f>IF(CUENTAS!S292/CUENTAS!$AB292&lt;&gt;0,CUENTAS!S292/CUENTAS!$AB292,"")</f>
        <v>0.3188472594</v>
      </c>
      <c r="AL303" s="459">
        <f>IF(CUENTAS!T292/CUENTAS!$AB292&lt;&gt;0,CUENTAS!T292/CUENTAS!$AB292,"")</f>
        <v>0.2562563056</v>
      </c>
      <c r="AM303" s="459">
        <f>IF(CUENTAS!U292/CUENTAS!$AB292&lt;&gt;0,CUENTAS!U292/CUENTAS!$AB292,"")</f>
        <v>0.3207915277</v>
      </c>
      <c r="AN303" s="459">
        <f>IF(CUENTAS!V292/CUENTAS!$AB292&lt;&gt;0,CUENTAS!V292/CUENTAS!$AB292,"")</f>
        <v>0.1035352213</v>
      </c>
      <c r="AO303" s="459" t="str">
        <f>IF(CUENTAS!W292/CUENTAS!$AB292&lt;&gt;0,CUENTAS!W292/CUENTAS!$AB292,"")</f>
        <v/>
      </c>
      <c r="AP303" s="459" t="str">
        <f>IF(CUENTAS!X292/CUENTAS!$AB292&lt;&gt;0,CUENTAS!X292/CUENTAS!$AB292,"")</f>
        <v/>
      </c>
      <c r="AQ303" s="459" t="str">
        <f>IF(CUENTAS!Y292/CUENTAS!$AB292&lt;&gt;0,CUENTAS!Y292/CUENTAS!$AB292,"")</f>
        <v/>
      </c>
      <c r="AR303" s="459">
        <f>IF(CUENTAS!AA292/CUENTAS!$AB292&lt;&gt;0,CUENTAS!AA292/CUENTAS!$AB292,"")</f>
        <v>0.03822364036</v>
      </c>
    </row>
    <row r="304">
      <c r="A304" s="474"/>
      <c r="B304" s="200"/>
      <c r="C304" s="200"/>
      <c r="F304" s="200"/>
      <c r="G304" s="200"/>
      <c r="J304" s="470">
        <v>45356.0</v>
      </c>
      <c r="K304" s="466">
        <f>SUMIF(GRAFICO!A:A,J304,GRAFICO!B:B)</f>
        <v>10608.83445</v>
      </c>
      <c r="L304" s="467">
        <f t="shared" si="2"/>
        <v>0.04903276064</v>
      </c>
      <c r="M304" s="468">
        <v>45721.0</v>
      </c>
      <c r="N304" s="469">
        <f>SUMIF(GRAFICO!A:A,M304,GRAFICO!B:B)</f>
        <v>13996.56083</v>
      </c>
      <c r="O304" s="467">
        <f t="shared" si="3"/>
        <v>0.005738369478</v>
      </c>
      <c r="P304" s="465">
        <v>46086.0</v>
      </c>
      <c r="Q304" s="463">
        <f>IF(SUMIF(GRAFICO!A:A,P304,GRAFICO!B:B)=0,"",SUMIF(GRAFICO!A:A,P304,GRAFICO!B:B))</f>
        <v>20706.1396</v>
      </c>
      <c r="R304" s="463">
        <f t="shared" si="4"/>
        <v>-0.002011559358</v>
      </c>
      <c r="S304" s="471">
        <f>CUENTAS!A293</f>
        <v>45809</v>
      </c>
      <c r="T304" s="459">
        <f>IF(CUENTAS!Q293/CUENTAS!$AB293&lt;&gt;0,CUENTAS!Q293/CUENTAS!$AB293,"")</f>
        <v>0.2965544963</v>
      </c>
      <c r="U304" s="459" t="str">
        <f>IF(CUENTAS!C293/CUENTAS!$AB293&lt;&gt;0,CUENTAS!C293/CUENTAS!$AB293,"")</f>
        <v/>
      </c>
      <c r="V304" s="459">
        <f>IF(CUENTAS!D293/CUENTAS!$AB293&lt;&gt;0,CUENTAS!D293/CUENTAS!$AB293,"")</f>
        <v>0.1338520241</v>
      </c>
      <c r="W304" s="459" t="str">
        <f>IF(CUENTAS!E293/CUENTAS!$AB293&lt;&gt;0,CUENTAS!E293/CUENTAS!$AB293,"")</f>
        <v/>
      </c>
      <c r="X304" s="459">
        <f>IF(CUENTAS!F293/CUENTAS!$AB293&lt;&gt;0,CUENTAS!F293/CUENTAS!$AB293,"")</f>
        <v>0.2653236872</v>
      </c>
      <c r="Y304" s="459" t="str">
        <f>IF(CUENTAS!G293/CUENTAS!$AB293&lt;&gt;0,CUENTAS!G293/CUENTAS!$AB293,"")</f>
        <v/>
      </c>
      <c r="Z304" s="459">
        <f>IF(CUENTAS!H293/CUENTAS!$AB293&lt;&gt;0,CUENTAS!H293/CUENTAS!$AB293,"")</f>
        <v>0.4862220349</v>
      </c>
      <c r="AA304" s="459" t="str">
        <f>IF(CUENTAS!I293/CUENTAS!$AB293&lt;&gt;0,CUENTAS!I293/CUENTAS!$AB293,"")</f>
        <v/>
      </c>
      <c r="AB304" s="459" t="str">
        <f>IF(CUENTAS!J293/CUENTAS!$AB293&lt;&gt;0,CUENTAS!J293/CUENTAS!$AB293,"")</f>
        <v/>
      </c>
      <c r="AC304" s="459">
        <f>IF(CUENTAS!K293/CUENTAS!$AB293&lt;&gt;0,CUENTAS!K293/CUENTAS!$AB293,"")</f>
        <v>0.2558244441</v>
      </c>
      <c r="AD304" s="459" t="str">
        <f>IF(CUENTAS!L293/CUENTAS!$AB293&lt;&gt;0,CUENTAS!L293/CUENTAS!$AB293,"")</f>
        <v/>
      </c>
      <c r="AE304" s="459">
        <f>IF(CUENTAS!M293/CUENTAS!$AB293&lt;&gt;0,CUENTAS!M293/CUENTAS!$AB293,"")</f>
        <v>0.4923637869</v>
      </c>
      <c r="AF304" s="459">
        <f>IF(CUENTAS!N293/CUENTAS!$AB293&lt;&gt;0,CUENTAS!N293/CUENTAS!$AB293,"")</f>
        <v>0.3002088387</v>
      </c>
      <c r="AG304" s="459" t="str">
        <f>IF(CUENTAS!O293/CUENTAS!$AB293&lt;&gt;0,CUENTAS!O293/CUENTAS!$AB293,"")</f>
        <v/>
      </c>
      <c r="AH304" s="459" t="str">
        <f>IF(CUENTAS!P293/CUENTAS!$AB293&lt;&gt;0,CUENTAS!P293/CUENTAS!$AB293,"")</f>
        <v/>
      </c>
      <c r="AI304" s="459">
        <f>IF(CUENTAS!R293/CUENTAS!$AB293&lt;&gt;0,CUENTAS!R293/CUENTAS!$AB293,"")</f>
        <v>0.1513563131</v>
      </c>
      <c r="AJ304" s="459" t="str">
        <f>IF(CUENTAS!B293/CUENTAS!$AB293&lt;&gt;0,CUENTAS!B293/CUENTAS!$AB293,"")</f>
        <v/>
      </c>
      <c r="AK304" s="459">
        <f>IF(CUENTAS!S293/CUENTAS!$AB293&lt;&gt;0,CUENTAS!S293/CUENTAS!$AB293,"")</f>
        <v>0.3191075015</v>
      </c>
      <c r="AL304" s="459">
        <f>IF(CUENTAS!T293/CUENTAS!$AB293&lt;&gt;0,CUENTAS!T293/CUENTAS!$AB293,"")</f>
        <v>0.2570169676</v>
      </c>
      <c r="AM304" s="459">
        <f>IF(CUENTAS!U293/CUENTAS!$AB293&lt;&gt;0,CUENTAS!U293/CUENTAS!$AB293,"")</f>
        <v>0.320971881</v>
      </c>
      <c r="AN304" s="459">
        <f>IF(CUENTAS!V293/CUENTAS!$AB293&lt;&gt;0,CUENTAS!V293/CUENTAS!$AB293,"")</f>
        <v>0.1038570266</v>
      </c>
      <c r="AO304" s="459" t="str">
        <f>IF(CUENTAS!W293/CUENTAS!$AB293&lt;&gt;0,CUENTAS!W293/CUENTAS!$AB293,"")</f>
        <v/>
      </c>
      <c r="AP304" s="459" t="str">
        <f>IF(CUENTAS!X293/CUENTAS!$AB293&lt;&gt;0,CUENTAS!X293/CUENTAS!$AB293,"")</f>
        <v/>
      </c>
      <c r="AQ304" s="459" t="str">
        <f>IF(CUENTAS!Y293/CUENTAS!$AB293&lt;&gt;0,CUENTAS!Y293/CUENTAS!$AB293,"")</f>
        <v/>
      </c>
      <c r="AR304" s="459">
        <f>IF(CUENTAS!AA293/CUENTAS!$AB293&lt;&gt;0,CUENTAS!AA293/CUENTAS!$AB293,"")</f>
        <v>0.03834244604</v>
      </c>
    </row>
    <row r="305">
      <c r="A305" s="474"/>
      <c r="B305" s="200"/>
      <c r="C305" s="200"/>
      <c r="F305" s="200"/>
      <c r="G305" s="200"/>
      <c r="J305" s="465">
        <v>45355.0</v>
      </c>
      <c r="K305" s="466">
        <f>SUMIF(GRAFICO!A:A,J305,GRAFICO!B:B)</f>
        <v>10593.60586</v>
      </c>
      <c r="L305" s="467">
        <f t="shared" si="2"/>
        <v>0.04759626586</v>
      </c>
      <c r="M305" s="468">
        <v>45720.0</v>
      </c>
      <c r="N305" s="469">
        <f>SUMIF(GRAFICO!A:A,M305,GRAFICO!B:B)</f>
        <v>13873.12389</v>
      </c>
      <c r="O305" s="467">
        <f t="shared" si="3"/>
        <v>-0.003119839603</v>
      </c>
      <c r="P305" s="468">
        <v>46085.0</v>
      </c>
      <c r="Q305" s="463">
        <f>IF(SUMIF(GRAFICO!A:A,P305,GRAFICO!B:B)=0,"",SUMIF(GRAFICO!A:A,P305,GRAFICO!B:B))</f>
        <v>20710.8656</v>
      </c>
      <c r="R305" s="463">
        <f t="shared" si="4"/>
        <v>-0.001783344294</v>
      </c>
      <c r="S305" s="471">
        <f>CUENTAS!A294</f>
        <v>45808</v>
      </c>
      <c r="T305" s="459">
        <f>IF(CUENTAS!Q294/CUENTAS!$AB294&lt;&gt;0,CUENTAS!Q294/CUENTAS!$AB294,"")</f>
        <v>0.2962759183</v>
      </c>
      <c r="U305" s="459" t="str">
        <f>IF(CUENTAS!C294/CUENTAS!$AB294&lt;&gt;0,CUENTAS!C294/CUENTAS!$AB294,"")</f>
        <v/>
      </c>
      <c r="V305" s="459">
        <f>IF(CUENTAS!D294/CUENTAS!$AB294&lt;&gt;0,CUENTAS!D294/CUENTAS!$AB294,"")</f>
        <v>0.1333796203</v>
      </c>
      <c r="W305" s="459" t="str">
        <f>IF(CUENTAS!E294/CUENTAS!$AB294&lt;&gt;0,CUENTAS!E294/CUENTAS!$AB294,"")</f>
        <v/>
      </c>
      <c r="X305" s="459">
        <f>IF(CUENTAS!F294/CUENTAS!$AB294&lt;&gt;0,CUENTAS!F294/CUENTAS!$AB294,"")</f>
        <v>0.2690014758</v>
      </c>
      <c r="Y305" s="459" t="str">
        <f>IF(CUENTAS!G294/CUENTAS!$AB294&lt;&gt;0,CUENTAS!G294/CUENTAS!$AB294,"")</f>
        <v/>
      </c>
      <c r="Z305" s="459">
        <f>IF(CUENTAS!H294/CUENTAS!$AB294&lt;&gt;0,CUENTAS!H294/CUENTAS!$AB294,"")</f>
        <v>0.4857652867</v>
      </c>
      <c r="AA305" s="459" t="str">
        <f>IF(CUENTAS!I294/CUENTAS!$AB294&lt;&gt;0,CUENTAS!I294/CUENTAS!$AB294,"")</f>
        <v/>
      </c>
      <c r="AB305" s="459" t="str">
        <f>IF(CUENTAS!J294/CUENTAS!$AB294&lt;&gt;0,CUENTAS!J294/CUENTAS!$AB294,"")</f>
        <v/>
      </c>
      <c r="AC305" s="459">
        <f>IF(CUENTAS!K294/CUENTAS!$AB294&lt;&gt;0,CUENTAS!K294/CUENTAS!$AB294,"")</f>
        <v>0.2555841273</v>
      </c>
      <c r="AD305" s="459" t="str">
        <f>IF(CUENTAS!L294/CUENTAS!$AB294&lt;&gt;0,CUENTAS!L294/CUENTAS!$AB294,"")</f>
        <v/>
      </c>
      <c r="AE305" s="459">
        <f>IF(CUENTAS!M294/CUENTAS!$AB294&lt;&gt;0,CUENTAS!M294/CUENTAS!$AB294,"")</f>
        <v>0.4919012693</v>
      </c>
      <c r="AF305" s="459">
        <f>IF(CUENTAS!N294/CUENTAS!$AB294&lt;&gt;0,CUENTAS!N294/CUENTAS!$AB294,"")</f>
        <v>0.299926828</v>
      </c>
      <c r="AG305" s="459" t="str">
        <f>IF(CUENTAS!O294/CUENTAS!$AB294&lt;&gt;0,CUENTAS!O294/CUENTAS!$AB294,"")</f>
        <v/>
      </c>
      <c r="AH305" s="459" t="str">
        <f>IF(CUENTAS!P294/CUENTAS!$AB294&lt;&gt;0,CUENTAS!P294/CUENTAS!$AB294,"")</f>
        <v/>
      </c>
      <c r="AI305" s="459">
        <f>IF(CUENTAS!R294/CUENTAS!$AB294&lt;&gt;0,CUENTAS!R294/CUENTAS!$AB294,"")</f>
        <v>0.1512141318</v>
      </c>
      <c r="AJ305" s="459" t="str">
        <f>IF(CUENTAS!B294/CUENTAS!$AB294&lt;&gt;0,CUENTAS!B294/CUENTAS!$AB294,"")</f>
        <v/>
      </c>
      <c r="AK305" s="459">
        <f>IF(CUENTAS!S294/CUENTAS!$AB294&lt;&gt;0,CUENTAS!S294/CUENTAS!$AB294,"")</f>
        <v>0.3181952402</v>
      </c>
      <c r="AL305" s="459">
        <f>IF(CUENTAS!T294/CUENTAS!$AB294&lt;&gt;0,CUENTAS!T294/CUENTAS!$AB294,"")</f>
        <v>0.2567397373</v>
      </c>
      <c r="AM305" s="459">
        <f>IF(CUENTAS!U294/CUENTAS!$AB294&lt;&gt;0,CUENTAS!U294/CUENTAS!$AB294,"")</f>
        <v>0.3198544107</v>
      </c>
      <c r="AN305" s="459">
        <f>IF(CUENTAS!V294/CUENTAS!$AB294&lt;&gt;0,CUENTAS!V294/CUENTAS!$AB294,"")</f>
        <v>0.1037594652</v>
      </c>
      <c r="AO305" s="459" t="str">
        <f>IF(CUENTAS!W294/CUENTAS!$AB294&lt;&gt;0,CUENTAS!W294/CUENTAS!$AB294,"")</f>
        <v/>
      </c>
      <c r="AP305" s="459" t="str">
        <f>IF(CUENTAS!X294/CUENTAS!$AB294&lt;&gt;0,CUENTAS!X294/CUENTAS!$AB294,"")</f>
        <v/>
      </c>
      <c r="AQ305" s="459" t="str">
        <f>IF(CUENTAS!Y294/CUENTAS!$AB294&lt;&gt;0,CUENTAS!Y294/CUENTAS!$AB294,"")</f>
        <v/>
      </c>
      <c r="AR305" s="459">
        <f>IF(CUENTAS!AA294/CUENTAS!$AB294&lt;&gt;0,CUENTAS!AA294/CUENTAS!$AB294,"")</f>
        <v>0.03830642784</v>
      </c>
    </row>
    <row r="306">
      <c r="A306" s="474"/>
      <c r="B306" s="200"/>
      <c r="C306" s="200"/>
      <c r="F306" s="200"/>
      <c r="G306" s="200"/>
      <c r="J306" s="465">
        <v>45354.0</v>
      </c>
      <c r="K306" s="466">
        <f>SUMIF(GRAFICO!A:A,J306,GRAFICO!B:B)</f>
        <v>10585.15863</v>
      </c>
      <c r="L306" s="467">
        <f t="shared" si="2"/>
        <v>0.04679855839</v>
      </c>
      <c r="M306" s="468">
        <v>45719.0</v>
      </c>
      <c r="N306" s="469">
        <f>SUMIF(GRAFICO!A:A,M306,GRAFICO!B:B)</f>
        <v>13847.33553</v>
      </c>
      <c r="O306" s="467">
        <f t="shared" si="3"/>
        <v>-0.004980441421</v>
      </c>
      <c r="P306" s="465">
        <v>46084.0</v>
      </c>
      <c r="Q306" s="463">
        <f>IF(SUMIF(GRAFICO!A:A,P306,GRAFICO!B:B)=0,"",SUMIF(GRAFICO!A:A,P306,GRAFICO!B:B))</f>
        <v>20713.91914</v>
      </c>
      <c r="R306" s="463">
        <f t="shared" si="4"/>
        <v>-0.001635918282</v>
      </c>
      <c r="S306" s="471">
        <f>CUENTAS!A295</f>
        <v>45807</v>
      </c>
      <c r="T306" s="459">
        <f>IF(CUENTAS!Q295/CUENTAS!$AB295&lt;&gt;0,CUENTAS!Q295/CUENTAS!$AB295,"")</f>
        <v>0.2970175022</v>
      </c>
      <c r="U306" s="459" t="str">
        <f>IF(CUENTAS!C295/CUENTAS!$AB295&lt;&gt;0,CUENTAS!C295/CUENTAS!$AB295,"")</f>
        <v/>
      </c>
      <c r="V306" s="459">
        <f>IF(CUENTAS!D295/CUENTAS!$AB295&lt;&gt;0,CUENTAS!D295/CUENTAS!$AB295,"")</f>
        <v>0.1333659385</v>
      </c>
      <c r="W306" s="459" t="str">
        <f>IF(CUENTAS!E295/CUENTAS!$AB295&lt;&gt;0,CUENTAS!E295/CUENTAS!$AB295,"")</f>
        <v/>
      </c>
      <c r="X306" s="459">
        <f>IF(CUENTAS!F295/CUENTAS!$AB295&lt;&gt;0,CUENTAS!F295/CUENTAS!$AB295,"")</f>
        <v>0.2721353277</v>
      </c>
      <c r="Y306" s="459" t="str">
        <f>IF(CUENTAS!G295/CUENTAS!$AB295&lt;&gt;0,CUENTAS!G295/CUENTAS!$AB295,"")</f>
        <v/>
      </c>
      <c r="Z306" s="459">
        <f>IF(CUENTAS!H295/CUENTAS!$AB295&lt;&gt;0,CUENTAS!H295/CUENTAS!$AB295,"")</f>
        <v>0.4869811659</v>
      </c>
      <c r="AA306" s="459" t="str">
        <f>IF(CUENTAS!I295/CUENTAS!$AB295&lt;&gt;0,CUENTAS!I295/CUENTAS!$AB295,"")</f>
        <v/>
      </c>
      <c r="AB306" s="459" t="str">
        <f>IF(CUENTAS!J295/CUENTAS!$AB295&lt;&gt;0,CUENTAS!J295/CUENTAS!$AB295,"")</f>
        <v/>
      </c>
      <c r="AC306" s="459">
        <f>IF(CUENTAS!K295/CUENTAS!$AB295&lt;&gt;0,CUENTAS!K295/CUENTAS!$AB295,"")</f>
        <v>0.2562238589</v>
      </c>
      <c r="AD306" s="459" t="str">
        <f>IF(CUENTAS!L295/CUENTAS!$AB295&lt;&gt;0,CUENTAS!L295/CUENTAS!$AB295,"")</f>
        <v/>
      </c>
      <c r="AE306" s="459">
        <f>IF(CUENTAS!M295/CUENTAS!$AB295&lt;&gt;0,CUENTAS!M295/CUENTAS!$AB295,"")</f>
        <v>0.4931325069</v>
      </c>
      <c r="AF306" s="459">
        <f>IF(CUENTAS!N295/CUENTAS!$AB295&lt;&gt;0,CUENTAS!N295/CUENTAS!$AB295,"")</f>
        <v>0.2972327992</v>
      </c>
      <c r="AG306" s="459" t="str">
        <f>IF(CUENTAS!O295/CUENTAS!$AB295&lt;&gt;0,CUENTAS!O295/CUENTAS!$AB295,"")</f>
        <v/>
      </c>
      <c r="AH306" s="459" t="str">
        <f>IF(CUENTAS!P295/CUENTAS!$AB295&lt;&gt;0,CUENTAS!P295/CUENTAS!$AB295,"")</f>
        <v/>
      </c>
      <c r="AI306" s="459">
        <f>IF(CUENTAS!R295/CUENTAS!$AB295&lt;&gt;0,CUENTAS!R295/CUENTAS!$AB295,"")</f>
        <v>0.1515926234</v>
      </c>
      <c r="AJ306" s="459" t="str">
        <f>IF(CUENTAS!B295/CUENTAS!$AB295&lt;&gt;0,CUENTAS!B295/CUENTAS!$AB295,"")</f>
        <v/>
      </c>
      <c r="AK306" s="459">
        <f>IF(CUENTAS!S295/CUENTAS!$AB295&lt;&gt;0,CUENTAS!S295/CUENTAS!$AB295,"")</f>
        <v>0.3183776579</v>
      </c>
      <c r="AL306" s="459">
        <f>IF(CUENTAS!T295/CUENTAS!$AB295&lt;&gt;0,CUENTAS!T295/CUENTAS!$AB295,"")</f>
        <v>0.2573464786</v>
      </c>
      <c r="AM306" s="459">
        <f>IF(CUENTAS!U295/CUENTAS!$AB295&lt;&gt;0,CUENTAS!U295/CUENTAS!$AB295,"")</f>
        <v>0.3198370145</v>
      </c>
      <c r="AN306" s="459">
        <f>IF(CUENTAS!V295/CUENTAS!$AB295&lt;&gt;0,CUENTAS!V295/CUENTAS!$AB295,"")</f>
        <v>0.104019177</v>
      </c>
      <c r="AO306" s="459" t="str">
        <f>IF(CUENTAS!W295/CUENTAS!$AB295&lt;&gt;0,CUENTAS!W295/CUENTAS!$AB295,"")</f>
        <v/>
      </c>
      <c r="AP306" s="459" t="str">
        <f>IF(CUENTAS!X295/CUENTAS!$AB295&lt;&gt;0,CUENTAS!X295/CUENTAS!$AB295,"")</f>
        <v/>
      </c>
      <c r="AQ306" s="459" t="str">
        <f>IF(CUENTAS!Y295/CUENTAS!$AB295&lt;&gt;0,CUENTAS!Y295/CUENTAS!$AB295,"")</f>
        <v/>
      </c>
      <c r="AR306" s="459">
        <f>IF(CUENTAS!AA295/CUENTAS!$AB295&lt;&gt;0,CUENTAS!AA295/CUENTAS!$AB295,"")</f>
        <v>0.03840230952</v>
      </c>
    </row>
    <row r="307">
      <c r="A307" s="474"/>
      <c r="B307" s="200"/>
      <c r="C307" s="200"/>
      <c r="F307" s="200"/>
      <c r="G307" s="200"/>
      <c r="J307" s="465">
        <v>45353.0</v>
      </c>
      <c r="K307" s="466">
        <f>SUMIF(GRAFICO!A:A,J307,GRAFICO!B:B)</f>
        <v>10577.77925</v>
      </c>
      <c r="L307" s="467">
        <f t="shared" si="2"/>
        <v>0.04610117161</v>
      </c>
      <c r="M307" s="468">
        <v>45718.0</v>
      </c>
      <c r="N307" s="469">
        <f>SUMIF(GRAFICO!A:A,M307,GRAFICO!B:B)</f>
        <v>14012.13599</v>
      </c>
      <c r="O307" s="467">
        <f t="shared" si="3"/>
        <v>0.006850535947</v>
      </c>
      <c r="P307" s="468">
        <v>46083.0</v>
      </c>
      <c r="Q307" s="463">
        <f>IF(SUMIF(GRAFICO!A:A,P307,GRAFICO!B:B)=0,"",SUMIF(GRAFICO!A:A,P307,GRAFICO!B:B))</f>
        <v>20741.87141</v>
      </c>
      <c r="R307" s="463">
        <f t="shared" si="4"/>
        <v>-0.0002873841342</v>
      </c>
      <c r="S307" s="471">
        <f>CUENTAS!A296</f>
        <v>45806</v>
      </c>
      <c r="T307" s="459">
        <f>IF(CUENTAS!Q296/CUENTAS!$AB296&lt;&gt;0,CUENTAS!Q296/CUENTAS!$AB296,"")</f>
        <v>0.3018621927</v>
      </c>
      <c r="U307" s="459" t="str">
        <f>IF(CUENTAS!C296/CUENTAS!$AB296&lt;&gt;0,CUENTAS!C296/CUENTAS!$AB296,"")</f>
        <v/>
      </c>
      <c r="V307" s="459">
        <f>IF(CUENTAS!D296/CUENTAS!$AB296&lt;&gt;0,CUENTAS!D296/CUENTAS!$AB296,"")</f>
        <v>0.1321501509</v>
      </c>
      <c r="W307" s="459" t="str">
        <f>IF(CUENTAS!E296/CUENTAS!$AB296&lt;&gt;0,CUENTAS!E296/CUENTAS!$AB296,"")</f>
        <v/>
      </c>
      <c r="X307" s="459">
        <f>IF(CUENTAS!F296/CUENTAS!$AB296&lt;&gt;0,CUENTAS!F296/CUENTAS!$AB296,"")</f>
        <v>0.2620477948</v>
      </c>
      <c r="Y307" s="459" t="str">
        <f>IF(CUENTAS!G296/CUENTAS!$AB296&lt;&gt;0,CUENTAS!G296/CUENTAS!$AB296,"")</f>
        <v/>
      </c>
      <c r="Z307" s="459">
        <f>IF(CUENTAS!H296/CUENTAS!$AB296&lt;&gt;0,CUENTAS!H296/CUENTAS!$AB296,"")</f>
        <v>0.4808996669</v>
      </c>
      <c r="AA307" s="459" t="str">
        <f>IF(CUENTAS!I296/CUENTAS!$AB296&lt;&gt;0,CUENTAS!I296/CUENTAS!$AB296,"")</f>
        <v/>
      </c>
      <c r="AB307" s="459" t="str">
        <f>IF(CUENTAS!J296/CUENTAS!$AB296&lt;&gt;0,CUENTAS!J296/CUENTAS!$AB296,"")</f>
        <v/>
      </c>
      <c r="AC307" s="459">
        <f>IF(CUENTAS!K296/CUENTAS!$AB296&lt;&gt;0,CUENTAS!K296/CUENTAS!$AB296,"")</f>
        <v>0.2554477104</v>
      </c>
      <c r="AD307" s="459" t="str">
        <f>IF(CUENTAS!L296/CUENTAS!$AB296&lt;&gt;0,CUENTAS!L296/CUENTAS!$AB296,"")</f>
        <v/>
      </c>
      <c r="AE307" s="459">
        <f>IF(CUENTAS!M296/CUENTAS!$AB296&lt;&gt;0,CUENTAS!M296/CUENTAS!$AB296,"")</f>
        <v>0.4877951255</v>
      </c>
      <c r="AF307" s="459">
        <f>IF(CUENTAS!N296/CUENTAS!$AB296&lt;&gt;0,CUENTAS!N296/CUENTAS!$AB296,"")</f>
        <v>0.2982260351</v>
      </c>
      <c r="AG307" s="459" t="str">
        <f>IF(CUENTAS!O296/CUENTAS!$AB296&lt;&gt;0,CUENTAS!O296/CUENTAS!$AB296,"")</f>
        <v/>
      </c>
      <c r="AH307" s="459" t="str">
        <f>IF(CUENTAS!P296/CUENTAS!$AB296&lt;&gt;0,CUENTAS!P296/CUENTAS!$AB296,"")</f>
        <v/>
      </c>
      <c r="AI307" s="459">
        <f>IF(CUENTAS!R296/CUENTAS!$AB296&lt;&gt;0,CUENTAS!R296/CUENTAS!$AB296,"")</f>
        <v>0.1506031292</v>
      </c>
      <c r="AJ307" s="459" t="str">
        <f>IF(CUENTAS!B296/CUENTAS!$AB296&lt;&gt;0,CUENTAS!B296/CUENTAS!$AB296,"")</f>
        <v/>
      </c>
      <c r="AK307" s="459">
        <f>IF(CUENTAS!S296/CUENTAS!$AB296&lt;&gt;0,CUENTAS!S296/CUENTAS!$AB296,"")</f>
        <v>0.315689481</v>
      </c>
      <c r="AL307" s="459">
        <f>IF(CUENTAS!T296/CUENTAS!$AB296&lt;&gt;0,CUENTAS!T296/CUENTAS!$AB296,"")</f>
        <v>0.2556310461</v>
      </c>
      <c r="AM307" s="459">
        <f>IF(CUENTAS!U296/CUENTAS!$AB296&lt;&gt;0,CUENTAS!U296/CUENTAS!$AB296,"")</f>
        <v>0.3169366764</v>
      </c>
      <c r="AN307" s="459">
        <f>IF(CUENTAS!V296/CUENTAS!$AB296&lt;&gt;0,CUENTAS!V296/CUENTAS!$AB296,"")</f>
        <v>0.1033402101</v>
      </c>
      <c r="AO307" s="459" t="str">
        <f>IF(CUENTAS!W296/CUENTAS!$AB296&lt;&gt;0,CUENTAS!W296/CUENTAS!$AB296,"")</f>
        <v/>
      </c>
      <c r="AP307" s="459" t="str">
        <f>IF(CUENTAS!X296/CUENTAS!$AB296&lt;&gt;0,CUENTAS!X296/CUENTAS!$AB296,"")</f>
        <v/>
      </c>
      <c r="AQ307" s="459" t="str">
        <f>IF(CUENTAS!Y296/CUENTAS!$AB296&lt;&gt;0,CUENTAS!Y296/CUENTAS!$AB296,"")</f>
        <v/>
      </c>
      <c r="AR307" s="459">
        <f>IF(CUENTAS!AA296/CUENTAS!$AB296&lt;&gt;0,CUENTAS!AA296/CUENTAS!$AB296,"")</f>
        <v>0.03815164519</v>
      </c>
    </row>
    <row r="308">
      <c r="A308" s="474"/>
      <c r="B308" s="200"/>
      <c r="C308" s="200"/>
      <c r="F308" s="200"/>
      <c r="G308" s="200"/>
      <c r="J308" s="470">
        <v>45352.0</v>
      </c>
      <c r="K308" s="466">
        <f>SUMIF(GRAFICO!A:A,J308,GRAFICO!B:B)</f>
        <v>10570.99372</v>
      </c>
      <c r="L308" s="467">
        <f t="shared" si="2"/>
        <v>0.04545947655</v>
      </c>
      <c r="M308" s="468">
        <v>45717.0</v>
      </c>
      <c r="N308" s="469">
        <f>SUMIF(GRAFICO!A:A,M308,GRAFICO!B:B)</f>
        <v>14009.16661</v>
      </c>
      <c r="O308" s="467">
        <f t="shared" si="3"/>
        <v>0.006638598332</v>
      </c>
      <c r="P308" s="465">
        <v>46082.0</v>
      </c>
      <c r="Q308" s="463">
        <f>IF(SUMIF(GRAFICO!A:A,P308,GRAFICO!B:B)=0,"",SUMIF(GRAFICO!A:A,P308,GRAFICO!B:B))</f>
        <v>21184.2899</v>
      </c>
      <c r="R308" s="463">
        <f t="shared" si="4"/>
        <v>0.02081804977</v>
      </c>
      <c r="S308" s="471">
        <f>CUENTAS!A297</f>
        <v>45805</v>
      </c>
      <c r="T308" s="459">
        <f>IF(CUENTAS!Q297/CUENTAS!$AB297&lt;&gt;0,CUENTAS!Q297/CUENTAS!$AB297,"")</f>
        <v>0.3009644655</v>
      </c>
      <c r="U308" s="459" t="str">
        <f>IF(CUENTAS!C297/CUENTAS!$AB297&lt;&gt;0,CUENTAS!C297/CUENTAS!$AB297,"")</f>
        <v/>
      </c>
      <c r="V308" s="459">
        <f>IF(CUENTAS!D297/CUENTAS!$AB297&lt;&gt;0,CUENTAS!D297/CUENTAS!$AB297,"")</f>
        <v>0.131412903</v>
      </c>
      <c r="W308" s="459" t="str">
        <f>IF(CUENTAS!E297/CUENTAS!$AB297&lt;&gt;0,CUENTAS!E297/CUENTAS!$AB297,"")</f>
        <v/>
      </c>
      <c r="X308" s="459">
        <f>IF(CUENTAS!F297/CUENTAS!$AB297&lt;&gt;0,CUENTAS!F297/CUENTAS!$AB297,"")</f>
        <v>0.2612684742</v>
      </c>
      <c r="Y308" s="459" t="str">
        <f>IF(CUENTAS!G297/CUENTAS!$AB297&lt;&gt;0,CUENTAS!G297/CUENTAS!$AB297,"")</f>
        <v/>
      </c>
      <c r="Z308" s="459">
        <f>IF(CUENTAS!H297/CUENTAS!$AB297&lt;&gt;0,CUENTAS!H297/CUENTAS!$AB297,"")</f>
        <v>0.4846790164</v>
      </c>
      <c r="AA308" s="459" t="str">
        <f>IF(CUENTAS!I297/CUENTAS!$AB297&lt;&gt;0,CUENTAS!I297/CUENTAS!$AB297,"")</f>
        <v/>
      </c>
      <c r="AB308" s="459" t="str">
        <f>IF(CUENTAS!J297/CUENTAS!$AB297&lt;&gt;0,CUENTAS!J297/CUENTAS!$AB297,"")</f>
        <v/>
      </c>
      <c r="AC308" s="459">
        <f>IF(CUENTAS!K297/CUENTAS!$AB297&lt;&gt;0,CUENTAS!K297/CUENTAS!$AB297,"")</f>
        <v>0.2569221236</v>
      </c>
      <c r="AD308" s="459" t="str">
        <f>IF(CUENTAS!L297/CUENTAS!$AB297&lt;&gt;0,CUENTAS!L297/CUENTAS!$AB297,"")</f>
        <v/>
      </c>
      <c r="AE308" s="459">
        <f>IF(CUENTAS!M297/CUENTAS!$AB297&lt;&gt;0,CUENTAS!M297/CUENTAS!$AB297,"")</f>
        <v>0.4858163792</v>
      </c>
      <c r="AF308" s="459">
        <f>IF(CUENTAS!N297/CUENTAS!$AB297&lt;&gt;0,CUENTAS!N297/CUENTAS!$AB297,"")</f>
        <v>0.2924647099</v>
      </c>
      <c r="AG308" s="459" t="str">
        <f>IF(CUENTAS!O297/CUENTAS!$AB297&lt;&gt;0,CUENTAS!O297/CUENTAS!$AB297,"")</f>
        <v/>
      </c>
      <c r="AH308" s="459" t="str">
        <f>IF(CUENTAS!P297/CUENTAS!$AB297&lt;&gt;0,CUENTAS!P297/CUENTAS!$AB297,"")</f>
        <v/>
      </c>
      <c r="AI308" s="459">
        <f>IF(CUENTAS!R297/CUENTAS!$AB297&lt;&gt;0,CUENTAS!R297/CUENTAS!$AB297,"")</f>
        <v>0.150155241</v>
      </c>
      <c r="AJ308" s="459" t="str">
        <f>IF(CUENTAS!B297/CUENTAS!$AB297&lt;&gt;0,CUENTAS!B297/CUENTAS!$AB297,"")</f>
        <v/>
      </c>
      <c r="AK308" s="459">
        <f>IF(CUENTAS!S297/CUENTAS!$AB297&lt;&gt;0,CUENTAS!S297/CUENTAS!$AB297,"")</f>
        <v>0.3471462536</v>
      </c>
      <c r="AL308" s="459">
        <f>IF(CUENTAS!T297/CUENTAS!$AB297&lt;&gt;0,CUENTAS!T297/CUENTAS!$AB297,"")</f>
        <v>0.254835266</v>
      </c>
      <c r="AM308" s="459">
        <f>IF(CUENTAS!U297/CUENTAS!$AB297&lt;&gt;0,CUENTAS!U297/CUENTAS!$AB297,"")</f>
        <v>0.3151838768</v>
      </c>
      <c r="AN308" s="459">
        <f>IF(CUENTAS!V297/CUENTAS!$AB297&lt;&gt;0,CUENTAS!V297/CUENTAS!$AB297,"")</f>
        <v>0.1030328801</v>
      </c>
      <c r="AO308" s="459" t="str">
        <f>IF(CUENTAS!W297/CUENTAS!$AB297&lt;&gt;0,CUENTAS!W297/CUENTAS!$AB297,"")</f>
        <v/>
      </c>
      <c r="AP308" s="459" t="str">
        <f>IF(CUENTAS!X297/CUENTAS!$AB297&lt;&gt;0,CUENTAS!X297/CUENTAS!$AB297,"")</f>
        <v/>
      </c>
      <c r="AQ308" s="459" t="str">
        <f>IF(CUENTAS!Y297/CUENTAS!$AB297&lt;&gt;0,CUENTAS!Y297/CUENTAS!$AB297,"")</f>
        <v/>
      </c>
      <c r="AR308" s="459">
        <f>IF(CUENTAS!AA297/CUENTAS!$AB297&lt;&gt;0,CUENTAS!AA297/CUENTAS!$AB297,"")</f>
        <v>0.005034353469</v>
      </c>
    </row>
    <row r="309">
      <c r="A309" s="474"/>
      <c r="B309" s="200"/>
      <c r="C309" s="200"/>
      <c r="F309" s="200"/>
      <c r="G309" s="200"/>
      <c r="J309" s="465">
        <v>45351.0</v>
      </c>
      <c r="K309" s="466">
        <f>SUMIF(GRAFICO!A:A,J309,GRAFICO!B:B)</f>
        <v>10564.16209</v>
      </c>
      <c r="L309" s="467">
        <f t="shared" si="2"/>
        <v>0.04481300518</v>
      </c>
      <c r="M309" s="463"/>
      <c r="N309" s="469"/>
      <c r="O309" s="467"/>
      <c r="P309" s="463"/>
      <c r="Q309" s="463"/>
      <c r="R309" s="463" t="str">
        <f t="shared" si="4"/>
        <v/>
      </c>
      <c r="S309" s="471">
        <f>CUENTAS!A298</f>
        <v>45804</v>
      </c>
      <c r="T309" s="459">
        <f>IF(CUENTAS!Q298/CUENTAS!$AB298&lt;&gt;0,CUENTAS!Q298/CUENTAS!$AB298,"")</f>
        <v>0.3088401124</v>
      </c>
      <c r="U309" s="459" t="str">
        <f>IF(CUENTAS!C298/CUENTAS!$AB298&lt;&gt;0,CUENTAS!C298/CUENTAS!$AB298,"")</f>
        <v/>
      </c>
      <c r="V309" s="459">
        <f>IF(CUENTAS!D298/CUENTAS!$AB298&lt;&gt;0,CUENTAS!D298/CUENTAS!$AB298,"")</f>
        <v>0.1344984736</v>
      </c>
      <c r="W309" s="459" t="str">
        <f>IF(CUENTAS!E298/CUENTAS!$AB298&lt;&gt;0,CUENTAS!E298/CUENTAS!$AB298,"")</f>
        <v/>
      </c>
      <c r="X309" s="459">
        <f>IF(CUENTAS!F298/CUENTAS!$AB298&lt;&gt;0,CUENTAS!F298/CUENTAS!$AB298,"")</f>
        <v>0.2681053552</v>
      </c>
      <c r="Y309" s="459" t="str">
        <f>IF(CUENTAS!G298/CUENTAS!$AB298&lt;&gt;0,CUENTAS!G298/CUENTAS!$AB298,"")</f>
        <v/>
      </c>
      <c r="Z309" s="459">
        <f>IF(CUENTAS!H298/CUENTAS!$AB298&lt;&gt;0,CUENTAS!H298/CUENTAS!$AB298,"")</f>
        <v>0.4880563709</v>
      </c>
      <c r="AA309" s="459" t="str">
        <f>IF(CUENTAS!I298/CUENTAS!$AB298&lt;&gt;0,CUENTAS!I298/CUENTAS!$AB298,"")</f>
        <v/>
      </c>
      <c r="AB309" s="459" t="str">
        <f>IF(CUENTAS!J298/CUENTAS!$AB298&lt;&gt;0,CUENTAS!J298/CUENTAS!$AB298,"")</f>
        <v/>
      </c>
      <c r="AC309" s="459">
        <f>IF(CUENTAS!K298/CUENTAS!$AB298&lt;&gt;0,CUENTAS!K298/CUENTAS!$AB298,"")</f>
        <v>0.264791553</v>
      </c>
      <c r="AD309" s="459" t="str">
        <f>IF(CUENTAS!L298/CUENTAS!$AB298&lt;&gt;0,CUENTAS!L298/CUENTAS!$AB298,"")</f>
        <v/>
      </c>
      <c r="AE309" s="459">
        <f>IF(CUENTAS!M298/CUENTAS!$AB298&lt;&gt;0,CUENTAS!M298/CUENTAS!$AB298,"")</f>
        <v>0.4795634502</v>
      </c>
      <c r="AF309" s="459">
        <f>IF(CUENTAS!N298/CUENTAS!$AB298&lt;&gt;0,CUENTAS!N298/CUENTAS!$AB298,"")</f>
        <v>0.3001179349</v>
      </c>
      <c r="AG309" s="459" t="str">
        <f>IF(CUENTAS!O298/CUENTAS!$AB298&lt;&gt;0,CUENTAS!O298/CUENTAS!$AB298,"")</f>
        <v/>
      </c>
      <c r="AH309" s="459" t="str">
        <f>IF(CUENTAS!P298/CUENTAS!$AB298&lt;&gt;0,CUENTAS!P298/CUENTAS!$AB298,"")</f>
        <v/>
      </c>
      <c r="AI309" s="459">
        <f>IF(CUENTAS!R298/CUENTAS!$AB298&lt;&gt;0,CUENTAS!R298/CUENTAS!$AB298,"")</f>
        <v>0.1540845077</v>
      </c>
      <c r="AJ309" s="459" t="str">
        <f>IF(CUENTAS!B298/CUENTAS!$AB298&lt;&gt;0,CUENTAS!B298/CUENTAS!$AB298,"")</f>
        <v/>
      </c>
      <c r="AK309" s="459">
        <f>IF(CUENTAS!S298/CUENTAS!$AB298&lt;&gt;0,CUENTAS!S298/CUENTAS!$AB298,"")</f>
        <v>0.3556062628</v>
      </c>
      <c r="AL309" s="459">
        <f>IF(CUENTAS!T298/CUENTAS!$AB298&lt;&gt;0,CUENTAS!T298/CUENTAS!$AB298,"")</f>
        <v>0.26146733</v>
      </c>
      <c r="AM309" s="459">
        <f>IF(CUENTAS!U298/CUENTAS!$AB298&lt;&gt;0,CUENTAS!U298/CUENTAS!$AB298,"")</f>
        <v>0.322600174</v>
      </c>
      <c r="AN309" s="459">
        <f>IF(CUENTAS!V298/CUENTAS!$AB298&lt;&gt;0,CUENTAS!V298/CUENTAS!$AB298,"")</f>
        <v>0.1057290475</v>
      </c>
      <c r="AO309" s="459" t="str">
        <f>IF(CUENTAS!W298/CUENTAS!$AB298&lt;&gt;0,CUENTAS!W298/CUENTAS!$AB298,"")</f>
        <v/>
      </c>
      <c r="AP309" s="459" t="str">
        <f>IF(CUENTAS!X298/CUENTAS!$AB298&lt;&gt;0,CUENTAS!X298/CUENTAS!$AB298,"")</f>
        <v/>
      </c>
      <c r="AQ309" s="459" t="str">
        <f>IF(CUENTAS!Y298/CUENTAS!$AB298&lt;&gt;0,CUENTAS!Y298/CUENTAS!$AB298,"")</f>
        <v/>
      </c>
      <c r="AR309" s="459">
        <f>IF(CUENTAS!AA298/CUENTAS!$AB298&lt;&gt;0,CUENTAS!AA298/CUENTAS!$AB298,"")</f>
        <v>0.005166092578</v>
      </c>
    </row>
    <row r="310">
      <c r="A310" s="474"/>
      <c r="B310" s="200"/>
      <c r="C310" s="200"/>
      <c r="F310" s="200"/>
      <c r="G310" s="200"/>
      <c r="J310" s="470">
        <v>45350.0</v>
      </c>
      <c r="K310" s="466">
        <f>SUMIF(GRAFICO!A:A,J310,GRAFICO!B:B)</f>
        <v>10571.63549</v>
      </c>
      <c r="L310" s="467">
        <f t="shared" si="2"/>
        <v>0.04552018446</v>
      </c>
      <c r="M310" s="468">
        <v>45716.0</v>
      </c>
      <c r="N310" s="469">
        <f>SUMIF(GRAFICO!A:A,M310,GRAFICO!B:B)</f>
        <v>14006.19723</v>
      </c>
      <c r="O310" s="467">
        <f t="shared" ref="O310:O368" si="5">ln(N310/$N$368)</f>
        <v>0.006426615791</v>
      </c>
      <c r="P310" s="468">
        <v>46081.0</v>
      </c>
      <c r="Q310" s="463">
        <f>IF(SUMIF(GRAFICO!A:A,P310,GRAFICO!B:B)=0,"",SUMIF(GRAFICO!A:A,P310,GRAFICO!B:B))</f>
        <v>21192.34968</v>
      </c>
      <c r="R310" s="463">
        <f t="shared" si="4"/>
        <v>0.02119843746</v>
      </c>
      <c r="S310" s="471">
        <f>CUENTAS!A299</f>
        <v>45803</v>
      </c>
      <c r="T310" s="459">
        <f>IF(CUENTAS!Q299/CUENTAS!$AB299&lt;&gt;0,CUENTAS!Q299/CUENTAS!$AB299,"")</f>
        <v>0.3014531597</v>
      </c>
      <c r="U310" s="459" t="str">
        <f>IF(CUENTAS!C299/CUENTAS!$AB299&lt;&gt;0,CUENTAS!C299/CUENTAS!$AB299,"")</f>
        <v/>
      </c>
      <c r="V310" s="459">
        <f>IF(CUENTAS!D299/CUENTAS!$AB299&lt;&gt;0,CUENTAS!D299/CUENTAS!$AB299,"")</f>
        <v>0.132424609</v>
      </c>
      <c r="W310" s="459" t="str">
        <f>IF(CUENTAS!E299/CUENTAS!$AB299&lt;&gt;0,CUENTAS!E299/CUENTAS!$AB299,"")</f>
        <v/>
      </c>
      <c r="X310" s="459">
        <f>IF(CUENTAS!F299/CUENTAS!$AB299&lt;&gt;0,CUENTAS!F299/CUENTAS!$AB299,"")</f>
        <v>0.2646664923</v>
      </c>
      <c r="Y310" s="459" t="str">
        <f>IF(CUENTAS!G299/CUENTAS!$AB299&lt;&gt;0,CUENTAS!G299/CUENTAS!$AB299,"")</f>
        <v/>
      </c>
      <c r="Z310" s="459">
        <f>IF(CUENTAS!H299/CUENTAS!$AB299&lt;&gt;0,CUENTAS!H299/CUENTAS!$AB299,"")</f>
        <v>0.4896144941</v>
      </c>
      <c r="AA310" s="459" t="str">
        <f>IF(CUENTAS!I299/CUENTAS!$AB299&lt;&gt;0,CUENTAS!I299/CUENTAS!$AB299,"")</f>
        <v/>
      </c>
      <c r="AB310" s="459" t="str">
        <f>IF(CUENTAS!J299/CUENTAS!$AB299&lt;&gt;0,CUENTAS!J299/CUENTAS!$AB299,"")</f>
        <v/>
      </c>
      <c r="AC310" s="459">
        <f>IF(CUENTAS!K299/CUENTAS!$AB299&lt;&gt;0,CUENTAS!K299/CUENTAS!$AB299,"")</f>
        <v>0.2613951948</v>
      </c>
      <c r="AD310" s="459" t="str">
        <f>IF(CUENTAS!L299/CUENTAS!$AB299&lt;&gt;0,CUENTAS!L299/CUENTAS!$AB299,"")</f>
        <v/>
      </c>
      <c r="AE310" s="459">
        <f>IF(CUENTAS!M299/CUENTAS!$AB299&lt;&gt;0,CUENTAS!M299/CUENTAS!$AB299,"")</f>
        <v>0.4809013209</v>
      </c>
      <c r="AF310" s="459">
        <f>IF(CUENTAS!N299/CUENTAS!$AB299&lt;&gt;0,CUENTAS!N299/CUENTAS!$AB299,"")</f>
        <v>0.2962684616</v>
      </c>
      <c r="AG310" s="459" t="str">
        <f>IF(CUENTAS!O299/CUENTAS!$AB299&lt;&gt;0,CUENTAS!O299/CUENTAS!$AB299,"")</f>
        <v/>
      </c>
      <c r="AH310" s="459" t="str">
        <f>IF(CUENTAS!P299/CUENTAS!$AB299&lt;&gt;0,CUENTAS!P299/CUENTAS!$AB299,"")</f>
        <v/>
      </c>
      <c r="AI310" s="459">
        <f>IF(CUENTAS!R299/CUENTAS!$AB299&lt;&gt;0,CUENTAS!R299/CUENTAS!$AB299,"")</f>
        <v>0.1521081373</v>
      </c>
      <c r="AJ310" s="459" t="str">
        <f>IF(CUENTAS!B299/CUENTAS!$AB299&lt;&gt;0,CUENTAS!B299/CUENTAS!$AB299,"")</f>
        <v/>
      </c>
      <c r="AK310" s="459">
        <f>IF(CUENTAS!S299/CUENTAS!$AB299&lt;&gt;0,CUENTAS!S299/CUENTAS!$AB299,"")</f>
        <v>0.3504289478</v>
      </c>
      <c r="AL310" s="459">
        <f>IF(CUENTAS!T299/CUENTAS!$AB299&lt;&gt;0,CUENTAS!T299/CUENTAS!$AB299,"")</f>
        <v>0.2580776052</v>
      </c>
      <c r="AM310" s="459">
        <f>IF(CUENTAS!U299/CUENTAS!$AB299&lt;&gt;0,CUENTAS!U299/CUENTAS!$AB299,"")</f>
        <v>0.3176415522</v>
      </c>
      <c r="AN310" s="459">
        <f>IF(CUENTAS!V299/CUENTAS!$AB299&lt;&gt;0,CUENTAS!V299/CUENTAS!$AB299,"")</f>
        <v>0.1043729101</v>
      </c>
      <c r="AO310" s="459" t="str">
        <f>IF(CUENTAS!W299/CUENTAS!$AB299&lt;&gt;0,CUENTAS!W299/CUENTAS!$AB299,"")</f>
        <v/>
      </c>
      <c r="AP310" s="459" t="str">
        <f>IF(CUENTAS!X299/CUENTAS!$AB299&lt;&gt;0,CUENTAS!X299/CUENTAS!$AB299,"")</f>
        <v/>
      </c>
      <c r="AQ310" s="459" t="str">
        <f>IF(CUENTAS!Y299/CUENTAS!$AB299&lt;&gt;0,CUENTAS!Y299/CUENTAS!$AB299,"")</f>
        <v/>
      </c>
      <c r="AR310" s="459">
        <f>IF(CUENTAS!AA299/CUENTAS!$AB299&lt;&gt;0,CUENTAS!AA299/CUENTAS!$AB299,"")</f>
        <v>0.005099829508</v>
      </c>
    </row>
    <row r="311">
      <c r="A311" s="474"/>
      <c r="B311" s="200"/>
      <c r="C311" s="200"/>
      <c r="F311" s="200"/>
      <c r="G311" s="200"/>
      <c r="J311" s="470">
        <v>45349.0</v>
      </c>
      <c r="K311" s="466">
        <f>SUMIF(GRAFICO!A:A,J311,GRAFICO!B:B)</f>
        <v>10558.64823</v>
      </c>
      <c r="L311" s="467">
        <f t="shared" si="2"/>
        <v>0.04429092931</v>
      </c>
      <c r="M311" s="468">
        <v>45715.0</v>
      </c>
      <c r="N311" s="469">
        <f>SUMIF(GRAFICO!A:A,M311,GRAFICO!B:B)</f>
        <v>14288.31176</v>
      </c>
      <c r="O311" s="467">
        <f t="shared" si="5"/>
        <v>0.02636856886</v>
      </c>
      <c r="P311" s="468">
        <v>46080.0</v>
      </c>
      <c r="Q311" s="463">
        <f>IF(SUMIF(GRAFICO!A:A,P311,GRAFICO!B:B)=0,"",SUMIF(GRAFICO!A:A,P311,GRAFICO!B:B))</f>
        <v>21200.40957</v>
      </c>
      <c r="R311" s="463">
        <f t="shared" si="4"/>
        <v>0.02157868592</v>
      </c>
      <c r="S311" s="471">
        <f>CUENTAS!A300</f>
        <v>45802</v>
      </c>
      <c r="T311" s="459">
        <f>IF(CUENTAS!Q300/CUENTAS!$AB300&lt;&gt;0,CUENTAS!Q300/CUENTAS!$AB300,"")</f>
        <v>0.3059272012</v>
      </c>
      <c r="U311" s="459" t="str">
        <f>IF(CUENTAS!C300/CUENTAS!$AB300&lt;&gt;0,CUENTAS!C300/CUENTAS!$AB300,"")</f>
        <v/>
      </c>
      <c r="V311" s="459">
        <f>IF(CUENTAS!D300/CUENTAS!$AB300&lt;&gt;0,CUENTAS!D300/CUENTAS!$AB300,"")</f>
        <v>0.1325300852</v>
      </c>
      <c r="W311" s="459" t="str">
        <f>IF(CUENTAS!E300/CUENTAS!$AB300&lt;&gt;0,CUENTAS!E300/CUENTAS!$AB300,"")</f>
        <v/>
      </c>
      <c r="X311" s="459">
        <f>IF(CUENTAS!F300/CUENTAS!$AB300&lt;&gt;0,CUENTAS!F300/CUENTAS!$AB300,"")</f>
        <v>0.2655766452</v>
      </c>
      <c r="Y311" s="459" t="str">
        <f>IF(CUENTAS!G300/CUENTAS!$AB300&lt;&gt;0,CUENTAS!G300/CUENTAS!$AB300,"")</f>
        <v/>
      </c>
      <c r="Z311" s="459">
        <f>IF(CUENTAS!H300/CUENTAS!$AB300&lt;&gt;0,CUENTAS!H300/CUENTAS!$AB300,"")</f>
        <v>0.4881601806</v>
      </c>
      <c r="AA311" s="459" t="str">
        <f>IF(CUENTAS!I300/CUENTAS!$AB300&lt;&gt;0,CUENTAS!I300/CUENTAS!$AB300,"")</f>
        <v/>
      </c>
      <c r="AB311" s="459" t="str">
        <f>IF(CUENTAS!J300/CUENTAS!$AB300&lt;&gt;0,CUENTAS!J300/CUENTAS!$AB300,"")</f>
        <v/>
      </c>
      <c r="AC311" s="459">
        <f>IF(CUENTAS!K300/CUENTAS!$AB300&lt;&gt;0,CUENTAS!K300/CUENTAS!$AB300,"")</f>
        <v>0.2657005149</v>
      </c>
      <c r="AD311" s="459" t="str">
        <f>IF(CUENTAS!L300/CUENTAS!$AB300&lt;&gt;0,CUENTAS!L300/CUENTAS!$AB300,"")</f>
        <v/>
      </c>
      <c r="AE311" s="459">
        <f>IF(CUENTAS!M300/CUENTAS!$AB300&lt;&gt;0,CUENTAS!M300/CUENTAS!$AB300,"")</f>
        <v>0.4868492262</v>
      </c>
      <c r="AF311" s="459">
        <f>IF(CUENTAS!N300/CUENTAS!$AB300&lt;&gt;0,CUENTAS!N300/CUENTAS!$AB300,"")</f>
        <v>0.284900319</v>
      </c>
      <c r="AG311" s="459" t="str">
        <f>IF(CUENTAS!O300/CUENTAS!$AB300&lt;&gt;0,CUENTAS!O300/CUENTAS!$AB300,"")</f>
        <v/>
      </c>
      <c r="AH311" s="459" t="str">
        <f>IF(CUENTAS!P300/CUENTAS!$AB300&lt;&gt;0,CUENTAS!P300/CUENTAS!$AB300,"")</f>
        <v/>
      </c>
      <c r="AI311" s="459">
        <f>IF(CUENTAS!R300/CUENTAS!$AB300&lt;&gt;0,CUENTAS!R300/CUENTAS!$AB300,"")</f>
        <v>0.1526312169</v>
      </c>
      <c r="AJ311" s="459" t="str">
        <f>IF(CUENTAS!B300/CUENTAS!$AB300&lt;&gt;0,CUENTAS!B300/CUENTAS!$AB300,"")</f>
        <v/>
      </c>
      <c r="AK311" s="459">
        <f>IF(CUENTAS!S300/CUENTAS!$AB300&lt;&gt;0,CUENTAS!S300/CUENTAS!$AB300,"")</f>
        <v>0.3510157888</v>
      </c>
      <c r="AL311" s="459">
        <f>IF(CUENTAS!T300/CUENTAS!$AB300&lt;&gt;0,CUENTAS!T300/CUENTAS!$AB300,"")</f>
        <v>0.2589289711</v>
      </c>
      <c r="AM311" s="459">
        <f>IF(CUENTAS!U300/CUENTAS!$AB300&lt;&gt;0,CUENTAS!U300/CUENTAS!$AB300,"")</f>
        <v>0.3179102774</v>
      </c>
      <c r="AN311" s="459">
        <f>IF(CUENTAS!V300/CUENTAS!$AB300&lt;&gt;0,CUENTAS!V300/CUENTAS!$AB300,"")</f>
        <v>0.1047318346</v>
      </c>
      <c r="AO311" s="459" t="str">
        <f>IF(CUENTAS!W300/CUENTAS!$AB300&lt;&gt;0,CUENTAS!W300/CUENTAS!$AB300,"")</f>
        <v/>
      </c>
      <c r="AP311" s="459" t="str">
        <f>IF(CUENTAS!X300/CUENTAS!$AB300&lt;&gt;0,CUENTAS!X300/CUENTAS!$AB300,"")</f>
        <v/>
      </c>
      <c r="AQ311" s="459" t="str">
        <f>IF(CUENTAS!Y300/CUENTAS!$AB300&lt;&gt;0,CUENTAS!Y300/CUENTAS!$AB300,"")</f>
        <v/>
      </c>
      <c r="AR311" s="459">
        <f>IF(CUENTAS!AA300/CUENTAS!$AB300&lt;&gt;0,CUENTAS!AA300/CUENTAS!$AB300,"")</f>
        <v>0.005117367142</v>
      </c>
    </row>
    <row r="312">
      <c r="A312" s="474"/>
      <c r="B312" s="200"/>
      <c r="C312" s="200"/>
      <c r="F312" s="200"/>
      <c r="G312" s="200"/>
      <c r="J312" s="470">
        <v>45348.0</v>
      </c>
      <c r="K312" s="466">
        <f>SUMIF(GRAFICO!A:A,J312,GRAFICO!B:B)</f>
        <v>10588.39429</v>
      </c>
      <c r="L312" s="467">
        <f t="shared" si="2"/>
        <v>0.04710419049</v>
      </c>
      <c r="M312" s="468">
        <v>45714.0</v>
      </c>
      <c r="N312" s="469">
        <f>SUMIF(GRAFICO!A:A,M312,GRAFICO!B:B)</f>
        <v>14299.51117</v>
      </c>
      <c r="O312" s="467">
        <f t="shared" si="5"/>
        <v>0.02715207767</v>
      </c>
      <c r="P312" s="468">
        <v>46079.0</v>
      </c>
      <c r="Q312" s="463">
        <f>IF(SUMIF(GRAFICO!A:A,P312,GRAFICO!B:B)=0,"",SUMIF(GRAFICO!A:A,P312,GRAFICO!B:B))</f>
        <v>21499.51508</v>
      </c>
      <c r="R312" s="463">
        <f t="shared" si="4"/>
        <v>0.03558856584</v>
      </c>
      <c r="S312" s="471">
        <f>CUENTAS!A301</f>
        <v>45801</v>
      </c>
      <c r="T312" s="459">
        <f>IF(CUENTAS!Q301/CUENTAS!$AB301&lt;&gt;0,CUENTAS!Q301/CUENTAS!$AB301,"")</f>
        <v>0.4272440652</v>
      </c>
      <c r="U312" s="459" t="str">
        <f>IF(CUENTAS!C301/CUENTAS!$AB301&lt;&gt;0,CUENTAS!C301/CUENTAS!$AB301,"")</f>
        <v/>
      </c>
      <c r="V312" s="459">
        <f>IF(CUENTAS!D301/CUENTAS!$AB301&lt;&gt;0,CUENTAS!D301/CUENTAS!$AB301,"")</f>
        <v>0.1845968365</v>
      </c>
      <c r="W312" s="459" t="str">
        <f>IF(CUENTAS!E301/CUENTAS!$AB301&lt;&gt;0,CUENTAS!E301/CUENTAS!$AB301,"")</f>
        <v/>
      </c>
      <c r="X312" s="459">
        <f>IF(CUENTAS!F301/CUENTAS!$AB301&lt;&gt;0,CUENTAS!F301/CUENTAS!$AB301,"")</f>
        <v>0.3708923072</v>
      </c>
      <c r="Y312" s="459" t="str">
        <f>IF(CUENTAS!G301/CUENTAS!$AB301&lt;&gt;0,CUENTAS!G301/CUENTAS!$AB301,"")</f>
        <v/>
      </c>
      <c r="Z312" s="459">
        <f>IF(CUENTAS!H301/CUENTAS!$AB301&lt;&gt;0,CUENTAS!H301/CUENTAS!$AB301,"")</f>
        <v>0.6817423857</v>
      </c>
      <c r="AA312" s="459" t="str">
        <f>IF(CUENTAS!I301/CUENTAS!$AB301&lt;&gt;0,CUENTAS!I301/CUENTAS!$AB301,"")</f>
        <v/>
      </c>
      <c r="AB312" s="459" t="str">
        <f>IF(CUENTAS!J301/CUENTAS!$AB301&lt;&gt;0,CUENTAS!J301/CUENTAS!$AB301,"")</f>
        <v/>
      </c>
      <c r="AC312" s="459">
        <f>IF(CUENTAS!K301/CUENTAS!$AB301&lt;&gt;0,CUENTAS!K301/CUENTAS!$AB301,"")</f>
        <v>0.371065298</v>
      </c>
      <c r="AD312" s="459" t="str">
        <f>IF(CUENTAS!L301/CUENTAS!$AB301&lt;&gt;0,CUENTAS!L301/CUENTAS!$AB301,"")</f>
        <v/>
      </c>
      <c r="AE312" s="459">
        <f>IF(CUENTAS!M301/CUENTAS!$AB301&lt;&gt;0,CUENTAS!M301/CUENTAS!$AB301,"")</f>
        <v>0.6799115663</v>
      </c>
      <c r="AF312" s="459" t="str">
        <f>IF(CUENTAS!N301/CUENTAS!$AB301&lt;&gt;0,CUENTAS!N301/CUENTAS!$AB301,"")</f>
        <v/>
      </c>
      <c r="AG312" s="459" t="str">
        <f>IF(CUENTAS!O301/CUENTAS!$AB301&lt;&gt;0,CUENTAS!O301/CUENTAS!$AB301,"")</f>
        <v/>
      </c>
      <c r="AH312" s="459" t="str">
        <f>IF(CUENTAS!P301/CUENTAS!$AB301&lt;&gt;0,CUENTAS!P301/CUENTAS!$AB301,"")</f>
        <v/>
      </c>
      <c r="AI312" s="459">
        <f>IF(CUENTAS!R301/CUENTAS!$AB301&lt;&gt;0,CUENTAS!R301/CUENTAS!$AB301,"")</f>
        <v>0.2131578406</v>
      </c>
      <c r="AJ312" s="459" t="str">
        <f>IF(CUENTAS!B301/CUENTAS!$AB301&lt;&gt;0,CUENTAS!B301/CUENTAS!$AB301,"")</f>
        <v/>
      </c>
      <c r="AK312" s="459">
        <f>IF(CUENTAS!S301/CUENTAS!$AB301&lt;&gt;0,CUENTAS!S301/CUENTAS!$AB301,"")</f>
        <v>0.4893493409</v>
      </c>
      <c r="AL312" s="459">
        <f>IF(CUENTAS!T301/CUENTAS!$AB301&lt;&gt;0,CUENTAS!T301/CUENTAS!$AB301,"")</f>
        <v>0.3615580111</v>
      </c>
      <c r="AM312" s="459">
        <f>IF(CUENTAS!U301/CUENTAS!$AB301&lt;&gt;0,CUENTAS!U301/CUENTAS!$AB301,"")</f>
        <v>0.4428288814</v>
      </c>
      <c r="AN312" s="459">
        <f>IF(CUENTAS!V301/CUENTAS!$AB301&lt;&gt;0,CUENTAS!V301/CUENTAS!$AB301,"")</f>
        <v>0.146263734</v>
      </c>
      <c r="AO312" s="459" t="str">
        <f>IF(CUENTAS!W301/CUENTAS!$AB301&lt;&gt;0,CUENTAS!W301/CUENTAS!$AB301,"")</f>
        <v/>
      </c>
      <c r="AP312" s="459" t="str">
        <f>IF(CUENTAS!X301/CUENTAS!$AB301&lt;&gt;0,CUENTAS!X301/CUENTAS!$AB301,"")</f>
        <v/>
      </c>
      <c r="AQ312" s="459" t="str">
        <f>IF(CUENTAS!Y301/CUENTAS!$AB301&lt;&gt;0,CUENTAS!Y301/CUENTAS!$AB301,"")</f>
        <v/>
      </c>
      <c r="AR312" s="459">
        <f>IF(CUENTAS!AA301/CUENTAS!$AB301&lt;&gt;0,CUENTAS!AA301/CUENTAS!$AB301,"")</f>
        <v>0.007146683042</v>
      </c>
    </row>
    <row r="313">
      <c r="A313" s="474"/>
      <c r="B313" s="200"/>
      <c r="C313" s="200"/>
      <c r="F313" s="200"/>
      <c r="G313" s="200"/>
      <c r="J313" s="465">
        <v>45347.0</v>
      </c>
      <c r="K313" s="466">
        <f>SUMIF(GRAFICO!A:A,J313,GRAFICO!B:B)</f>
        <v>10561.39647</v>
      </c>
      <c r="L313" s="467">
        <f t="shared" si="2"/>
        <v>0.04455117859</v>
      </c>
      <c r="M313" s="468">
        <v>45713.0</v>
      </c>
      <c r="N313" s="469">
        <f>SUMIF(GRAFICO!A:A,M313,GRAFICO!B:B)</f>
        <v>14220.09164</v>
      </c>
      <c r="O313" s="467">
        <f t="shared" si="5"/>
        <v>0.0215825939</v>
      </c>
      <c r="P313" s="468">
        <v>46078.0</v>
      </c>
      <c r="Q313" s="463">
        <f>IF(SUMIF(GRAFICO!A:A,P313,GRAFICO!B:B)=0,"",SUMIF(GRAFICO!A:A,P313,GRAFICO!B:B))</f>
        <v>21861.22531</v>
      </c>
      <c r="R313" s="463">
        <f t="shared" si="4"/>
        <v>0.05227271897</v>
      </c>
      <c r="S313" s="471">
        <f>CUENTAS!A302</f>
        <v>45800</v>
      </c>
      <c r="T313" s="459">
        <f>IF(CUENTAS!Q302/CUENTAS!$AB302&lt;&gt;0,CUENTAS!Q302/CUENTAS!$AB302,"")</f>
        <v>0.42667906</v>
      </c>
      <c r="U313" s="459" t="str">
        <f>IF(CUENTAS!C302/CUENTAS!$AB302&lt;&gt;0,CUENTAS!C302/CUENTAS!$AB302,"")</f>
        <v/>
      </c>
      <c r="V313" s="459">
        <f>IF(CUENTAS!D302/CUENTAS!$AB302&lt;&gt;0,CUENTAS!D302/CUENTAS!$AB302,"")</f>
        <v>0.1838646897</v>
      </c>
      <c r="W313" s="459" t="str">
        <f>IF(CUENTAS!E302/CUENTAS!$AB302&lt;&gt;0,CUENTAS!E302/CUENTAS!$AB302,"")</f>
        <v/>
      </c>
      <c r="X313" s="459">
        <f>IF(CUENTAS!F302/CUENTAS!$AB302&lt;&gt;0,CUENTAS!F302/CUENTAS!$AB302,"")</f>
        <v>0.3704018239</v>
      </c>
      <c r="Y313" s="459" t="str">
        <f>IF(CUENTAS!G302/CUENTAS!$AB302&lt;&gt;0,CUENTAS!G302/CUENTAS!$AB302,"")</f>
        <v/>
      </c>
      <c r="Z313" s="459">
        <f>IF(CUENTAS!H302/CUENTAS!$AB302&lt;&gt;0,CUENTAS!H302/CUENTAS!$AB302,"")</f>
        <v>0.6808408214</v>
      </c>
      <c r="AA313" s="459" t="str">
        <f>IF(CUENTAS!I302/CUENTAS!$AB302&lt;&gt;0,CUENTAS!I302/CUENTAS!$AB302,"")</f>
        <v/>
      </c>
      <c r="AB313" s="459" t="str">
        <f>IF(CUENTAS!J302/CUENTAS!$AB302&lt;&gt;0,CUENTAS!J302/CUENTAS!$AB302,"")</f>
        <v/>
      </c>
      <c r="AC313" s="459">
        <f>IF(CUENTAS!K302/CUENTAS!$AB302&lt;&gt;0,CUENTAS!K302/CUENTAS!$AB302,"")</f>
        <v>0.3705745859</v>
      </c>
      <c r="AD313" s="459" t="str">
        <f>IF(CUENTAS!L302/CUENTAS!$AB302&lt;&gt;0,CUENTAS!L302/CUENTAS!$AB302,"")</f>
        <v/>
      </c>
      <c r="AE313" s="459">
        <f>IF(CUENTAS!M302/CUENTAS!$AB302&lt;&gt;0,CUENTAS!M302/CUENTAS!$AB302,"")</f>
        <v>0.6790124231</v>
      </c>
      <c r="AF313" s="459" t="str">
        <f>IF(CUENTAS!N302/CUENTAS!$AB302&lt;&gt;0,CUENTAS!N302/CUENTAS!$AB302,"")</f>
        <v/>
      </c>
      <c r="AG313" s="459" t="str">
        <f>IF(CUENTAS!O302/CUENTAS!$AB302&lt;&gt;0,CUENTAS!O302/CUENTAS!$AB302,"")</f>
        <v/>
      </c>
      <c r="AH313" s="459" t="str">
        <f>IF(CUENTAS!P302/CUENTAS!$AB302&lt;&gt;0,CUENTAS!P302/CUENTAS!$AB302,"")</f>
        <v/>
      </c>
      <c r="AI313" s="459">
        <f>IF(CUENTAS!R302/CUENTAS!$AB302&lt;&gt;0,CUENTAS!R302/CUENTAS!$AB302,"")</f>
        <v>0.2128759518</v>
      </c>
      <c r="AJ313" s="459" t="str">
        <f>IF(CUENTAS!B302/CUENTAS!$AB302&lt;&gt;0,CUENTAS!B302/CUENTAS!$AB302,"")</f>
        <v/>
      </c>
      <c r="AK313" s="459">
        <f>IF(CUENTAS!S302/CUENTAS!$AB302&lt;&gt;0,CUENTAS!S302/CUENTAS!$AB302,"")</f>
        <v>0.4878399445</v>
      </c>
      <c r="AL313" s="459">
        <f>IF(CUENTAS!T302/CUENTAS!$AB302&lt;&gt;0,CUENTAS!T302/CUENTAS!$AB302,"")</f>
        <v>0.361029483</v>
      </c>
      <c r="AM313" s="459">
        <f>IF(CUENTAS!U302/CUENTAS!$AB302&lt;&gt;0,CUENTAS!U302/CUENTAS!$AB302,"")</f>
        <v>0.4410945824</v>
      </c>
      <c r="AN313" s="459">
        <f>IF(CUENTAS!V302/CUENTAS!$AB302&lt;&gt;0,CUENTAS!V302/CUENTAS!$AB302,"")</f>
        <v>0.1460703088</v>
      </c>
      <c r="AO313" s="459" t="str">
        <f>IF(CUENTAS!W302/CUENTAS!$AB302&lt;&gt;0,CUENTAS!W302/CUENTAS!$AB302,"")</f>
        <v/>
      </c>
      <c r="AP313" s="459" t="str">
        <f>IF(CUENTAS!X302/CUENTAS!$AB302&lt;&gt;0,CUENTAS!X302/CUENTAS!$AB302,"")</f>
        <v/>
      </c>
      <c r="AQ313" s="459" t="str">
        <f>IF(CUENTAS!Y302/CUENTAS!$AB302&lt;&gt;0,CUENTAS!Y302/CUENTAS!$AB302,"")</f>
        <v/>
      </c>
      <c r="AR313" s="459">
        <f>IF(CUENTAS!AA302/CUENTAS!$AB302&lt;&gt;0,CUENTAS!AA302/CUENTAS!$AB302,"")</f>
        <v>0.007137231973</v>
      </c>
    </row>
    <row r="314">
      <c r="A314" s="474"/>
      <c r="B314" s="200"/>
      <c r="C314" s="200"/>
      <c r="F314" s="200"/>
      <c r="G314" s="200"/>
      <c r="J314" s="465">
        <v>45346.0</v>
      </c>
      <c r="K314" s="466">
        <f>SUMIF(GRAFICO!A:A,J314,GRAFICO!B:B)</f>
        <v>10534.39865</v>
      </c>
      <c r="L314" s="467">
        <f t="shared" si="2"/>
        <v>0.04199163214</v>
      </c>
      <c r="M314" s="468">
        <v>45712.0</v>
      </c>
      <c r="N314" s="469">
        <f>SUMIF(GRAFICO!A:A,M314,GRAFICO!B:B)</f>
        <v>14133.53297</v>
      </c>
      <c r="O314" s="467">
        <f t="shared" si="5"/>
        <v>0.01547692382</v>
      </c>
      <c r="P314" s="468">
        <v>46077.0</v>
      </c>
      <c r="Q314" s="463">
        <f>IF(SUMIF(GRAFICO!A:A,P314,GRAFICO!B:B)=0,"",SUMIF(GRAFICO!A:A,P314,GRAFICO!B:B))</f>
        <v>21860.15944</v>
      </c>
      <c r="R314" s="463">
        <f t="shared" si="4"/>
        <v>0.05222396171</v>
      </c>
      <c r="S314" s="471">
        <f>CUENTAS!A303</f>
        <v>45799</v>
      </c>
      <c r="T314" s="459">
        <f>IF(CUENTAS!Q303/CUENTAS!$AB303&lt;&gt;0,CUENTAS!Q303/CUENTAS!$AB303,"")</f>
        <v>0.4150691658</v>
      </c>
      <c r="U314" s="459" t="str">
        <f>IF(CUENTAS!C303/CUENTAS!$AB303&lt;&gt;0,CUENTAS!C303/CUENTAS!$AB303,"")</f>
        <v/>
      </c>
      <c r="V314" s="459">
        <f>IF(CUENTAS!D303/CUENTAS!$AB303&lt;&gt;0,CUENTAS!D303/CUENTAS!$AB303,"")</f>
        <v>0.1783870009</v>
      </c>
      <c r="W314" s="459" t="str">
        <f>IF(CUENTAS!E303/CUENTAS!$AB303&lt;&gt;0,CUENTAS!E303/CUENTAS!$AB303,"")</f>
        <v/>
      </c>
      <c r="X314" s="459">
        <f>IF(CUENTAS!F303/CUENTAS!$AB303&lt;&gt;0,CUENTAS!F303/CUENTAS!$AB303,"")</f>
        <v>0.3603232277</v>
      </c>
      <c r="Y314" s="459" t="str">
        <f>IF(CUENTAS!G303/CUENTAS!$AB303&lt;&gt;0,CUENTAS!G303/CUENTAS!$AB303,"")</f>
        <v/>
      </c>
      <c r="Z314" s="459">
        <f>IF(CUENTAS!H303/CUENTAS!$AB303&lt;&gt;0,CUENTAS!H303/CUENTAS!$AB303,"")</f>
        <v>0.6859978365</v>
      </c>
      <c r="AA314" s="459" t="str">
        <f>IF(CUENTAS!I303/CUENTAS!$AB303&lt;&gt;0,CUENTAS!I303/CUENTAS!$AB303,"")</f>
        <v/>
      </c>
      <c r="AB314" s="459" t="str">
        <f>IF(CUENTAS!J303/CUENTAS!$AB303&lt;&gt;0,CUENTAS!J303/CUENTAS!$AB303,"")</f>
        <v/>
      </c>
      <c r="AC314" s="459">
        <f>IF(CUENTAS!K303/CUENTAS!$AB303&lt;&gt;0,CUENTAS!K303/CUENTAS!$AB303,"")</f>
        <v>0.3641886354</v>
      </c>
      <c r="AD314" s="459" t="str">
        <f>IF(CUENTAS!L303/CUENTAS!$AB303&lt;&gt;0,CUENTAS!L303/CUENTAS!$AB303,"")</f>
        <v/>
      </c>
      <c r="AE314" s="459">
        <f>IF(CUENTAS!M303/CUENTAS!$AB303&lt;&gt;0,CUENTAS!M303/CUENTAS!$AB303,"")</f>
        <v>0.6590800332</v>
      </c>
      <c r="AF314" s="459" t="str">
        <f>IF(CUENTAS!N303/CUENTAS!$AB303&lt;&gt;0,CUENTAS!N303/CUENTAS!$AB303,"")</f>
        <v/>
      </c>
      <c r="AG314" s="459" t="str">
        <f>IF(CUENTAS!O303/CUENTAS!$AB303&lt;&gt;0,CUENTAS!O303/CUENTAS!$AB303,"")</f>
        <v/>
      </c>
      <c r="AH314" s="459" t="str">
        <f>IF(CUENTAS!P303/CUENTAS!$AB303&lt;&gt;0,CUENTAS!P303/CUENTAS!$AB303,"")</f>
        <v/>
      </c>
      <c r="AI314" s="459">
        <f>IF(CUENTAS!R303/CUENTAS!$AB303&lt;&gt;0,CUENTAS!R303/CUENTAS!$AB303,"")</f>
        <v>0.2070836187</v>
      </c>
      <c r="AJ314" s="459" t="str">
        <f>IF(CUENTAS!B303/CUENTAS!$AB303&lt;&gt;0,CUENTAS!B303/CUENTAS!$AB303,"")</f>
        <v/>
      </c>
      <c r="AK314" s="459">
        <f>IF(CUENTAS!S303/CUENTAS!$AB303&lt;&gt;0,CUENTAS!S303/CUENTAS!$AB303,"")</f>
        <v>0.4737270702</v>
      </c>
      <c r="AL314" s="459">
        <f>IF(CUENTAS!T303/CUENTAS!$AB303&lt;&gt;0,CUENTAS!T303/CUENTAS!$AB303,"")</f>
        <v>0.3511568894</v>
      </c>
      <c r="AM314" s="459">
        <f>IF(CUENTAS!U303/CUENTAS!$AB303&lt;&gt;0,CUENTAS!U303/CUENTAS!$AB303,"")</f>
        <v>0.4279750151</v>
      </c>
      <c r="AN314" s="459">
        <f>IF(CUENTAS!V303/CUENTAS!$AB303&lt;&gt;0,CUENTAS!V303/CUENTAS!$AB303,"")</f>
        <v>0.1420957505</v>
      </c>
      <c r="AO314" s="459" t="str">
        <f>IF(CUENTAS!W303/CUENTAS!$AB303&lt;&gt;0,CUENTAS!W303/CUENTAS!$AB303,"")</f>
        <v/>
      </c>
      <c r="AP314" s="459" t="str">
        <f>IF(CUENTAS!X303/CUENTAS!$AB303&lt;&gt;0,CUENTAS!X303/CUENTAS!$AB303,"")</f>
        <v/>
      </c>
      <c r="AQ314" s="459" t="str">
        <f>IF(CUENTAS!Y303/CUENTAS!$AB303&lt;&gt;0,CUENTAS!Y303/CUENTAS!$AB303,"")</f>
        <v/>
      </c>
      <c r="AR314" s="459">
        <f>IF(CUENTAS!AA303/CUENTAS!$AB303&lt;&gt;0,CUENTAS!AA303/CUENTAS!$AB303,"")</f>
        <v>0.006943028612</v>
      </c>
    </row>
    <row r="315">
      <c r="A315" s="474"/>
      <c r="B315" s="200"/>
      <c r="C315" s="200"/>
      <c r="F315" s="200"/>
      <c r="G315" s="200"/>
      <c r="J315" s="465">
        <v>45345.0</v>
      </c>
      <c r="K315" s="466">
        <f>SUMIF(GRAFICO!A:A,J315,GRAFICO!B:B)</f>
        <v>10506.70508</v>
      </c>
      <c r="L315" s="467">
        <f t="shared" si="2"/>
        <v>0.0393593</v>
      </c>
      <c r="M315" s="468">
        <v>45711.0</v>
      </c>
      <c r="N315" s="469">
        <f>SUMIF(GRAFICO!A:A,M315,GRAFICO!B:B)</f>
        <v>13961.2478</v>
      </c>
      <c r="O315" s="467">
        <f t="shared" si="5"/>
        <v>0.003212202442</v>
      </c>
      <c r="P315" s="468">
        <v>46076.0</v>
      </c>
      <c r="Q315" s="463">
        <f>IF(SUMIF(GRAFICO!A:A,P315,GRAFICO!B:B)=0,"",SUMIF(GRAFICO!A:A,P315,GRAFICO!B:B))</f>
        <v>21816.21127</v>
      </c>
      <c r="R315" s="463">
        <f t="shared" si="4"/>
        <v>0.05021151479</v>
      </c>
      <c r="S315" s="471">
        <f>CUENTAS!A304</f>
        <v>45798</v>
      </c>
      <c r="T315" s="459">
        <f>IF(CUENTAS!Q304/CUENTAS!$AB304&lt;&gt;0,CUENTAS!Q304/CUENTAS!$AB304,"")</f>
        <v>0.4218158065</v>
      </c>
      <c r="U315" s="459" t="str">
        <f>IF(CUENTAS!C304/CUENTAS!$AB304&lt;&gt;0,CUENTAS!C304/CUENTAS!$AB304,"")</f>
        <v/>
      </c>
      <c r="V315" s="459">
        <f>IF(CUENTAS!D304/CUENTAS!$AB304&lt;&gt;0,CUENTAS!D304/CUENTAS!$AB304,"")</f>
        <v>0.1813133905</v>
      </c>
      <c r="W315" s="459" t="str">
        <f>IF(CUENTAS!E304/CUENTAS!$AB304&lt;&gt;0,CUENTAS!E304/CUENTAS!$AB304,"")</f>
        <v/>
      </c>
      <c r="X315" s="459">
        <f>IF(CUENTAS!F304/CUENTAS!$AB304&lt;&gt;0,CUENTAS!F304/CUENTAS!$AB304,"")</f>
        <v>0.3672115069</v>
      </c>
      <c r="Y315" s="459" t="str">
        <f>IF(CUENTAS!G304/CUENTAS!$AB304&lt;&gt;0,CUENTAS!G304/CUENTAS!$AB304,"")</f>
        <v/>
      </c>
      <c r="Z315" s="459">
        <f>IF(CUENTAS!H304/CUENTAS!$AB304&lt;&gt;0,CUENTAS!H304/CUENTAS!$AB304,"")</f>
        <v>0.6817562514</v>
      </c>
      <c r="AA315" s="459" t="str">
        <f>IF(CUENTAS!I304/CUENTAS!$AB304&lt;&gt;0,CUENTAS!I304/CUENTAS!$AB304,"")</f>
        <v/>
      </c>
      <c r="AB315" s="459" t="str">
        <f>IF(CUENTAS!J304/CUENTAS!$AB304&lt;&gt;0,CUENTAS!J304/CUENTAS!$AB304,"")</f>
        <v/>
      </c>
      <c r="AC315" s="459">
        <f>IF(CUENTAS!K304/CUENTAS!$AB304&lt;&gt;0,CUENTAS!K304/CUENTAS!$AB304,"")</f>
        <v>0.3692667951</v>
      </c>
      <c r="AD315" s="459" t="str">
        <f>IF(CUENTAS!L304/CUENTAS!$AB304&lt;&gt;0,CUENTAS!L304/CUENTAS!$AB304,"")</f>
        <v/>
      </c>
      <c r="AE315" s="459">
        <f>IF(CUENTAS!M304/CUENTAS!$AB304&lt;&gt;0,CUENTAS!M304/CUENTAS!$AB304,"")</f>
        <v>0.6716796297</v>
      </c>
      <c r="AF315" s="459" t="str">
        <f>IF(CUENTAS!N304/CUENTAS!$AB304&lt;&gt;0,CUENTAS!N304/CUENTAS!$AB304,"")</f>
        <v/>
      </c>
      <c r="AG315" s="459" t="str">
        <f>IF(CUENTAS!O304/CUENTAS!$AB304&lt;&gt;0,CUENTAS!O304/CUENTAS!$AB304,"")</f>
        <v/>
      </c>
      <c r="AH315" s="459" t="str">
        <f>IF(CUENTAS!P304/CUENTAS!$AB304&lt;&gt;0,CUENTAS!P304/CUENTAS!$AB304,"")</f>
        <v/>
      </c>
      <c r="AI315" s="459">
        <f>IF(CUENTAS!R304/CUENTAS!$AB304&lt;&gt;0,CUENTAS!R304/CUENTAS!$AB304,"")</f>
        <v>0.2110424247</v>
      </c>
      <c r="AJ315" s="459" t="str">
        <f>IF(CUENTAS!B304/CUENTAS!$AB304&lt;&gt;0,CUENTAS!B304/CUENTAS!$AB304,"")</f>
        <v/>
      </c>
      <c r="AK315" s="459">
        <f>IF(CUENTAS!S304/CUENTAS!$AB304&lt;&gt;0,CUENTAS!S304/CUENTAS!$AB304,"")</f>
        <v>0.4819284505</v>
      </c>
      <c r="AL315" s="459">
        <f>IF(CUENTAS!T304/CUENTAS!$AB304&lt;&gt;0,CUENTAS!T304/CUENTAS!$AB304,"")</f>
        <v>0.3578199812</v>
      </c>
      <c r="AM315" s="459">
        <f>IF(CUENTAS!U304/CUENTAS!$AB304&lt;&gt;0,CUENTAS!U304/CUENTAS!$AB304,"")</f>
        <v>0.4350177997</v>
      </c>
      <c r="AN315" s="459">
        <f>IF(CUENTAS!V304/CUENTAS!$AB304&lt;&gt;0,CUENTAS!V304/CUENTAS!$AB304,"")</f>
        <v>0.1448121871</v>
      </c>
      <c r="AO315" s="459" t="str">
        <f>IF(CUENTAS!W304/CUENTAS!$AB304&lt;&gt;0,CUENTAS!W304/CUENTAS!$AB304,"")</f>
        <v/>
      </c>
      <c r="AP315" s="459" t="str">
        <f>IF(CUENTAS!X304/CUENTAS!$AB304&lt;&gt;0,CUENTAS!X304/CUENTAS!$AB304,"")</f>
        <v/>
      </c>
      <c r="AQ315" s="459" t="str">
        <f>IF(CUENTAS!Y304/CUENTAS!$AB304&lt;&gt;0,CUENTAS!Y304/CUENTAS!$AB304,"")</f>
        <v/>
      </c>
      <c r="AR315" s="459">
        <f>IF(CUENTAS!AA304/CUENTAS!$AB304&lt;&gt;0,CUENTAS!AA304/CUENTAS!$AB304,"")</f>
        <v>0.007075758105</v>
      </c>
    </row>
    <row r="316">
      <c r="A316" s="474"/>
      <c r="B316" s="200"/>
      <c r="C316" s="200"/>
      <c r="F316" s="200"/>
      <c r="G316" s="200"/>
      <c r="J316" s="470">
        <v>45344.0</v>
      </c>
      <c r="K316" s="466">
        <f>SUMIF(GRAFICO!A:A,J316,GRAFICO!B:B)</f>
        <v>10479.57462</v>
      </c>
      <c r="L316" s="467">
        <f t="shared" si="2"/>
        <v>0.03677375559</v>
      </c>
      <c r="M316" s="468">
        <v>45710.0</v>
      </c>
      <c r="N316" s="469">
        <f>SUMIF(GRAFICO!A:A,M316,GRAFICO!B:B)</f>
        <v>13961.2478</v>
      </c>
      <c r="O316" s="467">
        <f t="shared" si="5"/>
        <v>0.003212202442</v>
      </c>
      <c r="P316" s="468">
        <v>46075.0</v>
      </c>
      <c r="Q316" s="463">
        <f>IF(SUMIF(GRAFICO!A:A,P316,GRAFICO!B:B)=0,"",SUMIF(GRAFICO!A:A,P316,GRAFICO!B:B))</f>
        <v>21961.35911</v>
      </c>
      <c r="R316" s="463">
        <f t="shared" si="4"/>
        <v>0.05684269008</v>
      </c>
      <c r="S316" s="471">
        <f>CUENTAS!A305</f>
        <v>45797</v>
      </c>
      <c r="T316" s="459">
        <f>IF(CUENTAS!Q305/CUENTAS!$AB305&lt;&gt;0,CUENTAS!Q305/CUENTAS!$AB305,"")</f>
        <v>0.4078836981</v>
      </c>
      <c r="U316" s="459" t="str">
        <f>IF(CUENTAS!C305/CUENTAS!$AB305&lt;&gt;0,CUENTAS!C305/CUENTAS!$AB305,"")</f>
        <v/>
      </c>
      <c r="V316" s="459">
        <f>IF(CUENTAS!D305/CUENTAS!$AB305&lt;&gt;0,CUENTAS!D305/CUENTAS!$AB305,"")</f>
        <v>0.1738773747</v>
      </c>
      <c r="W316" s="459" t="str">
        <f>IF(CUENTAS!E305/CUENTAS!$AB305&lt;&gt;0,CUENTAS!E305/CUENTAS!$AB305,"")</f>
        <v/>
      </c>
      <c r="X316" s="459">
        <f>IF(CUENTAS!F305/CUENTAS!$AB305&lt;&gt;0,CUENTAS!F305/CUENTAS!$AB305,"")</f>
        <v>0.3623162534</v>
      </c>
      <c r="Y316" s="459" t="str">
        <f>IF(CUENTAS!G305/CUENTAS!$AB305&lt;&gt;0,CUENTAS!G305/CUENTAS!$AB305,"")</f>
        <v/>
      </c>
      <c r="Z316" s="459">
        <f>IF(CUENTAS!H305/CUENTAS!$AB305&lt;&gt;0,CUENTAS!H305/CUENTAS!$AB305,"")</f>
        <v>0.6881401235</v>
      </c>
      <c r="AA316" s="459" t="str">
        <f>IF(CUENTAS!I305/CUENTAS!$AB305&lt;&gt;0,CUENTAS!I305/CUENTAS!$AB305,"")</f>
        <v/>
      </c>
      <c r="AB316" s="459" t="str">
        <f>IF(CUENTAS!J305/CUENTAS!$AB305&lt;&gt;0,CUENTAS!J305/CUENTAS!$AB305,"")</f>
        <v/>
      </c>
      <c r="AC316" s="459">
        <f>IF(CUENTAS!K305/CUENTAS!$AB305&lt;&gt;0,CUENTAS!K305/CUENTAS!$AB305,"")</f>
        <v>0.3580892304</v>
      </c>
      <c r="AD316" s="459" t="str">
        <f>IF(CUENTAS!L305/CUENTAS!$AB305&lt;&gt;0,CUENTAS!L305/CUENTAS!$AB305,"")</f>
        <v/>
      </c>
      <c r="AE316" s="459">
        <f>IF(CUENTAS!M305/CUENTAS!$AB305&lt;&gt;0,CUENTAS!M305/CUENTAS!$AB305,"")</f>
        <v>0.6451425166</v>
      </c>
      <c r="AF316" s="459" t="str">
        <f>IF(CUENTAS!N305/CUENTAS!$AB305&lt;&gt;0,CUENTAS!N305/CUENTAS!$AB305,"")</f>
        <v/>
      </c>
      <c r="AG316" s="459" t="str">
        <f>IF(CUENTAS!O305/CUENTAS!$AB305&lt;&gt;0,CUENTAS!O305/CUENTAS!$AB305,"")</f>
        <v/>
      </c>
      <c r="AH316" s="459" t="str">
        <f>IF(CUENTAS!P305/CUENTAS!$AB305&lt;&gt;0,CUENTAS!P305/CUENTAS!$AB305,"")</f>
        <v/>
      </c>
      <c r="AI316" s="459">
        <f>IF(CUENTAS!R305/CUENTAS!$AB305&lt;&gt;0,CUENTAS!R305/CUENTAS!$AB305,"")</f>
        <v>0.2029286673</v>
      </c>
      <c r="AJ316" s="459" t="str">
        <f>IF(CUENTAS!B305/CUENTAS!$AB305&lt;&gt;0,CUENTAS!B305/CUENTAS!$AB305,"")</f>
        <v/>
      </c>
      <c r="AK316" s="459">
        <f>IF(CUENTAS!S305/CUENTAS!$AB305&lt;&gt;0,CUENTAS!S305/CUENTAS!$AB305,"")</f>
        <v>0.462578214</v>
      </c>
      <c r="AL316" s="459">
        <f>IF(CUENTAS!T305/CUENTAS!$AB305&lt;&gt;0,CUENTAS!T305/CUENTAS!$AB305,"")</f>
        <v>0.3440151653</v>
      </c>
      <c r="AM316" s="459">
        <f>IF(CUENTAS!U305/CUENTAS!$AB305&lt;&gt;0,CUENTAS!U305/CUENTAS!$AB305,"")</f>
        <v>0.4171980554</v>
      </c>
      <c r="AN316" s="459">
        <f>IF(CUENTAS!V305/CUENTAS!$AB305&lt;&gt;0,CUENTAS!V305/CUENTAS!$AB305,"")</f>
        <v>0.1392447237</v>
      </c>
      <c r="AO316" s="459" t="str">
        <f>IF(CUENTAS!W305/CUENTAS!$AB305&lt;&gt;0,CUENTAS!W305/CUENTAS!$AB305,"")</f>
        <v/>
      </c>
      <c r="AP316" s="459" t="str">
        <f>IF(CUENTAS!X305/CUENTAS!$AB305&lt;&gt;0,CUENTAS!X305/CUENTAS!$AB305,"")</f>
        <v/>
      </c>
      <c r="AQ316" s="459" t="str">
        <f>IF(CUENTAS!Y305/CUENTAS!$AB305&lt;&gt;0,CUENTAS!Y305/CUENTAS!$AB305,"")</f>
        <v/>
      </c>
      <c r="AR316" s="459">
        <f>IF(CUENTAS!AA305/CUENTAS!$AB305&lt;&gt;0,CUENTAS!AA305/CUENTAS!$AB305,"")</f>
        <v>0.006803722826</v>
      </c>
    </row>
    <row r="317">
      <c r="A317" s="474"/>
      <c r="B317" s="200"/>
      <c r="C317" s="200"/>
      <c r="F317" s="200"/>
      <c r="G317" s="200"/>
      <c r="J317" s="465">
        <v>45343.0</v>
      </c>
      <c r="K317" s="466">
        <f>SUMIF(GRAFICO!A:A,J317,GRAFICO!B:B)</f>
        <v>10452.43889</v>
      </c>
      <c r="L317" s="467">
        <f t="shared" si="2"/>
        <v>0.03418100571</v>
      </c>
      <c r="M317" s="468">
        <v>45709.0</v>
      </c>
      <c r="N317" s="469">
        <f>SUMIF(GRAFICO!A:A,M317,GRAFICO!B:B)</f>
        <v>14089.67368</v>
      </c>
      <c r="O317" s="467">
        <f t="shared" si="5"/>
        <v>0.01236889095</v>
      </c>
      <c r="P317" s="468">
        <v>46074.0</v>
      </c>
      <c r="Q317" s="463">
        <f>IF(SUMIF(GRAFICO!A:A,P317,GRAFICO!B:B)=0,"",SUMIF(GRAFICO!A:A,P317,GRAFICO!B:B))</f>
        <v>21965.20835</v>
      </c>
      <c r="R317" s="463">
        <f t="shared" si="4"/>
        <v>0.05701794796</v>
      </c>
      <c r="S317" s="471">
        <f>CUENTAS!A306</f>
        <v>45796</v>
      </c>
      <c r="T317" s="459">
        <f>IF(CUENTAS!Q306/CUENTAS!$AB306&lt;&gt;0,CUENTAS!Q306/CUENTAS!$AB306,"")</f>
        <v>0.402543577</v>
      </c>
      <c r="U317" s="459" t="str">
        <f>IF(CUENTAS!C306/CUENTAS!$AB306&lt;&gt;0,CUENTAS!C306/CUENTAS!$AB306,"")</f>
        <v/>
      </c>
      <c r="V317" s="459">
        <f>IF(CUENTAS!D306/CUENTAS!$AB306&lt;&gt;0,CUENTAS!D306/CUENTAS!$AB306,"")</f>
        <v>0.1692454854</v>
      </c>
      <c r="W317" s="459" t="str">
        <f>IF(CUENTAS!E306/CUENTAS!$AB306&lt;&gt;0,CUENTAS!E306/CUENTAS!$AB306,"")</f>
        <v/>
      </c>
      <c r="X317" s="459" t="str">
        <f>IF(CUENTAS!F306/CUENTAS!$AB306&lt;&gt;0,CUENTAS!F306/CUENTAS!$AB306,"")</f>
        <v/>
      </c>
      <c r="Y317" s="459" t="str">
        <f>IF(CUENTAS!G306/CUENTAS!$AB306&lt;&gt;0,CUENTAS!G306/CUENTAS!$AB306,"")</f>
        <v/>
      </c>
      <c r="Z317" s="459">
        <f>IF(CUENTAS!H306/CUENTAS!$AB306&lt;&gt;0,CUENTAS!H306/CUENTAS!$AB306,"")</f>
        <v>0.692728697</v>
      </c>
      <c r="AA317" s="459" t="str">
        <f>IF(CUENTAS!I306/CUENTAS!$AB306&lt;&gt;0,CUENTAS!I306/CUENTAS!$AB306,"")</f>
        <v/>
      </c>
      <c r="AB317" s="459" t="str">
        <f>IF(CUENTAS!J306/CUENTAS!$AB306&lt;&gt;0,CUENTAS!J306/CUENTAS!$AB306,"")</f>
        <v/>
      </c>
      <c r="AC317" s="459">
        <f>IF(CUENTAS!K306/CUENTAS!$AB306&lt;&gt;0,CUENTAS!K306/CUENTAS!$AB306,"")</f>
        <v>0.3494852307</v>
      </c>
      <c r="AD317" s="459" t="str">
        <f>IF(CUENTAS!L306/CUENTAS!$AB306&lt;&gt;0,CUENTAS!L306/CUENTAS!$AB306,"")</f>
        <v/>
      </c>
      <c r="AE317" s="459">
        <f>IF(CUENTAS!M306/CUENTAS!$AB306&lt;&gt;0,CUENTAS!M306/CUENTAS!$AB306,"")</f>
        <v>0.6268553119</v>
      </c>
      <c r="AF317" s="459" t="str">
        <f>IF(CUENTAS!N306/CUENTAS!$AB306&lt;&gt;0,CUENTAS!N306/CUENTAS!$AB306,"")</f>
        <v/>
      </c>
      <c r="AG317" s="459" t="str">
        <f>IF(CUENTAS!O306/CUENTAS!$AB306&lt;&gt;0,CUENTAS!O306/CUENTAS!$AB306,"")</f>
        <v/>
      </c>
      <c r="AH317" s="459" t="str">
        <f>IF(CUENTAS!P306/CUENTAS!$AB306&lt;&gt;0,CUENTAS!P306/CUENTAS!$AB306,"")</f>
        <v/>
      </c>
      <c r="AI317" s="459">
        <f>IF(CUENTAS!R306/CUENTAS!$AB306&lt;&gt;0,CUENTAS!R306/CUENTAS!$AB306,"")</f>
        <v>0.1980527927</v>
      </c>
      <c r="AJ317" s="459" t="str">
        <f>IF(CUENTAS!B306/CUENTAS!$AB306&lt;&gt;0,CUENTAS!B306/CUENTAS!$AB306,"")</f>
        <v/>
      </c>
      <c r="AK317" s="459">
        <f>IF(CUENTAS!S306/CUENTAS!$AB306&lt;&gt;0,CUENTAS!S306/CUENTAS!$AB306,"")</f>
        <v>0.4506613832</v>
      </c>
      <c r="AL317" s="459">
        <f>IF(CUENTAS!T306/CUENTAS!$AB306&lt;&gt;0,CUENTAS!T306/CUENTAS!$AB306,"")</f>
        <v>0.3357024505</v>
      </c>
      <c r="AM317" s="459">
        <f>IF(CUENTAS!U306/CUENTAS!$AB306&lt;&gt;0,CUENTAS!U306/CUENTAS!$AB306,"")</f>
        <v>0.4061051189</v>
      </c>
      <c r="AN317" s="459">
        <f>IF(CUENTAS!V306/CUENTAS!$AB306&lt;&gt;0,CUENTAS!V306/CUENTAS!$AB306,"")</f>
        <v>0.135899017</v>
      </c>
      <c r="AO317" s="459" t="str">
        <f>IF(CUENTAS!W306/CUENTAS!$AB306&lt;&gt;0,CUENTAS!W306/CUENTAS!$AB306,"")</f>
        <v/>
      </c>
      <c r="AP317" s="459" t="str">
        <f>IF(CUENTAS!X306/CUENTAS!$AB306&lt;&gt;0,CUENTAS!X306/CUENTAS!$AB306,"")</f>
        <v/>
      </c>
      <c r="AQ317" s="459" t="str">
        <f>IF(CUENTAS!Y306/CUENTAS!$AB306&lt;&gt;0,CUENTAS!Y306/CUENTAS!$AB306,"")</f>
        <v/>
      </c>
      <c r="AR317" s="459">
        <f>IF(CUENTAS!AA306/CUENTAS!$AB306&lt;&gt;0,CUENTAS!AA306/CUENTAS!$AB306,"")</f>
        <v>0.006640246172</v>
      </c>
    </row>
    <row r="318">
      <c r="A318" s="474"/>
      <c r="B318" s="200"/>
      <c r="C318" s="200"/>
      <c r="F318" s="200"/>
      <c r="G318" s="200"/>
      <c r="J318" s="470">
        <v>45342.0</v>
      </c>
      <c r="K318" s="466">
        <f>SUMIF(GRAFICO!A:A,J318,GRAFICO!B:B)</f>
        <v>10425.12389</v>
      </c>
      <c r="L318" s="467">
        <f t="shared" si="2"/>
        <v>0.03156431881</v>
      </c>
      <c r="M318" s="468">
        <v>45708.0</v>
      </c>
      <c r="N318" s="469">
        <f>SUMIF(GRAFICO!A:A,M318,GRAFICO!B:B)</f>
        <v>15239.45107</v>
      </c>
      <c r="O318" s="467">
        <f t="shared" si="5"/>
        <v>0.09081425579</v>
      </c>
      <c r="P318" s="468">
        <v>46073.0</v>
      </c>
      <c r="Q318" s="463">
        <f>IF(SUMIF(GRAFICO!A:A,P318,GRAFICO!B:B)=0,"",SUMIF(GRAFICO!A:A,P318,GRAFICO!B:B))</f>
        <v>21969.0577</v>
      </c>
      <c r="R318" s="463">
        <f t="shared" si="4"/>
        <v>0.05719318048</v>
      </c>
      <c r="S318" s="471">
        <f>CUENTAS!A307</f>
        <v>45795</v>
      </c>
      <c r="T318" s="459">
        <f>IF(CUENTAS!Q307/CUENTAS!$AB307&lt;&gt;0,CUENTAS!Q307/CUENTAS!$AB307,"")</f>
        <v>0.3967235149</v>
      </c>
      <c r="U318" s="459" t="str">
        <f>IF(CUENTAS!C307/CUENTAS!$AB307&lt;&gt;0,CUENTAS!C307/CUENTAS!$AB307,"")</f>
        <v/>
      </c>
      <c r="V318" s="459">
        <f>IF(CUENTAS!D307/CUENTAS!$AB307&lt;&gt;0,CUENTAS!D307/CUENTAS!$AB307,"")</f>
        <v>0.1658914835</v>
      </c>
      <c r="W318" s="459" t="str">
        <f>IF(CUENTAS!E307/CUENTAS!$AB307&lt;&gt;0,CUENTAS!E307/CUENTAS!$AB307,"")</f>
        <v/>
      </c>
      <c r="X318" s="459" t="str">
        <f>IF(CUENTAS!F307/CUENTAS!$AB307&lt;&gt;0,CUENTAS!F307/CUENTAS!$AB307,"")</f>
        <v/>
      </c>
      <c r="Y318" s="459" t="str">
        <f>IF(CUENTAS!G307/CUENTAS!$AB307&lt;&gt;0,CUENTAS!G307/CUENTAS!$AB307,"")</f>
        <v/>
      </c>
      <c r="Z318" s="459">
        <f>IF(CUENTAS!H307/CUENTAS!$AB307&lt;&gt;0,CUENTAS!H307/CUENTAS!$AB307,"")</f>
        <v>0.6853292912</v>
      </c>
      <c r="AA318" s="459" t="str">
        <f>IF(CUENTAS!I307/CUENTAS!$AB307&lt;&gt;0,CUENTAS!I307/CUENTAS!$AB307,"")</f>
        <v/>
      </c>
      <c r="AB318" s="459" t="str">
        <f>IF(CUENTAS!J307/CUENTAS!$AB307&lt;&gt;0,CUENTAS!J307/CUENTAS!$AB307,"")</f>
        <v/>
      </c>
      <c r="AC318" s="459">
        <f>IF(CUENTAS!K307/CUENTAS!$AB307&lt;&gt;0,CUENTAS!K307/CUENTAS!$AB307,"")</f>
        <v>0.3429016015</v>
      </c>
      <c r="AD318" s="459" t="str">
        <f>IF(CUENTAS!L307/CUENTAS!$AB307&lt;&gt;0,CUENTAS!L307/CUENTAS!$AB307,"")</f>
        <v/>
      </c>
      <c r="AE318" s="459">
        <f>IF(CUENTAS!M307/CUENTAS!$AB307&lt;&gt;0,CUENTAS!M307/CUENTAS!$AB307,"")</f>
        <v>0.6270381252</v>
      </c>
      <c r="AF318" s="459" t="str">
        <f>IF(CUENTAS!N307/CUENTAS!$AB307&lt;&gt;0,CUENTAS!N307/CUENTAS!$AB307,"")</f>
        <v/>
      </c>
      <c r="AG318" s="459" t="str">
        <f>IF(CUENTAS!O307/CUENTAS!$AB307&lt;&gt;0,CUENTAS!O307/CUENTAS!$AB307,"")</f>
        <v/>
      </c>
      <c r="AH318" s="459" t="str">
        <f>IF(CUENTAS!P307/CUENTAS!$AB307&lt;&gt;0,CUENTAS!P307/CUENTAS!$AB307,"")</f>
        <v/>
      </c>
      <c r="AI318" s="459">
        <f>IF(CUENTAS!R307/CUENTAS!$AB307&lt;&gt;0,CUENTAS!R307/CUENTAS!$AB307,"")</f>
        <v>0.1946501056</v>
      </c>
      <c r="AJ318" s="459" t="str">
        <f>IF(CUENTAS!B307/CUENTAS!$AB307&lt;&gt;0,CUENTAS!B307/CUENTAS!$AB307,"")</f>
        <v/>
      </c>
      <c r="AK318" s="459">
        <f>IF(CUENTAS!S307/CUENTAS!$AB307&lt;&gt;0,CUENTAS!S307/CUENTAS!$AB307,"")</f>
        <v>0.4421302655</v>
      </c>
      <c r="AL318" s="459">
        <f>IF(CUENTAS!T307/CUENTAS!$AB307&lt;&gt;0,CUENTAS!T307/CUENTAS!$AB307,"")</f>
        <v>0.3298887701</v>
      </c>
      <c r="AM318" s="459">
        <f>IF(CUENTAS!U307/CUENTAS!$AB307&lt;&gt;0,CUENTAS!U307/CUENTAS!$AB307,"")</f>
        <v>0.398077609</v>
      </c>
      <c r="AN318" s="459">
        <f>IF(CUENTAS!V307/CUENTAS!$AB307&lt;&gt;0,CUENTAS!V307/CUENTAS!$AB307,"")</f>
        <v>0.1335641757</v>
      </c>
      <c r="AO318" s="459" t="str">
        <f>IF(CUENTAS!W307/CUENTAS!$AB307&lt;&gt;0,CUENTAS!W307/CUENTAS!$AB307,"")</f>
        <v/>
      </c>
      <c r="AP318" s="459" t="str">
        <f>IF(CUENTAS!X307/CUENTAS!$AB307&lt;&gt;0,CUENTAS!X307/CUENTAS!$AB307,"")</f>
        <v/>
      </c>
      <c r="AQ318" s="459" t="str">
        <f>IF(CUENTAS!Y307/CUENTAS!$AB307&lt;&gt;0,CUENTAS!Y307/CUENTAS!$AB307,"")</f>
        <v/>
      </c>
      <c r="AR318" s="459">
        <f>IF(CUENTAS!AA307/CUENTAS!$AB307&lt;&gt;0,CUENTAS!AA307/CUENTAS!$AB307,"")</f>
        <v>0.006526162046</v>
      </c>
    </row>
    <row r="319">
      <c r="A319" s="474"/>
      <c r="B319" s="200"/>
      <c r="C319" s="200"/>
      <c r="F319" s="200"/>
      <c r="G319" s="200"/>
      <c r="J319" s="470">
        <v>45341.0</v>
      </c>
      <c r="K319" s="466">
        <f>SUMIF(GRAFICO!A:A,J319,GRAFICO!B:B)</f>
        <v>10398.06961</v>
      </c>
      <c r="L319" s="467">
        <f t="shared" si="2"/>
        <v>0.02896584215</v>
      </c>
      <c r="M319" s="468">
        <v>45707.0</v>
      </c>
      <c r="N319" s="469">
        <f>SUMIF(GRAFICO!A:A,M319,GRAFICO!B:B)</f>
        <v>15272.19203</v>
      </c>
      <c r="O319" s="467">
        <f t="shared" si="5"/>
        <v>0.09296038574</v>
      </c>
      <c r="P319" s="468">
        <v>46072.0</v>
      </c>
      <c r="Q319" s="463">
        <f>IF(SUMIF(GRAFICO!A:A,P319,GRAFICO!B:B)=0,"",SUMIF(GRAFICO!A:A,P319,GRAFICO!B:B))</f>
        <v>21828.60409</v>
      </c>
      <c r="R319" s="463">
        <f t="shared" si="4"/>
        <v>0.05077940921</v>
      </c>
      <c r="S319" s="471">
        <f>CUENTAS!A308</f>
        <v>45794</v>
      </c>
      <c r="T319" s="459">
        <f>IF(CUENTAS!Q308/CUENTAS!$AB308&lt;&gt;0,CUENTAS!Q308/CUENTAS!$AB308,"")</f>
        <v>0.3962443692</v>
      </c>
      <c r="U319" s="459" t="str">
        <f>IF(CUENTAS!C308/CUENTAS!$AB308&lt;&gt;0,CUENTAS!C308/CUENTAS!$AB308,"")</f>
        <v/>
      </c>
      <c r="V319" s="459">
        <f>IF(CUENTAS!D308/CUENTAS!$AB308&lt;&gt;0,CUENTAS!D308/CUENTAS!$AB308,"")</f>
        <v>0.1652454212</v>
      </c>
      <c r="W319" s="459" t="str">
        <f>IF(CUENTAS!E308/CUENTAS!$AB308&lt;&gt;0,CUENTAS!E308/CUENTAS!$AB308,"")</f>
        <v/>
      </c>
      <c r="X319" s="459" t="str">
        <f>IF(CUENTAS!F308/CUENTAS!$AB308&lt;&gt;0,CUENTAS!F308/CUENTAS!$AB308,"")</f>
        <v/>
      </c>
      <c r="Y319" s="459" t="str">
        <f>IF(CUENTAS!G308/CUENTAS!$AB308&lt;&gt;0,CUENTAS!G308/CUENTAS!$AB308,"")</f>
        <v/>
      </c>
      <c r="Z319" s="459">
        <f>IF(CUENTAS!H308/CUENTAS!$AB308&lt;&gt;0,CUENTAS!H308/CUENTAS!$AB308,"")</f>
        <v>0.6845015798</v>
      </c>
      <c r="AA319" s="459" t="str">
        <f>IF(CUENTAS!I308/CUENTAS!$AB308&lt;&gt;0,CUENTAS!I308/CUENTAS!$AB308,"")</f>
        <v/>
      </c>
      <c r="AB319" s="459" t="str">
        <f>IF(CUENTAS!J308/CUENTAS!$AB308&lt;&gt;0,CUENTAS!J308/CUENTAS!$AB308,"")</f>
        <v/>
      </c>
      <c r="AC319" s="459">
        <f>IF(CUENTAS!K308/CUENTAS!$AB308&lt;&gt;0,CUENTAS!K308/CUENTAS!$AB308,"")</f>
        <v>0.3424874597</v>
      </c>
      <c r="AD319" s="459" t="str">
        <f>IF(CUENTAS!L308/CUENTAS!$AB308&lt;&gt;0,CUENTAS!L308/CUENTAS!$AB308,"")</f>
        <v/>
      </c>
      <c r="AE319" s="459">
        <f>IF(CUENTAS!M308/CUENTAS!$AB308&lt;&gt;0,CUENTAS!M308/CUENTAS!$AB308,"")</f>
        <v>0.6262808154</v>
      </c>
      <c r="AF319" s="459" t="str">
        <f>IF(CUENTAS!N308/CUENTAS!$AB308&lt;&gt;0,CUENTAS!N308/CUENTAS!$AB308,"")</f>
        <v/>
      </c>
      <c r="AG319" s="459" t="str">
        <f>IF(CUENTAS!O308/CUENTAS!$AB308&lt;&gt;0,CUENTAS!O308/CUENTAS!$AB308,"")</f>
        <v/>
      </c>
      <c r="AH319" s="459" t="str">
        <f>IF(CUENTAS!P308/CUENTAS!$AB308&lt;&gt;0,CUENTAS!P308/CUENTAS!$AB308,"")</f>
        <v/>
      </c>
      <c r="AI319" s="459">
        <f>IF(CUENTAS!R308/CUENTAS!$AB308&lt;&gt;0,CUENTAS!R308/CUENTAS!$AB308,"")</f>
        <v>0.1944150156</v>
      </c>
      <c r="AJ319" s="459" t="str">
        <f>IF(CUENTAS!B308/CUENTAS!$AB308&lt;&gt;0,CUENTAS!B308/CUENTAS!$AB308,"")</f>
        <v/>
      </c>
      <c r="AK319" s="459">
        <f>IF(CUENTAS!S308/CUENTAS!$AB308&lt;&gt;0,CUENTAS!S308/CUENTAS!$AB308,"")</f>
        <v>0.4408087955</v>
      </c>
      <c r="AL319" s="459">
        <f>IF(CUENTAS!T308/CUENTAS!$AB308&lt;&gt;0,CUENTAS!T308/CUENTAS!$AB308,"")</f>
        <v>0.3294443255</v>
      </c>
      <c r="AM319" s="459">
        <f>IF(CUENTAS!U308/CUENTAS!$AB308&lt;&gt;0,CUENTAS!U308/CUENTAS!$AB308,"")</f>
        <v>0.3965477597</v>
      </c>
      <c r="AN319" s="459">
        <f>IF(CUENTAS!V308/CUENTAS!$AB308&lt;&gt;0,CUENTAS!V308/CUENTAS!$AB308,"")</f>
        <v>0.1334028626</v>
      </c>
      <c r="AO319" s="459" t="str">
        <f>IF(CUENTAS!W308/CUENTAS!$AB308&lt;&gt;0,CUENTAS!W308/CUENTAS!$AB308,"")</f>
        <v/>
      </c>
      <c r="AP319" s="459" t="str">
        <f>IF(CUENTAS!X308/CUENTAS!$AB308&lt;&gt;0,CUENTAS!X308/CUENTAS!$AB308,"")</f>
        <v/>
      </c>
      <c r="AQ319" s="459" t="str">
        <f>IF(CUENTAS!Y308/CUENTAS!$AB308&lt;&gt;0,CUENTAS!Y308/CUENTAS!$AB308,"")</f>
        <v/>
      </c>
      <c r="AR319" s="459">
        <f>IF(CUENTAS!AA308/CUENTAS!$AB308&lt;&gt;0,CUENTAS!AA308/CUENTAS!$AB308,"")</f>
        <v>0.006518280027</v>
      </c>
    </row>
    <row r="320">
      <c r="A320" s="474"/>
      <c r="B320" s="200"/>
      <c r="C320" s="200"/>
      <c r="F320" s="200"/>
      <c r="G320" s="200"/>
      <c r="J320" s="470">
        <v>45340.0</v>
      </c>
      <c r="K320" s="466">
        <f>SUMIF(GRAFICO!A:A,J320,GRAFICO!B:B)</f>
        <v>10371.04192</v>
      </c>
      <c r="L320" s="467">
        <f t="shared" si="2"/>
        <v>0.02636315883</v>
      </c>
      <c r="M320" s="468">
        <v>45706.0</v>
      </c>
      <c r="N320" s="469">
        <f>SUMIF(GRAFICO!A:A,M320,GRAFICO!B:B)</f>
        <v>15310.24776</v>
      </c>
      <c r="O320" s="467">
        <f t="shared" si="5"/>
        <v>0.09544911746</v>
      </c>
      <c r="P320" s="468">
        <v>46071.0</v>
      </c>
      <c r="Q320" s="463">
        <f>IF(SUMIF(GRAFICO!A:A,P320,GRAFICO!B:B)=0,"",SUMIF(GRAFICO!A:A,P320,GRAFICO!B:B))</f>
        <v>21676.91248</v>
      </c>
      <c r="R320" s="463">
        <f t="shared" si="4"/>
        <v>0.04380593819</v>
      </c>
      <c r="S320" s="471">
        <f>CUENTAS!A309</f>
        <v>45793</v>
      </c>
      <c r="T320" s="459">
        <f>IF(CUENTAS!Q309/CUENTAS!$AB309&lt;&gt;0,CUENTAS!Q309/CUENTAS!$AB309,"")</f>
        <v>0.3957663795</v>
      </c>
      <c r="U320" s="459" t="str">
        <f>IF(CUENTAS!C309/CUENTAS!$AB309&lt;&gt;0,CUENTAS!C309/CUENTAS!$AB309,"")</f>
        <v/>
      </c>
      <c r="V320" s="459">
        <f>IF(CUENTAS!D309/CUENTAS!$AB309&lt;&gt;0,CUENTAS!D309/CUENTAS!$AB309,"")</f>
        <v>0.1646009176</v>
      </c>
      <c r="W320" s="459" t="str">
        <f>IF(CUENTAS!E309/CUENTAS!$AB309&lt;&gt;0,CUENTAS!E309/CUENTAS!$AB309,"")</f>
        <v/>
      </c>
      <c r="X320" s="459" t="str">
        <f>IF(CUENTAS!F309/CUENTAS!$AB309&lt;&gt;0,CUENTAS!F309/CUENTAS!$AB309,"")</f>
        <v/>
      </c>
      <c r="Y320" s="459" t="str">
        <f>IF(CUENTAS!G309/CUENTAS!$AB309&lt;&gt;0,CUENTAS!G309/CUENTAS!$AB309,"")</f>
        <v/>
      </c>
      <c r="Z320" s="459">
        <f>IF(CUENTAS!H309/CUENTAS!$AB309&lt;&gt;0,CUENTAS!H309/CUENTAS!$AB309,"")</f>
        <v>0.6836758654</v>
      </c>
      <c r="AA320" s="459" t="str">
        <f>IF(CUENTAS!I309/CUENTAS!$AB309&lt;&gt;0,CUENTAS!I309/CUENTAS!$AB309,"")</f>
        <v/>
      </c>
      <c r="AB320" s="459" t="str">
        <f>IF(CUENTAS!J309/CUENTAS!$AB309&lt;&gt;0,CUENTAS!J309/CUENTAS!$AB309,"")</f>
        <v/>
      </c>
      <c r="AC320" s="459">
        <f>IF(CUENTAS!K309/CUENTAS!$AB309&lt;&gt;0,CUENTAS!K309/CUENTAS!$AB309,"")</f>
        <v>0.342074317</v>
      </c>
      <c r="AD320" s="459" t="str">
        <f>IF(CUENTAS!L309/CUENTAS!$AB309&lt;&gt;0,CUENTAS!L309/CUENTAS!$AB309,"")</f>
        <v/>
      </c>
      <c r="AE320" s="459">
        <f>IF(CUENTAS!M309/CUENTAS!$AB309&lt;&gt;0,CUENTAS!M309/CUENTAS!$AB309,"")</f>
        <v>0.6255253327</v>
      </c>
      <c r="AF320" s="459" t="str">
        <f>IF(CUENTAS!N309/CUENTAS!$AB309&lt;&gt;0,CUENTAS!N309/CUENTAS!$AB309,"")</f>
        <v/>
      </c>
      <c r="AG320" s="459" t="str">
        <f>IF(CUENTAS!O309/CUENTAS!$AB309&lt;&gt;0,CUENTAS!O309/CUENTAS!$AB309,"")</f>
        <v/>
      </c>
      <c r="AH320" s="459" t="str">
        <f>IF(CUENTAS!P309/CUENTAS!$AB309&lt;&gt;0,CUENTAS!P309/CUENTAS!$AB309,"")</f>
        <v/>
      </c>
      <c r="AI320" s="459">
        <f>IF(CUENTAS!R309/CUENTAS!$AB309&lt;&gt;0,CUENTAS!R309/CUENTAS!$AB309,"")</f>
        <v>0.1941804927</v>
      </c>
      <c r="AJ320" s="459" t="str">
        <f>IF(CUENTAS!B309/CUENTAS!$AB309&lt;&gt;0,CUENTAS!B309/CUENTAS!$AB309,"")</f>
        <v/>
      </c>
      <c r="AK320" s="459">
        <f>IF(CUENTAS!S309/CUENTAS!$AB309&lt;&gt;0,CUENTAS!S309/CUENTAS!$AB309,"")</f>
        <v>0.4394905137</v>
      </c>
      <c r="AL320" s="459">
        <f>IF(CUENTAS!T309/CUENTAS!$AB309&lt;&gt;0,CUENTAS!T309/CUENTAS!$AB309,"")</f>
        <v>0.3290009531</v>
      </c>
      <c r="AM320" s="459">
        <f>IF(CUENTAS!U309/CUENTAS!$AB309&lt;&gt;0,CUENTAS!U309/CUENTAS!$AB309,"")</f>
        <v>0.3950216014</v>
      </c>
      <c r="AN320" s="459">
        <f>IF(CUENTAS!V309/CUENTAS!$AB309&lt;&gt;0,CUENTAS!V309/CUENTAS!$AB309,"")</f>
        <v>0.1332419387</v>
      </c>
      <c r="AO320" s="459" t="str">
        <f>IF(CUENTAS!W309/CUENTAS!$AB309&lt;&gt;0,CUENTAS!W309/CUENTAS!$AB309,"")</f>
        <v/>
      </c>
      <c r="AP320" s="459" t="str">
        <f>IF(CUENTAS!X309/CUENTAS!$AB309&lt;&gt;0,CUENTAS!X309/CUENTAS!$AB309,"")</f>
        <v/>
      </c>
      <c r="AQ320" s="459" t="str">
        <f>IF(CUENTAS!Y309/CUENTAS!$AB309&lt;&gt;0,CUENTAS!Y309/CUENTAS!$AB309,"")</f>
        <v/>
      </c>
      <c r="AR320" s="459">
        <f>IF(CUENTAS!AA309/CUENTAS!$AB309&lt;&gt;0,CUENTAS!AA309/CUENTAS!$AB309,"")</f>
        <v>0.006510417024</v>
      </c>
    </row>
    <row r="321">
      <c r="A321" s="474"/>
      <c r="B321" s="200"/>
      <c r="C321" s="200"/>
      <c r="F321" s="200"/>
      <c r="G321" s="200"/>
      <c r="J321" s="465">
        <v>45339.0</v>
      </c>
      <c r="K321" s="466">
        <f>SUMIF(GRAFICO!A:A,J321,GRAFICO!B:B)</f>
        <v>10343.26781</v>
      </c>
      <c r="L321" s="467">
        <f t="shared" si="2"/>
        <v>0.02368152213</v>
      </c>
      <c r="M321" s="468">
        <v>45705.0</v>
      </c>
      <c r="N321" s="469">
        <f>SUMIF(GRAFICO!A:A,M321,GRAFICO!B:B)</f>
        <v>15723.42965</v>
      </c>
      <c r="O321" s="467">
        <f t="shared" si="5"/>
        <v>0.1220786594</v>
      </c>
      <c r="P321" s="468">
        <v>46070.0</v>
      </c>
      <c r="Q321" s="463">
        <f>IF(SUMIF(GRAFICO!A:A,P321,GRAFICO!B:B)=0,"",SUMIF(GRAFICO!A:A,P321,GRAFICO!B:B))</f>
        <v>21611.52538</v>
      </c>
      <c r="R321" s="463">
        <f t="shared" si="4"/>
        <v>0.04078494016</v>
      </c>
      <c r="S321" s="471">
        <f>CUENTAS!A310</f>
        <v>45792</v>
      </c>
      <c r="T321" s="459">
        <f>IF(CUENTAS!Q310/CUENTAS!$AB310&lt;&gt;0,CUENTAS!Q310/CUENTAS!$AB310,"")</f>
        <v>0.3907454365</v>
      </c>
      <c r="U321" s="459" t="str">
        <f>IF(CUENTAS!C310/CUENTAS!$AB310&lt;&gt;0,CUENTAS!C310/CUENTAS!$AB310,"")</f>
        <v/>
      </c>
      <c r="V321" s="459">
        <f>IF(CUENTAS!D310/CUENTAS!$AB310&lt;&gt;0,CUENTAS!D310/CUENTAS!$AB310,"")</f>
        <v>0.1629735721</v>
      </c>
      <c r="W321" s="459" t="str">
        <f>IF(CUENTAS!E310/CUENTAS!$AB310&lt;&gt;0,CUENTAS!E310/CUENTAS!$AB310,"")</f>
        <v/>
      </c>
      <c r="X321" s="459" t="str">
        <f>IF(CUENTAS!F310/CUENTAS!$AB310&lt;&gt;0,CUENTAS!F310/CUENTAS!$AB310,"")</f>
        <v/>
      </c>
      <c r="Y321" s="459" t="str">
        <f>IF(CUENTAS!G310/CUENTAS!$AB310&lt;&gt;0,CUENTAS!G310/CUENTAS!$AB310,"")</f>
        <v/>
      </c>
      <c r="Z321" s="459">
        <f>IF(CUENTAS!H310/CUENTAS!$AB310&lt;&gt;0,CUENTAS!H310/CUENTAS!$AB310,"")</f>
        <v>0.6859362082</v>
      </c>
      <c r="AA321" s="459" t="str">
        <f>IF(CUENTAS!I310/CUENTAS!$AB310&lt;&gt;0,CUENTAS!I310/CUENTAS!$AB310,"")</f>
        <v/>
      </c>
      <c r="AB321" s="459" t="str">
        <f>IF(CUENTAS!J310/CUENTAS!$AB310&lt;&gt;0,CUENTAS!J310/CUENTAS!$AB310,"")</f>
        <v/>
      </c>
      <c r="AC321" s="459">
        <f>IF(CUENTAS!K310/CUENTAS!$AB310&lt;&gt;0,CUENTAS!K310/CUENTAS!$AB310,"")</f>
        <v>0.3378898476</v>
      </c>
      <c r="AD321" s="459" t="str">
        <f>IF(CUENTAS!L310/CUENTAS!$AB310&lt;&gt;0,CUENTAS!L310/CUENTAS!$AB310,"")</f>
        <v/>
      </c>
      <c r="AE321" s="459">
        <f>IF(CUENTAS!M310/CUENTAS!$AB310&lt;&gt;0,CUENTAS!M310/CUENTAS!$AB310,"")</f>
        <v>0.6237324552</v>
      </c>
      <c r="AF321" s="459" t="str">
        <f>IF(CUENTAS!N310/CUENTAS!$AB310&lt;&gt;0,CUENTAS!N310/CUENTAS!$AB310,"")</f>
        <v/>
      </c>
      <c r="AG321" s="459" t="str">
        <f>IF(CUENTAS!O310/CUENTAS!$AB310&lt;&gt;0,CUENTAS!O310/CUENTAS!$AB310,"")</f>
        <v/>
      </c>
      <c r="AH321" s="459" t="str">
        <f>IF(CUENTAS!P310/CUENTAS!$AB310&lt;&gt;0,CUENTAS!P310/CUENTAS!$AB310,"")</f>
        <v/>
      </c>
      <c r="AI321" s="459">
        <f>IF(CUENTAS!R310/CUENTAS!$AB310&lt;&gt;0,CUENTAS!R310/CUENTAS!$AB310,"")</f>
        <v>0.1927820903</v>
      </c>
      <c r="AJ321" s="459" t="str">
        <f>IF(CUENTAS!B310/CUENTAS!$AB310&lt;&gt;0,CUENTAS!B310/CUENTAS!$AB310,"")</f>
        <v/>
      </c>
      <c r="AK321" s="459">
        <f>IF(CUENTAS!S310/CUENTAS!$AB310&lt;&gt;0,CUENTAS!S310/CUENTAS!$AB310,"")</f>
        <v>0.4355446269</v>
      </c>
      <c r="AL321" s="459">
        <f>IF(CUENTAS!T310/CUENTAS!$AB310&lt;&gt;0,CUENTAS!T310/CUENTAS!$AB310,"")</f>
        <v>0.3265860006</v>
      </c>
      <c r="AM321" s="459">
        <f>IF(CUENTAS!U310/CUENTAS!$AB310&lt;&gt;0,CUENTAS!U310/CUENTAS!$AB310,"")</f>
        <v>0.3911365731</v>
      </c>
      <c r="AN321" s="459">
        <f>IF(CUENTAS!V310/CUENTAS!$AB310&lt;&gt;0,CUENTAS!V310/CUENTAS!$AB310,"")</f>
        <v>0.132282389</v>
      </c>
      <c r="AO321" s="459" t="str">
        <f>IF(CUENTAS!W310/CUENTAS!$AB310&lt;&gt;0,CUENTAS!W310/CUENTAS!$AB310,"")</f>
        <v/>
      </c>
      <c r="AP321" s="459" t="str">
        <f>IF(CUENTAS!X310/CUENTAS!$AB310&lt;&gt;0,CUENTAS!X310/CUENTAS!$AB310,"")</f>
        <v/>
      </c>
      <c r="AQ321" s="459" t="str">
        <f>IF(CUENTAS!Y310/CUENTAS!$AB310&lt;&gt;0,CUENTAS!Y310/CUENTAS!$AB310,"")</f>
        <v/>
      </c>
      <c r="AR321" s="459">
        <f>IF(CUENTAS!AA310/CUENTAS!$AB310&lt;&gt;0,CUENTAS!AA310/CUENTAS!$AB310,"")</f>
        <v>0.00646353187</v>
      </c>
    </row>
    <row r="322">
      <c r="A322" s="474"/>
      <c r="B322" s="200"/>
      <c r="C322" s="200"/>
      <c r="F322" s="200"/>
      <c r="G322" s="200"/>
      <c r="J322" s="465">
        <v>45338.0</v>
      </c>
      <c r="K322" s="466">
        <f>SUMIF(GRAFICO!A:A,J322,GRAFICO!B:B)</f>
        <v>10316.13525</v>
      </c>
      <c r="L322" s="467">
        <f t="shared" si="2"/>
        <v>0.02105486651</v>
      </c>
      <c r="M322" s="468">
        <v>45704.0</v>
      </c>
      <c r="N322" s="469">
        <f>SUMIF(GRAFICO!A:A,M322,GRAFICO!B:B)</f>
        <v>15703.39031</v>
      </c>
      <c r="O322" s="467">
        <f t="shared" si="5"/>
        <v>0.1208033576</v>
      </c>
      <c r="P322" s="468">
        <v>46069.0</v>
      </c>
      <c r="Q322" s="463">
        <f>IF(SUMIF(GRAFICO!A:A,P322,GRAFICO!B:B)=0,"",SUMIF(GRAFICO!A:A,P322,GRAFICO!B:B))</f>
        <v>21606.70888</v>
      </c>
      <c r="R322" s="463">
        <f t="shared" si="4"/>
        <v>0.04056204795</v>
      </c>
      <c r="S322" s="471">
        <f>CUENTAS!A311</f>
        <v>45791</v>
      </c>
      <c r="T322" s="459">
        <f>IF(CUENTAS!Q311/CUENTAS!$AB311&lt;&gt;0,CUENTAS!Q311/CUENTAS!$AB311,"")</f>
        <v>0.2840519341</v>
      </c>
      <c r="U322" s="459" t="str">
        <f>IF(CUENTAS!C311/CUENTAS!$AB311&lt;&gt;0,CUENTAS!C311/CUENTAS!$AB311,"")</f>
        <v/>
      </c>
      <c r="V322" s="459" t="str">
        <f>IF(CUENTAS!D311/CUENTAS!$AB311&lt;&gt;0,CUENTAS!D311/CUENTAS!$AB311,"")</f>
        <v/>
      </c>
      <c r="W322" s="459" t="str">
        <f>IF(CUENTAS!E311/CUENTAS!$AB311&lt;&gt;0,CUENTAS!E311/CUENTAS!$AB311,"")</f>
        <v/>
      </c>
      <c r="X322" s="459" t="str">
        <f>IF(CUENTAS!F311/CUENTAS!$AB311&lt;&gt;0,CUENTAS!F311/CUENTAS!$AB311,"")</f>
        <v/>
      </c>
      <c r="Y322" s="459" t="str">
        <f>IF(CUENTAS!G311/CUENTAS!$AB311&lt;&gt;0,CUENTAS!G311/CUENTAS!$AB311,"")</f>
        <v/>
      </c>
      <c r="Z322" s="459">
        <f>IF(CUENTAS!H311/CUENTAS!$AB311&lt;&gt;0,CUENTAS!H311/CUENTAS!$AB311,"")</f>
        <v>0.5040250964</v>
      </c>
      <c r="AA322" s="459" t="str">
        <f>IF(CUENTAS!I311/CUENTAS!$AB311&lt;&gt;0,CUENTAS!I311/CUENTAS!$AB311,"")</f>
        <v/>
      </c>
      <c r="AB322" s="459" t="str">
        <f>IF(CUENTAS!J311/CUENTAS!$AB311&lt;&gt;0,CUENTAS!J311/CUENTAS!$AB311,"")</f>
        <v/>
      </c>
      <c r="AC322" s="459">
        <f>IF(CUENTAS!K311/CUENTAS!$AB311&lt;&gt;0,CUENTAS!K311/CUENTAS!$AB311,"")</f>
        <v>0.2501471773</v>
      </c>
      <c r="AD322" s="459" t="str">
        <f>IF(CUENTAS!L311/CUENTAS!$AB311&lt;&gt;0,CUENTAS!L311/CUENTAS!$AB311,"")</f>
        <v/>
      </c>
      <c r="AE322" s="459">
        <f>IF(CUENTAS!M311/CUENTAS!$AB311&lt;&gt;0,CUENTAS!M311/CUENTAS!$AB311,"")</f>
        <v>0.4479514842</v>
      </c>
      <c r="AF322" s="459" t="str">
        <f>IF(CUENTAS!N311/CUENTAS!$AB311&lt;&gt;0,CUENTAS!N311/CUENTAS!$AB311,"")</f>
        <v/>
      </c>
      <c r="AG322" s="459" t="str">
        <f>IF(CUENTAS!O311/CUENTAS!$AB311&lt;&gt;0,CUENTAS!O311/CUENTAS!$AB311,"")</f>
        <v/>
      </c>
      <c r="AH322" s="459" t="str">
        <f>IF(CUENTAS!P311/CUENTAS!$AB311&lt;&gt;0,CUENTAS!P311/CUENTAS!$AB311,"")</f>
        <v/>
      </c>
      <c r="AI322" s="459">
        <f>IF(CUENTAS!R311/CUENTAS!$AB311&lt;&gt;0,CUENTAS!R311/CUENTAS!$AB311,"")</f>
        <v>0.1386026833</v>
      </c>
      <c r="AJ322" s="459" t="str">
        <f>IF(CUENTAS!B311/CUENTAS!$AB311&lt;&gt;0,CUENTAS!B311/CUENTAS!$AB311,"")</f>
        <v/>
      </c>
      <c r="AK322" s="459">
        <f>IF(CUENTAS!S311/CUENTAS!$AB311&lt;&gt;0,CUENTAS!S311/CUENTAS!$AB311,"")</f>
        <v>0.3125779124</v>
      </c>
      <c r="AL322" s="459">
        <f>IF(CUENTAS!T311/CUENTAS!$AB311&lt;&gt;0,CUENTAS!T311/CUENTAS!$AB311,"")</f>
        <v>0.2347695844</v>
      </c>
      <c r="AM322" s="459">
        <f>IF(CUENTAS!U311/CUENTAS!$AB311&lt;&gt;0,CUENTAS!U311/CUENTAS!$AB311,"")</f>
        <v>0.281211696</v>
      </c>
      <c r="AN322" s="459">
        <f>IF(CUENTAS!V311/CUENTAS!$AB311&lt;&gt;0,CUENTAS!V311/CUENTAS!$AB311,"")</f>
        <v>0.09510579558</v>
      </c>
      <c r="AO322" s="459" t="str">
        <f>IF(CUENTAS!W311/CUENTAS!$AB311&lt;&gt;0,CUENTAS!W311/CUENTAS!$AB311,"")</f>
        <v/>
      </c>
      <c r="AP322" s="459" t="str">
        <f>IF(CUENTAS!X311/CUENTAS!$AB311&lt;&gt;0,CUENTAS!X311/CUENTAS!$AB311,"")</f>
        <v/>
      </c>
      <c r="AQ322" s="459" t="str">
        <f>IF(CUENTAS!Y311/CUENTAS!$AB311&lt;&gt;0,CUENTAS!Y311/CUENTAS!$AB311,"")</f>
        <v/>
      </c>
      <c r="AR322" s="459">
        <f>IF(CUENTAS!AA311/CUENTAS!$AB311&lt;&gt;0,CUENTAS!AA311/CUENTAS!$AB311,"")</f>
        <v>0.2633617836</v>
      </c>
    </row>
    <row r="323">
      <c r="A323" s="474"/>
      <c r="B323" s="200"/>
      <c r="C323" s="200"/>
      <c r="F323" s="200"/>
      <c r="G323" s="200"/>
      <c r="J323" s="465">
        <v>45337.0</v>
      </c>
      <c r="K323" s="466">
        <f>SUMIF(GRAFICO!A:A,J323,GRAFICO!B:B)</f>
        <v>10288.67004</v>
      </c>
      <c r="L323" s="467">
        <f t="shared" si="2"/>
        <v>0.01838896137</v>
      </c>
      <c r="M323" s="468">
        <v>45703.0</v>
      </c>
      <c r="N323" s="469">
        <f>SUMIF(GRAFICO!A:A,M323,GRAFICO!B:B)</f>
        <v>15703.39031</v>
      </c>
      <c r="O323" s="467">
        <f t="shared" si="5"/>
        <v>0.1208033576</v>
      </c>
      <c r="P323" s="468">
        <v>46068.0</v>
      </c>
      <c r="Q323" s="463">
        <f>IF(SUMIF(GRAFICO!A:A,P323,GRAFICO!B:B)=0,"",SUMIF(GRAFICO!A:A,P323,GRAFICO!B:B))</f>
        <v>21679.26699</v>
      </c>
      <c r="R323" s="463">
        <f t="shared" si="4"/>
        <v>0.04391455058</v>
      </c>
      <c r="S323" s="471">
        <f>CUENTAS!A312</f>
        <v>45790</v>
      </c>
      <c r="T323" s="459">
        <f>IF(CUENTAS!Q312/CUENTAS!$AB312&lt;&gt;0,CUENTAS!Q312/CUENTAS!$AB312,"")</f>
        <v>0.286833001</v>
      </c>
      <c r="U323" s="459" t="str">
        <f>IF(CUENTAS!C312/CUENTAS!$AB312&lt;&gt;0,CUENTAS!C312/CUENTAS!$AB312,"")</f>
        <v/>
      </c>
      <c r="V323" s="459" t="str">
        <f>IF(CUENTAS!D312/CUENTAS!$AB312&lt;&gt;0,CUENTAS!D312/CUENTAS!$AB312,"")</f>
        <v/>
      </c>
      <c r="W323" s="459" t="str">
        <f>IF(CUENTAS!E312/CUENTAS!$AB312&lt;&gt;0,CUENTAS!E312/CUENTAS!$AB312,"")</f>
        <v/>
      </c>
      <c r="X323" s="459" t="str">
        <f>IF(CUENTAS!F312/CUENTAS!$AB312&lt;&gt;0,CUENTAS!F312/CUENTAS!$AB312,"")</f>
        <v/>
      </c>
      <c r="Y323" s="459" t="str">
        <f>IF(CUENTAS!G312/CUENTAS!$AB312&lt;&gt;0,CUENTAS!G312/CUENTAS!$AB312,"")</f>
        <v/>
      </c>
      <c r="Z323" s="459">
        <f>IF(CUENTAS!H312/CUENTAS!$AB312&lt;&gt;0,CUENTAS!H312/CUENTAS!$AB312,"")</f>
        <v>0.5017660755</v>
      </c>
      <c r="AA323" s="459" t="str">
        <f>IF(CUENTAS!I312/CUENTAS!$AB312&lt;&gt;0,CUENTAS!I312/CUENTAS!$AB312,"")</f>
        <v/>
      </c>
      <c r="AB323" s="459" t="str">
        <f>IF(CUENTAS!J312/CUENTAS!$AB312&lt;&gt;0,CUENTAS!J312/CUENTAS!$AB312,"")</f>
        <v/>
      </c>
      <c r="AC323" s="459">
        <f>IF(CUENTAS!K312/CUENTAS!$AB312&lt;&gt;0,CUENTAS!K312/CUENTAS!$AB312,"")</f>
        <v>0.2528045339</v>
      </c>
      <c r="AD323" s="459" t="str">
        <f>IF(CUENTAS!L312/CUENTAS!$AB312&lt;&gt;0,CUENTAS!L312/CUENTAS!$AB312,"")</f>
        <v/>
      </c>
      <c r="AE323" s="459">
        <f>IF(CUENTAS!M312/CUENTAS!$AB312&lt;&gt;0,CUENTAS!M312/CUENTAS!$AB312,"")</f>
        <v>0.447907389</v>
      </c>
      <c r="AF323" s="459" t="str">
        <f>IF(CUENTAS!N312/CUENTAS!$AB312&lt;&gt;0,CUENTAS!N312/CUENTAS!$AB312,"")</f>
        <v/>
      </c>
      <c r="AG323" s="459" t="str">
        <f>IF(CUENTAS!O312/CUENTAS!$AB312&lt;&gt;0,CUENTAS!O312/CUENTAS!$AB312,"")</f>
        <v/>
      </c>
      <c r="AH323" s="459" t="str">
        <f>IF(CUENTAS!P312/CUENTAS!$AB312&lt;&gt;0,CUENTAS!P312/CUENTAS!$AB312,"")</f>
        <v/>
      </c>
      <c r="AI323" s="459">
        <f>IF(CUENTAS!R312/CUENTAS!$AB312&lt;&gt;0,CUENTAS!R312/CUENTAS!$AB312,"")</f>
        <v>0.1399597005</v>
      </c>
      <c r="AJ323" s="459" t="str">
        <f>IF(CUENTAS!B312/CUENTAS!$AB312&lt;&gt;0,CUENTAS!B312/CUENTAS!$AB312,"")</f>
        <v/>
      </c>
      <c r="AK323" s="459">
        <f>IF(CUENTAS!S312/CUENTAS!$AB312&lt;&gt;0,CUENTAS!S312/CUENTAS!$AB312,"")</f>
        <v>0.3150713575</v>
      </c>
      <c r="AL323" s="459">
        <f>IF(CUENTAS!T312/CUENTAS!$AB312&lt;&gt;0,CUENTAS!T312/CUENTAS!$AB312,"")</f>
        <v>0.2370350134</v>
      </c>
      <c r="AM323" s="459">
        <f>IF(CUENTAS!U312/CUENTAS!$AB312&lt;&gt;0,CUENTAS!U312/CUENTAS!$AB312,"")</f>
        <v>0.283964955</v>
      </c>
      <c r="AN323" s="459">
        <f>IF(CUENTAS!V312/CUENTAS!$AB312&lt;&gt;0,CUENTAS!V312/CUENTAS!$AB312,"")</f>
        <v>0.09603694778</v>
      </c>
      <c r="AO323" s="459" t="str">
        <f>IF(CUENTAS!W312/CUENTAS!$AB312&lt;&gt;0,CUENTAS!W312/CUENTAS!$AB312,"")</f>
        <v/>
      </c>
      <c r="AP323" s="459" t="str">
        <f>IF(CUENTAS!X312/CUENTAS!$AB312&lt;&gt;0,CUENTAS!X312/CUENTAS!$AB312,"")</f>
        <v/>
      </c>
      <c r="AQ323" s="459" t="str">
        <f>IF(CUENTAS!Y312/CUENTAS!$AB312&lt;&gt;0,CUENTAS!Y312/CUENTAS!$AB312,"")</f>
        <v/>
      </c>
      <c r="AR323" s="459">
        <f>IF(CUENTAS!AA312/CUENTAS!$AB312&lt;&gt;0,CUENTAS!AA312/CUENTAS!$AB312,"")</f>
        <v>0.2659402795</v>
      </c>
    </row>
    <row r="324">
      <c r="A324" s="474"/>
      <c r="B324" s="200"/>
      <c r="C324" s="200"/>
      <c r="F324" s="200"/>
      <c r="G324" s="200"/>
      <c r="J324" s="470">
        <v>45336.0</v>
      </c>
      <c r="K324" s="466">
        <f>SUMIF(GRAFICO!A:A,J324,GRAFICO!B:B)</f>
        <v>10279.24336</v>
      </c>
      <c r="L324" s="467">
        <f t="shared" si="2"/>
        <v>0.01747232139</v>
      </c>
      <c r="M324" s="468">
        <v>45702.0</v>
      </c>
      <c r="N324" s="469">
        <f>SUMIF(GRAFICO!A:A,M324,GRAFICO!B:B)</f>
        <v>15703.39031</v>
      </c>
      <c r="O324" s="467">
        <f t="shared" si="5"/>
        <v>0.1208033576</v>
      </c>
      <c r="P324" s="468">
        <v>46067.0</v>
      </c>
      <c r="Q324" s="463">
        <f>IF(SUMIF(GRAFICO!A:A,P324,GRAFICO!B:B)=0,"",SUMIF(GRAFICO!A:A,P324,GRAFICO!B:B))</f>
        <v>21684.25339</v>
      </c>
      <c r="R324" s="463">
        <f t="shared" si="4"/>
        <v>0.0441445323</v>
      </c>
      <c r="S324" s="471">
        <f>CUENTAS!A313</f>
        <v>45789</v>
      </c>
      <c r="T324" s="459">
        <f>IF(CUENTAS!Q313/CUENTAS!$AB313&lt;&gt;0,CUENTAS!Q313/CUENTAS!$AB313,"")</f>
        <v>0.2884301768</v>
      </c>
      <c r="U324" s="459" t="str">
        <f>IF(CUENTAS!C313/CUENTAS!$AB313&lt;&gt;0,CUENTAS!C313/CUENTAS!$AB313,"")</f>
        <v/>
      </c>
      <c r="V324" s="459" t="str">
        <f>IF(CUENTAS!D313/CUENTAS!$AB313&lt;&gt;0,CUENTAS!D313/CUENTAS!$AB313,"")</f>
        <v/>
      </c>
      <c r="W324" s="459" t="str">
        <f>IF(CUENTAS!E313/CUENTAS!$AB313&lt;&gt;0,CUENTAS!E313/CUENTAS!$AB313,"")</f>
        <v/>
      </c>
      <c r="X324" s="459" t="str">
        <f>IF(CUENTAS!F313/CUENTAS!$AB313&lt;&gt;0,CUENTAS!F313/CUENTAS!$AB313,"")</f>
        <v/>
      </c>
      <c r="Y324" s="459" t="str">
        <f>IF(CUENTAS!G313/CUENTAS!$AB313&lt;&gt;0,CUENTAS!G313/CUENTAS!$AB313,"")</f>
        <v/>
      </c>
      <c r="Z324" s="459">
        <f>IF(CUENTAS!H313/CUENTAS!$AB313&lt;&gt;0,CUENTAS!H313/CUENTAS!$AB313,"")</f>
        <v>0.5153384815</v>
      </c>
      <c r="AA324" s="459" t="str">
        <f>IF(CUENTAS!I313/CUENTAS!$AB313&lt;&gt;0,CUENTAS!I313/CUENTAS!$AB313,"")</f>
        <v/>
      </c>
      <c r="AB324" s="459" t="str">
        <f>IF(CUENTAS!J313/CUENTAS!$AB313&lt;&gt;0,CUENTAS!J313/CUENTAS!$AB313,"")</f>
        <v/>
      </c>
      <c r="AC324" s="459">
        <f>IF(CUENTAS!K313/CUENTAS!$AB313&lt;&gt;0,CUENTAS!K313/CUENTAS!$AB313,"")</f>
        <v>0.2532741143</v>
      </c>
      <c r="AD324" s="459" t="str">
        <f>IF(CUENTAS!L313/CUENTAS!$AB313&lt;&gt;0,CUENTAS!L313/CUENTAS!$AB313,"")</f>
        <v/>
      </c>
      <c r="AE324" s="459">
        <f>IF(CUENTAS!M313/CUENTAS!$AB313&lt;&gt;0,CUENTAS!M313/CUENTAS!$AB313,"")</f>
        <v>0.4529752001</v>
      </c>
      <c r="AF324" s="459" t="str">
        <f>IF(CUENTAS!N313/CUENTAS!$AB313&lt;&gt;0,CUENTAS!N313/CUENTAS!$AB313,"")</f>
        <v/>
      </c>
      <c r="AG324" s="459" t="str">
        <f>IF(CUENTAS!O313/CUENTAS!$AB313&lt;&gt;0,CUENTAS!O313/CUENTAS!$AB313,"")</f>
        <v/>
      </c>
      <c r="AH324" s="459" t="str">
        <f>IF(CUENTAS!P313/CUENTAS!$AB313&lt;&gt;0,CUENTAS!P313/CUENTAS!$AB313,"")</f>
        <v/>
      </c>
      <c r="AI324" s="459">
        <f>IF(CUENTAS!R313/CUENTAS!$AB313&lt;&gt;0,CUENTAS!R313/CUENTAS!$AB313,"")</f>
        <v>0.1463686014</v>
      </c>
      <c r="AJ324" s="459" t="str">
        <f>IF(CUENTAS!B313/CUENTAS!$AB313&lt;&gt;0,CUENTAS!B313/CUENTAS!$AB313,"")</f>
        <v/>
      </c>
      <c r="AK324" s="459">
        <f>IF(CUENTAS!S313/CUENTAS!$AB313&lt;&gt;0,CUENTAS!S313/CUENTAS!$AB313,"")</f>
        <v>0.3289059337</v>
      </c>
      <c r="AL324" s="459">
        <f>IF(CUENTAS!T313/CUENTAS!$AB313&lt;&gt;0,CUENTAS!T313/CUENTAS!$AB313,"")</f>
        <v>0.2478544481</v>
      </c>
      <c r="AM324" s="459">
        <f>IF(CUENTAS!U313/CUENTAS!$AB313&lt;&gt;0,CUENTAS!U313/CUENTAS!$AB313,"")</f>
        <v>0.296968007</v>
      </c>
      <c r="AN324" s="459">
        <f>IF(CUENTAS!V313/CUENTAS!$AB313&lt;&gt;0,CUENTAS!V313/CUENTAS!$AB313,"")</f>
        <v>0.10043458</v>
      </c>
      <c r="AO324" s="459" t="str">
        <f>IF(CUENTAS!W313/CUENTAS!$AB313&lt;&gt;0,CUENTAS!W313/CUENTAS!$AB313,"")</f>
        <v/>
      </c>
      <c r="AP324" s="459" t="str">
        <f>IF(CUENTAS!X313/CUENTAS!$AB313&lt;&gt;0,CUENTAS!X313/CUENTAS!$AB313,"")</f>
        <v/>
      </c>
      <c r="AQ324" s="459" t="str">
        <f>IF(CUENTAS!Y313/CUENTAS!$AB313&lt;&gt;0,CUENTAS!Y313/CUENTAS!$AB313,"")</f>
        <v/>
      </c>
      <c r="AR324" s="459">
        <f>IF(CUENTAS!AA313/CUENTAS!$AB313&lt;&gt;0,CUENTAS!AA313/CUENTAS!$AB313,"")</f>
        <v>0.2781179628</v>
      </c>
    </row>
    <row r="325">
      <c r="A325" s="474"/>
      <c r="B325" s="200"/>
      <c r="C325" s="200"/>
      <c r="F325" s="200"/>
      <c r="G325" s="200"/>
      <c r="J325" s="465">
        <v>45335.0</v>
      </c>
      <c r="K325" s="466">
        <f>SUMIF(GRAFICO!A:A,J325,GRAFICO!B:B)</f>
        <v>10275.51899</v>
      </c>
      <c r="L325" s="467">
        <f t="shared" si="2"/>
        <v>0.01710993639</v>
      </c>
      <c r="M325" s="468">
        <v>45701.0</v>
      </c>
      <c r="N325" s="469">
        <f>SUMIF(GRAFICO!A:A,M325,GRAFICO!B:B)</f>
        <v>15609.00982</v>
      </c>
      <c r="O325" s="467">
        <f t="shared" si="5"/>
        <v>0.1147750253</v>
      </c>
      <c r="P325" s="468">
        <v>46066.0</v>
      </c>
      <c r="Q325" s="463">
        <f>IF(SUMIF(GRAFICO!A:A,P325,GRAFICO!B:B)=0,"",SUMIF(GRAFICO!A:A,P325,GRAFICO!B:B))</f>
        <v>21400.27648</v>
      </c>
      <c r="R325" s="463">
        <f t="shared" si="4"/>
        <v>0.03096202692</v>
      </c>
      <c r="S325" s="471">
        <f>CUENTAS!A314</f>
        <v>45788</v>
      </c>
      <c r="T325" s="459">
        <f>IF(CUENTAS!Q314/CUENTAS!$AB314&lt;&gt;0,CUENTAS!Q314/CUENTAS!$AB314,"")</f>
        <v>0.2895619188</v>
      </c>
      <c r="U325" s="459" t="str">
        <f>IF(CUENTAS!C314/CUENTAS!$AB314&lt;&gt;0,CUENTAS!C314/CUENTAS!$AB314,"")</f>
        <v/>
      </c>
      <c r="V325" s="459" t="str">
        <f>IF(CUENTAS!D314/CUENTAS!$AB314&lt;&gt;0,CUENTAS!D314/CUENTAS!$AB314,"")</f>
        <v/>
      </c>
      <c r="W325" s="459" t="str">
        <f>IF(CUENTAS!E314/CUENTAS!$AB314&lt;&gt;0,CUENTAS!E314/CUENTAS!$AB314,"")</f>
        <v/>
      </c>
      <c r="X325" s="459" t="str">
        <f>IF(CUENTAS!F314/CUENTAS!$AB314&lt;&gt;0,CUENTAS!F314/CUENTAS!$AB314,"")</f>
        <v/>
      </c>
      <c r="Y325" s="459" t="str">
        <f>IF(CUENTAS!G314/CUENTAS!$AB314&lt;&gt;0,CUENTAS!G314/CUENTAS!$AB314,"")</f>
        <v/>
      </c>
      <c r="Z325" s="459">
        <f>IF(CUENTAS!H314/CUENTAS!$AB314&lt;&gt;0,CUENTAS!H314/CUENTAS!$AB314,"")</f>
        <v>0.5186998545</v>
      </c>
      <c r="AA325" s="459" t="str">
        <f>IF(CUENTAS!I314/CUENTAS!$AB314&lt;&gt;0,CUENTAS!I314/CUENTAS!$AB314,"")</f>
        <v/>
      </c>
      <c r="AB325" s="459" t="str">
        <f>IF(CUENTAS!J314/CUENTAS!$AB314&lt;&gt;0,CUENTAS!J314/CUENTAS!$AB314,"")</f>
        <v/>
      </c>
      <c r="AC325" s="459">
        <f>IF(CUENTAS!K314/CUENTAS!$AB314&lt;&gt;0,CUENTAS!K314/CUENTAS!$AB314,"")</f>
        <v>0.2582579276</v>
      </c>
      <c r="AD325" s="459" t="str">
        <f>IF(CUENTAS!L314/CUENTAS!$AB314&lt;&gt;0,CUENTAS!L314/CUENTAS!$AB314,"")</f>
        <v/>
      </c>
      <c r="AE325" s="459">
        <f>IF(CUENTAS!M314/CUENTAS!$AB314&lt;&gt;0,CUENTAS!M314/CUENTAS!$AB314,"")</f>
        <v>0.4526945397</v>
      </c>
      <c r="AF325" s="459" t="str">
        <f>IF(CUENTAS!N314/CUENTAS!$AB314&lt;&gt;0,CUENTAS!N314/CUENTAS!$AB314,"")</f>
        <v/>
      </c>
      <c r="AG325" s="459" t="str">
        <f>IF(CUENTAS!O314/CUENTAS!$AB314&lt;&gt;0,CUENTAS!O314/CUENTAS!$AB314,"")</f>
        <v/>
      </c>
      <c r="AH325" s="459" t="str">
        <f>IF(CUENTAS!P314/CUENTAS!$AB314&lt;&gt;0,CUENTAS!P314/CUENTAS!$AB314,"")</f>
        <v/>
      </c>
      <c r="AI325" s="459">
        <f>IF(CUENTAS!R314/CUENTAS!$AB314&lt;&gt;0,CUENTAS!R314/CUENTAS!$AB314,"")</f>
        <v>0.1495058803</v>
      </c>
      <c r="AJ325" s="459" t="str">
        <f>IF(CUENTAS!B314/CUENTAS!$AB314&lt;&gt;0,CUENTAS!B314/CUENTAS!$AB314,"")</f>
        <v/>
      </c>
      <c r="AK325" s="459">
        <f>IF(CUENTAS!S314/CUENTAS!$AB314&lt;&gt;0,CUENTAS!S314/CUENTAS!$AB314,"")</f>
        <v>0.3353501573</v>
      </c>
      <c r="AL325" s="459">
        <f>IF(CUENTAS!T314/CUENTAS!$AB314&lt;&gt;0,CUENTAS!T314/CUENTAS!$AB314,"")</f>
        <v>0.2531315957</v>
      </c>
      <c r="AM325" s="459">
        <f>IF(CUENTAS!U314/CUENTAS!$AB314&lt;&gt;0,CUENTAS!U314/CUENTAS!$AB314,"")</f>
        <v>0.1011110827</v>
      </c>
      <c r="AN325" s="459">
        <f>IF(CUENTAS!V314/CUENTAS!$AB314&lt;&gt;0,CUENTAS!V314/CUENTAS!$AB314,"")</f>
        <v>0.1025873046</v>
      </c>
      <c r="AO325" s="459" t="str">
        <f>IF(CUENTAS!W314/CUENTAS!$AB314&lt;&gt;0,CUENTAS!W314/CUENTAS!$AB314,"")</f>
        <v/>
      </c>
      <c r="AP325" s="459" t="str">
        <f>IF(CUENTAS!X314/CUENTAS!$AB314&lt;&gt;0,CUENTAS!X314/CUENTAS!$AB314,"")</f>
        <v/>
      </c>
      <c r="AQ325" s="459" t="str">
        <f>IF(CUENTAS!Y314/CUENTAS!$AB314&lt;&gt;0,CUENTAS!Y314/CUENTAS!$AB314,"")</f>
        <v/>
      </c>
      <c r="AR325" s="459">
        <f>IF(CUENTAS!AA314/CUENTAS!$AB314&lt;&gt;0,CUENTAS!AA314/CUENTAS!$AB314,"")</f>
        <v>0.4863013358</v>
      </c>
    </row>
    <row r="326">
      <c r="A326" s="474"/>
      <c r="B326" s="200"/>
      <c r="C326" s="200"/>
      <c r="F326" s="200"/>
      <c r="G326" s="200"/>
      <c r="J326" s="470">
        <v>45334.0</v>
      </c>
      <c r="K326" s="466">
        <f>SUMIF(GRAFICO!A:A,J326,GRAFICO!B:B)</f>
        <v>10271.94694</v>
      </c>
      <c r="L326" s="467">
        <f t="shared" si="2"/>
        <v>0.0167622491</v>
      </c>
      <c r="M326" s="468">
        <v>45700.0</v>
      </c>
      <c r="N326" s="469">
        <f>SUMIF(GRAFICO!A:A,M326,GRAFICO!B:B)</f>
        <v>15660.29891</v>
      </c>
      <c r="O326" s="467">
        <f t="shared" si="5"/>
        <v>0.1180555031</v>
      </c>
      <c r="P326" s="468">
        <v>46065.0</v>
      </c>
      <c r="Q326" s="463">
        <f>IF(SUMIF(GRAFICO!A:A,P326,GRAFICO!B:B)=0,"",SUMIF(GRAFICO!A:A,P326,GRAFICO!B:B))</f>
        <v>21291.29595</v>
      </c>
      <c r="R326" s="463">
        <f t="shared" si="4"/>
        <v>0.02585653362</v>
      </c>
      <c r="S326" s="471">
        <f>CUENTAS!A315</f>
        <v>45787</v>
      </c>
      <c r="T326" s="459">
        <f>IF(CUENTAS!Q315/CUENTAS!$AB315&lt;&gt;0,CUENTAS!Q315/CUENTAS!$AB315,"")</f>
        <v>0.2890602526</v>
      </c>
      <c r="U326" s="459" t="str">
        <f>IF(CUENTAS!C315/CUENTAS!$AB315&lt;&gt;0,CUENTAS!C315/CUENTAS!$AB315,"")</f>
        <v/>
      </c>
      <c r="V326" s="459" t="str">
        <f>IF(CUENTAS!D315/CUENTAS!$AB315&lt;&gt;0,CUENTAS!D315/CUENTAS!$AB315,"")</f>
        <v/>
      </c>
      <c r="W326" s="459" t="str">
        <f>IF(CUENTAS!E315/CUENTAS!$AB315&lt;&gt;0,CUENTAS!E315/CUENTAS!$AB315,"")</f>
        <v/>
      </c>
      <c r="X326" s="459" t="str">
        <f>IF(CUENTAS!F315/CUENTAS!$AB315&lt;&gt;0,CUENTAS!F315/CUENTAS!$AB315,"")</f>
        <v/>
      </c>
      <c r="Y326" s="459" t="str">
        <f>IF(CUENTAS!G315/CUENTAS!$AB315&lt;&gt;0,CUENTAS!G315/CUENTAS!$AB315,"")</f>
        <v/>
      </c>
      <c r="Z326" s="459">
        <f>IF(CUENTAS!H315/CUENTAS!$AB315&lt;&gt;0,CUENTAS!H315/CUENTAS!$AB315,"")</f>
        <v>0.5178012068</v>
      </c>
      <c r="AA326" s="459" t="str">
        <f>IF(CUENTAS!I315/CUENTAS!$AB315&lt;&gt;0,CUENTAS!I315/CUENTAS!$AB315,"")</f>
        <v/>
      </c>
      <c r="AB326" s="459" t="str">
        <f>IF(CUENTAS!J315/CUENTAS!$AB315&lt;&gt;0,CUENTAS!J315/CUENTAS!$AB315,"")</f>
        <v/>
      </c>
      <c r="AC326" s="459">
        <f>IF(CUENTAS!K315/CUENTAS!$AB315&lt;&gt;0,CUENTAS!K315/CUENTAS!$AB315,"")</f>
        <v>0.2578104956</v>
      </c>
      <c r="AD326" s="459" t="str">
        <f>IF(CUENTAS!L315/CUENTAS!$AB315&lt;&gt;0,CUENTAS!L315/CUENTAS!$AB315,"")</f>
        <v/>
      </c>
      <c r="AE326" s="459">
        <f>IF(CUENTAS!M315/CUENTAS!$AB315&lt;&gt;0,CUENTAS!M315/CUENTAS!$AB315,"")</f>
        <v>0.4519102462</v>
      </c>
      <c r="AF326" s="459" t="str">
        <f>IF(CUENTAS!N315/CUENTAS!$AB315&lt;&gt;0,CUENTAS!N315/CUENTAS!$AB315,"")</f>
        <v/>
      </c>
      <c r="AG326" s="459" t="str">
        <f>IF(CUENTAS!O315/CUENTAS!$AB315&lt;&gt;0,CUENTAS!O315/CUENTAS!$AB315,"")</f>
        <v/>
      </c>
      <c r="AH326" s="459" t="str">
        <f>IF(CUENTAS!P315/CUENTAS!$AB315&lt;&gt;0,CUENTAS!P315/CUENTAS!$AB315,"")</f>
        <v/>
      </c>
      <c r="AI326" s="459">
        <f>IF(CUENTAS!R315/CUENTAS!$AB315&lt;&gt;0,CUENTAS!R315/CUENTAS!$AB315,"")</f>
        <v>0.1492468613</v>
      </c>
      <c r="AJ326" s="459" t="str">
        <f>IF(CUENTAS!B315/CUENTAS!$AB315&lt;&gt;0,CUENTAS!B315/CUENTAS!$AB315,"")</f>
        <v/>
      </c>
      <c r="AK326" s="459">
        <f>IF(CUENTAS!S315/CUENTAS!$AB315&lt;&gt;0,CUENTAS!S315/CUENTAS!$AB315,"")</f>
        <v>0.334164634</v>
      </c>
      <c r="AL326" s="459">
        <f>IF(CUENTAS!T315/CUENTAS!$AB315&lt;&gt;0,CUENTAS!T315/CUENTAS!$AB315,"")</f>
        <v>0.2526577175</v>
      </c>
      <c r="AM326" s="459">
        <f>IF(CUENTAS!U315/CUENTAS!$AB315&lt;&gt;0,CUENTAS!U315/CUENTAS!$AB315,"")</f>
        <v>0.1009359078</v>
      </c>
      <c r="AN326" s="459">
        <f>IF(CUENTAS!V315/CUENTAS!$AB315&lt;&gt;0,CUENTAS!V315/CUENTAS!$AB315,"")</f>
        <v>0.102409572</v>
      </c>
      <c r="AO326" s="459" t="str">
        <f>IF(CUENTAS!W315/CUENTAS!$AB315&lt;&gt;0,CUENTAS!W315/CUENTAS!$AB315,"")</f>
        <v/>
      </c>
      <c r="AP326" s="459" t="str">
        <f>IF(CUENTAS!X315/CUENTAS!$AB315&lt;&gt;0,CUENTAS!X315/CUENTAS!$AB315,"")</f>
        <v/>
      </c>
      <c r="AQ326" s="459" t="str">
        <f>IF(CUENTAS!Y315/CUENTAS!$AB315&lt;&gt;0,CUENTAS!Y315/CUENTAS!$AB315,"")</f>
        <v/>
      </c>
      <c r="AR326" s="459">
        <f>IF(CUENTAS!AA315/CUENTAS!$AB315&lt;&gt;0,CUENTAS!AA315/CUENTAS!$AB315,"")</f>
        <v>0.4854588186</v>
      </c>
    </row>
    <row r="327">
      <c r="A327" s="474"/>
      <c r="B327" s="200"/>
      <c r="C327" s="200"/>
      <c r="F327" s="200"/>
      <c r="G327" s="200"/>
      <c r="J327" s="470">
        <v>45333.0</v>
      </c>
      <c r="K327" s="466">
        <f>SUMIF(GRAFICO!A:A,J327,GRAFICO!B:B)</f>
        <v>10268.05582</v>
      </c>
      <c r="L327" s="467">
        <f t="shared" si="2"/>
        <v>0.01638336648</v>
      </c>
      <c r="M327" s="468">
        <v>45699.0</v>
      </c>
      <c r="N327" s="469">
        <f>SUMIF(GRAFICO!A:A,M327,GRAFICO!B:B)</f>
        <v>15704.83193</v>
      </c>
      <c r="O327" s="467">
        <f t="shared" si="5"/>
        <v>0.1208951561</v>
      </c>
      <c r="P327" s="468">
        <v>46064.0</v>
      </c>
      <c r="Q327" s="463">
        <f>IF(SUMIF(GRAFICO!A:A,P327,GRAFICO!B:B)=0,"",SUMIF(GRAFICO!A:A,P327,GRAFICO!B:B))</f>
        <v>21440.48444</v>
      </c>
      <c r="R327" s="463">
        <f t="shared" si="4"/>
        <v>0.03283911611</v>
      </c>
      <c r="S327" s="471">
        <f>CUENTAS!A316</f>
        <v>45786</v>
      </c>
      <c r="T327" s="459">
        <f>IF(CUENTAS!Q316/CUENTAS!$AB316&lt;&gt;0,CUENTAS!Q316/CUENTAS!$AB316,"")</f>
        <v>0.2885603218</v>
      </c>
      <c r="U327" s="459" t="str">
        <f>IF(CUENTAS!C316/CUENTAS!$AB316&lt;&gt;0,CUENTAS!C316/CUENTAS!$AB316,"")</f>
        <v/>
      </c>
      <c r="V327" s="459" t="str">
        <f>IF(CUENTAS!D316/CUENTAS!$AB316&lt;&gt;0,CUENTAS!D316/CUENTAS!$AB316,"")</f>
        <v/>
      </c>
      <c r="W327" s="459" t="str">
        <f>IF(CUENTAS!E316/CUENTAS!$AB316&lt;&gt;0,CUENTAS!E316/CUENTAS!$AB316,"")</f>
        <v/>
      </c>
      <c r="X327" s="459" t="str">
        <f>IF(CUENTAS!F316/CUENTAS!$AB316&lt;&gt;0,CUENTAS!F316/CUENTAS!$AB316,"")</f>
        <v/>
      </c>
      <c r="Y327" s="459" t="str">
        <f>IF(CUENTAS!G316/CUENTAS!$AB316&lt;&gt;0,CUENTAS!G316/CUENTAS!$AB316,"")</f>
        <v/>
      </c>
      <c r="Z327" s="459">
        <f>IF(CUENTAS!H316/CUENTAS!$AB316&lt;&gt;0,CUENTAS!H316/CUENTAS!$AB316,"")</f>
        <v>0.5169056675</v>
      </c>
      <c r="AA327" s="459" t="str">
        <f>IF(CUENTAS!I316/CUENTAS!$AB316&lt;&gt;0,CUENTAS!I316/CUENTAS!$AB316,"")</f>
        <v/>
      </c>
      <c r="AB327" s="459" t="str">
        <f>IF(CUENTAS!J316/CUENTAS!$AB316&lt;&gt;0,CUENTAS!J316/CUENTAS!$AB316,"")</f>
        <v/>
      </c>
      <c r="AC327" s="459">
        <f>IF(CUENTAS!K316/CUENTAS!$AB316&lt;&gt;0,CUENTAS!K316/CUENTAS!$AB316,"")</f>
        <v>0.2573646113</v>
      </c>
      <c r="AD327" s="459" t="str">
        <f>IF(CUENTAS!L316/CUENTAS!$AB316&lt;&gt;0,CUENTAS!L316/CUENTAS!$AB316,"")</f>
        <v/>
      </c>
      <c r="AE327" s="459">
        <f>IF(CUENTAS!M316/CUENTAS!$AB316&lt;&gt;0,CUENTAS!M316/CUENTAS!$AB316,"")</f>
        <v>0.4511286656</v>
      </c>
      <c r="AF327" s="459" t="str">
        <f>IF(CUENTAS!N316/CUENTAS!$AB316&lt;&gt;0,CUENTAS!N316/CUENTAS!$AB316,"")</f>
        <v/>
      </c>
      <c r="AG327" s="459" t="str">
        <f>IF(CUENTAS!O316/CUENTAS!$AB316&lt;&gt;0,CUENTAS!O316/CUENTAS!$AB316,"")</f>
        <v/>
      </c>
      <c r="AH327" s="459" t="str">
        <f>IF(CUENTAS!P316/CUENTAS!$AB316&lt;&gt;0,CUENTAS!P316/CUENTAS!$AB316,"")</f>
        <v/>
      </c>
      <c r="AI327" s="459">
        <f>IF(CUENTAS!R316/CUENTAS!$AB316&lt;&gt;0,CUENTAS!R316/CUENTAS!$AB316,"")</f>
        <v>0.1489887382</v>
      </c>
      <c r="AJ327" s="459" t="str">
        <f>IF(CUENTAS!B316/CUENTAS!$AB316&lt;&gt;0,CUENTAS!B316/CUENTAS!$AB316,"")</f>
        <v/>
      </c>
      <c r="AK327" s="459">
        <f>IF(CUENTAS!S316/CUENTAS!$AB316&lt;&gt;0,CUENTAS!S316/CUENTAS!$AB316,"")</f>
        <v>0.3329832115</v>
      </c>
      <c r="AL327" s="459">
        <f>IF(CUENTAS!T316/CUENTAS!$AB316&lt;&gt;0,CUENTAS!T316/CUENTAS!$AB316,"")</f>
        <v>0.2521854785</v>
      </c>
      <c r="AM327" s="459">
        <f>IF(CUENTAS!U316/CUENTAS!$AB316&lt;&gt;0,CUENTAS!U316/CUENTAS!$AB316,"")</f>
        <v>0.1007613387</v>
      </c>
      <c r="AN327" s="459">
        <f>IF(CUENTAS!V316/CUENTAS!$AB316&lt;&gt;0,CUENTAS!V316/CUENTAS!$AB316,"")</f>
        <v>0.1022324542</v>
      </c>
      <c r="AO327" s="459" t="str">
        <f>IF(CUENTAS!W316/CUENTAS!$AB316&lt;&gt;0,CUENTAS!W316/CUENTAS!$AB316,"")</f>
        <v/>
      </c>
      <c r="AP327" s="459" t="str">
        <f>IF(CUENTAS!X316/CUENTAS!$AB316&lt;&gt;0,CUENTAS!X316/CUENTAS!$AB316,"")</f>
        <v/>
      </c>
      <c r="AQ327" s="459" t="str">
        <f>IF(CUENTAS!Y316/CUENTAS!$AB316&lt;&gt;0,CUENTAS!Y316/CUENTAS!$AB316,"")</f>
        <v/>
      </c>
      <c r="AR327" s="459">
        <f>IF(CUENTAS!AA316/CUENTAS!$AB316&lt;&gt;0,CUENTAS!AA316/CUENTAS!$AB316,"")</f>
        <v>0.4846192156</v>
      </c>
    </row>
    <row r="328">
      <c r="A328" s="474"/>
      <c r="B328" s="200"/>
      <c r="C328" s="200"/>
      <c r="F328" s="200"/>
      <c r="G328" s="200"/>
      <c r="J328" s="470">
        <v>45332.0</v>
      </c>
      <c r="K328" s="466">
        <f>SUMIF(GRAFICO!A:A,J328,GRAFICO!B:B)</f>
        <v>10263.86082</v>
      </c>
      <c r="L328" s="467">
        <f t="shared" si="2"/>
        <v>0.01597473436</v>
      </c>
      <c r="M328" s="468">
        <v>45698.0</v>
      </c>
      <c r="N328" s="469">
        <f>SUMIF(GRAFICO!A:A,M328,GRAFICO!B:B)</f>
        <v>15735.04396</v>
      </c>
      <c r="O328" s="467">
        <f t="shared" si="5"/>
        <v>0.1228170494</v>
      </c>
      <c r="P328" s="468">
        <v>46063.0</v>
      </c>
      <c r="Q328" s="463">
        <f>IF(SUMIF(GRAFICO!A:A,P328,GRAFICO!B:B)=0,"",SUMIF(GRAFICO!A:A,P328,GRAFICO!B:B))</f>
        <v>21641.45783</v>
      </c>
      <c r="R328" s="463">
        <f t="shared" si="4"/>
        <v>0.04216900434</v>
      </c>
      <c r="S328" s="471">
        <f>CUENTAS!A317</f>
        <v>45785</v>
      </c>
      <c r="T328" s="459">
        <f>IF(CUENTAS!Q317/CUENTAS!$AB317&lt;&gt;0,CUENTAS!Q317/CUENTAS!$AB317,"")</f>
        <v>0.2841267118</v>
      </c>
      <c r="U328" s="459" t="str">
        <f>IF(CUENTAS!C317/CUENTAS!$AB317&lt;&gt;0,CUENTAS!C317/CUENTAS!$AB317,"")</f>
        <v/>
      </c>
      <c r="V328" s="459" t="str">
        <f>IF(CUENTAS!D317/CUENTAS!$AB317&lt;&gt;0,CUENTAS!D317/CUENTAS!$AB317,"")</f>
        <v/>
      </c>
      <c r="W328" s="459" t="str">
        <f>IF(CUENTAS!E317/CUENTAS!$AB317&lt;&gt;0,CUENTAS!E317/CUENTAS!$AB317,"")</f>
        <v/>
      </c>
      <c r="X328" s="459" t="str">
        <f>IF(CUENTAS!F317/CUENTAS!$AB317&lt;&gt;0,CUENTAS!F317/CUENTAS!$AB317,"")</f>
        <v/>
      </c>
      <c r="Y328" s="459" t="str">
        <f>IF(CUENTAS!G317/CUENTAS!$AB317&lt;&gt;0,CUENTAS!G317/CUENTAS!$AB317,"")</f>
        <v/>
      </c>
      <c r="Z328" s="459">
        <f>IF(CUENTAS!H317/CUENTAS!$AB317&lt;&gt;0,CUENTAS!H317/CUENTAS!$AB317,"")</f>
        <v>0.5148072823</v>
      </c>
      <c r="AA328" s="459" t="str">
        <f>IF(CUENTAS!I317/CUENTAS!$AB317&lt;&gt;0,CUENTAS!I317/CUENTAS!$AB317,"")</f>
        <v/>
      </c>
      <c r="AB328" s="459" t="str">
        <f>IF(CUENTAS!J317/CUENTAS!$AB317&lt;&gt;0,CUENTAS!J317/CUENTAS!$AB317,"")</f>
        <v/>
      </c>
      <c r="AC328" s="459">
        <f>IF(CUENTAS!K317/CUENTAS!$AB317&lt;&gt;0,CUENTAS!K317/CUENTAS!$AB317,"")</f>
        <v>0.2586487666</v>
      </c>
      <c r="AD328" s="459" t="str">
        <f>IF(CUENTAS!L317/CUENTAS!$AB317&lt;&gt;0,CUENTAS!L317/CUENTAS!$AB317,"")</f>
        <v/>
      </c>
      <c r="AE328" s="459">
        <f>IF(CUENTAS!M317/CUENTAS!$AB317&lt;&gt;0,CUENTAS!M317/CUENTAS!$AB317,"")</f>
        <v>0.4467768031</v>
      </c>
      <c r="AF328" s="459" t="str">
        <f>IF(CUENTAS!N317/CUENTAS!$AB317&lt;&gt;0,CUENTAS!N317/CUENTAS!$AB317,"")</f>
        <v/>
      </c>
      <c r="AG328" s="459" t="str">
        <f>IF(CUENTAS!O317/CUENTAS!$AB317&lt;&gt;0,CUENTAS!O317/CUENTAS!$AB317,"")</f>
        <v/>
      </c>
      <c r="AH328" s="459" t="str">
        <f>IF(CUENTAS!P317/CUENTAS!$AB317&lt;&gt;0,CUENTAS!P317/CUENTAS!$AB317,"")</f>
        <v/>
      </c>
      <c r="AI328" s="459">
        <f>IF(CUENTAS!R317/CUENTAS!$AB317&lt;&gt;0,CUENTAS!R317/CUENTAS!$AB317,"")</f>
        <v>0.1466995879</v>
      </c>
      <c r="AJ328" s="459" t="str">
        <f>IF(CUENTAS!B317/CUENTAS!$AB317&lt;&gt;0,CUENTAS!B317/CUENTAS!$AB317,"")</f>
        <v/>
      </c>
      <c r="AK328" s="459">
        <f>IF(CUENTAS!S317/CUENTAS!$AB317&lt;&gt;0,CUENTAS!S317/CUENTAS!$AB317,"")</f>
        <v>0.327272851</v>
      </c>
      <c r="AL328" s="459">
        <f>IF(CUENTAS!T317/CUENTAS!$AB317&lt;&gt;0,CUENTAS!T317/CUENTAS!$AB317,"")</f>
        <v>0.2482760284</v>
      </c>
      <c r="AM328" s="459" t="str">
        <f>IF(CUENTAS!U317/CUENTAS!$AB317&lt;&gt;0,CUENTAS!U317/CUENTAS!$AB317,"")</f>
        <v/>
      </c>
      <c r="AN328" s="459">
        <f>IF(CUENTAS!V317/CUENTAS!$AB317&lt;&gt;0,CUENTAS!V317/CUENTAS!$AB317,"")</f>
        <v>0.1006616949</v>
      </c>
      <c r="AO328" s="459" t="str">
        <f>IF(CUENTAS!W317/CUENTAS!$AB317&lt;&gt;0,CUENTAS!W317/CUENTAS!$AB317,"")</f>
        <v/>
      </c>
      <c r="AP328" s="459" t="str">
        <f>IF(CUENTAS!X317/CUENTAS!$AB317&lt;&gt;0,CUENTAS!X317/CUENTAS!$AB317,"")</f>
        <v/>
      </c>
      <c r="AQ328" s="459" t="str">
        <f>IF(CUENTAS!Y317/CUENTAS!$AB317&lt;&gt;0,CUENTAS!Y317/CUENTAS!$AB317,"")</f>
        <v/>
      </c>
      <c r="AR328" s="459">
        <f>IF(CUENTAS!AA317/CUENTAS!$AB317&lt;&gt;0,CUENTAS!AA317/CUENTAS!$AB317,"")</f>
        <v>0.5763864243</v>
      </c>
    </row>
    <row r="329">
      <c r="A329" s="474"/>
      <c r="B329" s="200"/>
      <c r="C329" s="200"/>
      <c r="F329" s="200"/>
      <c r="G329" s="200"/>
      <c r="J329" s="465">
        <v>45331.0</v>
      </c>
      <c r="K329" s="466">
        <f>SUMIF(GRAFICO!A:A,J329,GRAFICO!B:B)</f>
        <v>10259.6497</v>
      </c>
      <c r="L329" s="467">
        <f t="shared" si="2"/>
        <v>0.01556436403</v>
      </c>
      <c r="M329" s="468">
        <v>45697.0</v>
      </c>
      <c r="N329" s="469">
        <f>SUMIF(GRAFICO!A:A,M329,GRAFICO!B:B)</f>
        <v>15578.22685</v>
      </c>
      <c r="O329" s="467">
        <f t="shared" si="5"/>
        <v>0.1128009499</v>
      </c>
      <c r="P329" s="468">
        <v>46062.0</v>
      </c>
      <c r="Q329" s="463">
        <f>IF(SUMIF(GRAFICO!A:A,P329,GRAFICO!B:B)=0,"",SUMIF(GRAFICO!A:A,P329,GRAFICO!B:B))</f>
        <v>21633.1371</v>
      </c>
      <c r="R329" s="463">
        <f t="shared" si="4"/>
        <v>0.04178444918</v>
      </c>
      <c r="S329" s="471">
        <f>CUENTAS!A318</f>
        <v>45784</v>
      </c>
      <c r="T329" s="459">
        <f>IF(CUENTAS!Q318/CUENTAS!$AB318&lt;&gt;0,CUENTAS!Q318/CUENTAS!$AB318,"")</f>
        <v>0.2999811267</v>
      </c>
      <c r="U329" s="459" t="str">
        <f>IF(CUENTAS!C318/CUENTAS!$AB318&lt;&gt;0,CUENTAS!C318/CUENTAS!$AB318,"")</f>
        <v/>
      </c>
      <c r="V329" s="459" t="str">
        <f>IF(CUENTAS!D318/CUENTAS!$AB318&lt;&gt;0,CUENTAS!D318/CUENTAS!$AB318,"")</f>
        <v/>
      </c>
      <c r="W329" s="459" t="str">
        <f>IF(CUENTAS!E318/CUENTAS!$AB318&lt;&gt;0,CUENTAS!E318/CUENTAS!$AB318,"")</f>
        <v/>
      </c>
      <c r="X329" s="459" t="str">
        <f>IF(CUENTAS!F318/CUENTAS!$AB318&lt;&gt;0,CUENTAS!F318/CUENTAS!$AB318,"")</f>
        <v/>
      </c>
      <c r="Y329" s="459" t="str">
        <f>IF(CUENTAS!G318/CUENTAS!$AB318&lt;&gt;0,CUENTAS!G318/CUENTAS!$AB318,"")</f>
        <v/>
      </c>
      <c r="Z329" s="459">
        <f>IF(CUENTAS!H318/CUENTAS!$AB318&lt;&gt;0,CUENTAS!H318/CUENTAS!$AB318,"")</f>
        <v>0.5418391445</v>
      </c>
      <c r="AA329" s="459" t="str">
        <f>IF(CUENTAS!I318/CUENTAS!$AB318&lt;&gt;0,CUENTAS!I318/CUENTAS!$AB318,"")</f>
        <v/>
      </c>
      <c r="AB329" s="459" t="str">
        <f>IF(CUENTAS!J318/CUENTAS!$AB318&lt;&gt;0,CUENTAS!J318/CUENTAS!$AB318,"")</f>
        <v/>
      </c>
      <c r="AC329" s="459">
        <f>IF(CUENTAS!K318/CUENTAS!$AB318&lt;&gt;0,CUENTAS!K318/CUENTAS!$AB318,"")</f>
        <v>0.2650294369</v>
      </c>
      <c r="AD329" s="459" t="str">
        <f>IF(CUENTAS!L318/CUENTAS!$AB318&lt;&gt;0,CUENTAS!L318/CUENTAS!$AB318,"")</f>
        <v/>
      </c>
      <c r="AE329" s="459">
        <f>IF(CUENTAS!M318/CUENTAS!$AB318&lt;&gt;0,CUENTAS!M318/CUENTAS!$AB318,"")</f>
        <v>0.4789719446</v>
      </c>
      <c r="AF329" s="459" t="str">
        <f>IF(CUENTAS!N318/CUENTAS!$AB318&lt;&gt;0,CUENTAS!N318/CUENTAS!$AB318,"")</f>
        <v/>
      </c>
      <c r="AG329" s="459" t="str">
        <f>IF(CUENTAS!O318/CUENTAS!$AB318&lt;&gt;0,CUENTAS!O318/CUENTAS!$AB318,"")</f>
        <v/>
      </c>
      <c r="AH329" s="459" t="str">
        <f>IF(CUENTAS!P318/CUENTAS!$AB318&lt;&gt;0,CUENTAS!P318/CUENTAS!$AB318,"")</f>
        <v/>
      </c>
      <c r="AI329" s="459">
        <f>IF(CUENTAS!R318/CUENTAS!$AB318&lt;&gt;0,CUENTAS!R318/CUENTAS!$AB318,"")</f>
        <v>0.1119392232</v>
      </c>
      <c r="AJ329" s="459" t="str">
        <f>IF(CUENTAS!B318/CUENTAS!$AB318&lt;&gt;0,CUENTAS!B318/CUENTAS!$AB318,"")</f>
        <v/>
      </c>
      <c r="AK329" s="459">
        <f>IF(CUENTAS!S318/CUENTAS!$AB318&lt;&gt;0,CUENTAS!S318/CUENTAS!$AB318,"")</f>
        <v>0.3510300918</v>
      </c>
      <c r="AL329" s="459">
        <f>IF(CUENTAS!T318/CUENTAS!$AB318&lt;&gt;0,CUENTAS!T318/CUENTAS!$AB318,"")</f>
        <v>0.2667458383</v>
      </c>
      <c r="AM329" s="459" t="str">
        <f>IF(CUENTAS!U318/CUENTAS!$AB318&lt;&gt;0,CUENTAS!U318/CUENTAS!$AB318,"")</f>
        <v/>
      </c>
      <c r="AN329" s="459">
        <f>IF(CUENTAS!V318/CUENTAS!$AB318&lt;&gt;0,CUENTAS!V318/CUENTAS!$AB318,"")</f>
        <v>0.1081652722</v>
      </c>
      <c r="AO329" s="459" t="str">
        <f>IF(CUENTAS!W318/CUENTAS!$AB318&lt;&gt;0,CUENTAS!W318/CUENTAS!$AB318,"")</f>
        <v/>
      </c>
      <c r="AP329" s="459" t="str">
        <f>IF(CUENTAS!X318/CUENTAS!$AB318&lt;&gt;0,CUENTAS!X318/CUENTAS!$AB318,"")</f>
        <v/>
      </c>
      <c r="AQ329" s="459" t="str">
        <f>IF(CUENTAS!Y318/CUENTAS!$AB318&lt;&gt;0,CUENTAS!Y318/CUENTAS!$AB318,"")</f>
        <v/>
      </c>
      <c r="AR329" s="459">
        <f>IF(CUENTAS!AA318/CUENTAS!$AB318&lt;&gt;0,CUENTAS!AA318/CUENTAS!$AB318,"")</f>
        <v>0.6193517261</v>
      </c>
    </row>
    <row r="330">
      <c r="A330" s="474"/>
      <c r="B330" s="200"/>
      <c r="C330" s="200"/>
      <c r="F330" s="200"/>
      <c r="G330" s="200"/>
      <c r="J330" s="465">
        <v>45330.0</v>
      </c>
      <c r="K330" s="466">
        <f>SUMIF(GRAFICO!A:A,J330,GRAFICO!B:B)</f>
        <v>10255.83962</v>
      </c>
      <c r="L330" s="467">
        <f t="shared" si="2"/>
        <v>0.01519292988</v>
      </c>
      <c r="M330" s="468">
        <v>45696.0</v>
      </c>
      <c r="N330" s="469">
        <f>SUMIF(GRAFICO!A:A,M330,GRAFICO!B:B)</f>
        <v>15578.22685</v>
      </c>
      <c r="O330" s="467">
        <f t="shared" si="5"/>
        <v>0.1128009499</v>
      </c>
      <c r="P330" s="468">
        <v>46061.0</v>
      </c>
      <c r="Q330" s="463">
        <f>IF(SUMIF(GRAFICO!A:A,P330,GRAFICO!B:B)=0,"",SUMIF(GRAFICO!A:A,P330,GRAFICO!B:B))</f>
        <v>21522.61545</v>
      </c>
      <c r="R330" s="463">
        <f t="shared" si="4"/>
        <v>0.03666244883</v>
      </c>
      <c r="S330" s="471">
        <f>CUENTAS!A319</f>
        <v>45783</v>
      </c>
      <c r="T330" s="459">
        <f>IF(CUENTAS!Q319/CUENTAS!$AB319&lt;&gt;0,CUENTAS!Q319/CUENTAS!$AB319,"")</f>
        <v>0.3114679973</v>
      </c>
      <c r="U330" s="459" t="str">
        <f>IF(CUENTAS!C319/CUENTAS!$AB319&lt;&gt;0,CUENTAS!C319/CUENTAS!$AB319,"")</f>
        <v/>
      </c>
      <c r="V330" s="459" t="str">
        <f>IF(CUENTAS!D319/CUENTAS!$AB319&lt;&gt;0,CUENTAS!D319/CUENTAS!$AB319,"")</f>
        <v/>
      </c>
      <c r="W330" s="459" t="str">
        <f>IF(CUENTAS!E319/CUENTAS!$AB319&lt;&gt;0,CUENTAS!E319/CUENTAS!$AB319,"")</f>
        <v/>
      </c>
      <c r="X330" s="459" t="str">
        <f>IF(CUENTAS!F319/CUENTAS!$AB319&lt;&gt;0,CUENTAS!F319/CUENTAS!$AB319,"")</f>
        <v/>
      </c>
      <c r="Y330" s="459" t="str">
        <f>IF(CUENTAS!G319/CUENTAS!$AB319&lt;&gt;0,CUENTAS!G319/CUENTAS!$AB319,"")</f>
        <v/>
      </c>
      <c r="Z330" s="459">
        <f>IF(CUENTAS!H319/CUENTAS!$AB319&lt;&gt;0,CUENTAS!H319/CUENTAS!$AB319,"")</f>
        <v>1.013885697</v>
      </c>
      <c r="AA330" s="459" t="str">
        <f>IF(CUENTAS!I319/CUENTAS!$AB319&lt;&gt;0,CUENTAS!I319/CUENTAS!$AB319,"")</f>
        <v/>
      </c>
      <c r="AB330" s="459" t="str">
        <f>IF(CUENTAS!J319/CUENTAS!$AB319&lt;&gt;0,CUENTAS!J319/CUENTAS!$AB319,"")</f>
        <v/>
      </c>
      <c r="AC330" s="459">
        <f>IF(CUENTAS!K319/CUENTAS!$AB319&lt;&gt;0,CUENTAS!K319/CUENTAS!$AB319,"")</f>
        <v>0.2666547277</v>
      </c>
      <c r="AD330" s="459" t="str">
        <f>IF(CUENTAS!L319/CUENTAS!$AB319&lt;&gt;0,CUENTAS!L319/CUENTAS!$AB319,"")</f>
        <v/>
      </c>
      <c r="AE330" s="459">
        <f>IF(CUENTAS!M319/CUENTAS!$AB319&lt;&gt;0,CUENTAS!M319/CUENTAS!$AB319,"")</f>
        <v>0.4881032325</v>
      </c>
      <c r="AF330" s="459" t="str">
        <f>IF(CUENTAS!N319/CUENTAS!$AB319&lt;&gt;0,CUENTAS!N319/CUENTAS!$AB319,"")</f>
        <v/>
      </c>
      <c r="AG330" s="459" t="str">
        <f>IF(CUENTAS!O319/CUENTAS!$AB319&lt;&gt;0,CUENTAS!O319/CUENTAS!$AB319,"")</f>
        <v/>
      </c>
      <c r="AH330" s="459" t="str">
        <f>IF(CUENTAS!P319/CUENTAS!$AB319&lt;&gt;0,CUENTAS!P319/CUENTAS!$AB319,"")</f>
        <v/>
      </c>
      <c r="AI330" s="459">
        <f>IF(CUENTAS!R319/CUENTAS!$AB319&lt;&gt;0,CUENTAS!R319/CUENTAS!$AB319,"")</f>
        <v>0.1162255974</v>
      </c>
      <c r="AJ330" s="459" t="str">
        <f>IF(CUENTAS!B319/CUENTAS!$AB319&lt;&gt;0,CUENTAS!B319/CUENTAS!$AB319,"")</f>
        <v/>
      </c>
      <c r="AK330" s="459">
        <f>IF(CUENTAS!S319/CUENTAS!$AB319&lt;&gt;0,CUENTAS!S319/CUENTAS!$AB319,"")</f>
        <v>0.3638087733</v>
      </c>
      <c r="AL330" s="459">
        <f>IF(CUENTAS!T319/CUENTAS!$AB319&lt;&gt;0,CUENTAS!T319/CUENTAS!$AB319,"")</f>
        <v>0.2769213221</v>
      </c>
      <c r="AM330" s="459" t="str">
        <f>IF(CUENTAS!U319/CUENTAS!$AB319&lt;&gt;0,CUENTAS!U319/CUENTAS!$AB319,"")</f>
        <v/>
      </c>
      <c r="AN330" s="459">
        <f>IF(CUENTAS!V319/CUENTAS!$AB319&lt;&gt;0,CUENTAS!V319/CUENTAS!$AB319,"")</f>
        <v>0.1123071344</v>
      </c>
      <c r="AO330" s="459" t="str">
        <f>IF(CUENTAS!W319/CUENTAS!$AB319&lt;&gt;0,CUENTAS!W319/CUENTAS!$AB319,"")</f>
        <v/>
      </c>
      <c r="AP330" s="459" t="str">
        <f>IF(CUENTAS!X319/CUENTAS!$AB319&lt;&gt;0,CUENTAS!X319/CUENTAS!$AB319,"")</f>
        <v/>
      </c>
      <c r="AQ330" s="459" t="str">
        <f>IF(CUENTAS!Y319/CUENTAS!$AB319&lt;&gt;0,CUENTAS!Y319/CUENTAS!$AB319,"")</f>
        <v/>
      </c>
      <c r="AR330" s="459">
        <f>IF(CUENTAS!AA319/CUENTAS!$AB319&lt;&gt;0,CUENTAS!AA319/CUENTAS!$AB319,"")</f>
        <v>0.1693102553</v>
      </c>
    </row>
    <row r="331">
      <c r="A331" s="474"/>
      <c r="B331" s="200"/>
      <c r="C331" s="200"/>
      <c r="F331" s="200"/>
      <c r="G331" s="200"/>
      <c r="J331" s="465">
        <v>45329.0</v>
      </c>
      <c r="K331" s="466">
        <f>SUMIF(GRAFICO!A:A,J331,GRAFICO!B:B)</f>
        <v>10252.34078</v>
      </c>
      <c r="L331" s="467">
        <f t="shared" si="2"/>
        <v>0.01485171625</v>
      </c>
      <c r="M331" s="468">
        <v>45695.0</v>
      </c>
      <c r="N331" s="469">
        <f>SUMIF(GRAFICO!A:A,M331,GRAFICO!B:B)</f>
        <v>15578.22685</v>
      </c>
      <c r="O331" s="467">
        <f t="shared" si="5"/>
        <v>0.1128009499</v>
      </c>
      <c r="P331" s="468">
        <v>46060.0</v>
      </c>
      <c r="Q331" s="463">
        <f>IF(SUMIF(GRAFICO!A:A,P331,GRAFICO!B:B)=0,"",SUMIF(GRAFICO!A:A,P331,GRAFICO!B:B))</f>
        <v>21527.60295</v>
      </c>
      <c r="R331" s="463">
        <f t="shared" si="4"/>
        <v>0.03689415503</v>
      </c>
      <c r="S331" s="471">
        <f>CUENTAS!A320</f>
        <v>45782</v>
      </c>
      <c r="T331" s="459">
        <f>IF(CUENTAS!Q320/CUENTAS!$AB320&lt;&gt;0,CUENTAS!Q320/CUENTAS!$AB320,"")</f>
        <v>0.3150999496</v>
      </c>
      <c r="U331" s="459" t="str">
        <f>IF(CUENTAS!C320/CUENTAS!$AB320&lt;&gt;0,CUENTAS!C320/CUENTAS!$AB320,"")</f>
        <v/>
      </c>
      <c r="V331" s="459" t="str">
        <f>IF(CUENTAS!D320/CUENTAS!$AB320&lt;&gt;0,CUENTAS!D320/CUENTAS!$AB320,"")</f>
        <v/>
      </c>
      <c r="W331" s="459" t="str">
        <f>IF(CUENTAS!E320/CUENTAS!$AB320&lt;&gt;0,CUENTAS!E320/CUENTAS!$AB320,"")</f>
        <v/>
      </c>
      <c r="X331" s="459" t="str">
        <f>IF(CUENTAS!F320/CUENTAS!$AB320&lt;&gt;0,CUENTAS!F320/CUENTAS!$AB320,"")</f>
        <v/>
      </c>
      <c r="Y331" s="459" t="str">
        <f>IF(CUENTAS!G320/CUENTAS!$AB320&lt;&gt;0,CUENTAS!G320/CUENTAS!$AB320,"")</f>
        <v/>
      </c>
      <c r="Z331" s="459">
        <f>IF(CUENTAS!H320/CUENTAS!$AB320&lt;&gt;0,CUENTAS!H320/CUENTAS!$AB320,"")</f>
        <v>1.142149741</v>
      </c>
      <c r="AA331" s="459" t="str">
        <f>IF(CUENTAS!I320/CUENTAS!$AB320&lt;&gt;0,CUENTAS!I320/CUENTAS!$AB320,"")</f>
        <v/>
      </c>
      <c r="AB331" s="459" t="str">
        <f>IF(CUENTAS!J320/CUENTAS!$AB320&lt;&gt;0,CUENTAS!J320/CUENTAS!$AB320,"")</f>
        <v/>
      </c>
      <c r="AC331" s="459">
        <f>IF(CUENTAS!K320/CUENTAS!$AB320&lt;&gt;0,CUENTAS!K320/CUENTAS!$AB320,"")</f>
        <v>0.2670032934</v>
      </c>
      <c r="AD331" s="459" t="str">
        <f>IF(CUENTAS!L320/CUENTAS!$AB320&lt;&gt;0,CUENTAS!L320/CUENTAS!$AB320,"")</f>
        <v/>
      </c>
      <c r="AE331" s="459">
        <f>IF(CUENTAS!M320/CUENTAS!$AB320&lt;&gt;0,CUENTAS!M320/CUENTAS!$AB320,"")</f>
        <v>0.4836294495</v>
      </c>
      <c r="AF331" s="459" t="str">
        <f>IF(CUENTAS!N320/CUENTAS!$AB320&lt;&gt;0,CUENTAS!N320/CUENTAS!$AB320,"")</f>
        <v/>
      </c>
      <c r="AG331" s="459" t="str">
        <f>IF(CUENTAS!O320/CUENTAS!$AB320&lt;&gt;0,CUENTAS!O320/CUENTAS!$AB320,"")</f>
        <v/>
      </c>
      <c r="AH331" s="459" t="str">
        <f>IF(CUENTAS!P320/CUENTAS!$AB320&lt;&gt;0,CUENTAS!P320/CUENTAS!$AB320,"")</f>
        <v/>
      </c>
      <c r="AI331" s="459">
        <f>IF(CUENTAS!R320/CUENTAS!$AB320&lt;&gt;0,CUENTAS!R320/CUENTAS!$AB320,"")</f>
        <v>0.1172340295</v>
      </c>
      <c r="AJ331" s="459" t="str">
        <f>IF(CUENTAS!B320/CUENTAS!$AB320&lt;&gt;0,CUENTAS!B320/CUENTAS!$AB320,"")</f>
        <v/>
      </c>
      <c r="AK331" s="459">
        <f>IF(CUENTAS!S320/CUENTAS!$AB320&lt;&gt;0,CUENTAS!S320/CUENTAS!$AB320,"")</f>
        <v>0.3662966553</v>
      </c>
      <c r="AL331" s="459">
        <f>IF(CUENTAS!T320/CUENTAS!$AB320&lt;&gt;0,CUENTAS!T320/CUENTAS!$AB320,"")</f>
        <v>0.2792849536</v>
      </c>
      <c r="AM331" s="459" t="str">
        <f>IF(CUENTAS!U320/CUENTAS!$AB320&lt;&gt;0,CUENTAS!U320/CUENTAS!$AB320,"")</f>
        <v/>
      </c>
      <c r="AN331" s="459">
        <f>IF(CUENTAS!V320/CUENTAS!$AB320&lt;&gt;0,CUENTAS!V320/CUENTAS!$AB320,"")</f>
        <v>0.1132815679</v>
      </c>
      <c r="AO331" s="459" t="str">
        <f>IF(CUENTAS!W320/CUENTAS!$AB320&lt;&gt;0,CUENTAS!W320/CUENTAS!$AB320,"")</f>
        <v/>
      </c>
      <c r="AP331" s="459" t="str">
        <f>IF(CUENTAS!X320/CUENTAS!$AB320&lt;&gt;0,CUENTAS!X320/CUENTAS!$AB320,"")</f>
        <v/>
      </c>
      <c r="AQ331" s="459" t="str">
        <f>IF(CUENTAS!Y320/CUENTAS!$AB320&lt;&gt;0,CUENTAS!Y320/CUENTAS!$AB320,"")</f>
        <v/>
      </c>
      <c r="AR331" s="459">
        <f>IF(CUENTAS!AA320/CUENTAS!$AB320&lt;&gt;0,CUENTAS!AA320/CUENTAS!$AB320,"")</f>
        <v>0.05046366711</v>
      </c>
    </row>
    <row r="332">
      <c r="A332" s="474"/>
      <c r="B332" s="200"/>
      <c r="C332" s="200"/>
      <c r="F332" s="200"/>
      <c r="G332" s="200"/>
      <c r="J332" s="470">
        <v>45328.0</v>
      </c>
      <c r="K332" s="466">
        <f>SUMIF(GRAFICO!A:A,J332,GRAFICO!B:B)</f>
        <v>10248.37823</v>
      </c>
      <c r="L332" s="467">
        <f t="shared" si="2"/>
        <v>0.01446513881</v>
      </c>
      <c r="M332" s="468">
        <v>45694.0</v>
      </c>
      <c r="N332" s="469">
        <f>SUMIF(GRAFICO!A:A,M332,GRAFICO!B:B)</f>
        <v>15606.39303</v>
      </c>
      <c r="O332" s="467">
        <f t="shared" si="5"/>
        <v>0.1146073651</v>
      </c>
      <c r="P332" s="468">
        <v>46059.0</v>
      </c>
      <c r="Q332" s="463">
        <f>IF(SUMIF(GRAFICO!A:A,P332,GRAFICO!B:B)=0,"",SUMIF(GRAFICO!A:A,P332,GRAFICO!B:B))</f>
        <v>21532.59057</v>
      </c>
      <c r="R332" s="463">
        <f t="shared" si="4"/>
        <v>0.03712581303</v>
      </c>
      <c r="S332" s="471">
        <f>CUENTAS!A321</f>
        <v>45781</v>
      </c>
      <c r="T332" s="459">
        <f>IF(CUENTAS!Q321/CUENTAS!$AB321&lt;&gt;0,CUENTAS!Q321/CUENTAS!$AB321,"")</f>
        <v>0.3261864375</v>
      </c>
      <c r="U332" s="459" t="str">
        <f>IF(CUENTAS!C321/CUENTAS!$AB321&lt;&gt;0,CUENTAS!C321/CUENTAS!$AB321,"")</f>
        <v/>
      </c>
      <c r="V332" s="459" t="str">
        <f>IF(CUENTAS!D321/CUENTAS!$AB321&lt;&gt;0,CUENTAS!D321/CUENTAS!$AB321,"")</f>
        <v/>
      </c>
      <c r="W332" s="459" t="str">
        <f>IF(CUENTAS!E321/CUENTAS!$AB321&lt;&gt;0,CUENTAS!E321/CUENTAS!$AB321,"")</f>
        <v/>
      </c>
      <c r="X332" s="459" t="str">
        <f>IF(CUENTAS!F321/CUENTAS!$AB321&lt;&gt;0,CUENTAS!F321/CUENTAS!$AB321,"")</f>
        <v/>
      </c>
      <c r="Y332" s="459" t="str">
        <f>IF(CUENTAS!G321/CUENTAS!$AB321&lt;&gt;0,CUENTAS!G321/CUENTAS!$AB321,"")</f>
        <v/>
      </c>
      <c r="Z332" s="459">
        <f>IF(CUENTAS!H321/CUENTAS!$AB321&lt;&gt;0,CUENTAS!H321/CUENTAS!$AB321,"")</f>
        <v>1.132764698</v>
      </c>
      <c r="AA332" s="459" t="str">
        <f>IF(CUENTAS!I321/CUENTAS!$AB321&lt;&gt;0,CUENTAS!I321/CUENTAS!$AB321,"")</f>
        <v/>
      </c>
      <c r="AB332" s="459" t="str">
        <f>IF(CUENTAS!J321/CUENTAS!$AB321&lt;&gt;0,CUENTAS!J321/CUENTAS!$AB321,"")</f>
        <v/>
      </c>
      <c r="AC332" s="459">
        <f>IF(CUENTAS!K321/CUENTAS!$AB321&lt;&gt;0,CUENTAS!K321/CUENTAS!$AB321,"")</f>
        <v>0.2720125755</v>
      </c>
      <c r="AD332" s="459" t="str">
        <f>IF(CUENTAS!L321/CUENTAS!$AB321&lt;&gt;0,CUENTAS!L321/CUENTAS!$AB321,"")</f>
        <v/>
      </c>
      <c r="AE332" s="459" t="str">
        <f>IF(CUENTAS!M321/CUENTAS!$AB321&lt;&gt;0,CUENTAS!M321/CUENTAS!$AB321,"")</f>
        <v/>
      </c>
      <c r="AF332" s="459" t="str">
        <f>IF(CUENTAS!N321/CUENTAS!$AB321&lt;&gt;0,CUENTAS!N321/CUENTAS!$AB321,"")</f>
        <v/>
      </c>
      <c r="AG332" s="459" t="str">
        <f>IF(CUENTAS!O321/CUENTAS!$AB321&lt;&gt;0,CUENTAS!O321/CUENTAS!$AB321,"")</f>
        <v/>
      </c>
      <c r="AH332" s="459" t="str">
        <f>IF(CUENTAS!P321/CUENTAS!$AB321&lt;&gt;0,CUENTAS!P321/CUENTAS!$AB321,"")</f>
        <v/>
      </c>
      <c r="AI332" s="459">
        <f>IF(CUENTAS!R321/CUENTAS!$AB321&lt;&gt;0,CUENTAS!R321/CUENTAS!$AB321,"")</f>
        <v>0.1185608984</v>
      </c>
      <c r="AJ332" s="459" t="str">
        <f>IF(CUENTAS!B321/CUENTAS!$AB321&lt;&gt;0,CUENTAS!B321/CUENTAS!$AB321,"")</f>
        <v/>
      </c>
      <c r="AK332" s="459">
        <f>IF(CUENTAS!S321/CUENTAS!$AB321&lt;&gt;0,CUENTAS!S321/CUENTAS!$AB321,"")</f>
        <v>0.3697661698</v>
      </c>
      <c r="AL332" s="459">
        <f>IF(CUENTAS!T321/CUENTAS!$AB321&lt;&gt;0,CUENTAS!T321/CUENTAS!$AB321,"")</f>
        <v>0.2824064143</v>
      </c>
      <c r="AM332" s="459" t="str">
        <f>IF(CUENTAS!U321/CUENTAS!$AB321&lt;&gt;0,CUENTAS!U321/CUENTAS!$AB321,"")</f>
        <v/>
      </c>
      <c r="AN332" s="459">
        <f>IF(CUENTAS!V321/CUENTAS!$AB321&lt;&gt;0,CUENTAS!V321/CUENTAS!$AB321,"")</f>
        <v>0.1145637024</v>
      </c>
      <c r="AO332" s="459" t="str">
        <f>IF(CUENTAS!W321/CUENTAS!$AB321&lt;&gt;0,CUENTAS!W321/CUENTAS!$AB321,"")</f>
        <v/>
      </c>
      <c r="AP332" s="459" t="str">
        <f>IF(CUENTAS!X321/CUENTAS!$AB321&lt;&gt;0,CUENTAS!X321/CUENTAS!$AB321,"")</f>
        <v/>
      </c>
      <c r="AQ332" s="459" t="str">
        <f>IF(CUENTAS!Y321/CUENTAS!$AB321&lt;&gt;0,CUENTAS!Y321/CUENTAS!$AB321,"")</f>
        <v/>
      </c>
      <c r="AR332" s="459">
        <f>IF(CUENTAS!AA321/CUENTAS!$AB321&lt;&gt;0,CUENTAS!AA321/CUENTAS!$AB321,"")</f>
        <v>0.5401380473</v>
      </c>
    </row>
    <row r="333">
      <c r="A333" s="474"/>
      <c r="B333" s="200"/>
      <c r="C333" s="200"/>
      <c r="F333" s="200"/>
      <c r="G333" s="200"/>
      <c r="J333" s="465">
        <v>45327.0</v>
      </c>
      <c r="K333" s="466">
        <f>SUMIF(GRAFICO!A:A,J333,GRAFICO!B:B)</f>
        <v>10244.52306</v>
      </c>
      <c r="L333" s="467">
        <f t="shared" si="2"/>
        <v>0.01408889466</v>
      </c>
      <c r="M333" s="468">
        <v>45693.0</v>
      </c>
      <c r="N333" s="469">
        <f>SUMIF(GRAFICO!A:A,M333,GRAFICO!B:B)</f>
        <v>15557.34011</v>
      </c>
      <c r="O333" s="467">
        <f t="shared" si="5"/>
        <v>0.111459285</v>
      </c>
      <c r="P333" s="468">
        <v>46058.0</v>
      </c>
      <c r="Q333" s="463">
        <f>IF(SUMIF(GRAFICO!A:A,P333,GRAFICO!B:B)=0,"",SUMIF(GRAFICO!A:A,P333,GRAFICO!B:B))</f>
        <v>21376.18342</v>
      </c>
      <c r="R333" s="463">
        <f t="shared" si="4"/>
        <v>0.0298355631</v>
      </c>
      <c r="S333" s="471">
        <f>CUENTAS!A322</f>
        <v>45780</v>
      </c>
      <c r="T333" s="459">
        <f>IF(CUENTAS!Q322/CUENTAS!$AB322&lt;&gt;0,CUENTAS!Q322/CUENTAS!$AB322,"")</f>
        <v>0.3256839354</v>
      </c>
      <c r="U333" s="459" t="str">
        <f>IF(CUENTAS!C322/CUENTAS!$AB322&lt;&gt;0,CUENTAS!C322/CUENTAS!$AB322,"")</f>
        <v/>
      </c>
      <c r="V333" s="459" t="str">
        <f>IF(CUENTAS!D322/CUENTAS!$AB322&lt;&gt;0,CUENTAS!D322/CUENTAS!$AB322,"")</f>
        <v/>
      </c>
      <c r="W333" s="459" t="str">
        <f>IF(CUENTAS!E322/CUENTAS!$AB322&lt;&gt;0,CUENTAS!E322/CUENTAS!$AB322,"")</f>
        <v/>
      </c>
      <c r="X333" s="459" t="str">
        <f>IF(CUENTAS!F322/CUENTAS!$AB322&lt;&gt;0,CUENTAS!F322/CUENTAS!$AB322,"")</f>
        <v/>
      </c>
      <c r="Y333" s="459" t="str">
        <f>IF(CUENTAS!G322/CUENTAS!$AB322&lt;&gt;0,CUENTAS!G322/CUENTAS!$AB322,"")</f>
        <v/>
      </c>
      <c r="Z333" s="459">
        <f>IF(CUENTAS!H322/CUENTAS!$AB322&lt;&gt;0,CUENTAS!H322/CUENTAS!$AB322,"")</f>
        <v>1.131019633</v>
      </c>
      <c r="AA333" s="459" t="str">
        <f>IF(CUENTAS!I322/CUENTAS!$AB322&lt;&gt;0,CUENTAS!I322/CUENTAS!$AB322,"")</f>
        <v/>
      </c>
      <c r="AB333" s="459" t="str">
        <f>IF(CUENTAS!J322/CUENTAS!$AB322&lt;&gt;0,CUENTAS!J322/CUENTAS!$AB322,"")</f>
        <v/>
      </c>
      <c r="AC333" s="459">
        <f>IF(CUENTAS!K322/CUENTAS!$AB322&lt;&gt;0,CUENTAS!K322/CUENTAS!$AB322,"")</f>
        <v>0.2715935302</v>
      </c>
      <c r="AD333" s="459" t="str">
        <f>IF(CUENTAS!L322/CUENTAS!$AB322&lt;&gt;0,CUENTAS!L322/CUENTAS!$AB322,"")</f>
        <v/>
      </c>
      <c r="AE333" s="459" t="str">
        <f>IF(CUENTAS!M322/CUENTAS!$AB322&lt;&gt;0,CUENTAS!M322/CUENTAS!$AB322,"")</f>
        <v/>
      </c>
      <c r="AF333" s="459" t="str">
        <f>IF(CUENTAS!N322/CUENTAS!$AB322&lt;&gt;0,CUENTAS!N322/CUENTAS!$AB322,"")</f>
        <v/>
      </c>
      <c r="AG333" s="459" t="str">
        <f>IF(CUENTAS!O322/CUENTAS!$AB322&lt;&gt;0,CUENTAS!O322/CUENTAS!$AB322,"")</f>
        <v/>
      </c>
      <c r="AH333" s="459" t="str">
        <f>IF(CUENTAS!P322/CUENTAS!$AB322&lt;&gt;0,CUENTAS!P322/CUENTAS!$AB322,"")</f>
        <v/>
      </c>
      <c r="AI333" s="459">
        <f>IF(CUENTAS!R322/CUENTAS!$AB322&lt;&gt;0,CUENTAS!R322/CUENTAS!$AB322,"")</f>
        <v>0.118378251</v>
      </c>
      <c r="AJ333" s="459" t="str">
        <f>IF(CUENTAS!B322/CUENTAS!$AB322&lt;&gt;0,CUENTAS!B322/CUENTAS!$AB322,"")</f>
        <v/>
      </c>
      <c r="AK333" s="459">
        <f>IF(CUENTAS!S322/CUENTAS!$AB322&lt;&gt;0,CUENTAS!S322/CUENTAS!$AB322,"")</f>
        <v>0.3685776685</v>
      </c>
      <c r="AL333" s="459">
        <f>IF(CUENTAS!T322/CUENTAS!$AB322&lt;&gt;0,CUENTAS!T322/CUENTAS!$AB322,"")</f>
        <v>0.2819318975</v>
      </c>
      <c r="AM333" s="459" t="str">
        <f>IF(CUENTAS!U322/CUENTAS!$AB322&lt;&gt;0,CUENTAS!U322/CUENTAS!$AB322,"")</f>
        <v/>
      </c>
      <c r="AN333" s="459">
        <f>IF(CUENTAS!V322/CUENTAS!$AB322&lt;&gt;0,CUENTAS!V322/CUENTAS!$AB322,"")</f>
        <v>0.1143872129</v>
      </c>
      <c r="AO333" s="459" t="str">
        <f>IF(CUENTAS!W322/CUENTAS!$AB322&lt;&gt;0,CUENTAS!W322/CUENTAS!$AB322,"")</f>
        <v/>
      </c>
      <c r="AP333" s="459" t="str">
        <f>IF(CUENTAS!X322/CUENTAS!$AB322&lt;&gt;0,CUENTAS!X322/CUENTAS!$AB322,"")</f>
        <v/>
      </c>
      <c r="AQ333" s="459" t="str">
        <f>IF(CUENTAS!Y322/CUENTAS!$AB322&lt;&gt;0,CUENTAS!Y322/CUENTAS!$AB322,"")</f>
        <v/>
      </c>
      <c r="AR333" s="459">
        <f>IF(CUENTAS!AA322/CUENTAS!$AB322&lt;&gt;0,CUENTAS!AA322/CUENTAS!$AB322,"")</f>
        <v>0.539305945</v>
      </c>
    </row>
    <row r="334">
      <c r="A334" s="474"/>
      <c r="B334" s="200"/>
      <c r="C334" s="200"/>
      <c r="F334" s="200"/>
      <c r="G334" s="200"/>
      <c r="J334" s="470">
        <v>45326.0</v>
      </c>
      <c r="K334" s="466">
        <f>SUMIF(GRAFICO!A:A,J334,GRAFICO!B:B)</f>
        <v>10240.23733</v>
      </c>
      <c r="L334" s="467">
        <f t="shared" si="2"/>
        <v>0.01367046319</v>
      </c>
      <c r="M334" s="468">
        <v>45692.0</v>
      </c>
      <c r="N334" s="469">
        <f>SUMIF(GRAFICO!A:A,M334,GRAFICO!B:B)</f>
        <v>15383.84691</v>
      </c>
      <c r="O334" s="467">
        <f t="shared" si="5"/>
        <v>0.1002447821</v>
      </c>
      <c r="P334" s="468">
        <v>46057.0</v>
      </c>
      <c r="Q334" s="463">
        <f>IF(SUMIF(GRAFICO!A:A,P334,GRAFICO!B:B)=0,"",SUMIF(GRAFICO!A:A,P334,GRAFICO!B:B))</f>
        <v>21678.66641</v>
      </c>
      <c r="R334" s="463">
        <f t="shared" si="4"/>
        <v>0.0438868475</v>
      </c>
      <c r="S334" s="471">
        <f>CUENTAS!A323</f>
        <v>45779</v>
      </c>
      <c r="T334" s="459">
        <f>IF(CUENTAS!Q323/CUENTAS!$AB323&lt;&gt;0,CUENTAS!Q323/CUENTAS!$AB323,"")</f>
        <v>0.3251829792</v>
      </c>
      <c r="U334" s="459" t="str">
        <f>IF(CUENTAS!C323/CUENTAS!$AB323&lt;&gt;0,CUENTAS!C323/CUENTAS!$AB323,"")</f>
        <v/>
      </c>
      <c r="V334" s="459" t="str">
        <f>IF(CUENTAS!D323/CUENTAS!$AB323&lt;&gt;0,CUENTAS!D323/CUENTAS!$AB323,"")</f>
        <v/>
      </c>
      <c r="W334" s="459" t="str">
        <f>IF(CUENTAS!E323/CUENTAS!$AB323&lt;&gt;0,CUENTAS!E323/CUENTAS!$AB323,"")</f>
        <v/>
      </c>
      <c r="X334" s="459" t="str">
        <f>IF(CUENTAS!F323/CUENTAS!$AB323&lt;&gt;0,CUENTAS!F323/CUENTAS!$AB323,"")</f>
        <v/>
      </c>
      <c r="Y334" s="459" t="str">
        <f>IF(CUENTAS!G323/CUENTAS!$AB323&lt;&gt;0,CUENTAS!G323/CUENTAS!$AB323,"")</f>
        <v/>
      </c>
      <c r="Z334" s="459">
        <f>IF(CUENTAS!H323/CUENTAS!$AB323&lt;&gt;0,CUENTAS!H323/CUENTAS!$AB323,"")</f>
        <v>1.129279936</v>
      </c>
      <c r="AA334" s="459" t="str">
        <f>IF(CUENTAS!I323/CUENTAS!$AB323&lt;&gt;0,CUENTAS!I323/CUENTAS!$AB323,"")</f>
        <v/>
      </c>
      <c r="AB334" s="459" t="str">
        <f>IF(CUENTAS!J323/CUENTAS!$AB323&lt;&gt;0,CUENTAS!J323/CUENTAS!$AB323,"")</f>
        <v/>
      </c>
      <c r="AC334" s="459">
        <f>IF(CUENTAS!K323/CUENTAS!$AB323&lt;&gt;0,CUENTAS!K323/CUENTAS!$AB323,"")</f>
        <v>0.2711757741</v>
      </c>
      <c r="AD334" s="459" t="str">
        <f>IF(CUENTAS!L323/CUENTAS!$AB323&lt;&gt;0,CUENTAS!L323/CUENTAS!$AB323,"")</f>
        <v/>
      </c>
      <c r="AE334" s="459" t="str">
        <f>IF(CUENTAS!M323/CUENTAS!$AB323&lt;&gt;0,CUENTAS!M323/CUENTAS!$AB323,"")</f>
        <v/>
      </c>
      <c r="AF334" s="459" t="str">
        <f>IF(CUENTAS!N323/CUENTAS!$AB323&lt;&gt;0,CUENTAS!N323/CUENTAS!$AB323,"")</f>
        <v/>
      </c>
      <c r="AG334" s="459" t="str">
        <f>IF(CUENTAS!O323/CUENTAS!$AB323&lt;&gt;0,CUENTAS!O323/CUENTAS!$AB323,"")</f>
        <v/>
      </c>
      <c r="AH334" s="459" t="str">
        <f>IF(CUENTAS!P323/CUENTAS!$AB323&lt;&gt;0,CUENTAS!P323/CUENTAS!$AB323,"")</f>
        <v/>
      </c>
      <c r="AI334" s="459" t="str">
        <f>IF(CUENTAS!R323/CUENTAS!$AB323&lt;&gt;0,CUENTAS!R323/CUENTAS!$AB323,"")</f>
        <v/>
      </c>
      <c r="AJ334" s="459" t="str">
        <f>IF(CUENTAS!B323/CUENTAS!$AB323&lt;&gt;0,CUENTAS!B323/CUENTAS!$AB323,"")</f>
        <v/>
      </c>
      <c r="AK334" s="459">
        <f>IF(CUENTAS!S323/CUENTAS!$AB323&lt;&gt;0,CUENTAS!S323/CUENTAS!$AB323,"")</f>
        <v>0.3673928234</v>
      </c>
      <c r="AL334" s="459">
        <f>IF(CUENTAS!T323/CUENTAS!$AB323&lt;&gt;0,CUENTAS!T323/CUENTAS!$AB323,"")</f>
        <v>0.2814588405</v>
      </c>
      <c r="AM334" s="459" t="str">
        <f>IF(CUENTAS!U323/CUENTAS!$AB323&lt;&gt;0,CUENTAS!U323/CUENTAS!$AB323,"")</f>
        <v/>
      </c>
      <c r="AN334" s="459">
        <f>IF(CUENTAS!V323/CUENTAS!$AB323&lt;&gt;0,CUENTAS!V323/CUENTAS!$AB323,"")</f>
        <v>0.1142112663</v>
      </c>
      <c r="AO334" s="459" t="str">
        <f>IF(CUENTAS!W323/CUENTAS!$AB323&lt;&gt;0,CUENTAS!W323/CUENTAS!$AB323,"")</f>
        <v/>
      </c>
      <c r="AP334" s="459" t="str">
        <f>IF(CUENTAS!X323/CUENTAS!$AB323&lt;&gt;0,CUENTAS!X323/CUENTAS!$AB323,"")</f>
        <v/>
      </c>
      <c r="AQ334" s="459" t="str">
        <f>IF(CUENTAS!Y323/CUENTAS!$AB323&lt;&gt;0,CUENTAS!Y323/CUENTAS!$AB323,"")</f>
        <v/>
      </c>
      <c r="AR334" s="459">
        <f>IF(CUENTAS!AA323/CUENTAS!$AB323&lt;&gt;0,CUENTAS!AA323/CUENTAS!$AB323,"")</f>
        <v>0.656672568</v>
      </c>
    </row>
    <row r="335">
      <c r="A335" s="474"/>
      <c r="B335" s="200"/>
      <c r="C335" s="200"/>
      <c r="F335" s="200"/>
      <c r="G335" s="200"/>
      <c r="J335" s="470">
        <v>45325.0</v>
      </c>
      <c r="K335" s="466">
        <f>SUMIF(GRAFICO!A:A,J335,GRAFICO!B:B)</f>
        <v>10235.9653</v>
      </c>
      <c r="L335" s="467">
        <f t="shared" si="2"/>
        <v>0.01325319552</v>
      </c>
      <c r="M335" s="468">
        <v>45691.0</v>
      </c>
      <c r="N335" s="469">
        <f>SUMIF(GRAFICO!A:A,M335,GRAFICO!B:B)</f>
        <v>15282.00619</v>
      </c>
      <c r="O335" s="467">
        <f t="shared" si="5"/>
        <v>0.09360279527</v>
      </c>
      <c r="P335" s="468">
        <v>46056.0</v>
      </c>
      <c r="Q335" s="463">
        <f>IF(SUMIF(GRAFICO!A:A,P335,GRAFICO!B:B)=0,"",SUMIF(GRAFICO!A:A,P335,GRAFICO!B:B))</f>
        <v>21735.20322</v>
      </c>
      <c r="R335" s="463">
        <f t="shared" si="4"/>
        <v>0.04649139948</v>
      </c>
      <c r="S335" s="471">
        <f>CUENTAS!A324</f>
        <v>45778</v>
      </c>
      <c r="T335" s="459">
        <f>IF(CUENTAS!Q324/CUENTAS!$AB324&lt;&gt;0,CUENTAS!Q324/CUENTAS!$AB324,"")</f>
        <v>0.323417422</v>
      </c>
      <c r="U335" s="459" t="str">
        <f>IF(CUENTAS!C324/CUENTAS!$AB324&lt;&gt;0,CUENTAS!C324/CUENTAS!$AB324,"")</f>
        <v/>
      </c>
      <c r="V335" s="459" t="str">
        <f>IF(CUENTAS!D324/CUENTAS!$AB324&lt;&gt;0,CUENTAS!D324/CUENTAS!$AB324,"")</f>
        <v/>
      </c>
      <c r="W335" s="459" t="str">
        <f>IF(CUENTAS!E324/CUENTAS!$AB324&lt;&gt;0,CUENTAS!E324/CUENTAS!$AB324,"")</f>
        <v/>
      </c>
      <c r="X335" s="459" t="str">
        <f>IF(CUENTAS!F324/CUENTAS!$AB324&lt;&gt;0,CUENTAS!F324/CUENTAS!$AB324,"")</f>
        <v/>
      </c>
      <c r="Y335" s="459" t="str">
        <f>IF(CUENTAS!G324/CUENTAS!$AB324&lt;&gt;0,CUENTAS!G324/CUENTAS!$AB324,"")</f>
        <v/>
      </c>
      <c r="Z335" s="459">
        <f>IF(CUENTAS!H324/CUENTAS!$AB324&lt;&gt;0,CUENTAS!H324/CUENTAS!$AB324,"")</f>
        <v>1.1296596</v>
      </c>
      <c r="AA335" s="459" t="str">
        <f>IF(CUENTAS!I324/CUENTAS!$AB324&lt;&gt;0,CUENTAS!I324/CUENTAS!$AB324,"")</f>
        <v/>
      </c>
      <c r="AB335" s="459" t="str">
        <f>IF(CUENTAS!J324/CUENTAS!$AB324&lt;&gt;0,CUENTAS!J324/CUENTAS!$AB324,"")</f>
        <v/>
      </c>
      <c r="AC335" s="459">
        <f>IF(CUENTAS!K324/CUENTAS!$AB324&lt;&gt;0,CUENTAS!K324/CUENTAS!$AB324,"")</f>
        <v>0.2712669433</v>
      </c>
      <c r="AD335" s="459" t="str">
        <f>IF(CUENTAS!L324/CUENTAS!$AB324&lt;&gt;0,CUENTAS!L324/CUENTAS!$AB324,"")</f>
        <v/>
      </c>
      <c r="AE335" s="459" t="str">
        <f>IF(CUENTAS!M324/CUENTAS!$AB324&lt;&gt;0,CUENTAS!M324/CUENTAS!$AB324,"")</f>
        <v/>
      </c>
      <c r="AF335" s="459" t="str">
        <f>IF(CUENTAS!N324/CUENTAS!$AB324&lt;&gt;0,CUENTAS!N324/CUENTAS!$AB324,"")</f>
        <v/>
      </c>
      <c r="AG335" s="459" t="str">
        <f>IF(CUENTAS!O324/CUENTAS!$AB324&lt;&gt;0,CUENTAS!O324/CUENTAS!$AB324,"")</f>
        <v/>
      </c>
      <c r="AH335" s="459" t="str">
        <f>IF(CUENTAS!P324/CUENTAS!$AB324&lt;&gt;0,CUENTAS!P324/CUENTAS!$AB324,"")</f>
        <v/>
      </c>
      <c r="AI335" s="459" t="str">
        <f>IF(CUENTAS!R324/CUENTAS!$AB324&lt;&gt;0,CUENTAS!R324/CUENTAS!$AB324,"")</f>
        <v/>
      </c>
      <c r="AJ335" s="459" t="str">
        <f>IF(CUENTAS!B324/CUENTAS!$AB324&lt;&gt;0,CUENTAS!B324/CUENTAS!$AB324,"")</f>
        <v/>
      </c>
      <c r="AK335" s="459">
        <f>IF(CUENTAS!S324/CUENTAS!$AB324&lt;&gt;0,CUENTAS!S324/CUENTAS!$AB324,"")</f>
        <v>0.2824440054</v>
      </c>
      <c r="AL335" s="459">
        <f>IF(CUENTAS!T324/CUENTAS!$AB324&lt;&gt;0,CUENTAS!T324/CUENTAS!$AB324,"")</f>
        <v>0.2815140549</v>
      </c>
      <c r="AM335" s="459" t="str">
        <f>IF(CUENTAS!U324/CUENTAS!$AB324&lt;&gt;0,CUENTAS!U324/CUENTAS!$AB324,"")</f>
        <v/>
      </c>
      <c r="AN335" s="459">
        <f>IF(CUENTAS!V324/CUENTAS!$AB324&lt;&gt;0,CUENTAS!V324/CUENTAS!$AB324,"")</f>
        <v>0.114249664</v>
      </c>
      <c r="AO335" s="459" t="str">
        <f>IF(CUENTAS!W324/CUENTAS!$AB324&lt;&gt;0,CUENTAS!W324/CUENTAS!$AB324,"")</f>
        <v/>
      </c>
      <c r="AP335" s="459" t="str">
        <f>IF(CUENTAS!X324/CUENTAS!$AB324&lt;&gt;0,CUENTAS!X324/CUENTAS!$AB324,"")</f>
        <v/>
      </c>
      <c r="AQ335" s="459" t="str">
        <f>IF(CUENTAS!Y324/CUENTAS!$AB324&lt;&gt;0,CUENTAS!Y324/CUENTAS!$AB324,"")</f>
        <v/>
      </c>
      <c r="AR335" s="459">
        <f>IF(CUENTAS!AA324/CUENTAS!$AB324&lt;&gt;0,CUENTAS!AA324/CUENTAS!$AB324,"")</f>
        <v>0.7413475576</v>
      </c>
    </row>
    <row r="336">
      <c r="A336" s="474"/>
      <c r="B336" s="200"/>
      <c r="C336" s="200"/>
      <c r="F336" s="200"/>
      <c r="G336" s="200"/>
      <c r="J336" s="470">
        <v>45324.0</v>
      </c>
      <c r="K336" s="466">
        <f>SUMIF(GRAFICO!A:A,J336,GRAFICO!B:B)</f>
        <v>10232.41278</v>
      </c>
      <c r="L336" s="467">
        <f t="shared" si="2"/>
        <v>0.01290607354</v>
      </c>
      <c r="M336" s="468">
        <v>45690.0</v>
      </c>
      <c r="N336" s="469">
        <f>SUMIF(GRAFICO!A:A,M336,GRAFICO!B:B)</f>
        <v>15357.94069</v>
      </c>
      <c r="O336" s="467">
        <f t="shared" si="5"/>
        <v>0.09855937388</v>
      </c>
      <c r="P336" s="468">
        <v>46055.0</v>
      </c>
      <c r="Q336" s="463">
        <f>IF(SUMIF(GRAFICO!A:A,P336,GRAFICO!B:B)=0,"",SUMIF(GRAFICO!A:A,P336,GRAFICO!B:B))</f>
        <v>21736.82499</v>
      </c>
      <c r="R336" s="463">
        <f t="shared" si="4"/>
        <v>0.04656601136</v>
      </c>
      <c r="S336" s="471">
        <f>CUENTAS!A325</f>
        <v>45777</v>
      </c>
      <c r="T336" s="459">
        <f>IF(CUENTAS!Q325/CUENTAS!$AB325&lt;&gt;0,CUENTAS!Q325/CUENTAS!$AB325,"")</f>
        <v>0.3882054929</v>
      </c>
      <c r="U336" s="459" t="str">
        <f>IF(CUENTAS!C325/CUENTAS!$AB325&lt;&gt;0,CUENTAS!C325/CUENTAS!$AB325,"")</f>
        <v/>
      </c>
      <c r="V336" s="459" t="str">
        <f>IF(CUENTAS!D325/CUENTAS!$AB325&lt;&gt;0,CUENTAS!D325/CUENTAS!$AB325,"")</f>
        <v/>
      </c>
      <c r="W336" s="459" t="str">
        <f>IF(CUENTAS!E325/CUENTAS!$AB325&lt;&gt;0,CUENTAS!E325/CUENTAS!$AB325,"")</f>
        <v/>
      </c>
      <c r="X336" s="459" t="str">
        <f>IF(CUENTAS!F325/CUENTAS!$AB325&lt;&gt;0,CUENTAS!F325/CUENTAS!$AB325,"")</f>
        <v/>
      </c>
      <c r="Y336" s="459" t="str">
        <f>IF(CUENTAS!G325/CUENTAS!$AB325&lt;&gt;0,CUENTAS!G325/CUENTAS!$AB325,"")</f>
        <v/>
      </c>
      <c r="Z336" s="459">
        <f>IF(CUENTAS!H325/CUENTAS!$AB325&lt;&gt;0,CUENTAS!H325/CUENTAS!$AB325,"")</f>
        <v>1.355956828</v>
      </c>
      <c r="AA336" s="459" t="str">
        <f>IF(CUENTAS!I325/CUENTAS!$AB325&lt;&gt;0,CUENTAS!I325/CUENTAS!$AB325,"")</f>
        <v/>
      </c>
      <c r="AB336" s="459" t="str">
        <f>IF(CUENTAS!J325/CUENTAS!$AB325&lt;&gt;0,CUENTAS!J325/CUENTAS!$AB325,"")</f>
        <v/>
      </c>
      <c r="AC336" s="459">
        <f>IF(CUENTAS!K325/CUENTAS!$AB325&lt;&gt;0,CUENTAS!K325/CUENTAS!$AB325,"")</f>
        <v>0.3256080541</v>
      </c>
      <c r="AD336" s="459" t="str">
        <f>IF(CUENTAS!L325/CUENTAS!$AB325&lt;&gt;0,CUENTAS!L325/CUENTAS!$AB325,"")</f>
        <v/>
      </c>
      <c r="AE336" s="459" t="str">
        <f>IF(CUENTAS!M325/CUENTAS!$AB325&lt;&gt;0,CUENTAS!M325/CUENTAS!$AB325,"")</f>
        <v/>
      </c>
      <c r="AF336" s="459" t="str">
        <f>IF(CUENTAS!N325/CUENTAS!$AB325&lt;&gt;0,CUENTAS!N325/CUENTAS!$AB325,"")</f>
        <v/>
      </c>
      <c r="AG336" s="459" t="str">
        <f>IF(CUENTAS!O325/CUENTAS!$AB325&lt;&gt;0,CUENTAS!O325/CUENTAS!$AB325,"")</f>
        <v/>
      </c>
      <c r="AH336" s="459" t="str">
        <f>IF(CUENTAS!P325/CUENTAS!$AB325&lt;&gt;0,CUENTAS!P325/CUENTAS!$AB325,"")</f>
        <v/>
      </c>
      <c r="AI336" s="459" t="str">
        <f>IF(CUENTAS!R325/CUENTAS!$AB325&lt;&gt;0,CUENTAS!R325/CUENTAS!$AB325,"")</f>
        <v/>
      </c>
      <c r="AJ336" s="459" t="str">
        <f>IF(CUENTAS!B325/CUENTAS!$AB325&lt;&gt;0,CUENTAS!B325/CUENTAS!$AB325,"")</f>
        <v/>
      </c>
      <c r="AK336" s="459">
        <f>IF(CUENTAS!S325/CUENTAS!$AB325&lt;&gt;0,CUENTAS!S325/CUENTAS!$AB325,"")</f>
        <v>0.3384660224</v>
      </c>
      <c r="AL336" s="459">
        <f>IF(CUENTAS!T325/CUENTAS!$AB325&lt;&gt;0,CUENTAS!T325/CUENTAS!$AB325,"")</f>
        <v>0.3379079017</v>
      </c>
      <c r="AM336" s="459" t="str">
        <f>IF(CUENTAS!U325/CUENTAS!$AB325&lt;&gt;0,CUENTAS!U325/CUENTAS!$AB325,"")</f>
        <v/>
      </c>
      <c r="AN336" s="459">
        <f>IF(CUENTAS!V325/CUENTAS!$AB325&lt;&gt;0,CUENTAS!V325/CUENTAS!$AB325,"")</f>
        <v>0.1371365428</v>
      </c>
      <c r="AO336" s="459" t="str">
        <f>IF(CUENTAS!W325/CUENTAS!$AB325&lt;&gt;0,CUENTAS!W325/CUENTAS!$AB325,"")</f>
        <v/>
      </c>
      <c r="AP336" s="459" t="str">
        <f>IF(CUENTAS!X325/CUENTAS!$AB325&lt;&gt;0,CUENTAS!X325/CUENTAS!$AB325,"")</f>
        <v/>
      </c>
      <c r="AQ336" s="459" t="str">
        <f>IF(CUENTAS!Y325/CUENTAS!$AB325&lt;&gt;0,CUENTAS!Y325/CUENTAS!$AB325,"")</f>
        <v/>
      </c>
      <c r="AR336" s="459">
        <f>IF(CUENTAS!AA325/CUENTAS!$AB325&lt;&gt;0,CUENTAS!AA325/CUENTAS!$AB325,"")</f>
        <v>0.687455379</v>
      </c>
    </row>
    <row r="337">
      <c r="A337" s="474"/>
      <c r="B337" s="200"/>
      <c r="C337" s="200"/>
      <c r="F337" s="200"/>
      <c r="G337" s="200"/>
      <c r="J337" s="465">
        <v>45323.0</v>
      </c>
      <c r="K337" s="466">
        <f>SUMIF(GRAFICO!A:A,J337,GRAFICO!B:B)</f>
        <v>10228.42495</v>
      </c>
      <c r="L337" s="467">
        <f t="shared" si="2"/>
        <v>0.01251627228</v>
      </c>
      <c r="M337" s="468">
        <v>45689.0</v>
      </c>
      <c r="N337" s="469">
        <f>SUMIF(GRAFICO!A:A,M337,GRAFICO!B:B)</f>
        <v>15357.94069</v>
      </c>
      <c r="O337" s="467">
        <f t="shared" si="5"/>
        <v>0.09855937388</v>
      </c>
      <c r="P337" s="468">
        <v>46054.0</v>
      </c>
      <c r="Q337" s="463">
        <f>IF(SUMIF(GRAFICO!A:A,P337,GRAFICO!B:B)=0,"",SUMIF(GRAFICO!A:A,P337,GRAFICO!B:B))</f>
        <v>21907.7542</v>
      </c>
      <c r="R337" s="463">
        <f t="shared" si="4"/>
        <v>0.05439883216</v>
      </c>
      <c r="S337" s="471">
        <f>CUENTAS!A326</f>
        <v>45776</v>
      </c>
      <c r="T337" s="459">
        <f>IF(CUENTAS!Q326/CUENTAS!$AB326&lt;&gt;0,CUENTAS!Q326/CUENTAS!$AB326,"")</f>
        <v>0.3783070988</v>
      </c>
      <c r="U337" s="459" t="str">
        <f>IF(CUENTAS!C326/CUENTAS!$AB326&lt;&gt;0,CUENTAS!C326/CUENTAS!$AB326,"")</f>
        <v/>
      </c>
      <c r="V337" s="459" t="str">
        <f>IF(CUENTAS!D326/CUENTAS!$AB326&lt;&gt;0,CUENTAS!D326/CUENTAS!$AB326,"")</f>
        <v/>
      </c>
      <c r="W337" s="459" t="str">
        <f>IF(CUENTAS!E326/CUENTAS!$AB326&lt;&gt;0,CUENTAS!E326/CUENTAS!$AB326,"")</f>
        <v/>
      </c>
      <c r="X337" s="459" t="str">
        <f>IF(CUENTAS!F326/CUENTAS!$AB326&lt;&gt;0,CUENTAS!F326/CUENTAS!$AB326,"")</f>
        <v/>
      </c>
      <c r="Y337" s="459" t="str">
        <f>IF(CUENTAS!G326/CUENTAS!$AB326&lt;&gt;0,CUENTAS!G326/CUENTAS!$AB326,"")</f>
        <v/>
      </c>
      <c r="Z337" s="459">
        <f>IF(CUENTAS!H326/CUENTAS!$AB326&lt;&gt;0,CUENTAS!H326/CUENTAS!$AB326,"")</f>
        <v>1.286446608</v>
      </c>
      <c r="AA337" s="459" t="str">
        <f>IF(CUENTAS!I326/CUENTAS!$AB326&lt;&gt;0,CUENTAS!I326/CUENTAS!$AB326,"")</f>
        <v/>
      </c>
      <c r="AB337" s="459" t="str">
        <f>IF(CUENTAS!J326/CUENTAS!$AB326&lt;&gt;0,CUENTAS!J326/CUENTAS!$AB326,"")</f>
        <v/>
      </c>
      <c r="AC337" s="459">
        <f>IF(CUENTAS!K326/CUENTAS!$AB326&lt;&gt;0,CUENTAS!K326/CUENTAS!$AB326,"")</f>
        <v>0.3117067943</v>
      </c>
      <c r="AD337" s="459" t="str">
        <f>IF(CUENTAS!L326/CUENTAS!$AB326&lt;&gt;0,CUENTAS!L326/CUENTAS!$AB326,"")</f>
        <v/>
      </c>
      <c r="AE337" s="459" t="str">
        <f>IF(CUENTAS!M326/CUENTAS!$AB326&lt;&gt;0,CUENTAS!M326/CUENTAS!$AB326,"")</f>
        <v/>
      </c>
      <c r="AF337" s="459" t="str">
        <f>IF(CUENTAS!N326/CUENTAS!$AB326&lt;&gt;0,CUENTAS!N326/CUENTAS!$AB326,"")</f>
        <v/>
      </c>
      <c r="AG337" s="459" t="str">
        <f>IF(CUENTAS!O326/CUENTAS!$AB326&lt;&gt;0,CUENTAS!O326/CUENTAS!$AB326,"")</f>
        <v/>
      </c>
      <c r="AH337" s="459" t="str">
        <f>IF(CUENTAS!P326/CUENTAS!$AB326&lt;&gt;0,CUENTAS!P326/CUENTAS!$AB326,"")</f>
        <v/>
      </c>
      <c r="AI337" s="459" t="str">
        <f>IF(CUENTAS!R326/CUENTAS!$AB326&lt;&gt;0,CUENTAS!R326/CUENTAS!$AB326,"")</f>
        <v/>
      </c>
      <c r="AJ337" s="459" t="str">
        <f>IF(CUENTAS!B326/CUENTAS!$AB326&lt;&gt;0,CUENTAS!B326/CUENTAS!$AB326,"")</f>
        <v/>
      </c>
      <c r="AK337" s="459">
        <f>IF(CUENTAS!S326/CUENTAS!$AB326&lt;&gt;0,CUENTAS!S326/CUENTAS!$AB326,"")</f>
        <v>0.3255178664</v>
      </c>
      <c r="AL337" s="459">
        <f>IF(CUENTAS!T326/CUENTAS!$AB326&lt;&gt;0,CUENTAS!T326/CUENTAS!$AB326,"")</f>
        <v>0.3255178664</v>
      </c>
      <c r="AM337" s="459" t="str">
        <f>IF(CUENTAS!U326/CUENTAS!$AB326&lt;&gt;0,CUENTAS!U326/CUENTAS!$AB326,"")</f>
        <v/>
      </c>
      <c r="AN337" s="459">
        <f>IF(CUENTAS!V326/CUENTAS!$AB326&lt;&gt;0,CUENTAS!V326/CUENTAS!$AB326,"")</f>
        <v>0.1321081709</v>
      </c>
      <c r="AO337" s="459" t="str">
        <f>IF(CUENTAS!W326/CUENTAS!$AB326&lt;&gt;0,CUENTAS!W326/CUENTAS!$AB326,"")</f>
        <v/>
      </c>
      <c r="AP337" s="459" t="str">
        <f>IF(CUENTAS!X326/CUENTAS!$AB326&lt;&gt;0,CUENTAS!X326/CUENTAS!$AB326,"")</f>
        <v/>
      </c>
      <c r="AQ337" s="459" t="str">
        <f>IF(CUENTAS!Y326/CUENTAS!$AB326&lt;&gt;0,CUENTAS!Y326/CUENTAS!$AB326,"")</f>
        <v/>
      </c>
      <c r="AR337" s="459">
        <f>IF(CUENTAS!AA326/CUENTAS!$AB326&lt;&gt;0,CUENTAS!AA326/CUENTAS!$AB326,"")</f>
        <v>0.7143313798</v>
      </c>
    </row>
    <row r="338">
      <c r="A338" s="474"/>
      <c r="B338" s="200"/>
      <c r="C338" s="200"/>
      <c r="F338" s="200"/>
      <c r="G338" s="200"/>
      <c r="J338" s="465">
        <v>45322.0</v>
      </c>
      <c r="K338" s="466">
        <f>SUMIF(GRAFICO!A:A,J338,GRAFICO!B:B)</f>
        <v>10224.65284</v>
      </c>
      <c r="L338" s="467">
        <f t="shared" si="2"/>
        <v>0.01214741701</v>
      </c>
      <c r="M338" s="468">
        <v>45688.0</v>
      </c>
      <c r="N338" s="469">
        <f>SUMIF(GRAFICO!A:A,M338,GRAFICO!B:B)</f>
        <v>15357.94069</v>
      </c>
      <c r="O338" s="467">
        <f t="shared" si="5"/>
        <v>0.09855937388</v>
      </c>
      <c r="P338" s="468">
        <v>46053.0</v>
      </c>
      <c r="Q338" s="463">
        <f>IF(SUMIF(GRAFICO!A:A,P338,GRAFICO!B:B)=0,"",SUMIF(GRAFICO!A:A,P338,GRAFICO!B:B))</f>
        <v>21907.78742</v>
      </c>
      <c r="R338" s="463">
        <f t="shared" si="4"/>
        <v>0.05440034855</v>
      </c>
      <c r="S338" s="471">
        <f>CUENTAS!A327</f>
        <v>45775</v>
      </c>
      <c r="T338" s="459">
        <f>IF(CUENTAS!Q327/CUENTAS!$AB327&lt;&gt;0,CUENTAS!Q327/CUENTAS!$AB327,"")</f>
        <v>0.005764570547</v>
      </c>
      <c r="U338" s="459" t="str">
        <f>IF(CUENTAS!C327/CUENTAS!$AB327&lt;&gt;0,CUENTAS!C327/CUENTAS!$AB327,"")</f>
        <v/>
      </c>
      <c r="V338" s="459" t="str">
        <f>IF(CUENTAS!D327/CUENTAS!$AB327&lt;&gt;0,CUENTAS!D327/CUENTAS!$AB327,"")</f>
        <v/>
      </c>
      <c r="W338" s="459" t="str">
        <f>IF(CUENTAS!E327/CUENTAS!$AB327&lt;&gt;0,CUENTAS!E327/CUENTAS!$AB327,"")</f>
        <v/>
      </c>
      <c r="X338" s="459" t="str">
        <f>IF(CUENTAS!F327/CUENTAS!$AB327&lt;&gt;0,CUENTAS!F327/CUENTAS!$AB327,"")</f>
        <v/>
      </c>
      <c r="Y338" s="459" t="str">
        <f>IF(CUENTAS!G327/CUENTAS!$AB327&lt;&gt;0,CUENTAS!G327/CUENTAS!$AB327,"")</f>
        <v/>
      </c>
      <c r="Z338" s="459">
        <f>IF(CUENTAS!H327/CUENTAS!$AB327&lt;&gt;0,CUENTAS!H327/CUENTAS!$AB327,"")</f>
        <v>0.7120983147</v>
      </c>
      <c r="AA338" s="459">
        <f>IF(CUENTAS!I327/CUENTAS!$AB327&lt;&gt;0,CUENTAS!I327/CUENTAS!$AB327,"")</f>
        <v>0.01816114226</v>
      </c>
      <c r="AB338" s="459">
        <f>IF(CUENTAS!J327/CUENTAS!$AB327&lt;&gt;0,CUENTAS!J327/CUENTAS!$AB327,"")</f>
        <v>0.04150490794</v>
      </c>
      <c r="AC338" s="459" t="str">
        <f>IF(CUENTAS!K327/CUENTAS!$AB327&lt;&gt;0,CUENTAS!K327/CUENTAS!$AB327,"")</f>
        <v/>
      </c>
      <c r="AD338" s="459" t="str">
        <f>IF(CUENTAS!L327/CUENTAS!$AB327&lt;&gt;0,CUENTAS!L327/CUENTAS!$AB327,"")</f>
        <v/>
      </c>
      <c r="AE338" s="459" t="str">
        <f>IF(CUENTAS!M327/CUENTAS!$AB327&lt;&gt;0,CUENTAS!M327/CUENTAS!$AB327,"")</f>
        <v/>
      </c>
      <c r="AF338" s="459" t="str">
        <f>IF(CUENTAS!N327/CUENTAS!$AB327&lt;&gt;0,CUENTAS!N327/CUENTAS!$AB327,"")</f>
        <v/>
      </c>
      <c r="AG338" s="459" t="str">
        <f>IF(CUENTAS!O327/CUENTAS!$AB327&lt;&gt;0,CUENTAS!O327/CUENTAS!$AB327,"")</f>
        <v/>
      </c>
      <c r="AH338" s="459" t="str">
        <f>IF(CUENTAS!P327/CUENTAS!$AB327&lt;&gt;0,CUENTAS!P327/CUENTAS!$AB327,"")</f>
        <v/>
      </c>
      <c r="AI338" s="459">
        <f>IF(CUENTAS!R327/CUENTAS!$AB327&lt;&gt;0,CUENTAS!R327/CUENTAS!$AB327,"")</f>
        <v>0.02928035833</v>
      </c>
      <c r="AJ338" s="459" t="str">
        <f>IF(CUENTAS!B327/CUENTAS!$AB327&lt;&gt;0,CUENTAS!B327/CUENTAS!$AB327,"")</f>
        <v/>
      </c>
      <c r="AK338" s="459" t="str">
        <f>IF(CUENTAS!S327/CUENTAS!$AB327&lt;&gt;0,CUENTAS!S327/CUENTAS!$AB327,"")</f>
        <v/>
      </c>
      <c r="AL338" s="459" t="str">
        <f>IF(CUENTAS!T327/CUENTAS!$AB327&lt;&gt;0,CUENTAS!T327/CUENTAS!$AB327,"")</f>
        <v/>
      </c>
      <c r="AM338" s="459" t="str">
        <f>IF(CUENTAS!U327/CUENTAS!$AB327&lt;&gt;0,CUENTAS!U327/CUENTAS!$AB327,"")</f>
        <v/>
      </c>
      <c r="AN338" s="459">
        <f>IF(CUENTAS!V327/CUENTAS!$AB327&lt;&gt;0,CUENTAS!V327/CUENTAS!$AB327,"")</f>
        <v>0.07426962891</v>
      </c>
      <c r="AO338" s="459" t="str">
        <f>IF(CUENTAS!W327/CUENTAS!$AB327&lt;&gt;0,CUENTAS!W327/CUENTAS!$AB327,"")</f>
        <v/>
      </c>
      <c r="AP338" s="459" t="str">
        <f>IF(CUENTAS!X327/CUENTAS!$AB327&lt;&gt;0,CUENTAS!X327/CUENTAS!$AB327,"")</f>
        <v/>
      </c>
      <c r="AQ338" s="459" t="str">
        <f>IF(CUENTAS!Y327/CUENTAS!$AB327&lt;&gt;0,CUENTAS!Y327/CUENTAS!$AB327,"")</f>
        <v/>
      </c>
      <c r="AR338" s="459">
        <f>IF(CUENTAS!AA327/CUENTAS!$AB327&lt;&gt;0,CUENTAS!AA327/CUENTAS!$AB327,"")</f>
        <v>0.1189210774</v>
      </c>
    </row>
    <row r="339">
      <c r="A339" s="474"/>
      <c r="B339" s="200"/>
      <c r="C339" s="200"/>
      <c r="F339" s="200"/>
      <c r="G339" s="200"/>
      <c r="J339" s="465">
        <v>45321.0</v>
      </c>
      <c r="K339" s="466">
        <f>SUMIF(GRAFICO!A:A,J339,GRAFICO!B:B)</f>
        <v>10220.91317</v>
      </c>
      <c r="L339" s="467">
        <f t="shared" si="2"/>
        <v>0.01178159953</v>
      </c>
      <c r="M339" s="468">
        <v>45687.0</v>
      </c>
      <c r="N339" s="469">
        <f>SUMIF(GRAFICO!A:A,M339,GRAFICO!B:B)</f>
        <v>15455.88001</v>
      </c>
      <c r="O339" s="467">
        <f t="shared" si="5"/>
        <v>0.1049162392</v>
      </c>
      <c r="P339" s="468">
        <v>46052.0</v>
      </c>
      <c r="Q339" s="463">
        <f>IF(SUMIF(GRAFICO!A:A,P339,GRAFICO!B:B)=0,"",SUMIF(GRAFICO!A:A,P339,GRAFICO!B:B))</f>
        <v>21928.82097</v>
      </c>
      <c r="R339" s="463">
        <f t="shared" si="4"/>
        <v>0.05535998264</v>
      </c>
      <c r="S339" s="471">
        <f>CUENTAS!A328</f>
        <v>45774</v>
      </c>
      <c r="T339" s="459">
        <f>IF(CUENTAS!Q328/CUENTAS!$AB328&lt;&gt;0,CUENTAS!Q328/CUENTAS!$AB328,"")</f>
        <v>0.006075367759</v>
      </c>
      <c r="U339" s="459" t="str">
        <f>IF(CUENTAS!C328/CUENTAS!$AB328&lt;&gt;0,CUENTAS!C328/CUENTAS!$AB328,"")</f>
        <v/>
      </c>
      <c r="V339" s="459" t="str">
        <f>IF(CUENTAS!D328/CUENTAS!$AB328&lt;&gt;0,CUENTAS!D328/CUENTAS!$AB328,"")</f>
        <v/>
      </c>
      <c r="W339" s="459" t="str">
        <f>IF(CUENTAS!E328/CUENTAS!$AB328&lt;&gt;0,CUENTAS!E328/CUENTAS!$AB328,"")</f>
        <v/>
      </c>
      <c r="X339" s="459" t="str">
        <f>IF(CUENTAS!F328/CUENTAS!$AB328&lt;&gt;0,CUENTAS!F328/CUENTAS!$AB328,"")</f>
        <v/>
      </c>
      <c r="Y339" s="459" t="str">
        <f>IF(CUENTAS!G328/CUENTAS!$AB328&lt;&gt;0,CUENTAS!G328/CUENTAS!$AB328,"")</f>
        <v/>
      </c>
      <c r="Z339" s="459">
        <f>IF(CUENTAS!H328/CUENTAS!$AB328&lt;&gt;0,CUENTAS!H328/CUENTAS!$AB328,"")</f>
        <v>0.706468994</v>
      </c>
      <c r="AA339" s="459">
        <f>IF(CUENTAS!I328/CUENTAS!$AB328&lt;&gt;0,CUENTAS!I328/CUENTAS!$AB328,"")</f>
        <v>0.01950609879</v>
      </c>
      <c r="AB339" s="459">
        <f>IF(CUENTAS!J328/CUENTAS!$AB328&lt;&gt;0,CUENTAS!J328/CUENTAS!$AB328,"")</f>
        <v>0.0419410634</v>
      </c>
      <c r="AC339" s="459" t="str">
        <f>IF(CUENTAS!K328/CUENTAS!$AB328&lt;&gt;0,CUENTAS!K328/CUENTAS!$AB328,"")</f>
        <v/>
      </c>
      <c r="AD339" s="459" t="str">
        <f>IF(CUENTAS!L328/CUENTAS!$AB328&lt;&gt;0,CUENTAS!L328/CUENTAS!$AB328,"")</f>
        <v/>
      </c>
      <c r="AE339" s="459" t="str">
        <f>IF(CUENTAS!M328/CUENTAS!$AB328&lt;&gt;0,CUENTAS!M328/CUENTAS!$AB328,"")</f>
        <v/>
      </c>
      <c r="AF339" s="459" t="str">
        <f>IF(CUENTAS!N328/CUENTAS!$AB328&lt;&gt;0,CUENTAS!N328/CUENTAS!$AB328,"")</f>
        <v/>
      </c>
      <c r="AG339" s="459" t="str">
        <f>IF(CUENTAS!O328/CUENTAS!$AB328&lt;&gt;0,CUENTAS!O328/CUENTAS!$AB328,"")</f>
        <v/>
      </c>
      <c r="AH339" s="459" t="str">
        <f>IF(CUENTAS!P328/CUENTAS!$AB328&lt;&gt;0,CUENTAS!P328/CUENTAS!$AB328,"")</f>
        <v/>
      </c>
      <c r="AI339" s="459">
        <f>IF(CUENTAS!R328/CUENTAS!$AB328&lt;&gt;0,CUENTAS!R328/CUENTAS!$AB328,"")</f>
        <v>0.03130271451</v>
      </c>
      <c r="AJ339" s="459" t="str">
        <f>IF(CUENTAS!B328/CUENTAS!$AB328&lt;&gt;0,CUENTAS!B328/CUENTAS!$AB328,"")</f>
        <v/>
      </c>
      <c r="AK339" s="459" t="str">
        <f>IF(CUENTAS!S328/CUENTAS!$AB328&lt;&gt;0,CUENTAS!S328/CUENTAS!$AB328,"")</f>
        <v/>
      </c>
      <c r="AL339" s="459" t="str">
        <f>IF(CUENTAS!T328/CUENTAS!$AB328&lt;&gt;0,CUENTAS!T328/CUENTAS!$AB328,"")</f>
        <v/>
      </c>
      <c r="AM339" s="459" t="str">
        <f>IF(CUENTAS!U328/CUENTAS!$AB328&lt;&gt;0,CUENTAS!U328/CUENTAS!$AB328,"")</f>
        <v/>
      </c>
      <c r="AN339" s="459">
        <f>IF(CUENTAS!V328/CUENTAS!$AB328&lt;&gt;0,CUENTAS!V328/CUENTAS!$AB328,"")</f>
        <v>0.07485207199</v>
      </c>
      <c r="AO339" s="459" t="str">
        <f>IF(CUENTAS!W328/CUENTAS!$AB328&lt;&gt;0,CUENTAS!W328/CUENTAS!$AB328,"")</f>
        <v/>
      </c>
      <c r="AP339" s="459" t="str">
        <f>IF(CUENTAS!X328/CUENTAS!$AB328&lt;&gt;0,CUENTAS!X328/CUENTAS!$AB328,"")</f>
        <v/>
      </c>
      <c r="AQ339" s="459" t="str">
        <f>IF(CUENTAS!Y328/CUENTAS!$AB328&lt;&gt;0,CUENTAS!Y328/CUENTAS!$AB328,"")</f>
        <v/>
      </c>
      <c r="AR339" s="459">
        <f>IF(CUENTAS!AA328/CUENTAS!$AB328&lt;&gt;0,CUENTAS!AA328/CUENTAS!$AB328,"")</f>
        <v>0.1198536895</v>
      </c>
    </row>
    <row r="340">
      <c r="A340" s="474"/>
      <c r="B340" s="200"/>
      <c r="C340" s="200"/>
      <c r="F340" s="200"/>
      <c r="G340" s="200"/>
      <c r="J340" s="470">
        <v>45320.0</v>
      </c>
      <c r="K340" s="466">
        <f>SUMIF(GRAFICO!A:A,J340,GRAFICO!B:B)</f>
        <v>10217.40518</v>
      </c>
      <c r="L340" s="467">
        <f t="shared" si="2"/>
        <v>0.01143832382</v>
      </c>
      <c r="M340" s="468">
        <v>45686.0</v>
      </c>
      <c r="N340" s="469">
        <f>SUMIF(GRAFICO!A:A,M340,GRAFICO!B:B)</f>
        <v>14888.95296</v>
      </c>
      <c r="O340" s="467">
        <f t="shared" si="5"/>
        <v>0.06754625076</v>
      </c>
      <c r="P340" s="468">
        <v>46051.0</v>
      </c>
      <c r="Q340" s="463">
        <f>IF(SUMIF(GRAFICO!A:A,P340,GRAFICO!B:B)=0,"",SUMIF(GRAFICO!A:A,P340,GRAFICO!B:B))</f>
        <v>21902.44292</v>
      </c>
      <c r="R340" s="463">
        <f t="shared" si="4"/>
        <v>0.05415636462</v>
      </c>
      <c r="S340" s="471">
        <f>CUENTAS!A329</f>
        <v>45773</v>
      </c>
      <c r="T340" s="459">
        <f>IF(CUENTAS!Q329/CUENTAS!$AB329&lt;&gt;0,CUENTAS!Q329/CUENTAS!$AB329,"")</f>
        <v>0.006075367759</v>
      </c>
      <c r="U340" s="459" t="str">
        <f>IF(CUENTAS!C329/CUENTAS!$AB329&lt;&gt;0,CUENTAS!C329/CUENTAS!$AB329,"")</f>
        <v/>
      </c>
      <c r="V340" s="459" t="str">
        <f>IF(CUENTAS!D329/CUENTAS!$AB329&lt;&gt;0,CUENTAS!D329/CUENTAS!$AB329,"")</f>
        <v/>
      </c>
      <c r="W340" s="459" t="str">
        <f>IF(CUENTAS!E329/CUENTAS!$AB329&lt;&gt;0,CUENTAS!E329/CUENTAS!$AB329,"")</f>
        <v/>
      </c>
      <c r="X340" s="459" t="str">
        <f>IF(CUENTAS!F329/CUENTAS!$AB329&lt;&gt;0,CUENTAS!F329/CUENTAS!$AB329,"")</f>
        <v/>
      </c>
      <c r="Y340" s="459" t="str">
        <f>IF(CUENTAS!G329/CUENTAS!$AB329&lt;&gt;0,CUENTAS!G329/CUENTAS!$AB329,"")</f>
        <v/>
      </c>
      <c r="Z340" s="459">
        <f>IF(CUENTAS!H329/CUENTAS!$AB329&lt;&gt;0,CUENTAS!H329/CUENTAS!$AB329,"")</f>
        <v>0.706468994</v>
      </c>
      <c r="AA340" s="459">
        <f>IF(CUENTAS!I329/CUENTAS!$AB329&lt;&gt;0,CUENTAS!I329/CUENTAS!$AB329,"")</f>
        <v>0.01950609879</v>
      </c>
      <c r="AB340" s="459">
        <f>IF(CUENTAS!J329/CUENTAS!$AB329&lt;&gt;0,CUENTAS!J329/CUENTAS!$AB329,"")</f>
        <v>0.0419410634</v>
      </c>
      <c r="AC340" s="459" t="str">
        <f>IF(CUENTAS!K329/CUENTAS!$AB329&lt;&gt;0,CUENTAS!K329/CUENTAS!$AB329,"")</f>
        <v/>
      </c>
      <c r="AD340" s="459" t="str">
        <f>IF(CUENTAS!L329/CUENTAS!$AB329&lt;&gt;0,CUENTAS!L329/CUENTAS!$AB329,"")</f>
        <v/>
      </c>
      <c r="AE340" s="459" t="str">
        <f>IF(CUENTAS!M329/CUENTAS!$AB329&lt;&gt;0,CUENTAS!M329/CUENTAS!$AB329,"")</f>
        <v/>
      </c>
      <c r="AF340" s="459" t="str">
        <f>IF(CUENTAS!N329/CUENTAS!$AB329&lt;&gt;0,CUENTAS!N329/CUENTAS!$AB329,"")</f>
        <v/>
      </c>
      <c r="AG340" s="459" t="str">
        <f>IF(CUENTAS!O329/CUENTAS!$AB329&lt;&gt;0,CUENTAS!O329/CUENTAS!$AB329,"")</f>
        <v/>
      </c>
      <c r="AH340" s="459" t="str">
        <f>IF(CUENTAS!P329/CUENTAS!$AB329&lt;&gt;0,CUENTAS!P329/CUENTAS!$AB329,"")</f>
        <v/>
      </c>
      <c r="AI340" s="459">
        <f>IF(CUENTAS!R329/CUENTAS!$AB329&lt;&gt;0,CUENTAS!R329/CUENTAS!$AB329,"")</f>
        <v>0.03130271451</v>
      </c>
      <c r="AJ340" s="459" t="str">
        <f>IF(CUENTAS!B329/CUENTAS!$AB329&lt;&gt;0,CUENTAS!B329/CUENTAS!$AB329,"")</f>
        <v/>
      </c>
      <c r="AK340" s="459" t="str">
        <f>IF(CUENTAS!S329/CUENTAS!$AB329&lt;&gt;0,CUENTAS!S329/CUENTAS!$AB329,"")</f>
        <v/>
      </c>
      <c r="AL340" s="459" t="str">
        <f>IF(CUENTAS!T329/CUENTAS!$AB329&lt;&gt;0,CUENTAS!T329/CUENTAS!$AB329,"")</f>
        <v/>
      </c>
      <c r="AM340" s="459" t="str">
        <f>IF(CUENTAS!U329/CUENTAS!$AB329&lt;&gt;0,CUENTAS!U329/CUENTAS!$AB329,"")</f>
        <v/>
      </c>
      <c r="AN340" s="459">
        <f>IF(CUENTAS!V329/CUENTAS!$AB329&lt;&gt;0,CUENTAS!V329/CUENTAS!$AB329,"")</f>
        <v>0.07485207199</v>
      </c>
      <c r="AO340" s="459" t="str">
        <f>IF(CUENTAS!W329/CUENTAS!$AB329&lt;&gt;0,CUENTAS!W329/CUENTAS!$AB329,"")</f>
        <v/>
      </c>
      <c r="AP340" s="459" t="str">
        <f>IF(CUENTAS!X329/CUENTAS!$AB329&lt;&gt;0,CUENTAS!X329/CUENTAS!$AB329,"")</f>
        <v/>
      </c>
      <c r="AQ340" s="459" t="str">
        <f>IF(CUENTAS!Y329/CUENTAS!$AB329&lt;&gt;0,CUENTAS!Y329/CUENTAS!$AB329,"")</f>
        <v/>
      </c>
      <c r="AR340" s="459">
        <f>IF(CUENTAS!AA329/CUENTAS!$AB329&lt;&gt;0,CUENTAS!AA329/CUENTAS!$AB329,"")</f>
        <v>0.1198536895</v>
      </c>
    </row>
    <row r="341">
      <c r="A341" s="474"/>
      <c r="B341" s="200"/>
      <c r="C341" s="200"/>
      <c r="F341" s="200"/>
      <c r="G341" s="200"/>
      <c r="J341" s="465">
        <v>45319.0</v>
      </c>
      <c r="K341" s="466">
        <f>SUMIF(GRAFICO!A:A,J341,GRAFICO!B:B)</f>
        <v>10213.633</v>
      </c>
      <c r="L341" s="467">
        <f t="shared" si="2"/>
        <v>0.01106906434</v>
      </c>
      <c r="M341" s="468">
        <v>45685.0</v>
      </c>
      <c r="N341" s="469">
        <f>SUMIF(GRAFICO!A:A,M341,GRAFICO!B:B)</f>
        <v>14849.65423</v>
      </c>
      <c r="O341" s="467">
        <f t="shared" si="5"/>
        <v>0.06490330564</v>
      </c>
      <c r="P341" s="468">
        <v>46050.0</v>
      </c>
      <c r="Q341" s="463">
        <f>IF(SUMIF(GRAFICO!A:A,P341,GRAFICO!B:B)=0,"",SUMIF(GRAFICO!A:A,P341,GRAFICO!B:B))</f>
        <v>22081.30317</v>
      </c>
      <c r="R341" s="463">
        <f t="shared" si="4"/>
        <v>0.06228942541</v>
      </c>
      <c r="S341" s="471">
        <f>CUENTAS!A330</f>
        <v>45772</v>
      </c>
      <c r="T341" s="459">
        <f>IF(CUENTAS!Q330/CUENTAS!$AB330&lt;&gt;0,CUENTAS!Q330/CUENTAS!$AB330,"")</f>
        <v>0.006075367759</v>
      </c>
      <c r="U341" s="459" t="str">
        <f>IF(CUENTAS!C330/CUENTAS!$AB330&lt;&gt;0,CUENTAS!C330/CUENTAS!$AB330,"")</f>
        <v/>
      </c>
      <c r="V341" s="459" t="str">
        <f>IF(CUENTAS!D330/CUENTAS!$AB330&lt;&gt;0,CUENTAS!D330/CUENTAS!$AB330,"")</f>
        <v/>
      </c>
      <c r="W341" s="459" t="str">
        <f>IF(CUENTAS!E330/CUENTAS!$AB330&lt;&gt;0,CUENTAS!E330/CUENTAS!$AB330,"")</f>
        <v/>
      </c>
      <c r="X341" s="459" t="str">
        <f>IF(CUENTAS!F330/CUENTAS!$AB330&lt;&gt;0,CUENTAS!F330/CUENTAS!$AB330,"")</f>
        <v/>
      </c>
      <c r="Y341" s="459" t="str">
        <f>IF(CUENTAS!G330/CUENTAS!$AB330&lt;&gt;0,CUENTAS!G330/CUENTAS!$AB330,"")</f>
        <v/>
      </c>
      <c r="Z341" s="459">
        <f>IF(CUENTAS!H330/CUENTAS!$AB330&lt;&gt;0,CUENTAS!H330/CUENTAS!$AB330,"")</f>
        <v>0.706468994</v>
      </c>
      <c r="AA341" s="459">
        <f>IF(CUENTAS!I330/CUENTAS!$AB330&lt;&gt;0,CUENTAS!I330/CUENTAS!$AB330,"")</f>
        <v>0.01950609879</v>
      </c>
      <c r="AB341" s="459">
        <f>IF(CUENTAS!J330/CUENTAS!$AB330&lt;&gt;0,CUENTAS!J330/CUENTAS!$AB330,"")</f>
        <v>0.0419410634</v>
      </c>
      <c r="AC341" s="459" t="str">
        <f>IF(CUENTAS!K330/CUENTAS!$AB330&lt;&gt;0,CUENTAS!K330/CUENTAS!$AB330,"")</f>
        <v/>
      </c>
      <c r="AD341" s="459" t="str">
        <f>IF(CUENTAS!L330/CUENTAS!$AB330&lt;&gt;0,CUENTAS!L330/CUENTAS!$AB330,"")</f>
        <v/>
      </c>
      <c r="AE341" s="459" t="str">
        <f>IF(CUENTAS!M330/CUENTAS!$AB330&lt;&gt;0,CUENTAS!M330/CUENTAS!$AB330,"")</f>
        <v/>
      </c>
      <c r="AF341" s="459" t="str">
        <f>IF(CUENTAS!N330/CUENTAS!$AB330&lt;&gt;0,CUENTAS!N330/CUENTAS!$AB330,"")</f>
        <v/>
      </c>
      <c r="AG341" s="459" t="str">
        <f>IF(CUENTAS!O330/CUENTAS!$AB330&lt;&gt;0,CUENTAS!O330/CUENTAS!$AB330,"")</f>
        <v/>
      </c>
      <c r="AH341" s="459" t="str">
        <f>IF(CUENTAS!P330/CUENTAS!$AB330&lt;&gt;0,CUENTAS!P330/CUENTAS!$AB330,"")</f>
        <v/>
      </c>
      <c r="AI341" s="459">
        <f>IF(CUENTAS!R330/CUENTAS!$AB330&lt;&gt;0,CUENTAS!R330/CUENTAS!$AB330,"")</f>
        <v>0.03130271451</v>
      </c>
      <c r="AJ341" s="459" t="str">
        <f>IF(CUENTAS!B330/CUENTAS!$AB330&lt;&gt;0,CUENTAS!B330/CUENTAS!$AB330,"")</f>
        <v/>
      </c>
      <c r="AK341" s="459" t="str">
        <f>IF(CUENTAS!S330/CUENTAS!$AB330&lt;&gt;0,CUENTAS!S330/CUENTAS!$AB330,"")</f>
        <v/>
      </c>
      <c r="AL341" s="459" t="str">
        <f>IF(CUENTAS!T330/CUENTAS!$AB330&lt;&gt;0,CUENTAS!T330/CUENTAS!$AB330,"")</f>
        <v/>
      </c>
      <c r="AM341" s="459" t="str">
        <f>IF(CUENTAS!U330/CUENTAS!$AB330&lt;&gt;0,CUENTAS!U330/CUENTAS!$AB330,"")</f>
        <v/>
      </c>
      <c r="AN341" s="459">
        <f>IF(CUENTAS!V330/CUENTAS!$AB330&lt;&gt;0,CUENTAS!V330/CUENTAS!$AB330,"")</f>
        <v>0.07485207199</v>
      </c>
      <c r="AO341" s="459" t="str">
        <f>IF(CUENTAS!W330/CUENTAS!$AB330&lt;&gt;0,CUENTAS!W330/CUENTAS!$AB330,"")</f>
        <v/>
      </c>
      <c r="AP341" s="459" t="str">
        <f>IF(CUENTAS!X330/CUENTAS!$AB330&lt;&gt;0,CUENTAS!X330/CUENTAS!$AB330,"")</f>
        <v/>
      </c>
      <c r="AQ341" s="459" t="str">
        <f>IF(CUENTAS!Y330/CUENTAS!$AB330&lt;&gt;0,CUENTAS!Y330/CUENTAS!$AB330,"")</f>
        <v/>
      </c>
      <c r="AR341" s="459">
        <f>IF(CUENTAS!AA330/CUENTAS!$AB330&lt;&gt;0,CUENTAS!AA330/CUENTAS!$AB330,"")</f>
        <v>0.1198536895</v>
      </c>
    </row>
    <row r="342">
      <c r="A342" s="474"/>
      <c r="B342" s="200"/>
      <c r="C342" s="200"/>
      <c r="F342" s="200"/>
      <c r="G342" s="200"/>
      <c r="J342" s="470">
        <v>45318.0</v>
      </c>
      <c r="K342" s="466">
        <f>SUMIF(GRAFICO!A:A,J342,GRAFICO!B:B)</f>
        <v>10212.03706</v>
      </c>
      <c r="L342" s="467">
        <f t="shared" si="2"/>
        <v>0.0109127955</v>
      </c>
      <c r="M342" s="468">
        <v>45684.0</v>
      </c>
      <c r="N342" s="469">
        <f>SUMIF(GRAFICO!A:A,M342,GRAFICO!B:B)</f>
        <v>14740.56062</v>
      </c>
      <c r="O342" s="467">
        <f t="shared" si="5"/>
        <v>0.05752964482</v>
      </c>
      <c r="P342" s="468">
        <v>46049.0</v>
      </c>
      <c r="Q342" s="463">
        <f>IF(SUMIF(GRAFICO!A:A,P342,GRAFICO!B:B)=0,"",SUMIF(GRAFICO!A:A,P342,GRAFICO!B:B))</f>
        <v>21984.05887</v>
      </c>
      <c r="R342" s="463">
        <f t="shared" si="4"/>
        <v>0.05787577926</v>
      </c>
      <c r="S342" s="471">
        <f>CUENTAS!A331</f>
        <v>45771</v>
      </c>
      <c r="T342" s="459">
        <f>IF(CUENTAS!Q331/CUENTAS!$AB331&lt;&gt;0,CUENTAS!Q331/CUENTAS!$AB331,"")</f>
        <v>0.00614535775</v>
      </c>
      <c r="U342" s="459" t="str">
        <f>IF(CUENTAS!C331/CUENTAS!$AB331&lt;&gt;0,CUENTAS!C331/CUENTAS!$AB331,"")</f>
        <v/>
      </c>
      <c r="V342" s="459" t="str">
        <f>IF(CUENTAS!D331/CUENTAS!$AB331&lt;&gt;0,CUENTAS!D331/CUENTAS!$AB331,"")</f>
        <v/>
      </c>
      <c r="W342" s="459" t="str">
        <f>IF(CUENTAS!E331/CUENTAS!$AB331&lt;&gt;0,CUENTAS!E331/CUENTAS!$AB331,"")</f>
        <v/>
      </c>
      <c r="X342" s="459" t="str">
        <f>IF(CUENTAS!F331/CUENTAS!$AB331&lt;&gt;0,CUENTAS!F331/CUENTAS!$AB331,"")</f>
        <v/>
      </c>
      <c r="Y342" s="459" t="str">
        <f>IF(CUENTAS!G331/CUENTAS!$AB331&lt;&gt;0,CUENTAS!G331/CUENTAS!$AB331,"")</f>
        <v/>
      </c>
      <c r="Z342" s="459">
        <f>IF(CUENTAS!H331/CUENTAS!$AB331&lt;&gt;0,CUENTAS!H331/CUENTAS!$AB331,"")</f>
        <v>0.7048012834</v>
      </c>
      <c r="AA342" s="459">
        <f>IF(CUENTAS!I331/CUENTAS!$AB331&lt;&gt;0,CUENTAS!I331/CUENTAS!$AB331,"")</f>
        <v>0.01924506358</v>
      </c>
      <c r="AB342" s="459">
        <f>IF(CUENTAS!J331/CUENTAS!$AB331&lt;&gt;0,CUENTAS!J331/CUENTAS!$AB331,"")</f>
        <v>0.04243859374</v>
      </c>
      <c r="AC342" s="459" t="str">
        <f>IF(CUENTAS!K331/CUENTAS!$AB331&lt;&gt;0,CUENTAS!K331/CUENTAS!$AB331,"")</f>
        <v/>
      </c>
      <c r="AD342" s="459" t="str">
        <f>IF(CUENTAS!L331/CUENTAS!$AB331&lt;&gt;0,CUENTAS!L331/CUENTAS!$AB331,"")</f>
        <v/>
      </c>
      <c r="AE342" s="459" t="str">
        <f>IF(CUENTAS!M331/CUENTAS!$AB331&lt;&gt;0,CUENTAS!M331/CUENTAS!$AB331,"")</f>
        <v/>
      </c>
      <c r="AF342" s="459" t="str">
        <f>IF(CUENTAS!N331/CUENTAS!$AB331&lt;&gt;0,CUENTAS!N331/CUENTAS!$AB331,"")</f>
        <v/>
      </c>
      <c r="AG342" s="459" t="str">
        <f>IF(CUENTAS!O331/CUENTAS!$AB331&lt;&gt;0,CUENTAS!O331/CUENTAS!$AB331,"")</f>
        <v/>
      </c>
      <c r="AH342" s="459" t="str">
        <f>IF(CUENTAS!P331/CUENTAS!$AB331&lt;&gt;0,CUENTAS!P331/CUENTAS!$AB331,"")</f>
        <v/>
      </c>
      <c r="AI342" s="459">
        <f>IF(CUENTAS!R331/CUENTAS!$AB331&lt;&gt;0,CUENTAS!R331/CUENTAS!$AB331,"")</f>
        <v>0.0314912475</v>
      </c>
      <c r="AJ342" s="459" t="str">
        <f>IF(CUENTAS!B331/CUENTAS!$AB331&lt;&gt;0,CUENTAS!B331/CUENTAS!$AB331,"")</f>
        <v/>
      </c>
      <c r="AK342" s="459" t="str">
        <f>IF(CUENTAS!S331/CUENTAS!$AB331&lt;&gt;0,CUENTAS!S331/CUENTAS!$AB331,"")</f>
        <v/>
      </c>
      <c r="AL342" s="459" t="str">
        <f>IF(CUENTAS!T331/CUENTAS!$AB331&lt;&gt;0,CUENTAS!T331/CUENTAS!$AB331,"")</f>
        <v/>
      </c>
      <c r="AM342" s="459" t="str">
        <f>IF(CUENTAS!U331/CUENTAS!$AB331&lt;&gt;0,CUENTAS!U331/CUENTAS!$AB331,"")</f>
        <v/>
      </c>
      <c r="AN342" s="459">
        <f>IF(CUENTAS!V331/CUENTAS!$AB331&lt;&gt;0,CUENTAS!V331/CUENTAS!$AB331,"")</f>
        <v>0.07530289823</v>
      </c>
      <c r="AO342" s="459" t="str">
        <f>IF(CUENTAS!W331/CUENTAS!$AB331&lt;&gt;0,CUENTAS!W331/CUENTAS!$AB331,"")</f>
        <v/>
      </c>
      <c r="AP342" s="459" t="str">
        <f>IF(CUENTAS!X331/CUENTAS!$AB331&lt;&gt;0,CUENTAS!X331/CUENTAS!$AB331,"")</f>
        <v/>
      </c>
      <c r="AQ342" s="459" t="str">
        <f>IF(CUENTAS!Y331/CUENTAS!$AB331&lt;&gt;0,CUENTAS!Y331/CUENTAS!$AB331,"")</f>
        <v/>
      </c>
      <c r="AR342" s="459">
        <f>IF(CUENTAS!AA331/CUENTAS!$AB331&lt;&gt;0,CUENTAS!AA331/CUENTAS!$AB331,"")</f>
        <v>0.1205755558</v>
      </c>
    </row>
    <row r="343">
      <c r="A343" s="474"/>
      <c r="B343" s="200"/>
      <c r="C343" s="200"/>
      <c r="F343" s="200"/>
      <c r="G343" s="200"/>
      <c r="J343" s="470">
        <v>45317.0</v>
      </c>
      <c r="K343" s="466">
        <f>SUMIF(GRAFICO!A:A,J343,GRAFICO!B:B)</f>
        <v>10210.04507</v>
      </c>
      <c r="L343" s="467">
        <f t="shared" si="2"/>
        <v>0.0107177136</v>
      </c>
      <c r="M343" s="468">
        <v>45683.0</v>
      </c>
      <c r="N343" s="469">
        <f>SUMIF(GRAFICO!A:A,M343,GRAFICO!B:B)</f>
        <v>14737.03541</v>
      </c>
      <c r="O343" s="467">
        <f t="shared" si="5"/>
        <v>0.05729046625</v>
      </c>
      <c r="P343" s="468">
        <v>46048.0</v>
      </c>
      <c r="Q343" s="463">
        <f>IF(SUMIF(GRAFICO!A:A,P343,GRAFICO!B:B)=0,"",SUMIF(GRAFICO!A:A,P343,GRAFICO!B:B))</f>
        <v>22001.446</v>
      </c>
      <c r="R343" s="463">
        <f t="shared" si="4"/>
        <v>0.05866636347</v>
      </c>
      <c r="S343" s="471">
        <f>CUENTAS!A332</f>
        <v>45770</v>
      </c>
      <c r="T343" s="459">
        <f>IF(CUENTAS!Q332/CUENTAS!$AB332&lt;&gt;0,CUENTAS!Q332/CUENTAS!$AB332,"")</f>
        <v>0.006210536631</v>
      </c>
      <c r="U343" s="459" t="str">
        <f>IF(CUENTAS!C332/CUENTAS!$AB332&lt;&gt;0,CUENTAS!C332/CUENTAS!$AB332,"")</f>
        <v/>
      </c>
      <c r="V343" s="459" t="str">
        <f>IF(CUENTAS!D332/CUENTAS!$AB332&lt;&gt;0,CUENTAS!D332/CUENTAS!$AB332,"")</f>
        <v/>
      </c>
      <c r="W343" s="459" t="str">
        <f>IF(CUENTAS!E332/CUENTAS!$AB332&lt;&gt;0,CUENTAS!E332/CUENTAS!$AB332,"")</f>
        <v/>
      </c>
      <c r="X343" s="459" t="str">
        <f>IF(CUENTAS!F332/CUENTAS!$AB332&lt;&gt;0,CUENTAS!F332/CUENTAS!$AB332,"")</f>
        <v/>
      </c>
      <c r="Y343" s="459" t="str">
        <f>IF(CUENTAS!G332/CUENTAS!$AB332&lt;&gt;0,CUENTAS!G332/CUENTAS!$AB332,"")</f>
        <v/>
      </c>
      <c r="Z343" s="459">
        <f>IF(CUENTAS!H332/CUENTAS!$AB332&lt;&gt;0,CUENTAS!H332/CUENTAS!$AB332,"")</f>
        <v>0.7021029427</v>
      </c>
      <c r="AA343" s="459">
        <f>IF(CUENTAS!I332/CUENTAS!$AB332&lt;&gt;0,CUENTAS!I332/CUENTAS!$AB332,"")</f>
        <v>0.01948623658</v>
      </c>
      <c r="AB343" s="459">
        <f>IF(CUENTAS!J332/CUENTAS!$AB332&lt;&gt;0,CUENTAS!J332/CUENTAS!$AB332,"")</f>
        <v>0.04304176787</v>
      </c>
      <c r="AC343" s="459" t="str">
        <f>IF(CUENTAS!K332/CUENTAS!$AB332&lt;&gt;0,CUENTAS!K332/CUENTAS!$AB332,"")</f>
        <v/>
      </c>
      <c r="AD343" s="459" t="str">
        <f>IF(CUENTAS!L332/CUENTAS!$AB332&lt;&gt;0,CUENTAS!L332/CUENTAS!$AB332,"")</f>
        <v/>
      </c>
      <c r="AE343" s="459" t="str">
        <f>IF(CUENTAS!M332/CUENTAS!$AB332&lt;&gt;0,CUENTAS!M332/CUENTAS!$AB332,"")</f>
        <v/>
      </c>
      <c r="AF343" s="459" t="str">
        <f>IF(CUENTAS!N332/CUENTAS!$AB332&lt;&gt;0,CUENTAS!N332/CUENTAS!$AB332,"")</f>
        <v/>
      </c>
      <c r="AG343" s="459" t="str">
        <f>IF(CUENTAS!O332/CUENTAS!$AB332&lt;&gt;0,CUENTAS!O332/CUENTAS!$AB332,"")</f>
        <v/>
      </c>
      <c r="AH343" s="459" t="str">
        <f>IF(CUENTAS!P332/CUENTAS!$AB332&lt;&gt;0,CUENTAS!P332/CUENTAS!$AB332,"")</f>
        <v/>
      </c>
      <c r="AI343" s="459">
        <f>IF(CUENTAS!R332/CUENTAS!$AB332&lt;&gt;0,CUENTAS!R332/CUENTAS!$AB332,"")</f>
        <v>0.03173900262</v>
      </c>
      <c r="AJ343" s="459" t="str">
        <f>IF(CUENTAS!B332/CUENTAS!$AB332&lt;&gt;0,CUENTAS!B332/CUENTAS!$AB332,"")</f>
        <v/>
      </c>
      <c r="AK343" s="459" t="str">
        <f>IF(CUENTAS!S332/CUENTAS!$AB332&lt;&gt;0,CUENTAS!S332/CUENTAS!$AB332,"")</f>
        <v/>
      </c>
      <c r="AL343" s="459" t="str">
        <f>IF(CUENTAS!T332/CUENTAS!$AB332&lt;&gt;0,CUENTAS!T332/CUENTAS!$AB332,"")</f>
        <v/>
      </c>
      <c r="AM343" s="459" t="str">
        <f>IF(CUENTAS!U332/CUENTAS!$AB332&lt;&gt;0,CUENTAS!U332/CUENTAS!$AB332,"")</f>
        <v/>
      </c>
      <c r="AN343" s="459">
        <f>IF(CUENTAS!V332/CUENTAS!$AB332&lt;&gt;0,CUENTAS!V332/CUENTAS!$AB332,"")</f>
        <v>0.07589533834</v>
      </c>
      <c r="AO343" s="459" t="str">
        <f>IF(CUENTAS!W332/CUENTAS!$AB332&lt;&gt;0,CUENTAS!W332/CUENTAS!$AB332,"")</f>
        <v/>
      </c>
      <c r="AP343" s="459" t="str">
        <f>IF(CUENTAS!X332/CUENTAS!$AB332&lt;&gt;0,CUENTAS!X332/CUENTAS!$AB332,"")</f>
        <v/>
      </c>
      <c r="AQ343" s="459" t="str">
        <f>IF(CUENTAS!Y332/CUENTAS!$AB332&lt;&gt;0,CUENTAS!Y332/CUENTAS!$AB332,"")</f>
        <v/>
      </c>
      <c r="AR343" s="459">
        <f>IF(CUENTAS!AA332/CUENTAS!$AB332&lt;&gt;0,CUENTAS!AA332/CUENTAS!$AB332,"")</f>
        <v>0.1215241753</v>
      </c>
    </row>
    <row r="344">
      <c r="A344" s="474"/>
      <c r="B344" s="200"/>
      <c r="C344" s="200"/>
      <c r="F344" s="200"/>
      <c r="G344" s="200"/>
      <c r="J344" s="470">
        <v>45316.0</v>
      </c>
      <c r="K344" s="466">
        <f>SUMIF(GRAFICO!A:A,J344,GRAFICO!B:B)</f>
        <v>10207.77923</v>
      </c>
      <c r="L344" s="467">
        <f t="shared" si="2"/>
        <v>0.01049576626</v>
      </c>
      <c r="M344" s="468">
        <v>45682.0</v>
      </c>
      <c r="N344" s="469">
        <f>SUMIF(GRAFICO!A:A,M344,GRAFICO!B:B)</f>
        <v>14737.03541</v>
      </c>
      <c r="O344" s="467">
        <f t="shared" si="5"/>
        <v>0.05729046625</v>
      </c>
      <c r="P344" s="468">
        <v>46047.0</v>
      </c>
      <c r="Q344" s="463">
        <f>IF(SUMIF(GRAFICO!A:A,P344,GRAFICO!B:B)=0,"",SUMIF(GRAFICO!A:A,P344,GRAFICO!B:B))</f>
        <v>21884.06114</v>
      </c>
      <c r="R344" s="463">
        <f t="shared" si="4"/>
        <v>0.0533167554</v>
      </c>
      <c r="S344" s="471">
        <f>CUENTAS!A333</f>
        <v>45769</v>
      </c>
      <c r="T344" s="459">
        <f>IF(CUENTAS!Q333/CUENTAS!$AB333&lt;&gt;0,CUENTAS!Q333/CUENTAS!$AB333,"")</f>
        <v>0.006798446901</v>
      </c>
      <c r="U344" s="459" t="str">
        <f>IF(CUENTAS!C333/CUENTAS!$AB333&lt;&gt;0,CUENTAS!C333/CUENTAS!$AB333,"")</f>
        <v/>
      </c>
      <c r="V344" s="459" t="str">
        <f>IF(CUENTAS!D333/CUENTAS!$AB333&lt;&gt;0,CUENTAS!D333/CUENTAS!$AB333,"")</f>
        <v/>
      </c>
      <c r="W344" s="459" t="str">
        <f>IF(CUENTAS!E333/CUENTAS!$AB333&lt;&gt;0,CUENTAS!E333/CUENTAS!$AB333,"")</f>
        <v/>
      </c>
      <c r="X344" s="459" t="str">
        <f>IF(CUENTAS!F333/CUENTAS!$AB333&lt;&gt;0,CUENTAS!F333/CUENTAS!$AB333,"")</f>
        <v/>
      </c>
      <c r="Y344" s="459" t="str">
        <f>IF(CUENTAS!G333/CUENTAS!$AB333&lt;&gt;0,CUENTAS!G333/CUENTAS!$AB333,"")</f>
        <v/>
      </c>
      <c r="Z344" s="459">
        <f>IF(CUENTAS!H333/CUENTAS!$AB333&lt;&gt;0,CUENTAS!H333/CUENTAS!$AB333,"")</f>
        <v>0.7161188107</v>
      </c>
      <c r="AA344" s="459">
        <f>IF(CUENTAS!I333/CUENTAS!$AB333&lt;&gt;0,CUENTAS!I333/CUENTAS!$AB333,"")</f>
        <v>0.01967143201</v>
      </c>
      <c r="AB344" s="459">
        <f>IF(CUENTAS!J333/CUENTAS!$AB333&lt;&gt;0,CUENTAS!J333/CUENTAS!$AB333,"")</f>
        <v>0.0452757679</v>
      </c>
      <c r="AC344" s="459" t="str">
        <f>IF(CUENTAS!K333/CUENTAS!$AB333&lt;&gt;0,CUENTAS!K333/CUENTAS!$AB333,"")</f>
        <v/>
      </c>
      <c r="AD344" s="459" t="str">
        <f>IF(CUENTAS!L333/CUENTAS!$AB333&lt;&gt;0,CUENTAS!L333/CUENTAS!$AB333,"")</f>
        <v/>
      </c>
      <c r="AE344" s="459" t="str">
        <f>IF(CUENTAS!M333/CUENTAS!$AB333&lt;&gt;0,CUENTAS!M333/CUENTAS!$AB333,"")</f>
        <v/>
      </c>
      <c r="AF344" s="459" t="str">
        <f>IF(CUENTAS!N333/CUENTAS!$AB333&lt;&gt;0,CUENTAS!N333/CUENTAS!$AB333,"")</f>
        <v/>
      </c>
      <c r="AG344" s="459" t="str">
        <f>IF(CUENTAS!O333/CUENTAS!$AB333&lt;&gt;0,CUENTAS!O333/CUENTAS!$AB333,"")</f>
        <v/>
      </c>
      <c r="AH344" s="459" t="str">
        <f>IF(CUENTAS!P333/CUENTAS!$AB333&lt;&gt;0,CUENTAS!P333/CUENTAS!$AB333,"")</f>
        <v/>
      </c>
      <c r="AI344" s="459">
        <f>IF(CUENTAS!R333/CUENTAS!$AB333&lt;&gt;0,CUENTAS!R333/CUENTAS!$AB333,"")</f>
        <v>0.0333863544</v>
      </c>
      <c r="AJ344" s="459" t="str">
        <f>IF(CUENTAS!B333/CUENTAS!$AB333&lt;&gt;0,CUENTAS!B333/CUENTAS!$AB333,"")</f>
        <v/>
      </c>
      <c r="AK344" s="459" t="str">
        <f>IF(CUENTAS!S333/CUENTAS!$AB333&lt;&gt;0,CUENTAS!S333/CUENTAS!$AB333,"")</f>
        <v/>
      </c>
      <c r="AL344" s="459" t="str">
        <f>IF(CUENTAS!T333/CUENTAS!$AB333&lt;&gt;0,CUENTAS!T333/CUENTAS!$AB333,"")</f>
        <v/>
      </c>
      <c r="AM344" s="459" t="str">
        <f>IF(CUENTAS!U333/CUENTAS!$AB333&lt;&gt;0,CUENTAS!U333/CUENTAS!$AB333,"")</f>
        <v/>
      </c>
      <c r="AN344" s="459">
        <f>IF(CUENTAS!V333/CUENTAS!$AB333&lt;&gt;0,CUENTAS!V333/CUENTAS!$AB333,"")</f>
        <v>0.07983453965</v>
      </c>
      <c r="AO344" s="459" t="str">
        <f>IF(CUENTAS!W333/CUENTAS!$AB333&lt;&gt;0,CUENTAS!W333/CUENTAS!$AB333,"")</f>
        <v/>
      </c>
      <c r="AP344" s="459" t="str">
        <f>IF(CUENTAS!X333/CUENTAS!$AB333&lt;&gt;0,CUENTAS!X333/CUENTAS!$AB333,"")</f>
        <v/>
      </c>
      <c r="AQ344" s="459" t="str">
        <f>IF(CUENTAS!Y333/CUENTAS!$AB333&lt;&gt;0,CUENTAS!Y333/CUENTAS!$AB333,"")</f>
        <v/>
      </c>
      <c r="AR344" s="459">
        <f>IF(CUENTAS!AA333/CUENTAS!$AB333&lt;&gt;0,CUENTAS!AA333/CUENTAS!$AB333,"")</f>
        <v>0.09891464841</v>
      </c>
    </row>
    <row r="345">
      <c r="A345" s="474"/>
      <c r="B345" s="200"/>
      <c r="C345" s="200"/>
      <c r="F345" s="200"/>
      <c r="G345" s="200"/>
      <c r="J345" s="465">
        <v>45315.0</v>
      </c>
      <c r="K345" s="466">
        <f>SUMIF(GRAFICO!A:A,J345,GRAFICO!B:B)</f>
        <v>10203.34854</v>
      </c>
      <c r="L345" s="467">
        <f t="shared" si="2"/>
        <v>0.01006162209</v>
      </c>
      <c r="M345" s="468">
        <v>45681.0</v>
      </c>
      <c r="N345" s="469">
        <f>SUMIF(GRAFICO!A:A,M345,GRAFICO!B:B)</f>
        <v>14737.03541</v>
      </c>
      <c r="O345" s="467">
        <f t="shared" si="5"/>
        <v>0.05729046625</v>
      </c>
      <c r="P345" s="468">
        <v>46046.0</v>
      </c>
      <c r="Q345" s="463">
        <f>IF(SUMIF(GRAFICO!A:A,P345,GRAFICO!B:B)=0,"",SUMIF(GRAFICO!A:A,P345,GRAFICO!B:B))</f>
        <v>21877.3488</v>
      </c>
      <c r="R345" s="463">
        <f t="shared" si="4"/>
        <v>0.05300998538</v>
      </c>
      <c r="S345" s="471">
        <f>CUENTAS!A334</f>
        <v>45768</v>
      </c>
      <c r="T345" s="459">
        <f>IF(CUENTAS!Q334/CUENTAS!$AB334&lt;&gt;0,CUENTAS!Q334/CUENTAS!$AB334,"")</f>
        <v>0.007060216538</v>
      </c>
      <c r="U345" s="459" t="str">
        <f>IF(CUENTAS!C334/CUENTAS!$AB334&lt;&gt;0,CUENTAS!C334/CUENTAS!$AB334,"")</f>
        <v/>
      </c>
      <c r="V345" s="459" t="str">
        <f>IF(CUENTAS!D334/CUENTAS!$AB334&lt;&gt;0,CUENTAS!D334/CUENTAS!$AB334,"")</f>
        <v/>
      </c>
      <c r="W345" s="459" t="str">
        <f>IF(CUENTAS!E334/CUENTAS!$AB334&lt;&gt;0,CUENTAS!E334/CUENTAS!$AB334,"")</f>
        <v/>
      </c>
      <c r="X345" s="459" t="str">
        <f>IF(CUENTAS!F334/CUENTAS!$AB334&lt;&gt;0,CUENTAS!F334/CUENTAS!$AB334,"")</f>
        <v/>
      </c>
      <c r="Y345" s="459" t="str">
        <f>IF(CUENTAS!G334/CUENTAS!$AB334&lt;&gt;0,CUENTAS!G334/CUENTAS!$AB334,"")</f>
        <v/>
      </c>
      <c r="Z345" s="459">
        <f>IF(CUENTAS!H334/CUENTAS!$AB334&lt;&gt;0,CUENTAS!H334/CUENTAS!$AB334,"")</f>
        <v>0.705188156</v>
      </c>
      <c r="AA345" s="459">
        <f>IF(CUENTAS!I334/CUENTAS!$AB334&lt;&gt;0,CUENTAS!I334/CUENTAS!$AB334,"")</f>
        <v>0.0204288673</v>
      </c>
      <c r="AB345" s="459">
        <f>IF(CUENTAS!J334/CUENTAS!$AB334&lt;&gt;0,CUENTAS!J334/CUENTAS!$AB334,"")</f>
        <v>0.04701908097</v>
      </c>
      <c r="AC345" s="459" t="str">
        <f>IF(CUENTAS!K334/CUENTAS!$AB334&lt;&gt;0,CUENTAS!K334/CUENTAS!$AB334,"")</f>
        <v/>
      </c>
      <c r="AD345" s="459" t="str">
        <f>IF(CUENTAS!L334/CUENTAS!$AB334&lt;&gt;0,CUENTAS!L334/CUENTAS!$AB334,"")</f>
        <v/>
      </c>
      <c r="AE345" s="459" t="str">
        <f>IF(CUENTAS!M334/CUENTAS!$AB334&lt;&gt;0,CUENTAS!M334/CUENTAS!$AB334,"")</f>
        <v/>
      </c>
      <c r="AF345" s="459" t="str">
        <f>IF(CUENTAS!N334/CUENTAS!$AB334&lt;&gt;0,CUENTAS!N334/CUENTAS!$AB334,"")</f>
        <v/>
      </c>
      <c r="AG345" s="459" t="str">
        <f>IF(CUENTAS!O334/CUENTAS!$AB334&lt;&gt;0,CUENTAS!O334/CUENTAS!$AB334,"")</f>
        <v/>
      </c>
      <c r="AH345" s="459" t="str">
        <f>IF(CUENTAS!P334/CUENTAS!$AB334&lt;&gt;0,CUENTAS!P334/CUENTAS!$AB334,"")</f>
        <v/>
      </c>
      <c r="AI345" s="459">
        <f>IF(CUENTAS!R334/CUENTAS!$AB334&lt;&gt;0,CUENTAS!R334/CUENTAS!$AB334,"")</f>
        <v>0.03467187358</v>
      </c>
      <c r="AJ345" s="459" t="str">
        <f>IF(CUENTAS!B334/CUENTAS!$AB334&lt;&gt;0,CUENTAS!B334/CUENTAS!$AB334,"")</f>
        <v/>
      </c>
      <c r="AK345" s="459" t="str">
        <f>IF(CUENTAS!S334/CUENTAS!$AB334&lt;&gt;0,CUENTAS!S334/CUENTAS!$AB334,"")</f>
        <v/>
      </c>
      <c r="AL345" s="459" t="str">
        <f>IF(CUENTAS!T334/CUENTAS!$AB334&lt;&gt;0,CUENTAS!T334/CUENTAS!$AB334,"")</f>
        <v/>
      </c>
      <c r="AM345" s="459" t="str">
        <f>IF(CUENTAS!U334/CUENTAS!$AB334&lt;&gt;0,CUENTAS!U334/CUENTAS!$AB334,"")</f>
        <v/>
      </c>
      <c r="AN345" s="459">
        <f>IF(CUENTAS!V334/CUENTAS!$AB334&lt;&gt;0,CUENTAS!V334/CUENTAS!$AB334,"")</f>
        <v>0.08290851504</v>
      </c>
      <c r="AO345" s="459" t="str">
        <f>IF(CUENTAS!W334/CUENTAS!$AB334&lt;&gt;0,CUENTAS!W334/CUENTAS!$AB334,"")</f>
        <v/>
      </c>
      <c r="AP345" s="459" t="str">
        <f>IF(CUENTAS!X334/CUENTAS!$AB334&lt;&gt;0,CUENTAS!X334/CUENTAS!$AB334,"")</f>
        <v/>
      </c>
      <c r="AQ345" s="459" t="str">
        <f>IF(CUENTAS!Y334/CUENTAS!$AB334&lt;&gt;0,CUENTAS!Y334/CUENTAS!$AB334,"")</f>
        <v/>
      </c>
      <c r="AR345" s="459">
        <f>IF(CUENTAS!AA334/CUENTAS!$AB334&lt;&gt;0,CUENTAS!AA334/CUENTAS!$AB334,"")</f>
        <v>0.1027232906</v>
      </c>
    </row>
    <row r="346">
      <c r="A346" s="474"/>
      <c r="B346" s="200"/>
      <c r="C346" s="200"/>
      <c r="F346" s="200"/>
      <c r="G346" s="200"/>
      <c r="J346" s="465">
        <v>45314.0</v>
      </c>
      <c r="K346" s="466">
        <f>SUMIF(GRAFICO!A:A,J346,GRAFICO!B:B)</f>
        <v>10198.25158</v>
      </c>
      <c r="L346" s="467">
        <f t="shared" si="2"/>
        <v>0.009561959358</v>
      </c>
      <c r="M346" s="468">
        <v>45680.0</v>
      </c>
      <c r="N346" s="469">
        <f>SUMIF(GRAFICO!A:A,M346,GRAFICO!B:B)</f>
        <v>14551.22167</v>
      </c>
      <c r="O346" s="467">
        <f t="shared" si="5"/>
        <v>0.04460167871</v>
      </c>
      <c r="P346" s="468">
        <v>46045.0</v>
      </c>
      <c r="Q346" s="463">
        <f>IF(SUMIF(GRAFICO!A:A,P346,GRAFICO!B:B)=0,"",SUMIF(GRAFICO!A:A,P346,GRAFICO!B:B))</f>
        <v>21873.27269</v>
      </c>
      <c r="R346" s="463">
        <f t="shared" si="4"/>
        <v>0.05282365148</v>
      </c>
      <c r="S346" s="471">
        <f>CUENTAS!A335</f>
        <v>45767</v>
      </c>
      <c r="T346" s="459">
        <f>IF(CUENTAS!Q335/CUENTAS!$AB335&lt;&gt;0,CUENTAS!Q335/CUENTAS!$AB335,"")</f>
        <v>0.006167485786</v>
      </c>
      <c r="U346" s="459" t="str">
        <f>IF(CUENTAS!C335/CUENTAS!$AB335&lt;&gt;0,CUENTAS!C335/CUENTAS!$AB335,"")</f>
        <v/>
      </c>
      <c r="V346" s="459" t="str">
        <f>IF(CUENTAS!D335/CUENTAS!$AB335&lt;&gt;0,CUENTAS!D335/CUENTAS!$AB335,"")</f>
        <v/>
      </c>
      <c r="W346" s="459" t="str">
        <f>IF(CUENTAS!E335/CUENTAS!$AB335&lt;&gt;0,CUENTAS!E335/CUENTAS!$AB335,"")</f>
        <v/>
      </c>
      <c r="X346" s="459" t="str">
        <f>IF(CUENTAS!F335/CUENTAS!$AB335&lt;&gt;0,CUENTAS!F335/CUENTAS!$AB335,"")</f>
        <v/>
      </c>
      <c r="Y346" s="459" t="str">
        <f>IF(CUENTAS!G335/CUENTAS!$AB335&lt;&gt;0,CUENTAS!G335/CUENTAS!$AB335,"")</f>
        <v/>
      </c>
      <c r="Z346" s="459">
        <f>IF(CUENTAS!H335/CUENTAS!$AB335&lt;&gt;0,CUENTAS!H335/CUENTAS!$AB335,"")</f>
        <v>0.6290407204</v>
      </c>
      <c r="AA346" s="459">
        <f>IF(CUENTAS!I335/CUENTAS!$AB335&lt;&gt;0,CUENTAS!I335/CUENTAS!$AB335,"")</f>
        <v>0.0182240639</v>
      </c>
      <c r="AB346" s="459">
        <f>IF(CUENTAS!J335/CUENTAS!$AB335&lt;&gt;0,CUENTAS!J335/CUENTAS!$AB335,"")</f>
        <v>0.04107374214</v>
      </c>
      <c r="AC346" s="459" t="str">
        <f>IF(CUENTAS!K335/CUENTAS!$AB335&lt;&gt;0,CUENTAS!K335/CUENTAS!$AB335,"")</f>
        <v/>
      </c>
      <c r="AD346" s="459" t="str">
        <f>IF(CUENTAS!L335/CUENTAS!$AB335&lt;&gt;0,CUENTAS!L335/CUENTAS!$AB335,"")</f>
        <v/>
      </c>
      <c r="AE346" s="459" t="str">
        <f>IF(CUENTAS!M335/CUENTAS!$AB335&lt;&gt;0,CUENTAS!M335/CUENTAS!$AB335,"")</f>
        <v/>
      </c>
      <c r="AF346" s="459" t="str">
        <f>IF(CUENTAS!N335/CUENTAS!$AB335&lt;&gt;0,CUENTAS!N335/CUENTAS!$AB335,"")</f>
        <v/>
      </c>
      <c r="AG346" s="459" t="str">
        <f>IF(CUENTAS!O335/CUENTAS!$AB335&lt;&gt;0,CUENTAS!O335/CUENTAS!$AB335,"")</f>
        <v/>
      </c>
      <c r="AH346" s="459" t="str">
        <f>IF(CUENTAS!P335/CUENTAS!$AB335&lt;&gt;0,CUENTAS!P335/CUENTAS!$AB335,"")</f>
        <v/>
      </c>
      <c r="AI346" s="459">
        <f>IF(CUENTAS!R335/CUENTAS!$AB335&lt;&gt;0,CUENTAS!R335/CUENTAS!$AB335,"")</f>
        <v>0.03028778031</v>
      </c>
      <c r="AJ346" s="459" t="str">
        <f>IF(CUENTAS!B335/CUENTAS!$AB335&lt;&gt;0,CUENTAS!B335/CUENTAS!$AB335,"")</f>
        <v/>
      </c>
      <c r="AK346" s="459" t="str">
        <f>IF(CUENTAS!S335/CUENTAS!$AB335&lt;&gt;0,CUENTAS!S335/CUENTAS!$AB335,"")</f>
        <v/>
      </c>
      <c r="AL346" s="459" t="str">
        <f>IF(CUENTAS!T335/CUENTAS!$AB335&lt;&gt;0,CUENTAS!T335/CUENTAS!$AB335,"")</f>
        <v/>
      </c>
      <c r="AM346" s="459" t="str">
        <f>IF(CUENTAS!U335/CUENTAS!$AB335&lt;&gt;0,CUENTAS!U335/CUENTAS!$AB335,"")</f>
        <v/>
      </c>
      <c r="AN346" s="459">
        <f>IF(CUENTAS!V335/CUENTAS!$AB335&lt;&gt;0,CUENTAS!V335/CUENTAS!$AB335,"")</f>
        <v>0.07242512822</v>
      </c>
      <c r="AO346" s="459" t="str">
        <f>IF(CUENTAS!W335/CUENTAS!$AB335&lt;&gt;0,CUENTAS!W335/CUENTAS!$AB335,"")</f>
        <v/>
      </c>
      <c r="AP346" s="459" t="str">
        <f>IF(CUENTAS!X335/CUENTAS!$AB335&lt;&gt;0,CUENTAS!X335/CUENTAS!$AB335,"")</f>
        <v/>
      </c>
      <c r="AQ346" s="459" t="str">
        <f>IF(CUENTAS!Y335/CUENTAS!$AB335&lt;&gt;0,CUENTAS!Y335/CUENTAS!$AB335,"")</f>
        <v/>
      </c>
      <c r="AR346" s="459">
        <f>IF(CUENTAS!AA335/CUENTAS!$AB335&lt;&gt;0,CUENTAS!AA335/CUENTAS!$AB335,"")</f>
        <v>0.2027810792</v>
      </c>
    </row>
    <row r="347">
      <c r="A347" s="474"/>
      <c r="B347" s="200"/>
      <c r="C347" s="200"/>
      <c r="F347" s="200"/>
      <c r="G347" s="200"/>
      <c r="J347" s="465">
        <v>45313.0</v>
      </c>
      <c r="K347" s="466">
        <f>SUMIF(GRAFICO!A:A,J347,GRAFICO!B:B)</f>
        <v>10193.10058</v>
      </c>
      <c r="L347" s="467">
        <f t="shared" si="2"/>
        <v>0.009056745511</v>
      </c>
      <c r="M347" s="468">
        <v>45679.0</v>
      </c>
      <c r="N347" s="469">
        <f>SUMIF(GRAFICO!A:A,M347,GRAFICO!B:B)</f>
        <v>14254.52043</v>
      </c>
      <c r="O347" s="467">
        <f t="shared" si="5"/>
        <v>0.02400080437</v>
      </c>
      <c r="P347" s="468">
        <v>46044.0</v>
      </c>
      <c r="Q347" s="463">
        <f>IF(SUMIF(GRAFICO!A:A,P347,GRAFICO!B:B)=0,"",SUMIF(GRAFICO!A:A,P347,GRAFICO!B:B))</f>
        <v>21724.54247</v>
      </c>
      <c r="R347" s="463">
        <f t="shared" si="4"/>
        <v>0.04600079609</v>
      </c>
      <c r="S347" s="471">
        <f>CUENTAS!A336</f>
        <v>45766</v>
      </c>
      <c r="T347" s="459">
        <f>IF(CUENTAS!Q336/CUENTAS!$AB336&lt;&gt;0,CUENTAS!Q336/CUENTAS!$AB336,"")</f>
        <v>0.006167485786</v>
      </c>
      <c r="U347" s="459" t="str">
        <f>IF(CUENTAS!C336/CUENTAS!$AB336&lt;&gt;0,CUENTAS!C336/CUENTAS!$AB336,"")</f>
        <v/>
      </c>
      <c r="V347" s="459" t="str">
        <f>IF(CUENTAS!D336/CUENTAS!$AB336&lt;&gt;0,CUENTAS!D336/CUENTAS!$AB336,"")</f>
        <v/>
      </c>
      <c r="W347" s="459" t="str">
        <f>IF(CUENTAS!E336/CUENTAS!$AB336&lt;&gt;0,CUENTAS!E336/CUENTAS!$AB336,"")</f>
        <v/>
      </c>
      <c r="X347" s="459" t="str">
        <f>IF(CUENTAS!F336/CUENTAS!$AB336&lt;&gt;0,CUENTAS!F336/CUENTAS!$AB336,"")</f>
        <v/>
      </c>
      <c r="Y347" s="459" t="str">
        <f>IF(CUENTAS!G336/CUENTAS!$AB336&lt;&gt;0,CUENTAS!G336/CUENTAS!$AB336,"")</f>
        <v/>
      </c>
      <c r="Z347" s="459">
        <f>IF(CUENTAS!H336/CUENTAS!$AB336&lt;&gt;0,CUENTAS!H336/CUENTAS!$AB336,"")</f>
        <v>0.6290407204</v>
      </c>
      <c r="AA347" s="459">
        <f>IF(CUENTAS!I336/CUENTAS!$AB336&lt;&gt;0,CUENTAS!I336/CUENTAS!$AB336,"")</f>
        <v>0.0182240639</v>
      </c>
      <c r="AB347" s="459">
        <f>IF(CUENTAS!J336/CUENTAS!$AB336&lt;&gt;0,CUENTAS!J336/CUENTAS!$AB336,"")</f>
        <v>0.04107374214</v>
      </c>
      <c r="AC347" s="459" t="str">
        <f>IF(CUENTAS!K336/CUENTAS!$AB336&lt;&gt;0,CUENTAS!K336/CUENTAS!$AB336,"")</f>
        <v/>
      </c>
      <c r="AD347" s="459" t="str">
        <f>IF(CUENTAS!L336/CUENTAS!$AB336&lt;&gt;0,CUENTAS!L336/CUENTAS!$AB336,"")</f>
        <v/>
      </c>
      <c r="AE347" s="459" t="str">
        <f>IF(CUENTAS!M336/CUENTAS!$AB336&lt;&gt;0,CUENTAS!M336/CUENTAS!$AB336,"")</f>
        <v/>
      </c>
      <c r="AF347" s="459" t="str">
        <f>IF(CUENTAS!N336/CUENTAS!$AB336&lt;&gt;0,CUENTAS!N336/CUENTAS!$AB336,"")</f>
        <v/>
      </c>
      <c r="AG347" s="459" t="str">
        <f>IF(CUENTAS!O336/CUENTAS!$AB336&lt;&gt;0,CUENTAS!O336/CUENTAS!$AB336,"")</f>
        <v/>
      </c>
      <c r="AH347" s="459" t="str">
        <f>IF(CUENTAS!P336/CUENTAS!$AB336&lt;&gt;0,CUENTAS!P336/CUENTAS!$AB336,"")</f>
        <v/>
      </c>
      <c r="AI347" s="459">
        <f>IF(CUENTAS!R336/CUENTAS!$AB336&lt;&gt;0,CUENTAS!R336/CUENTAS!$AB336,"")</f>
        <v>0.03028778031</v>
      </c>
      <c r="AJ347" s="459" t="str">
        <f>IF(CUENTAS!B336/CUENTAS!$AB336&lt;&gt;0,CUENTAS!B336/CUENTAS!$AB336,"")</f>
        <v/>
      </c>
      <c r="AK347" s="459" t="str">
        <f>IF(CUENTAS!S336/CUENTAS!$AB336&lt;&gt;0,CUENTAS!S336/CUENTAS!$AB336,"")</f>
        <v/>
      </c>
      <c r="AL347" s="459" t="str">
        <f>IF(CUENTAS!T336/CUENTAS!$AB336&lt;&gt;0,CUENTAS!T336/CUENTAS!$AB336,"")</f>
        <v/>
      </c>
      <c r="AM347" s="459" t="str">
        <f>IF(CUENTAS!U336/CUENTAS!$AB336&lt;&gt;0,CUENTAS!U336/CUENTAS!$AB336,"")</f>
        <v/>
      </c>
      <c r="AN347" s="459">
        <f>IF(CUENTAS!V336/CUENTAS!$AB336&lt;&gt;0,CUENTAS!V336/CUENTAS!$AB336,"")</f>
        <v>0.07242512822</v>
      </c>
      <c r="AO347" s="459" t="str">
        <f>IF(CUENTAS!W336/CUENTAS!$AB336&lt;&gt;0,CUENTAS!W336/CUENTAS!$AB336,"")</f>
        <v/>
      </c>
      <c r="AP347" s="459" t="str">
        <f>IF(CUENTAS!X336/CUENTAS!$AB336&lt;&gt;0,CUENTAS!X336/CUENTAS!$AB336,"")</f>
        <v/>
      </c>
      <c r="AQ347" s="459" t="str">
        <f>IF(CUENTAS!Y336/CUENTAS!$AB336&lt;&gt;0,CUENTAS!Y336/CUENTAS!$AB336,"")</f>
        <v/>
      </c>
      <c r="AR347" s="459">
        <f>IF(CUENTAS!AA336/CUENTAS!$AB336&lt;&gt;0,CUENTAS!AA336/CUENTAS!$AB336,"")</f>
        <v>0.2027810792</v>
      </c>
    </row>
    <row r="348">
      <c r="A348" s="474"/>
      <c r="B348" s="200"/>
      <c r="C348" s="200"/>
      <c r="F348" s="200"/>
      <c r="G348" s="200"/>
      <c r="J348" s="470">
        <v>45312.0</v>
      </c>
      <c r="K348" s="466">
        <f>SUMIF(GRAFICO!A:A,J348,GRAFICO!B:B)</f>
        <v>10193.10058</v>
      </c>
      <c r="L348" s="467">
        <f t="shared" si="2"/>
        <v>0.009056745511</v>
      </c>
      <c r="M348" s="468">
        <v>45678.0</v>
      </c>
      <c r="N348" s="469">
        <f>SUMIF(GRAFICO!A:A,M348,GRAFICO!B:B)</f>
        <v>14254.52043</v>
      </c>
      <c r="O348" s="467">
        <f t="shared" si="5"/>
        <v>0.02400080437</v>
      </c>
      <c r="P348" s="468">
        <v>46043.0</v>
      </c>
      <c r="Q348" s="463">
        <f>IF(SUMIF(GRAFICO!A:A,P348,GRAFICO!B:B)=0,"",SUMIF(GRAFICO!A:A,P348,GRAFICO!B:B))</f>
        <v>21761.68936</v>
      </c>
      <c r="R348" s="463">
        <f t="shared" si="4"/>
        <v>0.04770924015</v>
      </c>
      <c r="S348" s="471">
        <f>CUENTAS!A337</f>
        <v>45765</v>
      </c>
      <c r="T348" s="459">
        <f>IF(CUENTAS!Q337/CUENTAS!$AB337&lt;&gt;0,CUENTAS!Q337/CUENTAS!$AB337,"")</f>
        <v>0.006167485786</v>
      </c>
      <c r="U348" s="459" t="str">
        <f>IF(CUENTAS!C337/CUENTAS!$AB337&lt;&gt;0,CUENTAS!C337/CUENTAS!$AB337,"")</f>
        <v/>
      </c>
      <c r="V348" s="459" t="str">
        <f>IF(CUENTAS!D337/CUENTAS!$AB337&lt;&gt;0,CUENTAS!D337/CUENTAS!$AB337,"")</f>
        <v/>
      </c>
      <c r="W348" s="459" t="str">
        <f>IF(CUENTAS!E337/CUENTAS!$AB337&lt;&gt;0,CUENTAS!E337/CUENTAS!$AB337,"")</f>
        <v/>
      </c>
      <c r="X348" s="459" t="str">
        <f>IF(CUENTAS!F337/CUENTAS!$AB337&lt;&gt;0,CUENTAS!F337/CUENTAS!$AB337,"")</f>
        <v/>
      </c>
      <c r="Y348" s="459" t="str">
        <f>IF(CUENTAS!G337/CUENTAS!$AB337&lt;&gt;0,CUENTAS!G337/CUENTAS!$AB337,"")</f>
        <v/>
      </c>
      <c r="Z348" s="459">
        <f>IF(CUENTAS!H337/CUENTAS!$AB337&lt;&gt;0,CUENTAS!H337/CUENTAS!$AB337,"")</f>
        <v>0.6290407204</v>
      </c>
      <c r="AA348" s="459">
        <f>IF(CUENTAS!I337/CUENTAS!$AB337&lt;&gt;0,CUENTAS!I337/CUENTAS!$AB337,"")</f>
        <v>0.0182240639</v>
      </c>
      <c r="AB348" s="459">
        <f>IF(CUENTAS!J337/CUENTAS!$AB337&lt;&gt;0,CUENTAS!J337/CUENTAS!$AB337,"")</f>
        <v>0.04107374214</v>
      </c>
      <c r="AC348" s="459" t="str">
        <f>IF(CUENTAS!K337/CUENTAS!$AB337&lt;&gt;0,CUENTAS!K337/CUENTAS!$AB337,"")</f>
        <v/>
      </c>
      <c r="AD348" s="459" t="str">
        <f>IF(CUENTAS!L337/CUENTAS!$AB337&lt;&gt;0,CUENTAS!L337/CUENTAS!$AB337,"")</f>
        <v/>
      </c>
      <c r="AE348" s="459" t="str">
        <f>IF(CUENTAS!M337/CUENTAS!$AB337&lt;&gt;0,CUENTAS!M337/CUENTAS!$AB337,"")</f>
        <v/>
      </c>
      <c r="AF348" s="459" t="str">
        <f>IF(CUENTAS!N337/CUENTAS!$AB337&lt;&gt;0,CUENTAS!N337/CUENTAS!$AB337,"")</f>
        <v/>
      </c>
      <c r="AG348" s="459" t="str">
        <f>IF(CUENTAS!O337/CUENTAS!$AB337&lt;&gt;0,CUENTAS!O337/CUENTAS!$AB337,"")</f>
        <v/>
      </c>
      <c r="AH348" s="459" t="str">
        <f>IF(CUENTAS!P337/CUENTAS!$AB337&lt;&gt;0,CUENTAS!P337/CUENTAS!$AB337,"")</f>
        <v/>
      </c>
      <c r="AI348" s="459">
        <f>IF(CUENTAS!R337/CUENTAS!$AB337&lt;&gt;0,CUENTAS!R337/CUENTAS!$AB337,"")</f>
        <v>0.03028778031</v>
      </c>
      <c r="AJ348" s="459" t="str">
        <f>IF(CUENTAS!B337/CUENTAS!$AB337&lt;&gt;0,CUENTAS!B337/CUENTAS!$AB337,"")</f>
        <v/>
      </c>
      <c r="AK348" s="459" t="str">
        <f>IF(CUENTAS!S337/CUENTAS!$AB337&lt;&gt;0,CUENTAS!S337/CUENTAS!$AB337,"")</f>
        <v/>
      </c>
      <c r="AL348" s="459" t="str">
        <f>IF(CUENTAS!T337/CUENTAS!$AB337&lt;&gt;0,CUENTAS!T337/CUENTAS!$AB337,"")</f>
        <v/>
      </c>
      <c r="AM348" s="459" t="str">
        <f>IF(CUENTAS!U337/CUENTAS!$AB337&lt;&gt;0,CUENTAS!U337/CUENTAS!$AB337,"")</f>
        <v/>
      </c>
      <c r="AN348" s="459">
        <f>IF(CUENTAS!V337/CUENTAS!$AB337&lt;&gt;0,CUENTAS!V337/CUENTAS!$AB337,"")</f>
        <v>0.07242512822</v>
      </c>
      <c r="AO348" s="459" t="str">
        <f>IF(CUENTAS!W337/CUENTAS!$AB337&lt;&gt;0,CUENTAS!W337/CUENTAS!$AB337,"")</f>
        <v/>
      </c>
      <c r="AP348" s="459" t="str">
        <f>IF(CUENTAS!X337/CUENTAS!$AB337&lt;&gt;0,CUENTAS!X337/CUENTAS!$AB337,"")</f>
        <v/>
      </c>
      <c r="AQ348" s="459" t="str">
        <f>IF(CUENTAS!Y337/CUENTAS!$AB337&lt;&gt;0,CUENTAS!Y337/CUENTAS!$AB337,"")</f>
        <v/>
      </c>
      <c r="AR348" s="459">
        <f>IF(CUENTAS!AA337/CUENTAS!$AB337&lt;&gt;0,CUENTAS!AA337/CUENTAS!$AB337,"")</f>
        <v>0.2027810792</v>
      </c>
    </row>
    <row r="349">
      <c r="A349" s="474"/>
      <c r="B349" s="200"/>
      <c r="C349" s="200"/>
      <c r="F349" s="200"/>
      <c r="G349" s="200"/>
      <c r="J349" s="465">
        <v>45311.0</v>
      </c>
      <c r="K349" s="466">
        <f>SUMIF(GRAFICO!A:A,J349,GRAFICO!B:B)</f>
        <v>10188.88921</v>
      </c>
      <c r="L349" s="467">
        <f t="shared" si="2"/>
        <v>0.008643501197</v>
      </c>
      <c r="M349" s="468">
        <v>45677.0</v>
      </c>
      <c r="N349" s="469">
        <f>SUMIF(GRAFICO!A:A,M349,GRAFICO!B:B)</f>
        <v>14370.74788</v>
      </c>
      <c r="O349" s="467">
        <f t="shared" si="5"/>
        <v>0.03212146847</v>
      </c>
      <c r="P349" s="468">
        <v>46042.0</v>
      </c>
      <c r="Q349" s="463">
        <f>IF(SUMIF(GRAFICO!A:A,P349,GRAFICO!B:B)=0,"",SUMIF(GRAFICO!A:A,P349,GRAFICO!B:B))</f>
        <v>21631.43549</v>
      </c>
      <c r="R349" s="463">
        <f t="shared" si="4"/>
        <v>0.0417057887</v>
      </c>
      <c r="S349" s="471">
        <f>CUENTAS!A338</f>
        <v>45764</v>
      </c>
      <c r="T349" s="459">
        <f>IF(CUENTAS!Q338/CUENTAS!$AB338&lt;&gt;0,CUENTAS!Q338/CUENTAS!$AB338,"")</f>
        <v>0.006167485786</v>
      </c>
      <c r="U349" s="459" t="str">
        <f>IF(CUENTAS!C338/CUENTAS!$AB338&lt;&gt;0,CUENTAS!C338/CUENTAS!$AB338,"")</f>
        <v/>
      </c>
      <c r="V349" s="459" t="str">
        <f>IF(CUENTAS!D338/CUENTAS!$AB338&lt;&gt;0,CUENTAS!D338/CUENTAS!$AB338,"")</f>
        <v/>
      </c>
      <c r="W349" s="459" t="str">
        <f>IF(CUENTAS!E338/CUENTAS!$AB338&lt;&gt;0,CUENTAS!E338/CUENTAS!$AB338,"")</f>
        <v/>
      </c>
      <c r="X349" s="459" t="str">
        <f>IF(CUENTAS!F338/CUENTAS!$AB338&lt;&gt;0,CUENTAS!F338/CUENTAS!$AB338,"")</f>
        <v/>
      </c>
      <c r="Y349" s="459" t="str">
        <f>IF(CUENTAS!G338/CUENTAS!$AB338&lt;&gt;0,CUENTAS!G338/CUENTAS!$AB338,"")</f>
        <v/>
      </c>
      <c r="Z349" s="459">
        <f>IF(CUENTAS!H338/CUENTAS!$AB338&lt;&gt;0,CUENTAS!H338/CUENTAS!$AB338,"")</f>
        <v>0.6290407204</v>
      </c>
      <c r="AA349" s="459">
        <f>IF(CUENTAS!I338/CUENTAS!$AB338&lt;&gt;0,CUENTAS!I338/CUENTAS!$AB338,"")</f>
        <v>0.0182240639</v>
      </c>
      <c r="AB349" s="459">
        <f>IF(CUENTAS!J338/CUENTAS!$AB338&lt;&gt;0,CUENTAS!J338/CUENTAS!$AB338,"")</f>
        <v>0.04107374214</v>
      </c>
      <c r="AC349" s="459" t="str">
        <f>IF(CUENTAS!K338/CUENTAS!$AB338&lt;&gt;0,CUENTAS!K338/CUENTAS!$AB338,"")</f>
        <v/>
      </c>
      <c r="AD349" s="459" t="str">
        <f>IF(CUENTAS!L338/CUENTAS!$AB338&lt;&gt;0,CUENTAS!L338/CUENTAS!$AB338,"")</f>
        <v/>
      </c>
      <c r="AE349" s="459" t="str">
        <f>IF(CUENTAS!M338/CUENTAS!$AB338&lt;&gt;0,CUENTAS!M338/CUENTAS!$AB338,"")</f>
        <v/>
      </c>
      <c r="AF349" s="459" t="str">
        <f>IF(CUENTAS!N338/CUENTAS!$AB338&lt;&gt;0,CUENTAS!N338/CUENTAS!$AB338,"")</f>
        <v/>
      </c>
      <c r="AG349" s="459" t="str">
        <f>IF(CUENTAS!O338/CUENTAS!$AB338&lt;&gt;0,CUENTAS!O338/CUENTAS!$AB338,"")</f>
        <v/>
      </c>
      <c r="AH349" s="459" t="str">
        <f>IF(CUENTAS!P338/CUENTAS!$AB338&lt;&gt;0,CUENTAS!P338/CUENTAS!$AB338,"")</f>
        <v/>
      </c>
      <c r="AI349" s="459">
        <f>IF(CUENTAS!R338/CUENTAS!$AB338&lt;&gt;0,CUENTAS!R338/CUENTAS!$AB338,"")</f>
        <v>0.03028778031</v>
      </c>
      <c r="AJ349" s="459" t="str">
        <f>IF(CUENTAS!B338/CUENTAS!$AB338&lt;&gt;0,CUENTAS!B338/CUENTAS!$AB338,"")</f>
        <v/>
      </c>
      <c r="AK349" s="459" t="str">
        <f>IF(CUENTAS!S338/CUENTAS!$AB338&lt;&gt;0,CUENTAS!S338/CUENTAS!$AB338,"")</f>
        <v/>
      </c>
      <c r="AL349" s="459" t="str">
        <f>IF(CUENTAS!T338/CUENTAS!$AB338&lt;&gt;0,CUENTAS!T338/CUENTAS!$AB338,"")</f>
        <v/>
      </c>
      <c r="AM349" s="459" t="str">
        <f>IF(CUENTAS!U338/CUENTAS!$AB338&lt;&gt;0,CUENTAS!U338/CUENTAS!$AB338,"")</f>
        <v/>
      </c>
      <c r="AN349" s="459">
        <f>IF(CUENTAS!V338/CUENTAS!$AB338&lt;&gt;0,CUENTAS!V338/CUENTAS!$AB338,"")</f>
        <v>0.07242512822</v>
      </c>
      <c r="AO349" s="459" t="str">
        <f>IF(CUENTAS!W338/CUENTAS!$AB338&lt;&gt;0,CUENTAS!W338/CUENTAS!$AB338,"")</f>
        <v/>
      </c>
      <c r="AP349" s="459" t="str">
        <f>IF(CUENTAS!X338/CUENTAS!$AB338&lt;&gt;0,CUENTAS!X338/CUENTAS!$AB338,"")</f>
        <v/>
      </c>
      <c r="AQ349" s="459" t="str">
        <f>IF(CUENTAS!Y338/CUENTAS!$AB338&lt;&gt;0,CUENTAS!Y338/CUENTAS!$AB338,"")</f>
        <v/>
      </c>
      <c r="AR349" s="459">
        <f>IF(CUENTAS!AA338/CUENTAS!$AB338&lt;&gt;0,CUENTAS!AA338/CUENTAS!$AB338,"")</f>
        <v>0.2027810792</v>
      </c>
    </row>
    <row r="350">
      <c r="A350" s="474"/>
      <c r="B350" s="200"/>
      <c r="C350" s="200"/>
      <c r="F350" s="200"/>
      <c r="G350" s="200"/>
      <c r="J350" s="470">
        <v>45310.0</v>
      </c>
      <c r="K350" s="466">
        <f>SUMIF(GRAFICO!A:A,J350,GRAFICO!B:B)</f>
        <v>10184.01642</v>
      </c>
      <c r="L350" s="467">
        <f t="shared" si="2"/>
        <v>0.008165140724</v>
      </c>
      <c r="M350" s="468">
        <v>45676.0</v>
      </c>
      <c r="N350" s="469">
        <f>SUMIF(GRAFICO!A:A,M350,GRAFICO!B:B)</f>
        <v>14293.57615</v>
      </c>
      <c r="O350" s="467">
        <f t="shared" si="5"/>
        <v>0.02673694091</v>
      </c>
      <c r="P350" s="468">
        <v>46041.0</v>
      </c>
      <c r="Q350" s="463">
        <f>IF(SUMIF(GRAFICO!A:A,P350,GRAFICO!B:B)=0,"",SUMIF(GRAFICO!A:A,P350,GRAFICO!B:B))</f>
        <v>21502.45148</v>
      </c>
      <c r="R350" s="463">
        <f t="shared" si="4"/>
        <v>0.03572513613</v>
      </c>
      <c r="S350" s="471">
        <f>CUENTAS!A339</f>
        <v>45763</v>
      </c>
      <c r="T350" s="459">
        <f>IF(CUENTAS!Q339/CUENTAS!$AB339&lt;&gt;0,CUENTAS!Q339/CUENTAS!$AB339,"")</f>
        <v>0.006167485786</v>
      </c>
      <c r="U350" s="459" t="str">
        <f>IF(CUENTAS!C339/CUENTAS!$AB339&lt;&gt;0,CUENTAS!C339/CUENTAS!$AB339,"")</f>
        <v/>
      </c>
      <c r="V350" s="459" t="str">
        <f>IF(CUENTAS!D339/CUENTAS!$AB339&lt;&gt;0,CUENTAS!D339/CUENTAS!$AB339,"")</f>
        <v/>
      </c>
      <c r="W350" s="459" t="str">
        <f>IF(CUENTAS!E339/CUENTAS!$AB339&lt;&gt;0,CUENTAS!E339/CUENTAS!$AB339,"")</f>
        <v/>
      </c>
      <c r="X350" s="459" t="str">
        <f>IF(CUENTAS!F339/CUENTAS!$AB339&lt;&gt;0,CUENTAS!F339/CUENTAS!$AB339,"")</f>
        <v/>
      </c>
      <c r="Y350" s="459" t="str">
        <f>IF(CUENTAS!G339/CUENTAS!$AB339&lt;&gt;0,CUENTAS!G339/CUENTAS!$AB339,"")</f>
        <v/>
      </c>
      <c r="Z350" s="459">
        <f>IF(CUENTAS!H339/CUENTAS!$AB339&lt;&gt;0,CUENTAS!H339/CUENTAS!$AB339,"")</f>
        <v>0.6290407204</v>
      </c>
      <c r="AA350" s="459">
        <f>IF(CUENTAS!I339/CUENTAS!$AB339&lt;&gt;0,CUENTAS!I339/CUENTAS!$AB339,"")</f>
        <v>0.0182240639</v>
      </c>
      <c r="AB350" s="459">
        <f>IF(CUENTAS!J339/CUENTAS!$AB339&lt;&gt;0,CUENTAS!J339/CUENTAS!$AB339,"")</f>
        <v>0.04107374214</v>
      </c>
      <c r="AC350" s="459" t="str">
        <f>IF(CUENTAS!K339/CUENTAS!$AB339&lt;&gt;0,CUENTAS!K339/CUENTAS!$AB339,"")</f>
        <v/>
      </c>
      <c r="AD350" s="459" t="str">
        <f>IF(CUENTAS!L339/CUENTAS!$AB339&lt;&gt;0,CUENTAS!L339/CUENTAS!$AB339,"")</f>
        <v/>
      </c>
      <c r="AE350" s="459" t="str">
        <f>IF(CUENTAS!M339/CUENTAS!$AB339&lt;&gt;0,CUENTAS!M339/CUENTAS!$AB339,"")</f>
        <v/>
      </c>
      <c r="AF350" s="459" t="str">
        <f>IF(CUENTAS!N339/CUENTAS!$AB339&lt;&gt;0,CUENTAS!N339/CUENTAS!$AB339,"")</f>
        <v/>
      </c>
      <c r="AG350" s="459" t="str">
        <f>IF(CUENTAS!O339/CUENTAS!$AB339&lt;&gt;0,CUENTAS!O339/CUENTAS!$AB339,"")</f>
        <v/>
      </c>
      <c r="AH350" s="459" t="str">
        <f>IF(CUENTAS!P339/CUENTAS!$AB339&lt;&gt;0,CUENTAS!P339/CUENTAS!$AB339,"")</f>
        <v/>
      </c>
      <c r="AI350" s="459">
        <f>IF(CUENTAS!R339/CUENTAS!$AB339&lt;&gt;0,CUENTAS!R339/CUENTAS!$AB339,"")</f>
        <v>0.03028778031</v>
      </c>
      <c r="AJ350" s="459" t="str">
        <f>IF(CUENTAS!B339/CUENTAS!$AB339&lt;&gt;0,CUENTAS!B339/CUENTAS!$AB339,"")</f>
        <v/>
      </c>
      <c r="AK350" s="459" t="str">
        <f>IF(CUENTAS!S339/CUENTAS!$AB339&lt;&gt;0,CUENTAS!S339/CUENTAS!$AB339,"")</f>
        <v/>
      </c>
      <c r="AL350" s="459" t="str">
        <f>IF(CUENTAS!T339/CUENTAS!$AB339&lt;&gt;0,CUENTAS!T339/CUENTAS!$AB339,"")</f>
        <v/>
      </c>
      <c r="AM350" s="459" t="str">
        <f>IF(CUENTAS!U339/CUENTAS!$AB339&lt;&gt;0,CUENTAS!U339/CUENTAS!$AB339,"")</f>
        <v/>
      </c>
      <c r="AN350" s="459">
        <f>IF(CUENTAS!V339/CUENTAS!$AB339&lt;&gt;0,CUENTAS!V339/CUENTAS!$AB339,"")</f>
        <v>0.07242512822</v>
      </c>
      <c r="AO350" s="459" t="str">
        <f>IF(CUENTAS!W339/CUENTAS!$AB339&lt;&gt;0,CUENTAS!W339/CUENTAS!$AB339,"")</f>
        <v/>
      </c>
      <c r="AP350" s="459" t="str">
        <f>IF(CUENTAS!X339/CUENTAS!$AB339&lt;&gt;0,CUENTAS!X339/CUENTAS!$AB339,"")</f>
        <v/>
      </c>
      <c r="AQ350" s="459" t="str">
        <f>IF(CUENTAS!Y339/CUENTAS!$AB339&lt;&gt;0,CUENTAS!Y339/CUENTAS!$AB339,"")</f>
        <v/>
      </c>
      <c r="AR350" s="459">
        <f>IF(CUENTAS!AA339/CUENTAS!$AB339&lt;&gt;0,CUENTAS!AA339/CUENTAS!$AB339,"")</f>
        <v>0.2027810792</v>
      </c>
    </row>
    <row r="351">
      <c r="A351" s="474"/>
      <c r="B351" s="200"/>
      <c r="C351" s="200"/>
      <c r="F351" s="200"/>
      <c r="G351" s="200"/>
      <c r="J351" s="470">
        <v>45309.0</v>
      </c>
      <c r="K351" s="466">
        <f>SUMIF(GRAFICO!A:A,J351,GRAFICO!B:B)</f>
        <v>10179.74086</v>
      </c>
      <c r="L351" s="467">
        <f t="shared" si="2"/>
        <v>0.007745222693</v>
      </c>
      <c r="M351" s="468">
        <v>45675.0</v>
      </c>
      <c r="N351" s="469">
        <f>SUMIF(GRAFICO!A:A,M351,GRAFICO!B:B)</f>
        <v>14293.57615</v>
      </c>
      <c r="O351" s="467">
        <f t="shared" si="5"/>
        <v>0.02673694091</v>
      </c>
      <c r="P351" s="468">
        <v>46040.0</v>
      </c>
      <c r="Q351" s="463">
        <f>IF(SUMIF(GRAFICO!A:A,P351,GRAFICO!B:B)=0,"",SUMIF(GRAFICO!A:A,P351,GRAFICO!B:B))</f>
        <v>21331.9052</v>
      </c>
      <c r="R351" s="463">
        <f t="shared" si="4"/>
        <v>0.02776203386</v>
      </c>
      <c r="S351" s="471">
        <f>CUENTAS!A340</f>
        <v>45762</v>
      </c>
      <c r="T351" s="459">
        <f>IF(CUENTAS!Q340/CUENTAS!$AB340&lt;&gt;0,CUENTAS!Q340/CUENTAS!$AB340,"")</f>
        <v>0.006106244412</v>
      </c>
      <c r="U351" s="459" t="str">
        <f>IF(CUENTAS!C340/CUENTAS!$AB340&lt;&gt;0,CUENTAS!C340/CUENTAS!$AB340,"")</f>
        <v/>
      </c>
      <c r="V351" s="459" t="str">
        <f>IF(CUENTAS!D340/CUENTAS!$AB340&lt;&gt;0,CUENTAS!D340/CUENTAS!$AB340,"")</f>
        <v/>
      </c>
      <c r="W351" s="459" t="str">
        <f>IF(CUENTAS!E340/CUENTAS!$AB340&lt;&gt;0,CUENTAS!E340/CUENTAS!$AB340,"")</f>
        <v/>
      </c>
      <c r="X351" s="459" t="str">
        <f>IF(CUENTAS!F340/CUENTAS!$AB340&lt;&gt;0,CUENTAS!F340/CUENTAS!$AB340,"")</f>
        <v/>
      </c>
      <c r="Y351" s="459" t="str">
        <f>IF(CUENTAS!G340/CUENTAS!$AB340&lt;&gt;0,CUENTAS!G340/CUENTAS!$AB340,"")</f>
        <v/>
      </c>
      <c r="Z351" s="459">
        <f>IF(CUENTAS!H340/CUENTAS!$AB340&lt;&gt;0,CUENTAS!H340/CUENTAS!$AB340,"")</f>
        <v>0.6338055543</v>
      </c>
      <c r="AA351" s="459">
        <f>IF(CUENTAS!I340/CUENTAS!$AB340&lt;&gt;0,CUENTAS!I340/CUENTAS!$AB340,"")</f>
        <v>0.01696179003</v>
      </c>
      <c r="AB351" s="459">
        <f>IF(CUENTAS!J340/CUENTAS!$AB340&lt;&gt;0,CUENTAS!J340/CUENTAS!$AB340,"")</f>
        <v>0.04066589161</v>
      </c>
      <c r="AC351" s="459" t="str">
        <f>IF(CUENTAS!K340/CUENTAS!$AB340&lt;&gt;0,CUENTAS!K340/CUENTAS!$AB340,"")</f>
        <v/>
      </c>
      <c r="AD351" s="459" t="str">
        <f>IF(CUENTAS!L340/CUENTAS!$AB340&lt;&gt;0,CUENTAS!L340/CUENTAS!$AB340,"")</f>
        <v/>
      </c>
      <c r="AE351" s="459" t="str">
        <f>IF(CUENTAS!M340/CUENTAS!$AB340&lt;&gt;0,CUENTAS!M340/CUENTAS!$AB340,"")</f>
        <v/>
      </c>
      <c r="AF351" s="459" t="str">
        <f>IF(CUENTAS!N340/CUENTAS!$AB340&lt;&gt;0,CUENTAS!N340/CUENTAS!$AB340,"")</f>
        <v/>
      </c>
      <c r="AG351" s="459" t="str">
        <f>IF(CUENTAS!O340/CUENTAS!$AB340&lt;&gt;0,CUENTAS!O340/CUENTAS!$AB340,"")</f>
        <v/>
      </c>
      <c r="AH351" s="459" t="str">
        <f>IF(CUENTAS!P340/CUENTAS!$AB340&lt;&gt;0,CUENTAS!P340/CUENTAS!$AB340,"")</f>
        <v/>
      </c>
      <c r="AI351" s="459">
        <f>IF(CUENTAS!R340/CUENTAS!$AB340&lt;&gt;0,CUENTAS!R340/CUENTAS!$AB340,"")</f>
        <v>0.0299870313</v>
      </c>
      <c r="AJ351" s="459" t="str">
        <f>IF(CUENTAS!B340/CUENTAS!$AB340&lt;&gt;0,CUENTAS!B340/CUENTAS!$AB340,"")</f>
        <v/>
      </c>
      <c r="AK351" s="459" t="str">
        <f>IF(CUENTAS!S340/CUENTAS!$AB340&lt;&gt;0,CUENTAS!S340/CUENTAS!$AB340,"")</f>
        <v/>
      </c>
      <c r="AL351" s="459" t="str">
        <f>IF(CUENTAS!T340/CUENTAS!$AB340&lt;&gt;0,CUENTAS!T340/CUENTAS!$AB340,"")</f>
        <v/>
      </c>
      <c r="AM351" s="459" t="str">
        <f>IF(CUENTAS!U340/CUENTAS!$AB340&lt;&gt;0,CUENTAS!U340/CUENTAS!$AB340,"")</f>
        <v/>
      </c>
      <c r="AN351" s="459">
        <f>IF(CUENTAS!V340/CUENTAS!$AB340&lt;&gt;0,CUENTAS!V340/CUENTAS!$AB340,"")</f>
        <v>0.07170596737</v>
      </c>
      <c r="AO351" s="459" t="str">
        <f>IF(CUENTAS!W340/CUENTAS!$AB340&lt;&gt;0,CUENTAS!W340/CUENTAS!$AB340,"")</f>
        <v/>
      </c>
      <c r="AP351" s="459" t="str">
        <f>IF(CUENTAS!X340/CUENTAS!$AB340&lt;&gt;0,CUENTAS!X340/CUENTAS!$AB340,"")</f>
        <v/>
      </c>
      <c r="AQ351" s="459" t="str">
        <f>IF(CUENTAS!Y340/CUENTAS!$AB340&lt;&gt;0,CUENTAS!Y340/CUENTAS!$AB340,"")</f>
        <v/>
      </c>
      <c r="AR351" s="459">
        <f>IF(CUENTAS!AA340/CUENTAS!$AB340&lt;&gt;0,CUENTAS!AA340/CUENTAS!$AB340,"")</f>
        <v>0.200767521</v>
      </c>
    </row>
    <row r="352">
      <c r="A352" s="474"/>
      <c r="B352" s="200"/>
      <c r="C352" s="200"/>
      <c r="F352" s="200"/>
      <c r="G352" s="200"/>
      <c r="J352" s="470">
        <v>45308.0</v>
      </c>
      <c r="K352" s="466">
        <f>SUMIF(GRAFICO!A:A,J352,GRAFICO!B:B)</f>
        <v>10174.76219</v>
      </c>
      <c r="L352" s="467">
        <f t="shared" si="2"/>
        <v>0.007256026523</v>
      </c>
      <c r="M352" s="468">
        <v>45674.0</v>
      </c>
      <c r="N352" s="469">
        <f>SUMIF(GRAFICO!A:A,M352,GRAFICO!B:B)</f>
        <v>14293.57615</v>
      </c>
      <c r="O352" s="467">
        <f t="shared" si="5"/>
        <v>0.02673694091</v>
      </c>
      <c r="P352" s="468">
        <v>46039.0</v>
      </c>
      <c r="Q352" s="463">
        <f>IF(SUMIF(GRAFICO!A:A,P352,GRAFICO!B:B)=0,"",SUMIF(GRAFICO!A:A,P352,GRAFICO!B:B))</f>
        <v>21324.89951</v>
      </c>
      <c r="R352" s="463">
        <f t="shared" si="4"/>
        <v>0.027433566</v>
      </c>
      <c r="S352" s="471">
        <f>CUENTAS!A341</f>
        <v>45761</v>
      </c>
      <c r="T352" s="459">
        <f>IF(CUENTAS!Q341/CUENTAS!$AB341&lt;&gt;0,CUENTAS!Q341/CUENTAS!$AB341,"")</f>
        <v>0.006237208849</v>
      </c>
      <c r="U352" s="459" t="str">
        <f>IF(CUENTAS!C341/CUENTAS!$AB341&lt;&gt;0,CUENTAS!C341/CUENTAS!$AB341,"")</f>
        <v/>
      </c>
      <c r="V352" s="459" t="str">
        <f>IF(CUENTAS!D341/CUENTAS!$AB341&lt;&gt;0,CUENTAS!D341/CUENTAS!$AB341,"")</f>
        <v/>
      </c>
      <c r="W352" s="459" t="str">
        <f>IF(CUENTAS!E341/CUENTAS!$AB341&lt;&gt;0,CUENTAS!E341/CUENTAS!$AB341,"")</f>
        <v/>
      </c>
      <c r="X352" s="459" t="str">
        <f>IF(CUENTAS!F341/CUENTAS!$AB341&lt;&gt;0,CUENTAS!F341/CUENTAS!$AB341,"")</f>
        <v/>
      </c>
      <c r="Y352" s="459" t="str">
        <f>IF(CUENTAS!G341/CUENTAS!$AB341&lt;&gt;0,CUENTAS!G341/CUENTAS!$AB341,"")</f>
        <v/>
      </c>
      <c r="Z352" s="459">
        <f>IF(CUENTAS!H341/CUENTAS!$AB341&lt;&gt;0,CUENTAS!H341/CUENTAS!$AB341,"")</f>
        <v>0.6265507297</v>
      </c>
      <c r="AA352" s="459">
        <f>IF(CUENTAS!I341/CUENTAS!$AB341&lt;&gt;0,CUENTAS!I341/CUENTAS!$AB341,"")</f>
        <v>0.01672640382</v>
      </c>
      <c r="AB352" s="459">
        <f>IF(CUENTAS!J341/CUENTAS!$AB341&lt;&gt;0,CUENTAS!J341/CUENTAS!$AB341,"")</f>
        <v>0.04153807838</v>
      </c>
      <c r="AC352" s="459" t="str">
        <f>IF(CUENTAS!K341/CUENTAS!$AB341&lt;&gt;0,CUENTAS!K341/CUENTAS!$AB341,"")</f>
        <v/>
      </c>
      <c r="AD352" s="459" t="str">
        <f>IF(CUENTAS!L341/CUENTAS!$AB341&lt;&gt;0,CUENTAS!L341/CUENTAS!$AB341,"")</f>
        <v/>
      </c>
      <c r="AE352" s="459" t="str">
        <f>IF(CUENTAS!M341/CUENTAS!$AB341&lt;&gt;0,CUENTAS!M341/CUENTAS!$AB341,"")</f>
        <v/>
      </c>
      <c r="AF352" s="459" t="str">
        <f>IF(CUENTAS!N341/CUENTAS!$AB341&lt;&gt;0,CUENTAS!N341/CUENTAS!$AB341,"")</f>
        <v/>
      </c>
      <c r="AG352" s="459" t="str">
        <f>IF(CUENTAS!O341/CUENTAS!$AB341&lt;&gt;0,CUENTAS!O341/CUENTAS!$AB341,"")</f>
        <v/>
      </c>
      <c r="AH352" s="459" t="str">
        <f>IF(CUENTAS!P341/CUENTAS!$AB341&lt;&gt;0,CUENTAS!P341/CUENTAS!$AB341,"")</f>
        <v/>
      </c>
      <c r="AI352" s="459">
        <f>IF(CUENTAS!R341/CUENTAS!$AB341&lt;&gt;0,CUENTAS!R341/CUENTAS!$AB341,"")</f>
        <v>0.03063018188</v>
      </c>
      <c r="AJ352" s="459" t="str">
        <f>IF(CUENTAS!B341/CUENTAS!$AB341&lt;&gt;0,CUENTAS!B341/CUENTAS!$AB341,"")</f>
        <v/>
      </c>
      <c r="AK352" s="459" t="str">
        <f>IF(CUENTAS!S341/CUENTAS!$AB341&lt;&gt;0,CUENTAS!S341/CUENTAS!$AB341,"")</f>
        <v/>
      </c>
      <c r="AL352" s="459" t="str">
        <f>IF(CUENTAS!T341/CUENTAS!$AB341&lt;&gt;0,CUENTAS!T341/CUENTAS!$AB341,"")</f>
        <v/>
      </c>
      <c r="AM352" s="459" t="str">
        <f>IF(CUENTAS!U341/CUENTAS!$AB341&lt;&gt;0,CUENTAS!U341/CUENTAS!$AB341,"")</f>
        <v/>
      </c>
      <c r="AN352" s="459">
        <f>IF(CUENTAS!V341/CUENTAS!$AB341&lt;&gt;0,CUENTAS!V341/CUENTAS!$AB341,"")</f>
        <v>0.07324389003</v>
      </c>
      <c r="AO352" s="459" t="str">
        <f>IF(CUENTAS!W341/CUENTAS!$AB341&lt;&gt;0,CUENTAS!W341/CUENTAS!$AB341,"")</f>
        <v/>
      </c>
      <c r="AP352" s="459" t="str">
        <f>IF(CUENTAS!X341/CUENTAS!$AB341&lt;&gt;0,CUENTAS!X341/CUENTAS!$AB341,"")</f>
        <v/>
      </c>
      <c r="AQ352" s="459" t="str">
        <f>IF(CUENTAS!Y341/CUENTAS!$AB341&lt;&gt;0,CUENTAS!Y341/CUENTAS!$AB341,"")</f>
        <v/>
      </c>
      <c r="AR352" s="459">
        <f>IF(CUENTAS!AA341/CUENTAS!$AB341&lt;&gt;0,CUENTAS!AA341/CUENTAS!$AB341,"")</f>
        <v>0.2050735074</v>
      </c>
    </row>
    <row r="353">
      <c r="A353" s="474"/>
      <c r="B353" s="200"/>
      <c r="C353" s="200"/>
      <c r="F353" s="200"/>
      <c r="G353" s="200"/>
      <c r="J353" s="465">
        <v>45307.0</v>
      </c>
      <c r="K353" s="466">
        <f>SUMIF(GRAFICO!A:A,J353,GRAFICO!B:B)</f>
        <v>10170.2916</v>
      </c>
      <c r="L353" s="467">
        <f t="shared" si="2"/>
        <v>0.006816549829</v>
      </c>
      <c r="M353" s="468">
        <v>45673.0</v>
      </c>
      <c r="N353" s="469">
        <f>SUMIF(GRAFICO!A:A,M353,GRAFICO!B:B)</f>
        <v>14136.46256</v>
      </c>
      <c r="O353" s="467">
        <f t="shared" si="5"/>
        <v>0.01568418157</v>
      </c>
      <c r="P353" s="468">
        <v>46038.0</v>
      </c>
      <c r="Q353" s="463">
        <f>IF(SUMIF(GRAFICO!A:A,P353,GRAFICO!B:B)=0,"",SUMIF(GRAFICO!A:A,P353,GRAFICO!B:B))</f>
        <v>21334.29025</v>
      </c>
      <c r="R353" s="463">
        <f t="shared" si="4"/>
        <v>0.02787383435</v>
      </c>
      <c r="S353" s="471">
        <f>CUENTAS!A342</f>
        <v>45760</v>
      </c>
      <c r="T353" s="459">
        <f>IF(CUENTAS!Q342/CUENTAS!$AB342&lt;&gt;0,CUENTAS!Q342/CUENTAS!$AB342,"")</f>
        <v>0.006157893873</v>
      </c>
      <c r="U353" s="459" t="str">
        <f>IF(CUENTAS!C342/CUENTAS!$AB342&lt;&gt;0,CUENTAS!C342/CUENTAS!$AB342,"")</f>
        <v/>
      </c>
      <c r="V353" s="459" t="str">
        <f>IF(CUENTAS!D342/CUENTAS!$AB342&lt;&gt;0,CUENTAS!D342/CUENTAS!$AB342,"")</f>
        <v/>
      </c>
      <c r="W353" s="459" t="str">
        <f>IF(CUENTAS!E342/CUENTAS!$AB342&lt;&gt;0,CUENTAS!E342/CUENTAS!$AB342,"")</f>
        <v/>
      </c>
      <c r="X353" s="459" t="str">
        <f>IF(CUENTAS!F342/CUENTAS!$AB342&lt;&gt;0,CUENTAS!F342/CUENTAS!$AB342,"")</f>
        <v/>
      </c>
      <c r="Y353" s="459" t="str">
        <f>IF(CUENTAS!G342/CUENTAS!$AB342&lt;&gt;0,CUENTAS!G342/CUENTAS!$AB342,"")</f>
        <v/>
      </c>
      <c r="Z353" s="459">
        <f>IF(CUENTAS!H342/CUENTAS!$AB342&lt;&gt;0,CUENTAS!H342/CUENTAS!$AB342,"")</f>
        <v>0.6226132459</v>
      </c>
      <c r="AA353" s="459">
        <f>IF(CUENTAS!I342/CUENTAS!$AB342&lt;&gt;0,CUENTAS!I342/CUENTAS!$AB342,"")</f>
        <v>0.01667648889</v>
      </c>
      <c r="AB353" s="459">
        <f>IF(CUENTAS!J342/CUENTAS!$AB342&lt;&gt;0,CUENTAS!J342/CUENTAS!$AB342,"")</f>
        <v>0.04221304671</v>
      </c>
      <c r="AC353" s="459" t="str">
        <f>IF(CUENTAS!K342/CUENTAS!$AB342&lt;&gt;0,CUENTAS!K342/CUENTAS!$AB342,"")</f>
        <v/>
      </c>
      <c r="AD353" s="459" t="str">
        <f>IF(CUENTAS!L342/CUENTAS!$AB342&lt;&gt;0,CUENTAS!L342/CUENTAS!$AB342,"")</f>
        <v/>
      </c>
      <c r="AE353" s="459" t="str">
        <f>IF(CUENTAS!M342/CUENTAS!$AB342&lt;&gt;0,CUENTAS!M342/CUENTAS!$AB342,"")</f>
        <v/>
      </c>
      <c r="AF353" s="459" t="str">
        <f>IF(CUENTAS!N342/CUENTAS!$AB342&lt;&gt;0,CUENTAS!N342/CUENTAS!$AB342,"")</f>
        <v/>
      </c>
      <c r="AG353" s="459" t="str">
        <f>IF(CUENTAS!O342/CUENTAS!$AB342&lt;&gt;0,CUENTAS!O342/CUENTAS!$AB342,"")</f>
        <v/>
      </c>
      <c r="AH353" s="459" t="str">
        <f>IF(CUENTAS!P342/CUENTAS!$AB342&lt;&gt;0,CUENTAS!P342/CUENTAS!$AB342,"")</f>
        <v/>
      </c>
      <c r="AI353" s="459">
        <f>IF(CUENTAS!R342/CUENTAS!$AB342&lt;&gt;0,CUENTAS!R342/CUENTAS!$AB342,"")</f>
        <v>0.03096645179</v>
      </c>
      <c r="AJ353" s="459" t="str">
        <f>IF(CUENTAS!B342/CUENTAS!$AB342&lt;&gt;0,CUENTAS!B342/CUENTAS!$AB342,"")</f>
        <v/>
      </c>
      <c r="AK353" s="459" t="str">
        <f>IF(CUENTAS!S342/CUENTAS!$AB342&lt;&gt;0,CUENTAS!S342/CUENTAS!$AB342,"")</f>
        <v/>
      </c>
      <c r="AL353" s="459" t="str">
        <f>IF(CUENTAS!T342/CUENTAS!$AB342&lt;&gt;0,CUENTAS!T342/CUENTAS!$AB342,"")</f>
        <v/>
      </c>
      <c r="AM353" s="459" t="str">
        <f>IF(CUENTAS!U342/CUENTAS!$AB342&lt;&gt;0,CUENTAS!U342/CUENTAS!$AB342,"")</f>
        <v/>
      </c>
      <c r="AN353" s="459">
        <f>IF(CUENTAS!V342/CUENTAS!$AB342&lt;&gt;0,CUENTAS!V342/CUENTAS!$AB342,"")</f>
        <v>0.07404798961</v>
      </c>
      <c r="AO353" s="459" t="str">
        <f>IF(CUENTAS!W342/CUENTAS!$AB342&lt;&gt;0,CUENTAS!W342/CUENTAS!$AB342,"")</f>
        <v/>
      </c>
      <c r="AP353" s="459" t="str">
        <f>IF(CUENTAS!X342/CUENTAS!$AB342&lt;&gt;0,CUENTAS!X342/CUENTAS!$AB342,"")</f>
        <v/>
      </c>
      <c r="AQ353" s="459" t="str">
        <f>IF(CUENTAS!Y342/CUENTAS!$AB342&lt;&gt;0,CUENTAS!Y342/CUENTAS!$AB342,"")</f>
        <v/>
      </c>
      <c r="AR353" s="459">
        <f>IF(CUENTAS!AA342/CUENTAS!$AB342&lt;&gt;0,CUENTAS!AA342/CUENTAS!$AB342,"")</f>
        <v>0.2073248832</v>
      </c>
    </row>
    <row r="354">
      <c r="A354" s="474"/>
      <c r="B354" s="200"/>
      <c r="C354" s="200"/>
      <c r="F354" s="200"/>
      <c r="G354" s="200"/>
      <c r="J354" s="465">
        <v>45306.0</v>
      </c>
      <c r="K354" s="466">
        <f>SUMIF(GRAFICO!A:A,J354,GRAFICO!B:B)</f>
        <v>10165.6647</v>
      </c>
      <c r="L354" s="467">
        <f t="shared" si="2"/>
        <v>0.006361503797</v>
      </c>
      <c r="M354" s="468">
        <v>45672.0</v>
      </c>
      <c r="N354" s="469">
        <f>SUMIF(GRAFICO!A:A,M354,GRAFICO!B:B)</f>
        <v>14164.37266</v>
      </c>
      <c r="O354" s="467">
        <f t="shared" si="5"/>
        <v>0.01765656903</v>
      </c>
      <c r="P354" s="468">
        <v>46037.0</v>
      </c>
      <c r="Q354" s="463">
        <f>IF(SUMIF(GRAFICO!A:A,P354,GRAFICO!B:B)=0,"",SUMIF(GRAFICO!A:A,P354,GRAFICO!B:B))</f>
        <v>21096.05955</v>
      </c>
      <c r="R354" s="463">
        <f t="shared" si="4"/>
        <v>0.01664445691</v>
      </c>
      <c r="S354" s="471">
        <f>CUENTAS!A343</f>
        <v>45759</v>
      </c>
      <c r="T354" s="459">
        <f>IF(CUENTAS!Q343/CUENTAS!$AB343&lt;&gt;0,CUENTAS!Q343/CUENTAS!$AB343,"")</f>
        <v>0.006157893873</v>
      </c>
      <c r="U354" s="459" t="str">
        <f>IF(CUENTAS!C343/CUENTAS!$AB343&lt;&gt;0,CUENTAS!C343/CUENTAS!$AB343,"")</f>
        <v/>
      </c>
      <c r="V354" s="459" t="str">
        <f>IF(CUENTAS!D343/CUENTAS!$AB343&lt;&gt;0,CUENTAS!D343/CUENTAS!$AB343,"")</f>
        <v/>
      </c>
      <c r="W354" s="459" t="str">
        <f>IF(CUENTAS!E343/CUENTAS!$AB343&lt;&gt;0,CUENTAS!E343/CUENTAS!$AB343,"")</f>
        <v/>
      </c>
      <c r="X354" s="459" t="str">
        <f>IF(CUENTAS!F343/CUENTAS!$AB343&lt;&gt;0,CUENTAS!F343/CUENTAS!$AB343,"")</f>
        <v/>
      </c>
      <c r="Y354" s="459" t="str">
        <f>IF(CUENTAS!G343/CUENTAS!$AB343&lt;&gt;0,CUENTAS!G343/CUENTAS!$AB343,"")</f>
        <v/>
      </c>
      <c r="Z354" s="459">
        <f>IF(CUENTAS!H343/CUENTAS!$AB343&lt;&gt;0,CUENTAS!H343/CUENTAS!$AB343,"")</f>
        <v>0.6226132459</v>
      </c>
      <c r="AA354" s="459">
        <f>IF(CUENTAS!I343/CUENTAS!$AB343&lt;&gt;0,CUENTAS!I343/CUENTAS!$AB343,"")</f>
        <v>0.01667648889</v>
      </c>
      <c r="AB354" s="459">
        <f>IF(CUENTAS!J343/CUENTAS!$AB343&lt;&gt;0,CUENTAS!J343/CUENTAS!$AB343,"")</f>
        <v>0.04221304671</v>
      </c>
      <c r="AC354" s="459" t="str">
        <f>IF(CUENTAS!K343/CUENTAS!$AB343&lt;&gt;0,CUENTAS!K343/CUENTAS!$AB343,"")</f>
        <v/>
      </c>
      <c r="AD354" s="459" t="str">
        <f>IF(CUENTAS!L343/CUENTAS!$AB343&lt;&gt;0,CUENTAS!L343/CUENTAS!$AB343,"")</f>
        <v/>
      </c>
      <c r="AE354" s="459" t="str">
        <f>IF(CUENTAS!M343/CUENTAS!$AB343&lt;&gt;0,CUENTAS!M343/CUENTAS!$AB343,"")</f>
        <v/>
      </c>
      <c r="AF354" s="459" t="str">
        <f>IF(CUENTAS!N343/CUENTAS!$AB343&lt;&gt;0,CUENTAS!N343/CUENTAS!$AB343,"")</f>
        <v/>
      </c>
      <c r="AG354" s="459" t="str">
        <f>IF(CUENTAS!O343/CUENTAS!$AB343&lt;&gt;0,CUENTAS!O343/CUENTAS!$AB343,"")</f>
        <v/>
      </c>
      <c r="AH354" s="459" t="str">
        <f>IF(CUENTAS!P343/CUENTAS!$AB343&lt;&gt;0,CUENTAS!P343/CUENTAS!$AB343,"")</f>
        <v/>
      </c>
      <c r="AI354" s="459">
        <f>IF(CUENTAS!R343/CUENTAS!$AB343&lt;&gt;0,CUENTAS!R343/CUENTAS!$AB343,"")</f>
        <v>0.03096645179</v>
      </c>
      <c r="AJ354" s="459" t="str">
        <f>IF(CUENTAS!B343/CUENTAS!$AB343&lt;&gt;0,CUENTAS!B343/CUENTAS!$AB343,"")</f>
        <v/>
      </c>
      <c r="AK354" s="459" t="str">
        <f>IF(CUENTAS!S343/CUENTAS!$AB343&lt;&gt;0,CUENTAS!S343/CUENTAS!$AB343,"")</f>
        <v/>
      </c>
      <c r="AL354" s="459" t="str">
        <f>IF(CUENTAS!T343/CUENTAS!$AB343&lt;&gt;0,CUENTAS!T343/CUENTAS!$AB343,"")</f>
        <v/>
      </c>
      <c r="AM354" s="459" t="str">
        <f>IF(CUENTAS!U343/CUENTAS!$AB343&lt;&gt;0,CUENTAS!U343/CUENTAS!$AB343,"")</f>
        <v/>
      </c>
      <c r="AN354" s="459">
        <f>IF(CUENTAS!V343/CUENTAS!$AB343&lt;&gt;0,CUENTAS!V343/CUENTAS!$AB343,"")</f>
        <v>0.07404798961</v>
      </c>
      <c r="AO354" s="459" t="str">
        <f>IF(CUENTAS!W343/CUENTAS!$AB343&lt;&gt;0,CUENTAS!W343/CUENTAS!$AB343,"")</f>
        <v/>
      </c>
      <c r="AP354" s="459" t="str">
        <f>IF(CUENTAS!X343/CUENTAS!$AB343&lt;&gt;0,CUENTAS!X343/CUENTAS!$AB343,"")</f>
        <v/>
      </c>
      <c r="AQ354" s="459" t="str">
        <f>IF(CUENTAS!Y343/CUENTAS!$AB343&lt;&gt;0,CUENTAS!Y343/CUENTAS!$AB343,"")</f>
        <v/>
      </c>
      <c r="AR354" s="459">
        <f>IF(CUENTAS!AA343/CUENTAS!$AB343&lt;&gt;0,CUENTAS!AA343/CUENTAS!$AB343,"")</f>
        <v>0.2073248832</v>
      </c>
    </row>
    <row r="355">
      <c r="A355" s="474"/>
      <c r="B355" s="200"/>
      <c r="C355" s="200"/>
      <c r="F355" s="200"/>
      <c r="G355" s="200"/>
      <c r="J355" s="465">
        <v>45305.0</v>
      </c>
      <c r="K355" s="466">
        <f>SUMIF(GRAFICO!A:A,J355,GRAFICO!B:B)</f>
        <v>10161.45356</v>
      </c>
      <c r="L355" s="467">
        <f t="shared" si="2"/>
        <v>0.005947165899</v>
      </c>
      <c r="M355" s="468">
        <v>45671.0</v>
      </c>
      <c r="N355" s="469">
        <f>SUMIF(GRAFICO!A:A,M355,GRAFICO!B:B)</f>
        <v>13992.39154</v>
      </c>
      <c r="O355" s="467">
        <f t="shared" si="5"/>
        <v>0.005440445582</v>
      </c>
      <c r="P355" s="468">
        <v>46036.0</v>
      </c>
      <c r="Q355" s="463">
        <f>IF(SUMIF(GRAFICO!A:A,P355,GRAFICO!B:B)=0,"",SUMIF(GRAFICO!A:A,P355,GRAFICO!B:B))</f>
        <v>21008.11902</v>
      </c>
      <c r="R355" s="463">
        <f t="shared" si="4"/>
        <v>0.01246716829</v>
      </c>
      <c r="S355" s="471">
        <f>CUENTAS!A344</f>
        <v>45758</v>
      </c>
      <c r="T355" s="459">
        <f>IF(CUENTAS!Q344/CUENTAS!$AB344&lt;&gt;0,CUENTAS!Q344/CUENTAS!$AB344,"")</f>
        <v>0.006157893873</v>
      </c>
      <c r="U355" s="459" t="str">
        <f>IF(CUENTAS!C344/CUENTAS!$AB344&lt;&gt;0,CUENTAS!C344/CUENTAS!$AB344,"")</f>
        <v/>
      </c>
      <c r="V355" s="459" t="str">
        <f>IF(CUENTAS!D344/CUENTAS!$AB344&lt;&gt;0,CUENTAS!D344/CUENTAS!$AB344,"")</f>
        <v/>
      </c>
      <c r="W355" s="459" t="str">
        <f>IF(CUENTAS!E344/CUENTAS!$AB344&lt;&gt;0,CUENTAS!E344/CUENTAS!$AB344,"")</f>
        <v/>
      </c>
      <c r="X355" s="459" t="str">
        <f>IF(CUENTAS!F344/CUENTAS!$AB344&lt;&gt;0,CUENTAS!F344/CUENTAS!$AB344,"")</f>
        <v/>
      </c>
      <c r="Y355" s="459" t="str">
        <f>IF(CUENTAS!G344/CUENTAS!$AB344&lt;&gt;0,CUENTAS!G344/CUENTAS!$AB344,"")</f>
        <v/>
      </c>
      <c r="Z355" s="459">
        <f>IF(CUENTAS!H344/CUENTAS!$AB344&lt;&gt;0,CUENTAS!H344/CUENTAS!$AB344,"")</f>
        <v>0.6226132459</v>
      </c>
      <c r="AA355" s="459">
        <f>IF(CUENTAS!I344/CUENTAS!$AB344&lt;&gt;0,CUENTAS!I344/CUENTAS!$AB344,"")</f>
        <v>0.01667648889</v>
      </c>
      <c r="AB355" s="459">
        <f>IF(CUENTAS!J344/CUENTAS!$AB344&lt;&gt;0,CUENTAS!J344/CUENTAS!$AB344,"")</f>
        <v>0.04221304671</v>
      </c>
      <c r="AC355" s="459" t="str">
        <f>IF(CUENTAS!K344/CUENTAS!$AB344&lt;&gt;0,CUENTAS!K344/CUENTAS!$AB344,"")</f>
        <v/>
      </c>
      <c r="AD355" s="459" t="str">
        <f>IF(CUENTAS!L344/CUENTAS!$AB344&lt;&gt;0,CUENTAS!L344/CUENTAS!$AB344,"")</f>
        <v/>
      </c>
      <c r="AE355" s="459" t="str">
        <f>IF(CUENTAS!M344/CUENTAS!$AB344&lt;&gt;0,CUENTAS!M344/CUENTAS!$AB344,"")</f>
        <v/>
      </c>
      <c r="AF355" s="459" t="str">
        <f>IF(CUENTAS!N344/CUENTAS!$AB344&lt;&gt;0,CUENTAS!N344/CUENTAS!$AB344,"")</f>
        <v/>
      </c>
      <c r="AG355" s="459" t="str">
        <f>IF(CUENTAS!O344/CUENTAS!$AB344&lt;&gt;0,CUENTAS!O344/CUENTAS!$AB344,"")</f>
        <v/>
      </c>
      <c r="AH355" s="459" t="str">
        <f>IF(CUENTAS!P344/CUENTAS!$AB344&lt;&gt;0,CUENTAS!P344/CUENTAS!$AB344,"")</f>
        <v/>
      </c>
      <c r="AI355" s="459">
        <f>IF(CUENTAS!R344/CUENTAS!$AB344&lt;&gt;0,CUENTAS!R344/CUENTAS!$AB344,"")</f>
        <v>0.03096645179</v>
      </c>
      <c r="AJ355" s="459" t="str">
        <f>IF(CUENTAS!B344/CUENTAS!$AB344&lt;&gt;0,CUENTAS!B344/CUENTAS!$AB344,"")</f>
        <v/>
      </c>
      <c r="AK355" s="459" t="str">
        <f>IF(CUENTAS!S344/CUENTAS!$AB344&lt;&gt;0,CUENTAS!S344/CUENTAS!$AB344,"")</f>
        <v/>
      </c>
      <c r="AL355" s="459" t="str">
        <f>IF(CUENTAS!T344/CUENTAS!$AB344&lt;&gt;0,CUENTAS!T344/CUENTAS!$AB344,"")</f>
        <v/>
      </c>
      <c r="AM355" s="459" t="str">
        <f>IF(CUENTAS!U344/CUENTAS!$AB344&lt;&gt;0,CUENTAS!U344/CUENTAS!$AB344,"")</f>
        <v/>
      </c>
      <c r="AN355" s="459">
        <f>IF(CUENTAS!V344/CUENTAS!$AB344&lt;&gt;0,CUENTAS!V344/CUENTAS!$AB344,"")</f>
        <v>0.07404798961</v>
      </c>
      <c r="AO355" s="459" t="str">
        <f>IF(CUENTAS!W344/CUENTAS!$AB344&lt;&gt;0,CUENTAS!W344/CUENTAS!$AB344,"")</f>
        <v/>
      </c>
      <c r="AP355" s="459" t="str">
        <f>IF(CUENTAS!X344/CUENTAS!$AB344&lt;&gt;0,CUENTAS!X344/CUENTAS!$AB344,"")</f>
        <v/>
      </c>
      <c r="AQ355" s="459" t="str">
        <f>IF(CUENTAS!Y344/CUENTAS!$AB344&lt;&gt;0,CUENTAS!Y344/CUENTAS!$AB344,"")</f>
        <v/>
      </c>
      <c r="AR355" s="459">
        <f>IF(CUENTAS!AA344/CUENTAS!$AB344&lt;&gt;0,CUENTAS!AA344/CUENTAS!$AB344,"")</f>
        <v>0.2073248832</v>
      </c>
    </row>
    <row r="356">
      <c r="A356" s="474"/>
      <c r="B356" s="200"/>
      <c r="C356" s="200"/>
      <c r="F356" s="200"/>
      <c r="G356" s="200"/>
      <c r="J356" s="470">
        <v>45304.0</v>
      </c>
      <c r="K356" s="466">
        <f>SUMIF(GRAFICO!A:A,J356,GRAFICO!B:B)</f>
        <v>10157.20336</v>
      </c>
      <c r="L356" s="467">
        <f t="shared" si="2"/>
        <v>0.005528811695</v>
      </c>
      <c r="M356" s="468">
        <v>45670.0</v>
      </c>
      <c r="N356" s="469">
        <f>SUMIF(GRAFICO!A:A,M356,GRAFICO!B:B)</f>
        <v>14072.48866</v>
      </c>
      <c r="O356" s="467">
        <f t="shared" si="5"/>
        <v>0.01114845791</v>
      </c>
      <c r="P356" s="468">
        <v>46035.0</v>
      </c>
      <c r="Q356" s="463">
        <f>IF(SUMIF(GRAFICO!A:A,P356,GRAFICO!B:B)=0,"",SUMIF(GRAFICO!A:A,P356,GRAFICO!B:B))</f>
        <v>20997.50188</v>
      </c>
      <c r="R356" s="463">
        <f t="shared" si="4"/>
        <v>0.01196165761</v>
      </c>
      <c r="S356" s="471">
        <f>CUENTAS!A345</f>
        <v>45757</v>
      </c>
      <c r="T356" s="459">
        <f>IF(CUENTAS!Q345/CUENTAS!$AB345&lt;&gt;0,CUENTAS!Q345/CUENTAS!$AB345,"")</f>
        <v>0.007659557085</v>
      </c>
      <c r="U356" s="459" t="str">
        <f>IF(CUENTAS!C345/CUENTAS!$AB345&lt;&gt;0,CUENTAS!C345/CUENTAS!$AB345,"")</f>
        <v/>
      </c>
      <c r="V356" s="459" t="str">
        <f>IF(CUENTAS!D345/CUENTAS!$AB345&lt;&gt;0,CUENTAS!D345/CUENTAS!$AB345,"")</f>
        <v/>
      </c>
      <c r="W356" s="459" t="str">
        <f>IF(CUENTAS!E345/CUENTAS!$AB345&lt;&gt;0,CUENTAS!E345/CUENTAS!$AB345,"")</f>
        <v/>
      </c>
      <c r="X356" s="459" t="str">
        <f>IF(CUENTAS!F345/CUENTAS!$AB345&lt;&gt;0,CUENTAS!F345/CUENTAS!$AB345,"")</f>
        <v/>
      </c>
      <c r="Y356" s="459" t="str">
        <f>IF(CUENTAS!G345/CUENTAS!$AB345&lt;&gt;0,CUENTAS!G345/CUENTAS!$AB345,"")</f>
        <v/>
      </c>
      <c r="Z356" s="459">
        <f>IF(CUENTAS!H345/CUENTAS!$AB345&lt;&gt;0,CUENTAS!H345/CUENTAS!$AB345,"")</f>
        <v>0.7761684512</v>
      </c>
      <c r="AA356" s="459">
        <f>IF(CUENTAS!I345/CUENTAS!$AB345&lt;&gt;0,CUENTAS!I345/CUENTAS!$AB345,"")</f>
        <v>0.02097016517</v>
      </c>
      <c r="AB356" s="459">
        <f>IF(CUENTAS!J345/CUENTAS!$AB345&lt;&gt;0,CUENTAS!J345/CUENTAS!$AB345,"")</f>
        <v>0.05283392265</v>
      </c>
      <c r="AC356" s="459" t="str">
        <f>IF(CUENTAS!K345/CUENTAS!$AB345&lt;&gt;0,CUENTAS!K345/CUENTAS!$AB345,"")</f>
        <v/>
      </c>
      <c r="AD356" s="459" t="str">
        <f>IF(CUENTAS!L345/CUENTAS!$AB345&lt;&gt;0,CUENTAS!L345/CUENTAS!$AB345,"")</f>
        <v/>
      </c>
      <c r="AE356" s="459" t="str">
        <f>IF(CUENTAS!M345/CUENTAS!$AB345&lt;&gt;0,CUENTAS!M345/CUENTAS!$AB345,"")</f>
        <v/>
      </c>
      <c r="AF356" s="459" t="str">
        <f>IF(CUENTAS!N345/CUENTAS!$AB345&lt;&gt;0,CUENTAS!N345/CUENTAS!$AB345,"")</f>
        <v/>
      </c>
      <c r="AG356" s="459" t="str">
        <f>IF(CUENTAS!O345/CUENTAS!$AB345&lt;&gt;0,CUENTAS!O345/CUENTAS!$AB345,"")</f>
        <v/>
      </c>
      <c r="AH356" s="459" t="str">
        <f>IF(CUENTAS!P345/CUENTAS!$AB345&lt;&gt;0,CUENTAS!P345/CUENTAS!$AB345,"")</f>
        <v/>
      </c>
      <c r="AI356" s="459">
        <f>IF(CUENTAS!R345/CUENTAS!$AB345&lt;&gt;0,CUENTAS!R345/CUENTAS!$AB345,"")</f>
        <v>0.03851792677</v>
      </c>
      <c r="AJ356" s="459" t="str">
        <f>IF(CUENTAS!B345/CUENTAS!$AB345&lt;&gt;0,CUENTAS!B345/CUENTAS!$AB345,"")</f>
        <v/>
      </c>
      <c r="AK356" s="459" t="str">
        <f>IF(CUENTAS!S345/CUENTAS!$AB345&lt;&gt;0,CUENTAS!S345/CUENTAS!$AB345,"")</f>
        <v/>
      </c>
      <c r="AL356" s="459" t="str">
        <f>IF(CUENTAS!T345/CUENTAS!$AB345&lt;&gt;0,CUENTAS!T345/CUENTAS!$AB345,"")</f>
        <v/>
      </c>
      <c r="AM356" s="459" t="str">
        <f>IF(CUENTAS!U345/CUENTAS!$AB345&lt;&gt;0,CUENTAS!U345/CUENTAS!$AB345,"")</f>
        <v/>
      </c>
      <c r="AN356" s="459">
        <f>IF(CUENTAS!V345/CUENTAS!$AB345&lt;&gt;0,CUENTAS!V345/CUENTAS!$AB345,"")</f>
        <v>0.09210532288</v>
      </c>
      <c r="AO356" s="459" t="str">
        <f>IF(CUENTAS!W345/CUENTAS!$AB345&lt;&gt;0,CUENTAS!W345/CUENTAS!$AB345,"")</f>
        <v/>
      </c>
      <c r="AP356" s="459" t="str">
        <f>IF(CUENTAS!X345/CUENTAS!$AB345&lt;&gt;0,CUENTAS!X345/CUENTAS!$AB345,"")</f>
        <v/>
      </c>
      <c r="AQ356" s="459" t="str">
        <f>IF(CUENTAS!Y345/CUENTAS!$AB345&lt;&gt;0,CUENTAS!Y345/CUENTAS!$AB345,"")</f>
        <v/>
      </c>
      <c r="AR356" s="459">
        <f>IF(CUENTAS!AA345/CUENTAS!$AB345&lt;&gt;0,CUENTAS!AA345/CUENTAS!$AB345,"")</f>
        <v>0.0117446542</v>
      </c>
    </row>
    <row r="357">
      <c r="A357" s="474"/>
      <c r="B357" s="200"/>
      <c r="C357" s="200"/>
      <c r="F357" s="200"/>
      <c r="G357" s="200"/>
      <c r="J357" s="465">
        <v>45303.0</v>
      </c>
      <c r="K357" s="466">
        <f>SUMIF(GRAFICO!A:A,J357,GRAFICO!B:B)</f>
        <v>10152.96078</v>
      </c>
      <c r="L357" s="467">
        <f t="shared" si="2"/>
        <v>0.005111033283</v>
      </c>
      <c r="M357" s="468">
        <v>45669.0</v>
      </c>
      <c r="N357" s="469">
        <f>SUMIF(GRAFICO!A:A,M357,GRAFICO!B:B)</f>
        <v>14111.39872</v>
      </c>
      <c r="O357" s="467">
        <f t="shared" si="5"/>
        <v>0.01390961585</v>
      </c>
      <c r="P357" s="468">
        <v>46034.0</v>
      </c>
      <c r="Q357" s="463">
        <f>IF(SUMIF(GRAFICO!A:A,P357,GRAFICO!B:B)=0,"",SUMIF(GRAFICO!A:A,P357,GRAFICO!B:B))</f>
        <v>21041.06096</v>
      </c>
      <c r="R357" s="463">
        <f t="shared" si="4"/>
        <v>0.01403399747</v>
      </c>
      <c r="S357" s="471">
        <f>CUENTAS!A346</f>
        <v>45756</v>
      </c>
      <c r="T357" s="459">
        <f>IF(CUENTAS!Q346/CUENTAS!$AB346&lt;&gt;0,CUENTAS!Q346/CUENTAS!$AB346,"")</f>
        <v>0.007596796195</v>
      </c>
      <c r="U357" s="459" t="str">
        <f>IF(CUENTAS!C346/CUENTAS!$AB346&lt;&gt;0,CUENTAS!C346/CUENTAS!$AB346,"")</f>
        <v/>
      </c>
      <c r="V357" s="459" t="str">
        <f>IF(CUENTAS!D346/CUENTAS!$AB346&lt;&gt;0,CUENTAS!D346/CUENTAS!$AB346,"")</f>
        <v/>
      </c>
      <c r="W357" s="459" t="str">
        <f>IF(CUENTAS!E346/CUENTAS!$AB346&lt;&gt;0,CUENTAS!E346/CUENTAS!$AB346,"")</f>
        <v/>
      </c>
      <c r="X357" s="459" t="str">
        <f>IF(CUENTAS!F346/CUENTAS!$AB346&lt;&gt;0,CUENTAS!F346/CUENTAS!$AB346,"")</f>
        <v/>
      </c>
      <c r="Y357" s="459" t="str">
        <f>IF(CUENTAS!G346/CUENTAS!$AB346&lt;&gt;0,CUENTAS!G346/CUENTAS!$AB346,"")</f>
        <v/>
      </c>
      <c r="Z357" s="459">
        <f>IF(CUENTAS!H346/CUENTAS!$AB346&lt;&gt;0,CUENTAS!H346/CUENTAS!$AB346,"")</f>
        <v>0.7708719527</v>
      </c>
      <c r="AA357" s="459">
        <f>IF(CUENTAS!I346/CUENTAS!$AB346&lt;&gt;0,CUENTAS!I346/CUENTAS!$AB346,"")</f>
        <v>0.02153591457</v>
      </c>
      <c r="AB357" s="459">
        <f>IF(CUENTAS!J346/CUENTAS!$AB346&lt;&gt;0,CUENTAS!J346/CUENTAS!$AB346,"")</f>
        <v>0.05372319961</v>
      </c>
      <c r="AC357" s="459" t="str">
        <f>IF(CUENTAS!K346/CUENTAS!$AB346&lt;&gt;0,CUENTAS!K346/CUENTAS!$AB346,"")</f>
        <v/>
      </c>
      <c r="AD357" s="459" t="str">
        <f>IF(CUENTAS!L346/CUENTAS!$AB346&lt;&gt;0,CUENTAS!L346/CUENTAS!$AB346,"")</f>
        <v/>
      </c>
      <c r="AE357" s="459" t="str">
        <f>IF(CUENTAS!M346/CUENTAS!$AB346&lt;&gt;0,CUENTAS!M346/CUENTAS!$AB346,"")</f>
        <v/>
      </c>
      <c r="AF357" s="459" t="str">
        <f>IF(CUENTAS!N346/CUENTAS!$AB346&lt;&gt;0,CUENTAS!N346/CUENTAS!$AB346,"")</f>
        <v/>
      </c>
      <c r="AG357" s="459" t="str">
        <f>IF(CUENTAS!O346/CUENTAS!$AB346&lt;&gt;0,CUENTAS!O346/CUENTAS!$AB346,"")</f>
        <v/>
      </c>
      <c r="AH357" s="459" t="str">
        <f>IF(CUENTAS!P346/CUENTAS!$AB346&lt;&gt;0,CUENTAS!P346/CUENTAS!$AB346,"")</f>
        <v/>
      </c>
      <c r="AI357" s="459">
        <f>IF(CUENTAS!R346/CUENTAS!$AB346&lt;&gt;0,CUENTAS!R346/CUENTAS!$AB346,"")</f>
        <v>0.03957422499</v>
      </c>
      <c r="AJ357" s="459" t="str">
        <f>IF(CUENTAS!B346/CUENTAS!$AB346&lt;&gt;0,CUENTAS!B346/CUENTAS!$AB346,"")</f>
        <v/>
      </c>
      <c r="AK357" s="459" t="str">
        <f>IF(CUENTAS!S346/CUENTAS!$AB346&lt;&gt;0,CUENTAS!S346/CUENTAS!$AB346,"")</f>
        <v/>
      </c>
      <c r="AL357" s="459" t="str">
        <f>IF(CUENTAS!T346/CUENTAS!$AB346&lt;&gt;0,CUENTAS!T346/CUENTAS!$AB346,"")</f>
        <v/>
      </c>
      <c r="AM357" s="459" t="str">
        <f>IF(CUENTAS!U346/CUENTAS!$AB346&lt;&gt;0,CUENTAS!U346/CUENTAS!$AB346,"")</f>
        <v/>
      </c>
      <c r="AN357" s="459">
        <f>IF(CUENTAS!V346/CUENTAS!$AB346&lt;&gt;0,CUENTAS!V346/CUENTAS!$AB346,"")</f>
        <v>0.09463117764</v>
      </c>
      <c r="AO357" s="459" t="str">
        <f>IF(CUENTAS!W346/CUENTAS!$AB346&lt;&gt;0,CUENTAS!W346/CUENTAS!$AB346,"")</f>
        <v/>
      </c>
      <c r="AP357" s="459" t="str">
        <f>IF(CUENTAS!X346/CUENTAS!$AB346&lt;&gt;0,CUENTAS!X346/CUENTAS!$AB346,"")</f>
        <v/>
      </c>
      <c r="AQ357" s="459" t="str">
        <f>IF(CUENTAS!Y346/CUENTAS!$AB346&lt;&gt;0,CUENTAS!Y346/CUENTAS!$AB346,"")</f>
        <v/>
      </c>
      <c r="AR357" s="459">
        <f>IF(CUENTAS!AA346/CUENTAS!$AB346&lt;&gt;0,CUENTAS!AA346/CUENTAS!$AB346,"")</f>
        <v>0.01206673429</v>
      </c>
    </row>
    <row r="358">
      <c r="A358" s="474"/>
      <c r="B358" s="200"/>
      <c r="C358" s="200"/>
      <c r="F358" s="200"/>
      <c r="G358" s="200"/>
      <c r="J358" s="470">
        <v>45302.0</v>
      </c>
      <c r="K358" s="466">
        <f>SUMIF(GRAFICO!A:A,J358,GRAFICO!B:B)</f>
        <v>10147.90634</v>
      </c>
      <c r="L358" s="467">
        <f t="shared" si="2"/>
        <v>0.004613079784</v>
      </c>
      <c r="M358" s="468">
        <v>45668.0</v>
      </c>
      <c r="N358" s="469">
        <f>SUMIF(GRAFICO!A:A,M358,GRAFICO!B:B)</f>
        <v>14111.39872</v>
      </c>
      <c r="O358" s="467">
        <f t="shared" si="5"/>
        <v>0.01390961585</v>
      </c>
      <c r="P358" s="468">
        <v>46033.0</v>
      </c>
      <c r="Q358" s="463">
        <f>IF(SUMIF(GRAFICO!A:A,P358,GRAFICO!B:B)=0,"",SUMIF(GRAFICO!A:A,P358,GRAFICO!B:B))</f>
        <v>21036.97908</v>
      </c>
      <c r="R358" s="463">
        <f t="shared" si="4"/>
        <v>0.01383998273</v>
      </c>
      <c r="S358" s="471">
        <f>CUENTAS!A347</f>
        <v>45755</v>
      </c>
      <c r="T358" s="459">
        <f>IF(CUENTAS!Q347/CUENTAS!$AB347&lt;&gt;0,CUENTAS!Q347/CUENTAS!$AB347,"")</f>
        <v>0.007664710103</v>
      </c>
      <c r="U358" s="459" t="str">
        <f>IF(CUENTAS!C347/CUENTAS!$AB347&lt;&gt;0,CUENTAS!C347/CUENTAS!$AB347,"")</f>
        <v/>
      </c>
      <c r="V358" s="459" t="str">
        <f>IF(CUENTAS!D347/CUENTAS!$AB347&lt;&gt;0,CUENTAS!D347/CUENTAS!$AB347,"")</f>
        <v/>
      </c>
      <c r="W358" s="459" t="str">
        <f>IF(CUENTAS!E347/CUENTAS!$AB347&lt;&gt;0,CUENTAS!E347/CUENTAS!$AB347,"")</f>
        <v/>
      </c>
      <c r="X358" s="459" t="str">
        <f>IF(CUENTAS!F347/CUENTAS!$AB347&lt;&gt;0,CUENTAS!F347/CUENTAS!$AB347,"")</f>
        <v/>
      </c>
      <c r="Y358" s="459" t="str">
        <f>IF(CUENTAS!G347/CUENTAS!$AB347&lt;&gt;0,CUENTAS!G347/CUENTAS!$AB347,"")</f>
        <v/>
      </c>
      <c r="Z358" s="459">
        <f>IF(CUENTAS!H347/CUENTAS!$AB347&lt;&gt;0,CUENTAS!H347/CUENTAS!$AB347,"")</f>
        <v>0.7777634009</v>
      </c>
      <c r="AA358" s="459">
        <f>IF(CUENTAS!I347/CUENTAS!$AB347&lt;&gt;0,CUENTAS!I347/CUENTAS!$AB347,"")</f>
        <v>0.02172844153</v>
      </c>
      <c r="AB358" s="459">
        <f>IF(CUENTAS!J347/CUENTAS!$AB347&lt;&gt;0,CUENTAS!J347/CUENTAS!$AB347,"")</f>
        <v>0.05420347476</v>
      </c>
      <c r="AC358" s="459" t="str">
        <f>IF(CUENTAS!K347/CUENTAS!$AB347&lt;&gt;0,CUENTAS!K347/CUENTAS!$AB347,"")</f>
        <v/>
      </c>
      <c r="AD358" s="459" t="str">
        <f>IF(CUENTAS!L347/CUENTAS!$AB347&lt;&gt;0,CUENTAS!L347/CUENTAS!$AB347,"")</f>
        <v/>
      </c>
      <c r="AE358" s="459" t="str">
        <f>IF(CUENTAS!M347/CUENTAS!$AB347&lt;&gt;0,CUENTAS!M347/CUENTAS!$AB347,"")</f>
        <v/>
      </c>
      <c r="AF358" s="459" t="str">
        <f>IF(CUENTAS!N347/CUENTAS!$AB347&lt;&gt;0,CUENTAS!N347/CUENTAS!$AB347,"")</f>
        <v/>
      </c>
      <c r="AG358" s="459" t="str">
        <f>IF(CUENTAS!O347/CUENTAS!$AB347&lt;&gt;0,CUENTAS!O347/CUENTAS!$AB347,"")</f>
        <v/>
      </c>
      <c r="AH358" s="459" t="str">
        <f>IF(CUENTAS!P347/CUENTAS!$AB347&lt;&gt;0,CUENTAS!P347/CUENTAS!$AB347,"")</f>
        <v/>
      </c>
      <c r="AI358" s="459">
        <f>IF(CUENTAS!R347/CUENTAS!$AB347&lt;&gt;0,CUENTAS!R347/CUENTAS!$AB347,"")</f>
        <v>0.03616388082</v>
      </c>
      <c r="AJ358" s="459" t="str">
        <f>IF(CUENTAS!B347/CUENTAS!$AB347&lt;&gt;0,CUENTAS!B347/CUENTAS!$AB347,"")</f>
        <v/>
      </c>
      <c r="AK358" s="459" t="str">
        <f>IF(CUENTAS!S347/CUENTAS!$AB347&lt;&gt;0,CUENTAS!S347/CUENTAS!$AB347,"")</f>
        <v/>
      </c>
      <c r="AL358" s="459" t="str">
        <f>IF(CUENTAS!T347/CUENTAS!$AB347&lt;&gt;0,CUENTAS!T347/CUENTAS!$AB347,"")</f>
        <v/>
      </c>
      <c r="AM358" s="459" t="str">
        <f>IF(CUENTAS!U347/CUENTAS!$AB347&lt;&gt;0,CUENTAS!U347/CUENTAS!$AB347,"")</f>
        <v/>
      </c>
      <c r="AN358" s="459">
        <f>IF(CUENTAS!V347/CUENTAS!$AB347&lt;&gt;0,CUENTAS!V347/CUENTAS!$AB347,"")</f>
        <v>0.09547716232</v>
      </c>
      <c r="AO358" s="459" t="str">
        <f>IF(CUENTAS!W347/CUENTAS!$AB347&lt;&gt;0,CUENTAS!W347/CUENTAS!$AB347,"")</f>
        <v/>
      </c>
      <c r="AP358" s="459" t="str">
        <f>IF(CUENTAS!X347/CUENTAS!$AB347&lt;&gt;0,CUENTAS!X347/CUENTAS!$AB347,"")</f>
        <v/>
      </c>
      <c r="AQ358" s="459" t="str">
        <f>IF(CUENTAS!Y347/CUENTAS!$AB347&lt;&gt;0,CUENTAS!Y347/CUENTAS!$AB347,"")</f>
        <v/>
      </c>
      <c r="AR358" s="459">
        <f>IF(CUENTAS!AA347/CUENTAS!$AB347&lt;&gt;0,CUENTAS!AA347/CUENTAS!$AB347,"")</f>
        <v>0.006998929575</v>
      </c>
    </row>
    <row r="359">
      <c r="A359" s="474"/>
      <c r="B359" s="200"/>
      <c r="C359" s="200"/>
      <c r="F359" s="200"/>
      <c r="G359" s="200"/>
      <c r="J359" s="470">
        <v>45301.0</v>
      </c>
      <c r="K359" s="466">
        <f>SUMIF(GRAFICO!A:A,J359,GRAFICO!B:B)</f>
        <v>10143.66285</v>
      </c>
      <c r="L359" s="467">
        <f t="shared" si="2"/>
        <v>0.004194828689</v>
      </c>
      <c r="M359" s="468">
        <v>45667.0</v>
      </c>
      <c r="N359" s="469">
        <f>SUMIF(GRAFICO!A:A,M359,GRAFICO!B:B)</f>
        <v>14111.39872</v>
      </c>
      <c r="O359" s="467">
        <f t="shared" si="5"/>
        <v>0.01390961585</v>
      </c>
      <c r="P359" s="468">
        <v>46032.0</v>
      </c>
      <c r="Q359" s="463">
        <f>IF(SUMIF(GRAFICO!A:A,P359,GRAFICO!B:B)=0,"",SUMIF(GRAFICO!A:A,P359,GRAFICO!B:B))</f>
        <v>21032.89732</v>
      </c>
      <c r="R359" s="463">
        <f t="shared" si="4"/>
        <v>0.01364593605</v>
      </c>
      <c r="S359" s="471">
        <f>CUENTAS!A348</f>
        <v>45754</v>
      </c>
      <c r="T359" s="459">
        <f>IF(CUENTAS!Q348/CUENTAS!$AB348&lt;&gt;0,CUENTAS!Q348/CUENTAS!$AB348,"")</f>
        <v>0.006374088927</v>
      </c>
      <c r="U359" s="459" t="str">
        <f>IF(CUENTAS!C348/CUENTAS!$AB348&lt;&gt;0,CUENTAS!C348/CUENTAS!$AB348,"")</f>
        <v/>
      </c>
      <c r="V359" s="459" t="str">
        <f>IF(CUENTAS!D348/CUENTAS!$AB348&lt;&gt;0,CUENTAS!D348/CUENTAS!$AB348,"")</f>
        <v/>
      </c>
      <c r="W359" s="459" t="str">
        <f>IF(CUENTAS!E348/CUENTAS!$AB348&lt;&gt;0,CUENTAS!E348/CUENTAS!$AB348,"")</f>
        <v/>
      </c>
      <c r="X359" s="459" t="str">
        <f>IF(CUENTAS!F348/CUENTAS!$AB348&lt;&gt;0,CUENTAS!F348/CUENTAS!$AB348,"")</f>
        <v/>
      </c>
      <c r="Y359" s="459" t="str">
        <f>IF(CUENTAS!G348/CUENTAS!$AB348&lt;&gt;0,CUENTAS!G348/CUENTAS!$AB348,"")</f>
        <v/>
      </c>
      <c r="Z359" s="459">
        <f>IF(CUENTAS!H348/CUENTAS!$AB348&lt;&gt;0,CUENTAS!H348/CUENTAS!$AB348,"")</f>
        <v>0.5868104548</v>
      </c>
      <c r="AA359" s="459">
        <f>IF(CUENTAS!I348/CUENTAS!$AB348&lt;&gt;0,CUENTAS!I348/CUENTAS!$AB348,"")</f>
        <v>0.01766929577</v>
      </c>
      <c r="AB359" s="459">
        <f>IF(CUENTAS!J348/CUENTAS!$AB348&lt;&gt;0,CUENTAS!J348/CUENTAS!$AB348,"")</f>
        <v>0.04337008961</v>
      </c>
      <c r="AC359" s="459" t="str">
        <f>IF(CUENTAS!K348/CUENTAS!$AB348&lt;&gt;0,CUENTAS!K348/CUENTAS!$AB348,"")</f>
        <v/>
      </c>
      <c r="AD359" s="459" t="str">
        <f>IF(CUENTAS!L348/CUENTAS!$AB348&lt;&gt;0,CUENTAS!L348/CUENTAS!$AB348,"")</f>
        <v/>
      </c>
      <c r="AE359" s="459" t="str">
        <f>IF(CUENTAS!M348/CUENTAS!$AB348&lt;&gt;0,CUENTAS!M348/CUENTAS!$AB348,"")</f>
        <v/>
      </c>
      <c r="AF359" s="459" t="str">
        <f>IF(CUENTAS!N348/CUENTAS!$AB348&lt;&gt;0,CUENTAS!N348/CUENTAS!$AB348,"")</f>
        <v/>
      </c>
      <c r="AG359" s="459" t="str">
        <f>IF(CUENTAS!O348/CUENTAS!$AB348&lt;&gt;0,CUENTAS!O348/CUENTAS!$AB348,"")</f>
        <v/>
      </c>
      <c r="AH359" s="459" t="str">
        <f>IF(CUENTAS!P348/CUENTAS!$AB348&lt;&gt;0,CUENTAS!P348/CUENTAS!$AB348,"")</f>
        <v/>
      </c>
      <c r="AI359" s="459">
        <f>IF(CUENTAS!R348/CUENTAS!$AB348&lt;&gt;0,CUENTAS!R348/CUENTAS!$AB348,"")</f>
        <v>0.02805913373</v>
      </c>
      <c r="AJ359" s="459" t="str">
        <f>IF(CUENTAS!B348/CUENTAS!$AB348&lt;&gt;0,CUENTAS!B348/CUENTAS!$AB348,"")</f>
        <v/>
      </c>
      <c r="AK359" s="459" t="str">
        <f>IF(CUENTAS!S348/CUENTAS!$AB348&lt;&gt;0,CUENTAS!S348/CUENTAS!$AB348,"")</f>
        <v/>
      </c>
      <c r="AL359" s="459" t="str">
        <f>IF(CUENTAS!T348/CUENTAS!$AB348&lt;&gt;0,CUENTAS!T348/CUENTAS!$AB348,"")</f>
        <v/>
      </c>
      <c r="AM359" s="459" t="str">
        <f>IF(CUENTAS!U348/CUENTAS!$AB348&lt;&gt;0,CUENTAS!U348/CUENTAS!$AB348,"")</f>
        <v/>
      </c>
      <c r="AN359" s="459">
        <f>IF(CUENTAS!V348/CUENTAS!$AB348&lt;&gt;0,CUENTAS!V348/CUENTAS!$AB348,"")</f>
        <v>0.0740796177</v>
      </c>
      <c r="AO359" s="459" t="str">
        <f>IF(CUENTAS!W348/CUENTAS!$AB348&lt;&gt;0,CUENTAS!W348/CUENTAS!$AB348,"")</f>
        <v/>
      </c>
      <c r="AP359" s="459" t="str">
        <f>IF(CUENTAS!X348/CUENTAS!$AB348&lt;&gt;0,CUENTAS!X348/CUENTAS!$AB348,"")</f>
        <v/>
      </c>
      <c r="AQ359" s="459" t="str">
        <f>IF(CUENTAS!Y348/CUENTAS!$AB348&lt;&gt;0,CUENTAS!Y348/CUENTAS!$AB348,"")</f>
        <v/>
      </c>
      <c r="AR359" s="459">
        <f>IF(CUENTAS!AA348/CUENTAS!$AB348&lt;&gt;0,CUENTAS!AA348/CUENTAS!$AB348,"")</f>
        <v>0.2436373195</v>
      </c>
    </row>
    <row r="360">
      <c r="A360" s="474"/>
      <c r="B360" s="200"/>
      <c r="C360" s="200"/>
      <c r="F360" s="200"/>
      <c r="G360" s="200"/>
      <c r="J360" s="470">
        <v>45300.0</v>
      </c>
      <c r="K360" s="466">
        <f>SUMIF(GRAFICO!A:A,J360,GRAFICO!B:B)</f>
        <v>10138.67693</v>
      </c>
      <c r="L360" s="467">
        <f t="shared" si="2"/>
        <v>0.003703176869</v>
      </c>
      <c r="M360" s="468">
        <v>45666.0</v>
      </c>
      <c r="N360" s="469">
        <f>SUMIF(GRAFICO!A:A,M360,GRAFICO!B:B)</f>
        <v>14206.69823</v>
      </c>
      <c r="O360" s="467">
        <f t="shared" si="5"/>
        <v>0.02064028451</v>
      </c>
      <c r="P360" s="468">
        <v>46031.0</v>
      </c>
      <c r="Q360" s="463">
        <f>IF(SUMIF(GRAFICO!A:A,P360,GRAFICO!B:B)=0,"",SUMIF(GRAFICO!A:A,P360,GRAFICO!B:B))</f>
        <v>21028.81568</v>
      </c>
      <c r="R360" s="463">
        <f t="shared" si="4"/>
        <v>0.01345185741</v>
      </c>
      <c r="S360" s="471">
        <f>CUENTAS!A349</f>
        <v>45753</v>
      </c>
      <c r="T360" s="459">
        <f>IF(CUENTAS!Q349/CUENTAS!$AB349&lt;&gt;0,CUENTAS!Q349/CUENTAS!$AB349,"")</f>
        <v>0.006746823225</v>
      </c>
      <c r="U360" s="459" t="str">
        <f>IF(CUENTAS!C349/CUENTAS!$AB349&lt;&gt;0,CUENTAS!C349/CUENTAS!$AB349,"")</f>
        <v/>
      </c>
      <c r="V360" s="459" t="str">
        <f>IF(CUENTAS!D349/CUENTAS!$AB349&lt;&gt;0,CUENTAS!D349/CUENTAS!$AB349,"")</f>
        <v/>
      </c>
      <c r="W360" s="459" t="str">
        <f>IF(CUENTAS!E349/CUENTAS!$AB349&lt;&gt;0,CUENTAS!E349/CUENTAS!$AB349,"")</f>
        <v/>
      </c>
      <c r="X360" s="459" t="str">
        <f>IF(CUENTAS!F349/CUENTAS!$AB349&lt;&gt;0,CUENTAS!F349/CUENTAS!$AB349,"")</f>
        <v/>
      </c>
      <c r="Y360" s="459" t="str">
        <f>IF(CUENTAS!G349/CUENTAS!$AB349&lt;&gt;0,CUENTAS!G349/CUENTAS!$AB349,"")</f>
        <v/>
      </c>
      <c r="Z360" s="459">
        <f>IF(CUENTAS!H349/CUENTAS!$AB349&lt;&gt;0,CUENTAS!H349/CUENTAS!$AB349,"")</f>
        <v>0.5608758052</v>
      </c>
      <c r="AA360" s="459">
        <f>IF(CUENTAS!I349/CUENTAS!$AB349&lt;&gt;0,CUENTAS!I349/CUENTAS!$AB349,"")</f>
        <v>0.01887712198</v>
      </c>
      <c r="AB360" s="459">
        <f>IF(CUENTAS!J349/CUENTAS!$AB349&lt;&gt;0,CUENTAS!J349/CUENTAS!$AB349,"")</f>
        <v>0.0456080589</v>
      </c>
      <c r="AC360" s="459" t="str">
        <f>IF(CUENTAS!K349/CUENTAS!$AB349&lt;&gt;0,CUENTAS!K349/CUENTAS!$AB349,"")</f>
        <v/>
      </c>
      <c r="AD360" s="459" t="str">
        <f>IF(CUENTAS!L349/CUENTAS!$AB349&lt;&gt;0,CUENTAS!L349/CUENTAS!$AB349,"")</f>
        <v/>
      </c>
      <c r="AE360" s="459" t="str">
        <f>IF(CUENTAS!M349/CUENTAS!$AB349&lt;&gt;0,CUENTAS!M349/CUENTAS!$AB349,"")</f>
        <v/>
      </c>
      <c r="AF360" s="459" t="str">
        <f>IF(CUENTAS!N349/CUENTAS!$AB349&lt;&gt;0,CUENTAS!N349/CUENTAS!$AB349,"")</f>
        <v/>
      </c>
      <c r="AG360" s="459" t="str">
        <f>IF(CUENTAS!O349/CUENTAS!$AB349&lt;&gt;0,CUENTAS!O349/CUENTAS!$AB349,"")</f>
        <v/>
      </c>
      <c r="AH360" s="459" t="str">
        <f>IF(CUENTAS!P349/CUENTAS!$AB349&lt;&gt;0,CUENTAS!P349/CUENTAS!$AB349,"")</f>
        <v/>
      </c>
      <c r="AI360" s="459">
        <f>IF(CUENTAS!R349/CUENTAS!$AB349&lt;&gt;0,CUENTAS!R349/CUENTAS!$AB349,"")</f>
        <v>0.02985381883</v>
      </c>
      <c r="AJ360" s="459" t="str">
        <f>IF(CUENTAS!B349/CUENTAS!$AB349&lt;&gt;0,CUENTAS!B349/CUENTAS!$AB349,"")</f>
        <v/>
      </c>
      <c r="AK360" s="459" t="str">
        <f>IF(CUENTAS!S349/CUENTAS!$AB349&lt;&gt;0,CUENTAS!S349/CUENTAS!$AB349,"")</f>
        <v/>
      </c>
      <c r="AL360" s="459" t="str">
        <f>IF(CUENTAS!T349/CUENTAS!$AB349&lt;&gt;0,CUENTAS!T349/CUENTAS!$AB349,"")</f>
        <v/>
      </c>
      <c r="AM360" s="459" t="str">
        <f>IF(CUENTAS!U349/CUENTAS!$AB349&lt;&gt;0,CUENTAS!U349/CUENTAS!$AB349,"")</f>
        <v/>
      </c>
      <c r="AN360" s="459">
        <f>IF(CUENTAS!V349/CUENTAS!$AB349&lt;&gt;0,CUENTAS!V349/CUENTAS!$AB349,"")</f>
        <v>0.07881781053</v>
      </c>
      <c r="AO360" s="459" t="str">
        <f>IF(CUENTAS!W349/CUENTAS!$AB349&lt;&gt;0,CUENTAS!W349/CUENTAS!$AB349,"")</f>
        <v/>
      </c>
      <c r="AP360" s="459" t="str">
        <f>IF(CUENTAS!X349/CUENTAS!$AB349&lt;&gt;0,CUENTAS!X349/CUENTAS!$AB349,"")</f>
        <v/>
      </c>
      <c r="AQ360" s="459" t="str">
        <f>IF(CUENTAS!Y349/CUENTAS!$AB349&lt;&gt;0,CUENTAS!Y349/CUENTAS!$AB349,"")</f>
        <v/>
      </c>
      <c r="AR360" s="459">
        <f>IF(CUENTAS!AA349/CUENTAS!$AB349&lt;&gt;0,CUENTAS!AA349/CUENTAS!$AB349,"")</f>
        <v>0.2592205613</v>
      </c>
    </row>
    <row r="361">
      <c r="A361" s="474"/>
      <c r="B361" s="200"/>
      <c r="C361" s="200"/>
      <c r="F361" s="200"/>
      <c r="G361" s="200"/>
      <c r="J361" s="465">
        <v>45299.0</v>
      </c>
      <c r="K361" s="466">
        <f>SUMIF(GRAFICO!A:A,J361,GRAFICO!B:B)</f>
        <v>10133.64668</v>
      </c>
      <c r="L361" s="467">
        <f t="shared" si="2"/>
        <v>0.003206909016</v>
      </c>
      <c r="M361" s="468">
        <v>45665.0</v>
      </c>
      <c r="N361" s="469">
        <f>SUMIF(GRAFICO!A:A,M361,GRAFICO!B:B)</f>
        <v>14119.78347</v>
      </c>
      <c r="O361" s="467">
        <f t="shared" si="5"/>
        <v>0.0145036221</v>
      </c>
      <c r="P361" s="468">
        <v>46030.0</v>
      </c>
      <c r="Q361" s="463">
        <f>IF(SUMIF(GRAFICO!A:A,P361,GRAFICO!B:B)=0,"",SUMIF(GRAFICO!A:A,P361,GRAFICO!B:B))</f>
        <v>20994.03926</v>
      </c>
      <c r="R361" s="463">
        <f t="shared" si="4"/>
        <v>0.01179673791</v>
      </c>
      <c r="S361" s="471">
        <f>CUENTAS!A350</f>
        <v>45752</v>
      </c>
      <c r="T361" s="459">
        <f>IF(CUENTAS!Q350/CUENTAS!$AB350&lt;&gt;0,CUENTAS!Q350/CUENTAS!$AB350,"")</f>
        <v>0.006746823225</v>
      </c>
      <c r="U361" s="459" t="str">
        <f>IF(CUENTAS!C350/CUENTAS!$AB350&lt;&gt;0,CUENTAS!C350/CUENTAS!$AB350,"")</f>
        <v/>
      </c>
      <c r="V361" s="459" t="str">
        <f>IF(CUENTAS!D350/CUENTAS!$AB350&lt;&gt;0,CUENTAS!D350/CUENTAS!$AB350,"")</f>
        <v/>
      </c>
      <c r="W361" s="459" t="str">
        <f>IF(CUENTAS!E350/CUENTAS!$AB350&lt;&gt;0,CUENTAS!E350/CUENTAS!$AB350,"")</f>
        <v/>
      </c>
      <c r="X361" s="459" t="str">
        <f>IF(CUENTAS!F350/CUENTAS!$AB350&lt;&gt;0,CUENTAS!F350/CUENTAS!$AB350,"")</f>
        <v/>
      </c>
      <c r="Y361" s="459" t="str">
        <f>IF(CUENTAS!G350/CUENTAS!$AB350&lt;&gt;0,CUENTAS!G350/CUENTAS!$AB350,"")</f>
        <v/>
      </c>
      <c r="Z361" s="459">
        <f>IF(CUENTAS!H350/CUENTAS!$AB350&lt;&gt;0,CUENTAS!H350/CUENTAS!$AB350,"")</f>
        <v>0.5608758052</v>
      </c>
      <c r="AA361" s="459">
        <f>IF(CUENTAS!I350/CUENTAS!$AB350&lt;&gt;0,CUENTAS!I350/CUENTAS!$AB350,"")</f>
        <v>0.01887712198</v>
      </c>
      <c r="AB361" s="459">
        <f>IF(CUENTAS!J350/CUENTAS!$AB350&lt;&gt;0,CUENTAS!J350/CUENTAS!$AB350,"")</f>
        <v>0.0456080589</v>
      </c>
      <c r="AC361" s="459" t="str">
        <f>IF(CUENTAS!K350/CUENTAS!$AB350&lt;&gt;0,CUENTAS!K350/CUENTAS!$AB350,"")</f>
        <v/>
      </c>
      <c r="AD361" s="459" t="str">
        <f>IF(CUENTAS!L350/CUENTAS!$AB350&lt;&gt;0,CUENTAS!L350/CUENTAS!$AB350,"")</f>
        <v/>
      </c>
      <c r="AE361" s="459" t="str">
        <f>IF(CUENTAS!M350/CUENTAS!$AB350&lt;&gt;0,CUENTAS!M350/CUENTAS!$AB350,"")</f>
        <v/>
      </c>
      <c r="AF361" s="459" t="str">
        <f>IF(CUENTAS!N350/CUENTAS!$AB350&lt;&gt;0,CUENTAS!N350/CUENTAS!$AB350,"")</f>
        <v/>
      </c>
      <c r="AG361" s="459" t="str">
        <f>IF(CUENTAS!O350/CUENTAS!$AB350&lt;&gt;0,CUENTAS!O350/CUENTAS!$AB350,"")</f>
        <v/>
      </c>
      <c r="AH361" s="459" t="str">
        <f>IF(CUENTAS!P350/CUENTAS!$AB350&lt;&gt;0,CUENTAS!P350/CUENTAS!$AB350,"")</f>
        <v/>
      </c>
      <c r="AI361" s="459">
        <f>IF(CUENTAS!R350/CUENTAS!$AB350&lt;&gt;0,CUENTAS!R350/CUENTAS!$AB350,"")</f>
        <v>0.02985381883</v>
      </c>
      <c r="AJ361" s="459" t="str">
        <f>IF(CUENTAS!B350/CUENTAS!$AB350&lt;&gt;0,CUENTAS!B350/CUENTAS!$AB350,"")</f>
        <v/>
      </c>
      <c r="AK361" s="459" t="str">
        <f>IF(CUENTAS!S350/CUENTAS!$AB350&lt;&gt;0,CUENTAS!S350/CUENTAS!$AB350,"")</f>
        <v/>
      </c>
      <c r="AL361" s="459" t="str">
        <f>IF(CUENTAS!T350/CUENTAS!$AB350&lt;&gt;0,CUENTAS!T350/CUENTAS!$AB350,"")</f>
        <v/>
      </c>
      <c r="AM361" s="459" t="str">
        <f>IF(CUENTAS!U350/CUENTAS!$AB350&lt;&gt;0,CUENTAS!U350/CUENTAS!$AB350,"")</f>
        <v/>
      </c>
      <c r="AN361" s="459">
        <f>IF(CUENTAS!V350/CUENTAS!$AB350&lt;&gt;0,CUENTAS!V350/CUENTAS!$AB350,"")</f>
        <v>0.07881781053</v>
      </c>
      <c r="AO361" s="459" t="str">
        <f>IF(CUENTAS!W350/CUENTAS!$AB350&lt;&gt;0,CUENTAS!W350/CUENTAS!$AB350,"")</f>
        <v/>
      </c>
      <c r="AP361" s="459" t="str">
        <f>IF(CUENTAS!X350/CUENTAS!$AB350&lt;&gt;0,CUENTAS!X350/CUENTAS!$AB350,"")</f>
        <v/>
      </c>
      <c r="AQ361" s="459" t="str">
        <f>IF(CUENTAS!Y350/CUENTAS!$AB350&lt;&gt;0,CUENTAS!Y350/CUENTAS!$AB350,"")</f>
        <v/>
      </c>
      <c r="AR361" s="459">
        <f>IF(CUENTAS!AA350/CUENTAS!$AB350&lt;&gt;0,CUENTAS!AA350/CUENTAS!$AB350,"")</f>
        <v>0.2592205613</v>
      </c>
    </row>
    <row r="362">
      <c r="A362" s="474"/>
      <c r="B362" s="200"/>
      <c r="C362" s="200"/>
      <c r="F362" s="200"/>
      <c r="G362" s="200"/>
      <c r="J362" s="465">
        <v>45298.0</v>
      </c>
      <c r="K362" s="466">
        <f>SUMIF(GRAFICO!A:A,J362,GRAFICO!B:B)</f>
        <v>10129.25716</v>
      </c>
      <c r="L362" s="467">
        <f t="shared" si="2"/>
        <v>0.002773652684</v>
      </c>
      <c r="M362" s="468">
        <v>45664.0</v>
      </c>
      <c r="N362" s="469">
        <f>SUMIF(GRAFICO!A:A,M362,GRAFICO!B:B)</f>
        <v>14075.93431</v>
      </c>
      <c r="O362" s="467">
        <f t="shared" si="5"/>
        <v>0.01139327799</v>
      </c>
      <c r="P362" s="468">
        <v>46029.0</v>
      </c>
      <c r="Q362" s="463">
        <f>IF(SUMIF(GRAFICO!A:A,P362,GRAFICO!B:B)=0,"",SUMIF(GRAFICO!A:A,P362,GRAFICO!B:B))</f>
        <v>20969.02375</v>
      </c>
      <c r="R362" s="463">
        <f t="shared" si="4"/>
        <v>0.01060447451</v>
      </c>
      <c r="S362" s="471">
        <f>CUENTAS!A351</f>
        <v>45751</v>
      </c>
      <c r="T362" s="459">
        <f>IF(CUENTAS!Q351/CUENTAS!$AB351&lt;&gt;0,CUENTAS!Q351/CUENTAS!$AB351,"")</f>
        <v>0.006746823225</v>
      </c>
      <c r="U362" s="459" t="str">
        <f>IF(CUENTAS!C351/CUENTAS!$AB351&lt;&gt;0,CUENTAS!C351/CUENTAS!$AB351,"")</f>
        <v/>
      </c>
      <c r="V362" s="459" t="str">
        <f>IF(CUENTAS!D351/CUENTAS!$AB351&lt;&gt;0,CUENTAS!D351/CUENTAS!$AB351,"")</f>
        <v/>
      </c>
      <c r="W362" s="459" t="str">
        <f>IF(CUENTAS!E351/CUENTAS!$AB351&lt;&gt;0,CUENTAS!E351/CUENTAS!$AB351,"")</f>
        <v/>
      </c>
      <c r="X362" s="459" t="str">
        <f>IF(CUENTAS!F351/CUENTAS!$AB351&lt;&gt;0,CUENTAS!F351/CUENTAS!$AB351,"")</f>
        <v/>
      </c>
      <c r="Y362" s="459" t="str">
        <f>IF(CUENTAS!G351/CUENTAS!$AB351&lt;&gt;0,CUENTAS!G351/CUENTAS!$AB351,"")</f>
        <v/>
      </c>
      <c r="Z362" s="459">
        <f>IF(CUENTAS!H351/CUENTAS!$AB351&lt;&gt;0,CUENTAS!H351/CUENTAS!$AB351,"")</f>
        <v>0.5608758052</v>
      </c>
      <c r="AA362" s="459">
        <f>IF(CUENTAS!I351/CUENTAS!$AB351&lt;&gt;0,CUENTAS!I351/CUENTAS!$AB351,"")</f>
        <v>0.01887712198</v>
      </c>
      <c r="AB362" s="459">
        <f>IF(CUENTAS!J351/CUENTAS!$AB351&lt;&gt;0,CUENTAS!J351/CUENTAS!$AB351,"")</f>
        <v>0.0456080589</v>
      </c>
      <c r="AC362" s="459" t="str">
        <f>IF(CUENTAS!K351/CUENTAS!$AB351&lt;&gt;0,CUENTAS!K351/CUENTAS!$AB351,"")</f>
        <v/>
      </c>
      <c r="AD362" s="459" t="str">
        <f>IF(CUENTAS!L351/CUENTAS!$AB351&lt;&gt;0,CUENTAS!L351/CUENTAS!$AB351,"")</f>
        <v/>
      </c>
      <c r="AE362" s="459" t="str">
        <f>IF(CUENTAS!M351/CUENTAS!$AB351&lt;&gt;0,CUENTAS!M351/CUENTAS!$AB351,"")</f>
        <v/>
      </c>
      <c r="AF362" s="459" t="str">
        <f>IF(CUENTAS!N351/CUENTAS!$AB351&lt;&gt;0,CUENTAS!N351/CUENTAS!$AB351,"")</f>
        <v/>
      </c>
      <c r="AG362" s="459" t="str">
        <f>IF(CUENTAS!O351/CUENTAS!$AB351&lt;&gt;0,CUENTAS!O351/CUENTAS!$AB351,"")</f>
        <v/>
      </c>
      <c r="AH362" s="459" t="str">
        <f>IF(CUENTAS!P351/CUENTAS!$AB351&lt;&gt;0,CUENTAS!P351/CUENTAS!$AB351,"")</f>
        <v/>
      </c>
      <c r="AI362" s="459">
        <f>IF(CUENTAS!R351/CUENTAS!$AB351&lt;&gt;0,CUENTAS!R351/CUENTAS!$AB351,"")</f>
        <v>0.02985381883</v>
      </c>
      <c r="AJ362" s="459" t="str">
        <f>IF(CUENTAS!B351/CUENTAS!$AB351&lt;&gt;0,CUENTAS!B351/CUENTAS!$AB351,"")</f>
        <v/>
      </c>
      <c r="AK362" s="459" t="str">
        <f>IF(CUENTAS!S351/CUENTAS!$AB351&lt;&gt;0,CUENTAS!S351/CUENTAS!$AB351,"")</f>
        <v/>
      </c>
      <c r="AL362" s="459" t="str">
        <f>IF(CUENTAS!T351/CUENTAS!$AB351&lt;&gt;0,CUENTAS!T351/CUENTAS!$AB351,"")</f>
        <v/>
      </c>
      <c r="AM362" s="459" t="str">
        <f>IF(CUENTAS!U351/CUENTAS!$AB351&lt;&gt;0,CUENTAS!U351/CUENTAS!$AB351,"")</f>
        <v/>
      </c>
      <c r="AN362" s="459">
        <f>IF(CUENTAS!V351/CUENTAS!$AB351&lt;&gt;0,CUENTAS!V351/CUENTAS!$AB351,"")</f>
        <v>0.07881781053</v>
      </c>
      <c r="AO362" s="459" t="str">
        <f>IF(CUENTAS!W351/CUENTAS!$AB351&lt;&gt;0,CUENTAS!W351/CUENTAS!$AB351,"")</f>
        <v/>
      </c>
      <c r="AP362" s="459" t="str">
        <f>IF(CUENTAS!X351/CUENTAS!$AB351&lt;&gt;0,CUENTAS!X351/CUENTAS!$AB351,"")</f>
        <v/>
      </c>
      <c r="AQ362" s="459" t="str">
        <f>IF(CUENTAS!Y351/CUENTAS!$AB351&lt;&gt;0,CUENTAS!Y351/CUENTAS!$AB351,"")</f>
        <v/>
      </c>
      <c r="AR362" s="459">
        <f>IF(CUENTAS!AA351/CUENTAS!$AB351&lt;&gt;0,CUENTAS!AA351/CUENTAS!$AB351,"")</f>
        <v>0.2592205613</v>
      </c>
    </row>
    <row r="363">
      <c r="A363" s="474"/>
      <c r="B363" s="200"/>
      <c r="C363" s="200"/>
      <c r="F363" s="200"/>
      <c r="G363" s="200"/>
      <c r="J363" s="465">
        <v>45297.0</v>
      </c>
      <c r="K363" s="466">
        <f>SUMIF(GRAFICO!A:A,J363,GRAFICO!B:B)</f>
        <v>10124.76848</v>
      </c>
      <c r="L363" s="467">
        <f t="shared" si="2"/>
        <v>0.002330414525</v>
      </c>
      <c r="M363" s="468">
        <v>45663.0</v>
      </c>
      <c r="N363" s="469">
        <f>SUMIF(GRAFICO!A:A,M363,GRAFICO!B:B)</f>
        <v>13997.05941</v>
      </c>
      <c r="O363" s="467">
        <f t="shared" si="5"/>
        <v>0.005773990355</v>
      </c>
      <c r="P363" s="468">
        <v>46028.0</v>
      </c>
      <c r="Q363" s="463">
        <f>IF(SUMIF(GRAFICO!A:A,P363,GRAFICO!B:B)=0,"",SUMIF(GRAFICO!A:A,P363,GRAFICO!B:B))</f>
        <v>20989.13018</v>
      </c>
      <c r="R363" s="463">
        <f t="shared" si="4"/>
        <v>0.01156287825</v>
      </c>
      <c r="S363" s="471">
        <f>CUENTAS!A352</f>
        <v>45750</v>
      </c>
      <c r="T363" s="459">
        <f>IF(CUENTAS!Q352/CUENTAS!$AB352&lt;&gt;0,CUENTAS!Q352/CUENTAS!$AB352,"")</f>
        <v>0.007923720979</v>
      </c>
      <c r="U363" s="459" t="str">
        <f>IF(CUENTAS!C352/CUENTAS!$AB352&lt;&gt;0,CUENTAS!C352/CUENTAS!$AB352,"")</f>
        <v/>
      </c>
      <c r="V363" s="459" t="str">
        <f>IF(CUENTAS!D352/CUENTAS!$AB352&lt;&gt;0,CUENTAS!D352/CUENTAS!$AB352,"")</f>
        <v/>
      </c>
      <c r="W363" s="459" t="str">
        <f>IF(CUENTAS!E352/CUENTAS!$AB352&lt;&gt;0,CUENTAS!E352/CUENTAS!$AB352,"")</f>
        <v/>
      </c>
      <c r="X363" s="459" t="str">
        <f>IF(CUENTAS!F352/CUENTAS!$AB352&lt;&gt;0,CUENTAS!F352/CUENTAS!$AB352,"")</f>
        <v/>
      </c>
      <c r="Y363" s="459" t="str">
        <f>IF(CUENTAS!G352/CUENTAS!$AB352&lt;&gt;0,CUENTAS!G352/CUENTAS!$AB352,"")</f>
        <v/>
      </c>
      <c r="Z363" s="459">
        <f>IF(CUENTAS!H352/CUENTAS!$AB352&lt;&gt;0,CUENTAS!H352/CUENTAS!$AB352,"")</f>
        <v>0.7119375259</v>
      </c>
      <c r="AA363" s="459">
        <f>IF(CUENTAS!I352/CUENTAS!$AB352&lt;&gt;0,CUENTAS!I352/CUENTAS!$AB352,"")</f>
        <v>0.02183425337</v>
      </c>
      <c r="AB363" s="459">
        <f>IF(CUENTAS!J352/CUENTAS!$AB352&lt;&gt;0,CUENTAS!J352/CUENTAS!$AB352,"")</f>
        <v>0.05150418637</v>
      </c>
      <c r="AC363" s="459" t="str">
        <f>IF(CUENTAS!K352/CUENTAS!$AB352&lt;&gt;0,CUENTAS!K352/CUENTAS!$AB352,"")</f>
        <v/>
      </c>
      <c r="AD363" s="459" t="str">
        <f>IF(CUENTAS!L352/CUENTAS!$AB352&lt;&gt;0,CUENTAS!L352/CUENTAS!$AB352,"")</f>
        <v/>
      </c>
      <c r="AE363" s="459" t="str">
        <f>IF(CUENTAS!M352/CUENTAS!$AB352&lt;&gt;0,CUENTAS!M352/CUENTAS!$AB352,"")</f>
        <v/>
      </c>
      <c r="AF363" s="459" t="str">
        <f>IF(CUENTAS!N352/CUENTAS!$AB352&lt;&gt;0,CUENTAS!N352/CUENTAS!$AB352,"")</f>
        <v/>
      </c>
      <c r="AG363" s="459" t="str">
        <f>IF(CUENTAS!O352/CUENTAS!$AB352&lt;&gt;0,CUENTAS!O352/CUENTAS!$AB352,"")</f>
        <v/>
      </c>
      <c r="AH363" s="459" t="str">
        <f>IF(CUENTAS!P352/CUENTAS!$AB352&lt;&gt;0,CUENTAS!P352/CUENTAS!$AB352,"")</f>
        <v/>
      </c>
      <c r="AI363" s="459">
        <f>IF(CUENTAS!R352/CUENTAS!$AB352&lt;&gt;0,CUENTAS!R352/CUENTAS!$AB352,"")</f>
        <v>0.03383428858</v>
      </c>
      <c r="AJ363" s="459" t="str">
        <f>IF(CUENTAS!B352/CUENTAS!$AB352&lt;&gt;0,CUENTAS!B352/CUENTAS!$AB352,"")</f>
        <v/>
      </c>
      <c r="AK363" s="459" t="str">
        <f>IF(CUENTAS!S352/CUENTAS!$AB352&lt;&gt;0,CUENTAS!S352/CUENTAS!$AB352,"")</f>
        <v/>
      </c>
      <c r="AL363" s="459" t="str">
        <f>IF(CUENTAS!T352/CUENTAS!$AB352&lt;&gt;0,CUENTAS!T352/CUENTAS!$AB352,"")</f>
        <v/>
      </c>
      <c r="AM363" s="459" t="str">
        <f>IF(CUENTAS!U352/CUENTAS!$AB352&lt;&gt;0,CUENTAS!U352/CUENTAS!$AB352,"")</f>
        <v/>
      </c>
      <c r="AN363" s="459">
        <f>IF(CUENTAS!V352/CUENTAS!$AB352&lt;&gt;0,CUENTAS!V352/CUENTAS!$AB352,"")</f>
        <v>0.08932674784</v>
      </c>
      <c r="AO363" s="459" t="str">
        <f>IF(CUENTAS!W352/CUENTAS!$AB352&lt;&gt;0,CUENTAS!W352/CUENTAS!$AB352,"")</f>
        <v/>
      </c>
      <c r="AP363" s="459" t="str">
        <f>IF(CUENTAS!X352/CUENTAS!$AB352&lt;&gt;0,CUENTAS!X352/CUENTAS!$AB352,"")</f>
        <v/>
      </c>
      <c r="AQ363" s="459" t="str">
        <f>IF(CUENTAS!Y352/CUENTAS!$AB352&lt;&gt;0,CUENTAS!Y352/CUENTAS!$AB352,"")</f>
        <v/>
      </c>
      <c r="AR363" s="459">
        <f>IF(CUENTAS!AA352/CUENTAS!$AB352&lt;&gt;0,CUENTAS!AA352/CUENTAS!$AB352,"")</f>
        <v>0.083639277</v>
      </c>
    </row>
    <row r="364">
      <c r="A364" s="474"/>
      <c r="B364" s="200"/>
      <c r="C364" s="200"/>
      <c r="F364" s="200"/>
      <c r="G364" s="200"/>
      <c r="J364" s="470">
        <v>45296.0</v>
      </c>
      <c r="K364" s="466">
        <f>SUMIF(GRAFICO!A:A,J364,GRAFICO!B:B)</f>
        <v>10119.86251</v>
      </c>
      <c r="L364" s="467">
        <f t="shared" si="2"/>
        <v>0.001845745695</v>
      </c>
      <c r="M364" s="468">
        <v>45662.0</v>
      </c>
      <c r="N364" s="469">
        <f>SUMIF(GRAFICO!A:A,M364,GRAFICO!B:B)</f>
        <v>13963.57399</v>
      </c>
      <c r="O364" s="467">
        <f t="shared" si="5"/>
        <v>0.003378806019</v>
      </c>
      <c r="P364" s="468">
        <v>46027.0</v>
      </c>
      <c r="Q364" s="463">
        <f>IF(SUMIF(GRAFICO!A:A,P364,GRAFICO!B:B)=0,"",SUMIF(GRAFICO!A:A,P364,GRAFICO!B:B))</f>
        <v>21131.51146</v>
      </c>
      <c r="R364" s="463">
        <f t="shared" si="4"/>
        <v>0.01832354561</v>
      </c>
      <c r="S364" s="471">
        <f>CUENTAS!A353</f>
        <v>45749</v>
      </c>
      <c r="T364" s="459">
        <f>IF(CUENTAS!Q353/CUENTAS!$AB353&lt;&gt;0,CUENTAS!Q353/CUENTAS!$AB353,"")</f>
        <v>0.008059308243</v>
      </c>
      <c r="U364" s="459" t="str">
        <f>IF(CUENTAS!C353/CUENTAS!$AB353&lt;&gt;0,CUENTAS!C353/CUENTAS!$AB353,"")</f>
        <v/>
      </c>
      <c r="V364" s="459" t="str">
        <f>IF(CUENTAS!D353/CUENTAS!$AB353&lt;&gt;0,CUENTAS!D353/CUENTAS!$AB353,"")</f>
        <v/>
      </c>
      <c r="W364" s="459" t="str">
        <f>IF(CUENTAS!E353/CUENTAS!$AB353&lt;&gt;0,CUENTAS!E353/CUENTAS!$AB353,"")</f>
        <v/>
      </c>
      <c r="X364" s="459" t="str">
        <f>IF(CUENTAS!F353/CUENTAS!$AB353&lt;&gt;0,CUENTAS!F353/CUENTAS!$AB353,"")</f>
        <v/>
      </c>
      <c r="Y364" s="459" t="str">
        <f>IF(CUENTAS!G353/CUENTAS!$AB353&lt;&gt;0,CUENTAS!G353/CUENTAS!$AB353,"")</f>
        <v/>
      </c>
      <c r="Z364" s="459">
        <f>IF(CUENTAS!H353/CUENTAS!$AB353&lt;&gt;0,CUENTAS!H353/CUENTAS!$AB353,"")</f>
        <v>0.718191133</v>
      </c>
      <c r="AA364" s="459">
        <f>IF(CUENTAS!I353/CUENTAS!$AB353&lt;&gt;0,CUENTAS!I353/CUENTAS!$AB353,"")</f>
        <v>0.02131067083</v>
      </c>
      <c r="AB364" s="459">
        <f>IF(CUENTAS!J353/CUENTAS!$AB353&lt;&gt;0,CUENTAS!J353/CUENTAS!$AB353,"")</f>
        <v>0.0501898587</v>
      </c>
      <c r="AC364" s="459" t="str">
        <f>IF(CUENTAS!K353/CUENTAS!$AB353&lt;&gt;0,CUENTAS!K353/CUENTAS!$AB353,"")</f>
        <v/>
      </c>
      <c r="AD364" s="459" t="str">
        <f>IF(CUENTAS!L353/CUENTAS!$AB353&lt;&gt;0,CUENTAS!L353/CUENTAS!$AB353,"")</f>
        <v/>
      </c>
      <c r="AE364" s="459" t="str">
        <f>IF(CUENTAS!M353/CUENTAS!$AB353&lt;&gt;0,CUENTAS!M353/CUENTAS!$AB353,"")</f>
        <v/>
      </c>
      <c r="AF364" s="459" t="str">
        <f>IF(CUENTAS!N353/CUENTAS!$AB353&lt;&gt;0,CUENTAS!N353/CUENTAS!$AB353,"")</f>
        <v/>
      </c>
      <c r="AG364" s="459" t="str">
        <f>IF(CUENTAS!O353/CUENTAS!$AB353&lt;&gt;0,CUENTAS!O353/CUENTAS!$AB353,"")</f>
        <v/>
      </c>
      <c r="AH364" s="459" t="str">
        <f>IF(CUENTAS!P353/CUENTAS!$AB353&lt;&gt;0,CUENTAS!P353/CUENTAS!$AB353,"")</f>
        <v/>
      </c>
      <c r="AI364" s="459">
        <f>IF(CUENTAS!R353/CUENTAS!$AB353&lt;&gt;0,CUENTAS!R353/CUENTAS!$AB353,"")</f>
        <v>0.0330896598</v>
      </c>
      <c r="AJ364" s="459" t="str">
        <f>IF(CUENTAS!B353/CUENTAS!$AB353&lt;&gt;0,CUENTAS!B353/CUENTAS!$AB353,"")</f>
        <v/>
      </c>
      <c r="AK364" s="459" t="str">
        <f>IF(CUENTAS!S353/CUENTAS!$AB353&lt;&gt;0,CUENTAS!S353/CUENTAS!$AB353,"")</f>
        <v/>
      </c>
      <c r="AL364" s="459" t="str">
        <f>IF(CUENTAS!T353/CUENTAS!$AB353&lt;&gt;0,CUENTAS!T353/CUENTAS!$AB353,"")</f>
        <v/>
      </c>
      <c r="AM364" s="459" t="str">
        <f>IF(CUENTAS!U353/CUENTAS!$AB353&lt;&gt;0,CUENTAS!U353/CUENTAS!$AB353,"")</f>
        <v/>
      </c>
      <c r="AN364" s="459">
        <f>IF(CUENTAS!V353/CUENTAS!$AB353&lt;&gt;0,CUENTAS!V353/CUENTAS!$AB353,"")</f>
        <v>0.08736083486</v>
      </c>
      <c r="AO364" s="459" t="str">
        <f>IF(CUENTAS!W353/CUENTAS!$AB353&lt;&gt;0,CUENTAS!W353/CUENTAS!$AB353,"")</f>
        <v/>
      </c>
      <c r="AP364" s="459" t="str">
        <f>IF(CUENTAS!X353/CUENTAS!$AB353&lt;&gt;0,CUENTAS!X353/CUENTAS!$AB353,"")</f>
        <v/>
      </c>
      <c r="AQ364" s="459" t="str">
        <f>IF(CUENTAS!Y353/CUENTAS!$AB353&lt;&gt;0,CUENTAS!Y353/CUENTAS!$AB353,"")</f>
        <v/>
      </c>
      <c r="AR364" s="459">
        <f>IF(CUENTAS!AA353/CUENTAS!$AB353&lt;&gt;0,CUENTAS!AA353/CUENTAS!$AB353,"")</f>
        <v>0.08179853451</v>
      </c>
    </row>
    <row r="365">
      <c r="A365" s="474"/>
      <c r="B365" s="200"/>
      <c r="C365" s="200"/>
      <c r="F365" s="200"/>
      <c r="G365" s="200"/>
      <c r="J365" s="465">
        <v>45295.0</v>
      </c>
      <c r="K365" s="466">
        <f>SUMIF(GRAFICO!A:A,J365,GRAFICO!B:B)</f>
        <v>10115.13622</v>
      </c>
      <c r="L365" s="467">
        <f t="shared" si="2"/>
        <v>0.001378605641</v>
      </c>
      <c r="M365" s="468">
        <v>45661.0</v>
      </c>
      <c r="N365" s="469">
        <f>SUMIF(GRAFICO!A:A,M365,GRAFICO!B:B)</f>
        <v>13963.57399</v>
      </c>
      <c r="O365" s="467">
        <f t="shared" si="5"/>
        <v>0.003378806019</v>
      </c>
      <c r="P365" s="468">
        <v>46026.0</v>
      </c>
      <c r="Q365" s="463">
        <f>IF(SUMIF(GRAFICO!A:A,P365,GRAFICO!B:B)=0,"",SUMIF(GRAFICO!A:A,P365,GRAFICO!B:B))</f>
        <v>20857.15978</v>
      </c>
      <c r="R365" s="463">
        <f t="shared" si="4"/>
        <v>0.005255469288</v>
      </c>
      <c r="S365" s="471">
        <f>CUENTAS!A354</f>
        <v>45748</v>
      </c>
      <c r="T365" s="459">
        <f>IF(CUENTAS!Q354/CUENTAS!$AB354&lt;&gt;0,CUENTAS!Q354/CUENTAS!$AB354,"")</f>
        <v>0.008137520409</v>
      </c>
      <c r="U365" s="459" t="str">
        <f>IF(CUENTAS!C354/CUENTAS!$AB354&lt;&gt;0,CUENTAS!C354/CUENTAS!$AB354,"")</f>
        <v/>
      </c>
      <c r="V365" s="459" t="str">
        <f>IF(CUENTAS!D354/CUENTAS!$AB354&lt;&gt;0,CUENTAS!D354/CUENTAS!$AB354,"")</f>
        <v/>
      </c>
      <c r="W365" s="459" t="str">
        <f>IF(CUENTAS!E354/CUENTAS!$AB354&lt;&gt;0,CUENTAS!E354/CUENTAS!$AB354,"")</f>
        <v/>
      </c>
      <c r="X365" s="459" t="str">
        <f>IF(CUENTAS!F354/CUENTAS!$AB354&lt;&gt;0,CUENTAS!F354/CUENTAS!$AB354,"")</f>
        <v/>
      </c>
      <c r="Y365" s="459" t="str">
        <f>IF(CUENTAS!G354/CUENTAS!$AB354&lt;&gt;0,CUENTAS!G354/CUENTAS!$AB354,"")</f>
        <v/>
      </c>
      <c r="Z365" s="459">
        <f>IF(CUENTAS!H354/CUENTAS!$AB354&lt;&gt;0,CUENTAS!H354/CUENTAS!$AB354,"")</f>
        <v>0.7178190665</v>
      </c>
      <c r="AA365" s="459">
        <f>IF(CUENTAS!I354/CUENTAS!$AB354&lt;&gt;0,CUENTAS!I354/CUENTAS!$AB354,"")</f>
        <v>0.02049449584</v>
      </c>
      <c r="AB365" s="459">
        <f>IF(CUENTAS!J354/CUENTAS!$AB354&lt;&gt;0,CUENTAS!J354/CUENTAS!$AB354,"")</f>
        <v>0.04982686357</v>
      </c>
      <c r="AC365" s="459" t="str">
        <f>IF(CUENTAS!K354/CUENTAS!$AB354&lt;&gt;0,CUENTAS!K354/CUENTAS!$AB354,"")</f>
        <v/>
      </c>
      <c r="AD365" s="459" t="str">
        <f>IF(CUENTAS!L354/CUENTAS!$AB354&lt;&gt;0,CUENTAS!L354/CUENTAS!$AB354,"")</f>
        <v/>
      </c>
      <c r="AE365" s="459" t="str">
        <f>IF(CUENTAS!M354/CUENTAS!$AB354&lt;&gt;0,CUENTAS!M354/CUENTAS!$AB354,"")</f>
        <v/>
      </c>
      <c r="AF365" s="459" t="str">
        <f>IF(CUENTAS!N354/CUENTAS!$AB354&lt;&gt;0,CUENTAS!N354/CUENTAS!$AB354,"")</f>
        <v/>
      </c>
      <c r="AG365" s="459" t="str">
        <f>IF(CUENTAS!O354/CUENTAS!$AB354&lt;&gt;0,CUENTAS!O354/CUENTAS!$AB354,"")</f>
        <v/>
      </c>
      <c r="AH365" s="459" t="str">
        <f>IF(CUENTAS!P354/CUENTAS!$AB354&lt;&gt;0,CUENTAS!P354/CUENTAS!$AB354,"")</f>
        <v/>
      </c>
      <c r="AI365" s="459">
        <f>IF(CUENTAS!R354/CUENTAS!$AB354&lt;&gt;0,CUENTAS!R354/CUENTAS!$AB354,"")</f>
        <v>0.03333065913</v>
      </c>
      <c r="AJ365" s="459" t="str">
        <f>IF(CUENTAS!B354/CUENTAS!$AB354&lt;&gt;0,CUENTAS!B354/CUENTAS!$AB354,"")</f>
        <v/>
      </c>
      <c r="AK365" s="459" t="str">
        <f>IF(CUENTAS!S354/CUENTAS!$AB354&lt;&gt;0,CUENTAS!S354/CUENTAS!$AB354,"")</f>
        <v/>
      </c>
      <c r="AL365" s="459" t="str">
        <f>IF(CUENTAS!T354/CUENTAS!$AB354&lt;&gt;0,CUENTAS!T354/CUENTAS!$AB354,"")</f>
        <v/>
      </c>
      <c r="AM365" s="459" t="str">
        <f>IF(CUENTAS!U354/CUENTAS!$AB354&lt;&gt;0,CUENTAS!U354/CUENTAS!$AB354,"")</f>
        <v/>
      </c>
      <c r="AN365" s="459">
        <f>IF(CUENTAS!V354/CUENTAS!$AB354&lt;&gt;0,CUENTAS!V354/CUENTAS!$AB354,"")</f>
        <v>0.08799710319</v>
      </c>
      <c r="AO365" s="459" t="str">
        <f>IF(CUENTAS!W354/CUENTAS!$AB354&lt;&gt;0,CUENTAS!W354/CUENTAS!$AB354,"")</f>
        <v/>
      </c>
      <c r="AP365" s="459" t="str">
        <f>IF(CUENTAS!X354/CUENTAS!$AB354&lt;&gt;0,CUENTAS!X354/CUENTAS!$AB354,"")</f>
        <v/>
      </c>
      <c r="AQ365" s="459" t="str">
        <f>IF(CUENTAS!Y354/CUENTAS!$AB354&lt;&gt;0,CUENTAS!Y354/CUENTAS!$AB354,"")</f>
        <v/>
      </c>
      <c r="AR365" s="459">
        <f>IF(CUENTAS!AA354/CUENTAS!$AB354&lt;&gt;0,CUENTAS!AA354/CUENTAS!$AB354,"")</f>
        <v>0.08239429138</v>
      </c>
    </row>
    <row r="366">
      <c r="A366" s="474"/>
      <c r="B366" s="200"/>
      <c r="C366" s="200"/>
      <c r="F366" s="200"/>
      <c r="G366" s="200"/>
      <c r="J366" s="470">
        <v>45294.0</v>
      </c>
      <c r="K366" s="466">
        <f>SUMIF(GRAFICO!A:A,J366,GRAFICO!B:B)</f>
        <v>10110.17827</v>
      </c>
      <c r="L366" s="467">
        <f t="shared" si="2"/>
        <v>0.0008883332383</v>
      </c>
      <c r="M366" s="468">
        <v>45660.0</v>
      </c>
      <c r="N366" s="469">
        <f>SUMIF(GRAFICO!A:A,M366,GRAFICO!B:B)</f>
        <v>13963.57399</v>
      </c>
      <c r="O366" s="467">
        <f t="shared" si="5"/>
        <v>0.003378806019</v>
      </c>
      <c r="P366" s="468">
        <v>46025.0</v>
      </c>
      <c r="Q366" s="463">
        <f>IF(SUMIF(GRAFICO!A:A,P366,GRAFICO!B:B)=0,"",SUMIF(GRAFICO!A:A,P366,GRAFICO!B:B))</f>
        <v>20855.1897</v>
      </c>
      <c r="R366" s="463">
        <f t="shared" si="4"/>
        <v>0.005161009016</v>
      </c>
      <c r="S366" s="471">
        <f>CUENTAS!A355</f>
        <v>45747</v>
      </c>
      <c r="T366" s="459">
        <f>IF(CUENTAS!Q355/CUENTAS!$AB355&lt;&gt;0,CUENTAS!Q355/CUENTAS!$AB355,"")</f>
        <v>0.008210685982</v>
      </c>
      <c r="U366" s="459" t="str">
        <f>IF(CUENTAS!C355/CUENTAS!$AB355&lt;&gt;0,CUENTAS!C355/CUENTAS!$AB355,"")</f>
        <v/>
      </c>
      <c r="V366" s="459" t="str">
        <f>IF(CUENTAS!D355/CUENTAS!$AB355&lt;&gt;0,CUENTAS!D355/CUENTAS!$AB355,"")</f>
        <v/>
      </c>
      <c r="W366" s="459" t="str">
        <f>IF(CUENTAS!E355/CUENTAS!$AB355&lt;&gt;0,CUENTAS!E355/CUENTAS!$AB355,"")</f>
        <v/>
      </c>
      <c r="X366" s="459" t="str">
        <f>IF(CUENTAS!F355/CUENTAS!$AB355&lt;&gt;0,CUENTAS!F355/CUENTAS!$AB355,"")</f>
        <v/>
      </c>
      <c r="Y366" s="459" t="str">
        <f>IF(CUENTAS!G355/CUENTAS!$AB355&lt;&gt;0,CUENTAS!G355/CUENTAS!$AB355,"")</f>
        <v/>
      </c>
      <c r="Z366" s="459">
        <f>IF(CUENTAS!H355/CUENTAS!$AB355&lt;&gt;0,CUENTAS!H355/CUENTAS!$AB355,"")</f>
        <v>0.714063685</v>
      </c>
      <c r="AA366" s="459">
        <f>IF(CUENTAS!I355/CUENTAS!$AB355&lt;&gt;0,CUENTAS!I355/CUENTAS!$AB355,"")</f>
        <v>0.0206641093</v>
      </c>
      <c r="AB366" s="459">
        <f>IF(CUENTAS!J355/CUENTAS!$AB355&lt;&gt;0,CUENTAS!J355/CUENTAS!$AB355,"")</f>
        <v>0.05051715231</v>
      </c>
      <c r="AC366" s="459" t="str">
        <f>IF(CUENTAS!K355/CUENTAS!$AB355&lt;&gt;0,CUENTAS!K355/CUENTAS!$AB355,"")</f>
        <v/>
      </c>
      <c r="AD366" s="459" t="str">
        <f>IF(CUENTAS!L355/CUENTAS!$AB355&lt;&gt;0,CUENTAS!L355/CUENTAS!$AB355,"")</f>
        <v/>
      </c>
      <c r="AE366" s="459" t="str">
        <f>IF(CUENTAS!M355/CUENTAS!$AB355&lt;&gt;0,CUENTAS!M355/CUENTAS!$AB355,"")</f>
        <v/>
      </c>
      <c r="AF366" s="459" t="str">
        <f>IF(CUENTAS!N355/CUENTAS!$AB355&lt;&gt;0,CUENTAS!N355/CUENTAS!$AB355,"")</f>
        <v/>
      </c>
      <c r="AG366" s="459" t="str">
        <f>IF(CUENTAS!O355/CUENTAS!$AB355&lt;&gt;0,CUENTAS!O355/CUENTAS!$AB355,"")</f>
        <v/>
      </c>
      <c r="AH366" s="459" t="str">
        <f>IF(CUENTAS!P355/CUENTAS!$AB355&lt;&gt;0,CUENTAS!P355/CUENTAS!$AB355,"")</f>
        <v/>
      </c>
      <c r="AI366" s="459">
        <f>IF(CUENTAS!R355/CUENTAS!$AB355&lt;&gt;0,CUENTAS!R355/CUENTAS!$AB355,"")</f>
        <v>0.03379241363</v>
      </c>
      <c r="AJ366" s="459" t="str">
        <f>IF(CUENTAS!B355/CUENTAS!$AB355&lt;&gt;0,CUENTAS!B355/CUENTAS!$AB355,"")</f>
        <v/>
      </c>
      <c r="AK366" s="459" t="str">
        <f>IF(CUENTAS!S355/CUENTAS!$AB355&lt;&gt;0,CUENTAS!S355/CUENTAS!$AB355,"")</f>
        <v/>
      </c>
      <c r="AL366" s="459" t="str">
        <f>IF(CUENTAS!T355/CUENTAS!$AB355&lt;&gt;0,CUENTAS!T355/CUENTAS!$AB355,"")</f>
        <v/>
      </c>
      <c r="AM366" s="459" t="str">
        <f>IF(CUENTAS!U355/CUENTAS!$AB355&lt;&gt;0,CUENTAS!U355/CUENTAS!$AB355,"")</f>
        <v/>
      </c>
      <c r="AN366" s="459">
        <f>IF(CUENTAS!V355/CUENTAS!$AB355&lt;&gt;0,CUENTAS!V355/CUENTAS!$AB355,"")</f>
        <v>0.08921619275</v>
      </c>
      <c r="AO366" s="459" t="str">
        <f>IF(CUENTAS!W355/CUENTAS!$AB355&lt;&gt;0,CUENTAS!W355/CUENTAS!$AB355,"")</f>
        <v/>
      </c>
      <c r="AP366" s="459" t="str">
        <f>IF(CUENTAS!X355/CUENTAS!$AB355&lt;&gt;0,CUENTAS!X355/CUENTAS!$AB355,"")</f>
        <v/>
      </c>
      <c r="AQ366" s="459" t="str">
        <f>IF(CUENTAS!Y355/CUENTAS!$AB355&lt;&gt;0,CUENTAS!Y355/CUENTAS!$AB355,"")</f>
        <v/>
      </c>
      <c r="AR366" s="459">
        <f>IF(CUENTAS!AA355/CUENTAS!$AB355&lt;&gt;0,CUENTAS!AA355/CUENTAS!$AB355,"")</f>
        <v>0.083535761</v>
      </c>
    </row>
    <row r="367">
      <c r="A367" s="474"/>
      <c r="B367" s="200"/>
      <c r="C367" s="200"/>
      <c r="F367" s="200"/>
      <c r="G367" s="200"/>
      <c r="J367" s="470">
        <v>45293.0</v>
      </c>
      <c r="K367" s="466">
        <f>SUMIF(GRAFICO!A:A,J367,GRAFICO!B:B)</f>
        <v>10105.68966</v>
      </c>
      <c r="L367" s="467">
        <f t="shared" si="2"/>
        <v>0.0004442652611</v>
      </c>
      <c r="M367" s="468">
        <v>45659.0</v>
      </c>
      <c r="N367" s="469">
        <f>SUMIF(GRAFICO!A:A,M367,GRAFICO!B:B)</f>
        <v>13848.33392</v>
      </c>
      <c r="O367" s="467">
        <f t="shared" si="5"/>
        <v>-0.004908344314</v>
      </c>
      <c r="P367" s="468">
        <v>46024.0</v>
      </c>
      <c r="Q367" s="463">
        <f>IF(SUMIF(GRAFICO!A:A,P367,GRAFICO!B:B)=0,"",SUMIF(GRAFICO!A:A,P367,GRAFICO!B:B))</f>
        <v>20853.21973</v>
      </c>
      <c r="R367" s="463">
        <f t="shared" si="4"/>
        <v>0.005066545109</v>
      </c>
      <c r="S367" s="471">
        <f>CUENTAS!A356</f>
        <v>45746</v>
      </c>
      <c r="T367" s="459">
        <f>IF(CUENTAS!Q356/CUENTAS!$AB356&lt;&gt;0,CUENTAS!Q356/CUENTAS!$AB356,"")</f>
        <v>0.008352414654</v>
      </c>
      <c r="U367" s="459" t="str">
        <f>IF(CUENTAS!C356/CUENTAS!$AB356&lt;&gt;0,CUENTAS!C356/CUENTAS!$AB356,"")</f>
        <v/>
      </c>
      <c r="V367" s="459" t="str">
        <f>IF(CUENTAS!D356/CUENTAS!$AB356&lt;&gt;0,CUENTAS!D356/CUENTAS!$AB356,"")</f>
        <v/>
      </c>
      <c r="W367" s="459" t="str">
        <f>IF(CUENTAS!E356/CUENTAS!$AB356&lt;&gt;0,CUENTAS!E356/CUENTAS!$AB356,"")</f>
        <v/>
      </c>
      <c r="X367" s="459" t="str">
        <f>IF(CUENTAS!F356/CUENTAS!$AB356&lt;&gt;0,CUENTAS!F356/CUENTAS!$AB356,"")</f>
        <v/>
      </c>
      <c r="Y367" s="459" t="str">
        <f>IF(CUENTAS!G356/CUENTAS!$AB356&lt;&gt;0,CUENTAS!G356/CUENTAS!$AB356,"")</f>
        <v/>
      </c>
      <c r="Z367" s="459">
        <f>IF(CUENTAS!H356/CUENTAS!$AB356&lt;&gt;0,CUENTAS!H356/CUENTAS!$AB356,"")</f>
        <v>0.7175097141</v>
      </c>
      <c r="AA367" s="459">
        <f>IF(CUENTAS!I356/CUENTAS!$AB356&lt;&gt;0,CUENTAS!I356/CUENTAS!$AB356,"")</f>
        <v>0.02016548709</v>
      </c>
      <c r="AB367" s="459">
        <f>IF(CUENTAS!J356/CUENTAS!$AB356&lt;&gt;0,CUENTAS!J356/CUENTAS!$AB356,"")</f>
        <v>0.05024458784</v>
      </c>
      <c r="AC367" s="459" t="str">
        <f>IF(CUENTAS!K356/CUENTAS!$AB356&lt;&gt;0,CUENTAS!K356/CUENTAS!$AB356,"")</f>
        <v/>
      </c>
      <c r="AD367" s="459" t="str">
        <f>IF(CUENTAS!L356/CUENTAS!$AB356&lt;&gt;0,CUENTAS!L356/CUENTAS!$AB356,"")</f>
        <v/>
      </c>
      <c r="AE367" s="459" t="str">
        <f>IF(CUENTAS!M356/CUENTAS!$AB356&lt;&gt;0,CUENTAS!M356/CUENTAS!$AB356,"")</f>
        <v/>
      </c>
      <c r="AF367" s="459" t="str">
        <f>IF(CUENTAS!N356/CUENTAS!$AB356&lt;&gt;0,CUENTAS!N356/CUENTAS!$AB356,"")</f>
        <v/>
      </c>
      <c r="AG367" s="459" t="str">
        <f>IF(CUENTAS!O356/CUENTAS!$AB356&lt;&gt;0,CUENTAS!O356/CUENTAS!$AB356,"")</f>
        <v/>
      </c>
      <c r="AH367" s="459" t="str">
        <f>IF(CUENTAS!P356/CUENTAS!$AB356&lt;&gt;0,CUENTAS!P356/CUENTAS!$AB356,"")</f>
        <v/>
      </c>
      <c r="AI367" s="459">
        <f>IF(CUENTAS!R356/CUENTAS!$AB356&lt;&gt;0,CUENTAS!R356/CUENTAS!$AB356,"")</f>
        <v>0.03333159867</v>
      </c>
      <c r="AJ367" s="459" t="str">
        <f>IF(CUENTAS!B356/CUENTAS!$AB356&lt;&gt;0,CUENTAS!B356/CUENTAS!$AB356,"")</f>
        <v/>
      </c>
      <c r="AK367" s="459" t="str">
        <f>IF(CUENTAS!S356/CUENTAS!$AB356&lt;&gt;0,CUENTAS!S356/CUENTAS!$AB356,"")</f>
        <v/>
      </c>
      <c r="AL367" s="459" t="str">
        <f>IF(CUENTAS!T356/CUENTAS!$AB356&lt;&gt;0,CUENTAS!T356/CUENTAS!$AB356,"")</f>
        <v/>
      </c>
      <c r="AM367" s="459" t="str">
        <f>IF(CUENTAS!U356/CUENTAS!$AB356&lt;&gt;0,CUENTAS!U356/CUENTAS!$AB356,"")</f>
        <v/>
      </c>
      <c r="AN367" s="459">
        <f>IF(CUENTAS!V356/CUENTAS!$AB356&lt;&gt;0,CUENTAS!V356/CUENTAS!$AB356,"")</f>
        <v>0.08799958368</v>
      </c>
      <c r="AO367" s="459" t="str">
        <f>IF(CUENTAS!W356/CUENTAS!$AB356&lt;&gt;0,CUENTAS!W356/CUENTAS!$AB356,"")</f>
        <v/>
      </c>
      <c r="AP367" s="459" t="str">
        <f>IF(CUENTAS!X356/CUENTAS!$AB356&lt;&gt;0,CUENTAS!X356/CUENTAS!$AB356,"")</f>
        <v/>
      </c>
      <c r="AQ367" s="459" t="str">
        <f>IF(CUENTAS!Y356/CUENTAS!$AB356&lt;&gt;0,CUENTAS!Y356/CUENTAS!$AB356,"")</f>
        <v/>
      </c>
      <c r="AR367" s="459">
        <f>IF(CUENTAS!AA356/CUENTAS!$AB356&lt;&gt;0,CUENTAS!AA356/CUENTAS!$AB356,"")</f>
        <v>0.08239661393</v>
      </c>
    </row>
    <row r="368">
      <c r="A368" s="474"/>
      <c r="B368" s="200"/>
      <c r="C368" s="200"/>
      <c r="F368" s="200"/>
      <c r="G368" s="200"/>
      <c r="J368" s="475">
        <v>45292.0</v>
      </c>
      <c r="K368" s="476">
        <f>SUMIF(GRAFICO!A:A,J368,GRAFICO!B:B)</f>
        <v>10101.20105</v>
      </c>
      <c r="L368" s="477">
        <f t="shared" si="2"/>
        <v>0</v>
      </c>
      <c r="M368" s="478">
        <v>45658.0</v>
      </c>
      <c r="N368" s="479">
        <f>SUMIF(GRAFICO!A:A,M368,GRAFICO!B:B)</f>
        <v>13916.4734</v>
      </c>
      <c r="O368" s="477">
        <f t="shared" si="5"/>
        <v>0</v>
      </c>
      <c r="P368" s="478">
        <v>46023.0</v>
      </c>
      <c r="Q368" s="480">
        <f>IF(SUMIF(GRAFICO!A:A,P368,GRAFICO!B:B)=0,"",SUMIF(GRAFICO!A:A,P368,GRAFICO!B:B))</f>
        <v>20747.83315</v>
      </c>
      <c r="R368" s="480">
        <f t="shared" si="4"/>
        <v>0</v>
      </c>
      <c r="S368" s="471">
        <f>CUENTAS!A357</f>
        <v>45745</v>
      </c>
      <c r="T368" s="459">
        <f>IF(CUENTAS!Q357/CUENTAS!$AB357&lt;&gt;0,CUENTAS!Q357/CUENTAS!$AB357,"")</f>
        <v>0.008425491706</v>
      </c>
      <c r="U368" s="459" t="str">
        <f>IF(CUENTAS!C357/CUENTAS!$AB357&lt;&gt;0,CUENTAS!C357/CUENTAS!$AB357,"")</f>
        <v/>
      </c>
      <c r="V368" s="459" t="str">
        <f>IF(CUENTAS!D357/CUENTAS!$AB357&lt;&gt;0,CUENTAS!D357/CUENTAS!$AB357,"")</f>
        <v/>
      </c>
      <c r="W368" s="459" t="str">
        <f>IF(CUENTAS!E357/CUENTAS!$AB357&lt;&gt;0,CUENTAS!E357/CUENTAS!$AB357,"")</f>
        <v/>
      </c>
      <c r="X368" s="459" t="str">
        <f>IF(CUENTAS!F357/CUENTAS!$AB357&lt;&gt;0,CUENTAS!F357/CUENTAS!$AB357,"")</f>
        <v/>
      </c>
      <c r="Y368" s="459" t="str">
        <f>IF(CUENTAS!G357/CUENTAS!$AB357&lt;&gt;0,CUENTAS!G357/CUENTAS!$AB357,"")</f>
        <v/>
      </c>
      <c r="Z368" s="459">
        <f>IF(CUENTAS!H357/CUENTAS!$AB357&lt;&gt;0,CUENTAS!H357/CUENTAS!$AB357,"")</f>
        <v>0.7237873591</v>
      </c>
      <c r="AA368" s="459">
        <f>IF(CUENTAS!I357/CUENTAS!$AB357&lt;&gt;0,CUENTAS!I357/CUENTAS!$AB357,"")</f>
        <v>0.02034191923</v>
      </c>
      <c r="AB368" s="459">
        <f>IF(CUENTAS!J357/CUENTAS!$AB357&lt;&gt;0,CUENTAS!J357/CUENTAS!$AB357,"")</f>
        <v>0.05068418842</v>
      </c>
      <c r="AC368" s="459" t="str">
        <f>IF(CUENTAS!K357/CUENTAS!$AB357&lt;&gt;0,CUENTAS!K357/CUENTAS!$AB357,"")</f>
        <v/>
      </c>
      <c r="AD368" s="459" t="str">
        <f>IF(CUENTAS!L357/CUENTAS!$AB357&lt;&gt;0,CUENTAS!L357/CUENTAS!$AB357,"")</f>
        <v/>
      </c>
      <c r="AE368" s="459" t="str">
        <f>IF(CUENTAS!M357/CUENTAS!$AB357&lt;&gt;0,CUENTAS!M357/CUENTAS!$AB357,"")</f>
        <v/>
      </c>
      <c r="AF368" s="459" t="str">
        <f>IF(CUENTAS!N357/CUENTAS!$AB357&lt;&gt;0,CUENTAS!N357/CUENTAS!$AB357,"")</f>
        <v/>
      </c>
      <c r="AG368" s="459" t="str">
        <f>IF(CUENTAS!O357/CUENTAS!$AB357&lt;&gt;0,CUENTAS!O357/CUENTAS!$AB357,"")</f>
        <v/>
      </c>
      <c r="AH368" s="459" t="str">
        <f>IF(CUENTAS!P357/CUENTAS!$AB357&lt;&gt;0,CUENTAS!P357/CUENTAS!$AB357,"")</f>
        <v/>
      </c>
      <c r="AI368" s="459">
        <f>IF(CUENTAS!R357/CUENTAS!$AB357&lt;&gt;0,CUENTAS!R357/CUENTAS!$AB357,"")</f>
        <v>0.03362322391</v>
      </c>
      <c r="AJ368" s="459" t="str">
        <f>IF(CUENTAS!B357/CUENTAS!$AB357&lt;&gt;0,CUENTAS!B357/CUENTAS!$AB357,"")</f>
        <v/>
      </c>
      <c r="AK368" s="459" t="str">
        <f>IF(CUENTAS!S357/CUENTAS!$AB357&lt;&gt;0,CUENTAS!S357/CUENTAS!$AB357,"")</f>
        <v/>
      </c>
      <c r="AL368" s="459" t="str">
        <f>IF(CUENTAS!T357/CUENTAS!$AB357&lt;&gt;0,CUENTAS!T357/CUENTAS!$AB357,"")</f>
        <v/>
      </c>
      <c r="AM368" s="459" t="str">
        <f>IF(CUENTAS!U357/CUENTAS!$AB357&lt;&gt;0,CUENTAS!U357/CUENTAS!$AB357,"")</f>
        <v/>
      </c>
      <c r="AN368" s="459">
        <f>IF(CUENTAS!V357/CUENTAS!$AB357&lt;&gt;0,CUENTAS!V357/CUENTAS!$AB357,"")</f>
        <v>0.08876951074</v>
      </c>
      <c r="AO368" s="459" t="str">
        <f>IF(CUENTAS!W357/CUENTAS!$AB357&lt;&gt;0,CUENTAS!W357/CUENTAS!$AB357,"")</f>
        <v/>
      </c>
      <c r="AP368" s="459" t="str">
        <f>IF(CUENTAS!X357/CUENTAS!$AB357&lt;&gt;0,CUENTAS!X357/CUENTAS!$AB357,"")</f>
        <v/>
      </c>
      <c r="AQ368" s="459" t="str">
        <f>IF(CUENTAS!Y357/CUENTAS!$AB357&lt;&gt;0,CUENTAS!Y357/CUENTAS!$AB357,"")</f>
        <v/>
      </c>
      <c r="AR368" s="459">
        <f>IF(CUENTAS!AA357/CUENTAS!$AB357&lt;&gt;0,CUENTAS!AA357/CUENTAS!$AB357,"")</f>
        <v>0.07436830685</v>
      </c>
    </row>
    <row r="369">
      <c r="A369" s="474"/>
      <c r="B369" s="200"/>
      <c r="C369" s="200"/>
      <c r="F369" s="200"/>
      <c r="G369" s="200"/>
      <c r="L369" s="481"/>
      <c r="N369" s="482"/>
      <c r="O369" s="481"/>
      <c r="S369" s="471">
        <f>CUENTAS!A358</f>
        <v>45744</v>
      </c>
      <c r="T369" s="459">
        <f>IF(CUENTAS!Q358/CUENTAS!$AB358&lt;&gt;0,CUENTAS!Q358/CUENTAS!$AB358,"")</f>
        <v>0.008425491706</v>
      </c>
      <c r="U369" s="459" t="str">
        <f>IF(CUENTAS!C358/CUENTAS!$AB358&lt;&gt;0,CUENTAS!C358/CUENTAS!$AB358,"")</f>
        <v/>
      </c>
      <c r="V369" s="459" t="str">
        <f>IF(CUENTAS!D358/CUENTAS!$AB358&lt;&gt;0,CUENTAS!D358/CUENTAS!$AB358,"")</f>
        <v/>
      </c>
      <c r="W369" s="459" t="str">
        <f>IF(CUENTAS!E358/CUENTAS!$AB358&lt;&gt;0,CUENTAS!E358/CUENTAS!$AB358,"")</f>
        <v/>
      </c>
      <c r="X369" s="459" t="str">
        <f>IF(CUENTAS!F358/CUENTAS!$AB358&lt;&gt;0,CUENTAS!F358/CUENTAS!$AB358,"")</f>
        <v/>
      </c>
      <c r="Y369" s="459" t="str">
        <f>IF(CUENTAS!G358/CUENTAS!$AB358&lt;&gt;0,CUENTAS!G358/CUENTAS!$AB358,"")</f>
        <v/>
      </c>
      <c r="Z369" s="459">
        <f>IF(CUENTAS!H358/CUENTAS!$AB358&lt;&gt;0,CUENTAS!H358/CUENTAS!$AB358,"")</f>
        <v>0.7237873591</v>
      </c>
      <c r="AA369" s="459">
        <f>IF(CUENTAS!I358/CUENTAS!$AB358&lt;&gt;0,CUENTAS!I358/CUENTAS!$AB358,"")</f>
        <v>0.02034191923</v>
      </c>
      <c r="AB369" s="459">
        <f>IF(CUENTAS!J358/CUENTAS!$AB358&lt;&gt;0,CUENTAS!J358/CUENTAS!$AB358,"")</f>
        <v>0.05068418842</v>
      </c>
      <c r="AC369" s="459" t="str">
        <f>IF(CUENTAS!K358/CUENTAS!$AB358&lt;&gt;0,CUENTAS!K358/CUENTAS!$AB358,"")</f>
        <v/>
      </c>
      <c r="AD369" s="459" t="str">
        <f>IF(CUENTAS!L358/CUENTAS!$AB358&lt;&gt;0,CUENTAS!L358/CUENTAS!$AB358,"")</f>
        <v/>
      </c>
      <c r="AE369" s="459" t="str">
        <f>IF(CUENTAS!M358/CUENTAS!$AB358&lt;&gt;0,CUENTAS!M358/CUENTAS!$AB358,"")</f>
        <v/>
      </c>
      <c r="AF369" s="459" t="str">
        <f>IF(CUENTAS!N358/CUENTAS!$AB358&lt;&gt;0,CUENTAS!N358/CUENTAS!$AB358,"")</f>
        <v/>
      </c>
      <c r="AG369" s="459" t="str">
        <f>IF(CUENTAS!O358/CUENTAS!$AB358&lt;&gt;0,CUENTAS!O358/CUENTAS!$AB358,"")</f>
        <v/>
      </c>
      <c r="AH369" s="459" t="str">
        <f>IF(CUENTAS!P358/CUENTAS!$AB358&lt;&gt;0,CUENTAS!P358/CUENTAS!$AB358,"")</f>
        <v/>
      </c>
      <c r="AI369" s="459">
        <f>IF(CUENTAS!R358/CUENTAS!$AB358&lt;&gt;0,CUENTAS!R358/CUENTAS!$AB358,"")</f>
        <v>0.03362322391</v>
      </c>
      <c r="AJ369" s="459" t="str">
        <f>IF(CUENTAS!B358/CUENTAS!$AB358&lt;&gt;0,CUENTAS!B358/CUENTAS!$AB358,"")</f>
        <v/>
      </c>
      <c r="AK369" s="459" t="str">
        <f>IF(CUENTAS!S358/CUENTAS!$AB358&lt;&gt;0,CUENTAS!S358/CUENTAS!$AB358,"")</f>
        <v/>
      </c>
      <c r="AL369" s="459" t="str">
        <f>IF(CUENTAS!T358/CUENTAS!$AB358&lt;&gt;0,CUENTAS!T358/CUENTAS!$AB358,"")</f>
        <v/>
      </c>
      <c r="AM369" s="459" t="str">
        <f>IF(CUENTAS!U358/CUENTAS!$AB358&lt;&gt;0,CUENTAS!U358/CUENTAS!$AB358,"")</f>
        <v/>
      </c>
      <c r="AN369" s="459">
        <f>IF(CUENTAS!V358/CUENTAS!$AB358&lt;&gt;0,CUENTAS!V358/CUENTAS!$AB358,"")</f>
        <v>0.08876951074</v>
      </c>
      <c r="AO369" s="459" t="str">
        <f>IF(CUENTAS!W358/CUENTAS!$AB358&lt;&gt;0,CUENTAS!W358/CUENTAS!$AB358,"")</f>
        <v/>
      </c>
      <c r="AP369" s="459" t="str">
        <f>IF(CUENTAS!X358/CUENTAS!$AB358&lt;&gt;0,CUENTAS!X358/CUENTAS!$AB358,"")</f>
        <v/>
      </c>
      <c r="AQ369" s="459" t="str">
        <f>IF(CUENTAS!Y358/CUENTAS!$AB358&lt;&gt;0,CUENTAS!Y358/CUENTAS!$AB358,"")</f>
        <v/>
      </c>
      <c r="AR369" s="459">
        <f>IF(CUENTAS!AA358/CUENTAS!$AB358&lt;&gt;0,CUENTAS!AA358/CUENTAS!$AB358,"")</f>
        <v>0.07436830685</v>
      </c>
    </row>
    <row r="370">
      <c r="A370" s="474"/>
      <c r="B370" s="200"/>
      <c r="C370" s="200"/>
      <c r="F370" s="200"/>
      <c r="G370" s="200"/>
      <c r="L370" s="481"/>
      <c r="N370" s="482"/>
      <c r="O370" s="481"/>
      <c r="S370" s="471">
        <f>CUENTAS!A359</f>
        <v>45743</v>
      </c>
      <c r="T370" s="459">
        <f>IF(CUENTAS!Q359/CUENTAS!$AB359&lt;&gt;0,CUENTAS!Q359/CUENTAS!$AB359,"")</f>
        <v>0.008647609897</v>
      </c>
      <c r="U370" s="459" t="str">
        <f>IF(CUENTAS!C359/CUENTAS!$AB359&lt;&gt;0,CUENTAS!C359/CUENTAS!$AB359,"")</f>
        <v/>
      </c>
      <c r="V370" s="459" t="str">
        <f>IF(CUENTAS!D359/CUENTAS!$AB359&lt;&gt;0,CUENTAS!D359/CUENTAS!$AB359,"")</f>
        <v/>
      </c>
      <c r="W370" s="459" t="str">
        <f>IF(CUENTAS!E359/CUENTAS!$AB359&lt;&gt;0,CUENTAS!E359/CUENTAS!$AB359,"")</f>
        <v/>
      </c>
      <c r="X370" s="459" t="str">
        <f>IF(CUENTAS!F359/CUENTAS!$AB359&lt;&gt;0,CUENTAS!F359/CUENTAS!$AB359,"")</f>
        <v/>
      </c>
      <c r="Y370" s="459" t="str">
        <f>IF(CUENTAS!G359/CUENTAS!$AB359&lt;&gt;0,CUENTAS!G359/CUENTAS!$AB359,"")</f>
        <v/>
      </c>
      <c r="Z370" s="459">
        <f>IF(CUENTAS!H359/CUENTAS!$AB359&lt;&gt;0,CUENTAS!H359/CUENTAS!$AB359,"")</f>
        <v>0.772502024</v>
      </c>
      <c r="AA370" s="459">
        <f>IF(CUENTAS!I359/CUENTAS!$AB359&lt;&gt;0,CUENTAS!I359/CUENTAS!$AB359,"")</f>
        <v>0.02050693499</v>
      </c>
      <c r="AB370" s="459">
        <f>IF(CUENTAS!J359/CUENTAS!$AB359&lt;&gt;0,CUENTAS!J359/CUENTAS!$AB359,"")</f>
        <v>0.05164544799</v>
      </c>
      <c r="AC370" s="459" t="str">
        <f>IF(CUENTAS!K359/CUENTAS!$AB359&lt;&gt;0,CUENTAS!K359/CUENTAS!$AB359,"")</f>
        <v/>
      </c>
      <c r="AD370" s="459" t="str">
        <f>IF(CUENTAS!L359/CUENTAS!$AB359&lt;&gt;0,CUENTAS!L359/CUENTAS!$AB359,"")</f>
        <v/>
      </c>
      <c r="AE370" s="459" t="str">
        <f>IF(CUENTAS!M359/CUENTAS!$AB359&lt;&gt;0,CUENTAS!M359/CUENTAS!$AB359,"")</f>
        <v/>
      </c>
      <c r="AF370" s="459" t="str">
        <f>IF(CUENTAS!N359/CUENTAS!$AB359&lt;&gt;0,CUENTAS!N359/CUENTAS!$AB359,"")</f>
        <v/>
      </c>
      <c r="AG370" s="459" t="str">
        <f>IF(CUENTAS!O359/CUENTAS!$AB359&lt;&gt;0,CUENTAS!O359/CUENTAS!$AB359,"")</f>
        <v/>
      </c>
      <c r="AH370" s="459" t="str">
        <f>IF(CUENTAS!P359/CUENTAS!$AB359&lt;&gt;0,CUENTAS!P359/CUENTAS!$AB359,"")</f>
        <v/>
      </c>
      <c r="AI370" s="459">
        <f>IF(CUENTAS!R359/CUENTAS!$AB359&lt;&gt;0,CUENTAS!R359/CUENTAS!$AB359,"")</f>
        <v>0.03419008728</v>
      </c>
      <c r="AJ370" s="459" t="str">
        <f>IF(CUENTAS!B359/CUENTAS!$AB359&lt;&gt;0,CUENTAS!B359/CUENTAS!$AB359,"")</f>
        <v/>
      </c>
      <c r="AK370" s="459" t="str">
        <f>IF(CUENTAS!S359/CUENTAS!$AB359&lt;&gt;0,CUENTAS!S359/CUENTAS!$AB359,"")</f>
        <v/>
      </c>
      <c r="AL370" s="459" t="str">
        <f>IF(CUENTAS!T359/CUENTAS!$AB359&lt;&gt;0,CUENTAS!T359/CUENTAS!$AB359,"")</f>
        <v/>
      </c>
      <c r="AM370" s="459" t="str">
        <f>IF(CUENTAS!U359/CUENTAS!$AB359&lt;&gt;0,CUENTAS!U359/CUENTAS!$AB359,"")</f>
        <v/>
      </c>
      <c r="AN370" s="459">
        <f>IF(CUENTAS!V359/CUENTAS!$AB359&lt;&gt;0,CUENTAS!V359/CUENTAS!$AB359,"")</f>
        <v>0.09026610084</v>
      </c>
      <c r="AO370" s="459" t="str">
        <f>IF(CUENTAS!W359/CUENTAS!$AB359&lt;&gt;0,CUENTAS!W359/CUENTAS!$AB359,"")</f>
        <v/>
      </c>
      <c r="AP370" s="459" t="str">
        <f>IF(CUENTAS!X359/CUENTAS!$AB359&lt;&gt;0,CUENTAS!X359/CUENTAS!$AB359,"")</f>
        <v/>
      </c>
      <c r="AQ370" s="459" t="str">
        <f>IF(CUENTAS!Y359/CUENTAS!$AB359&lt;&gt;0,CUENTAS!Y359/CUENTAS!$AB359,"")</f>
        <v/>
      </c>
      <c r="AR370" s="459">
        <f>IF(CUENTAS!AA359/CUENTAS!$AB359&lt;&gt;0,CUENTAS!AA359/CUENTAS!$AB359,"")</f>
        <v>0.022241795</v>
      </c>
    </row>
    <row r="371">
      <c r="A371" s="474"/>
      <c r="B371" s="200"/>
      <c r="C371" s="200"/>
      <c r="F371" s="200"/>
      <c r="G371" s="200"/>
      <c r="L371" s="481"/>
      <c r="N371" s="482"/>
      <c r="O371" s="481"/>
      <c r="S371" s="471">
        <f>CUENTAS!A360</f>
        <v>45742</v>
      </c>
      <c r="T371" s="459">
        <f>IF(CUENTAS!Q360/CUENTAS!$AB360&lt;&gt;0,CUENTAS!Q360/CUENTAS!$AB360,"")</f>
        <v>0.008571733751</v>
      </c>
      <c r="U371" s="459" t="str">
        <f>IF(CUENTAS!C360/CUENTAS!$AB360&lt;&gt;0,CUENTAS!C360/CUENTAS!$AB360,"")</f>
        <v/>
      </c>
      <c r="V371" s="459" t="str">
        <f>IF(CUENTAS!D360/CUENTAS!$AB360&lt;&gt;0,CUENTAS!D360/CUENTAS!$AB360,"")</f>
        <v/>
      </c>
      <c r="W371" s="459" t="str">
        <f>IF(CUENTAS!E360/CUENTAS!$AB360&lt;&gt;0,CUENTAS!E360/CUENTAS!$AB360,"")</f>
        <v/>
      </c>
      <c r="X371" s="459" t="str">
        <f>IF(CUENTAS!F360/CUENTAS!$AB360&lt;&gt;0,CUENTAS!F360/CUENTAS!$AB360,"")</f>
        <v/>
      </c>
      <c r="Y371" s="459" t="str">
        <f>IF(CUENTAS!G360/CUENTAS!$AB360&lt;&gt;0,CUENTAS!G360/CUENTAS!$AB360,"")</f>
        <v/>
      </c>
      <c r="Z371" s="459">
        <f>IF(CUENTAS!H360/CUENTAS!$AB360&lt;&gt;0,CUENTAS!H360/CUENTAS!$AB360,"")</f>
        <v>0.7728802094</v>
      </c>
      <c r="AA371" s="459">
        <f>IF(CUENTAS!I360/CUENTAS!$AB360&lt;&gt;0,CUENTAS!I360/CUENTAS!$AB360,"")</f>
        <v>0.02037455717</v>
      </c>
      <c r="AB371" s="459">
        <f>IF(CUENTAS!J360/CUENTAS!$AB360&lt;&gt;0,CUENTAS!J360/CUENTAS!$AB360,"")</f>
        <v>0.05140369929</v>
      </c>
      <c r="AC371" s="459" t="str">
        <f>IF(CUENTAS!K360/CUENTAS!$AB360&lt;&gt;0,CUENTAS!K360/CUENTAS!$AB360,"")</f>
        <v/>
      </c>
      <c r="AD371" s="459" t="str">
        <f>IF(CUENTAS!L360/CUENTAS!$AB360&lt;&gt;0,CUENTAS!L360/CUENTAS!$AB360,"")</f>
        <v/>
      </c>
      <c r="AE371" s="459" t="str">
        <f>IF(CUENTAS!M360/CUENTAS!$AB360&lt;&gt;0,CUENTAS!M360/CUENTAS!$AB360,"")</f>
        <v/>
      </c>
      <c r="AF371" s="459" t="str">
        <f>IF(CUENTAS!N360/CUENTAS!$AB360&lt;&gt;0,CUENTAS!N360/CUENTAS!$AB360,"")</f>
        <v/>
      </c>
      <c r="AG371" s="459" t="str">
        <f>IF(CUENTAS!O360/CUENTAS!$AB360&lt;&gt;0,CUENTAS!O360/CUENTAS!$AB360,"")</f>
        <v/>
      </c>
      <c r="AH371" s="459" t="str">
        <f>IF(CUENTAS!P360/CUENTAS!$AB360&lt;&gt;0,CUENTAS!P360/CUENTAS!$AB360,"")</f>
        <v/>
      </c>
      <c r="AI371" s="459">
        <f>IF(CUENTAS!R360/CUENTAS!$AB360&lt;&gt;0,CUENTAS!R360/CUENTAS!$AB360,"")</f>
        <v>0.03420682534</v>
      </c>
      <c r="AJ371" s="459" t="str">
        <f>IF(CUENTAS!B360/CUENTAS!$AB360&lt;&gt;0,CUENTAS!B360/CUENTAS!$AB360,"")</f>
        <v/>
      </c>
      <c r="AK371" s="459" t="str">
        <f>IF(CUENTAS!S360/CUENTAS!$AB360&lt;&gt;0,CUENTAS!S360/CUENTAS!$AB360,"")</f>
        <v/>
      </c>
      <c r="AL371" s="459" t="str">
        <f>IF(CUENTAS!T360/CUENTAS!$AB360&lt;&gt;0,CUENTAS!T360/CUENTAS!$AB360,"")</f>
        <v/>
      </c>
      <c r="AM371" s="459" t="str">
        <f>IF(CUENTAS!U360/CUENTAS!$AB360&lt;&gt;0,CUENTAS!U360/CUENTAS!$AB360,"")</f>
        <v/>
      </c>
      <c r="AN371" s="459">
        <f>IF(CUENTAS!V360/CUENTAS!$AB360&lt;&gt;0,CUENTAS!V360/CUENTAS!$AB360,"")</f>
        <v>0.09031029142</v>
      </c>
      <c r="AO371" s="459" t="str">
        <f>IF(CUENTAS!W360/CUENTAS!$AB360&lt;&gt;0,CUENTAS!W360/CUENTAS!$AB360,"")</f>
        <v/>
      </c>
      <c r="AP371" s="459" t="str">
        <f>IF(CUENTAS!X360/CUENTAS!$AB360&lt;&gt;0,CUENTAS!X360/CUENTAS!$AB360,"")</f>
        <v/>
      </c>
      <c r="AQ371" s="459" t="str">
        <f>IF(CUENTAS!Y360/CUENTAS!$AB360&lt;&gt;0,CUENTAS!Y360/CUENTAS!$AB360,"")</f>
        <v/>
      </c>
      <c r="AR371" s="459">
        <f>IF(CUENTAS!AA360/CUENTAS!$AB360&lt;&gt;0,CUENTAS!AA360/CUENTAS!$AB360,"")</f>
        <v>0.02225268367</v>
      </c>
    </row>
    <row r="372">
      <c r="A372" s="474"/>
      <c r="B372" s="200"/>
      <c r="C372" s="200"/>
      <c r="F372" s="200"/>
      <c r="G372" s="200"/>
      <c r="L372" s="481"/>
      <c r="N372" s="482"/>
      <c r="O372" s="481"/>
      <c r="S372" s="471">
        <f>CUENTAS!A361</f>
        <v>45741</v>
      </c>
      <c r="T372" s="459">
        <f>IF(CUENTAS!Q361/CUENTAS!$AB361&lt;&gt;0,CUENTAS!Q361/CUENTAS!$AB361,"")</f>
        <v>0.008363578981</v>
      </c>
      <c r="U372" s="459" t="str">
        <f>IF(CUENTAS!C361/CUENTAS!$AB361&lt;&gt;0,CUENTAS!C361/CUENTAS!$AB361,"")</f>
        <v/>
      </c>
      <c r="V372" s="459" t="str">
        <f>IF(CUENTAS!D361/CUENTAS!$AB361&lt;&gt;0,CUENTAS!D361/CUENTAS!$AB361,"")</f>
        <v/>
      </c>
      <c r="W372" s="459" t="str">
        <f>IF(CUENTAS!E361/CUENTAS!$AB361&lt;&gt;0,CUENTAS!E361/CUENTAS!$AB361,"")</f>
        <v/>
      </c>
      <c r="X372" s="459" t="str">
        <f>IF(CUENTAS!F361/CUENTAS!$AB361&lt;&gt;0,CUENTAS!F361/CUENTAS!$AB361,"")</f>
        <v/>
      </c>
      <c r="Y372" s="459" t="str">
        <f>IF(CUENTAS!G361/CUENTAS!$AB361&lt;&gt;0,CUENTAS!G361/CUENTAS!$AB361,"")</f>
        <v/>
      </c>
      <c r="Z372" s="459">
        <f>IF(CUENTAS!H361/CUENTAS!$AB361&lt;&gt;0,CUENTAS!H361/CUENTAS!$AB361,"")</f>
        <v>0.7762172777</v>
      </c>
      <c r="AA372" s="459">
        <f>IF(CUENTAS!I361/CUENTAS!$AB361&lt;&gt;0,CUENTAS!I361/CUENTAS!$AB361,"")</f>
        <v>0.02112811881</v>
      </c>
      <c r="AB372" s="459">
        <f>IF(CUENTAS!J361/CUENTAS!$AB361&lt;&gt;0,CUENTAS!J361/CUENTAS!$AB361,"")</f>
        <v>0.04973436432</v>
      </c>
      <c r="AC372" s="459" t="str">
        <f>IF(CUENTAS!K361/CUENTAS!$AB361&lt;&gt;0,CUENTAS!K361/CUENTAS!$AB361,"")</f>
        <v/>
      </c>
      <c r="AD372" s="459" t="str">
        <f>IF(CUENTAS!L361/CUENTAS!$AB361&lt;&gt;0,CUENTAS!L361/CUENTAS!$AB361,"")</f>
        <v/>
      </c>
      <c r="AE372" s="459" t="str">
        <f>IF(CUENTAS!M361/CUENTAS!$AB361&lt;&gt;0,CUENTAS!M361/CUENTAS!$AB361,"")</f>
        <v/>
      </c>
      <c r="AF372" s="459" t="str">
        <f>IF(CUENTAS!N361/CUENTAS!$AB361&lt;&gt;0,CUENTAS!N361/CUENTAS!$AB361,"")</f>
        <v/>
      </c>
      <c r="AG372" s="459" t="str">
        <f>IF(CUENTAS!O361/CUENTAS!$AB361&lt;&gt;0,CUENTAS!O361/CUENTAS!$AB361,"")</f>
        <v/>
      </c>
      <c r="AH372" s="459" t="str">
        <f>IF(CUENTAS!P361/CUENTAS!$AB361&lt;&gt;0,CUENTAS!P361/CUENTAS!$AB361,"")</f>
        <v/>
      </c>
      <c r="AI372" s="459">
        <f>IF(CUENTAS!R361/CUENTAS!$AB361&lt;&gt;0,CUENTAS!R361/CUENTAS!$AB361,"")</f>
        <v>0.03369102099</v>
      </c>
      <c r="AJ372" s="459" t="str">
        <f>IF(CUENTAS!B361/CUENTAS!$AB361&lt;&gt;0,CUENTAS!B361/CUENTAS!$AB361,"")</f>
        <v/>
      </c>
      <c r="AK372" s="459" t="str">
        <f>IF(CUENTAS!S361/CUENTAS!$AB361&lt;&gt;0,CUENTAS!S361/CUENTAS!$AB361,"")</f>
        <v/>
      </c>
      <c r="AL372" s="459" t="str">
        <f>IF(CUENTAS!T361/CUENTAS!$AB361&lt;&gt;0,CUENTAS!T361/CUENTAS!$AB361,"")</f>
        <v/>
      </c>
      <c r="AM372" s="459" t="str">
        <f>IF(CUENTAS!U361/CUENTAS!$AB361&lt;&gt;0,CUENTAS!U361/CUENTAS!$AB361,"")</f>
        <v/>
      </c>
      <c r="AN372" s="459">
        <f>IF(CUENTAS!V361/CUENTAS!$AB361&lt;&gt;0,CUENTAS!V361/CUENTAS!$AB361,"")</f>
        <v>0.0889485035</v>
      </c>
      <c r="AO372" s="459" t="str">
        <f>IF(CUENTAS!W361/CUENTAS!$AB361&lt;&gt;0,CUENTAS!W361/CUENTAS!$AB361,"")</f>
        <v/>
      </c>
      <c r="AP372" s="459" t="str">
        <f>IF(CUENTAS!X361/CUENTAS!$AB361&lt;&gt;0,CUENTAS!X361/CUENTAS!$AB361,"")</f>
        <v/>
      </c>
      <c r="AQ372" s="459" t="str">
        <f>IF(CUENTAS!Y361/CUENTAS!$AB361&lt;&gt;0,CUENTAS!Y361/CUENTAS!$AB361,"")</f>
        <v/>
      </c>
      <c r="AR372" s="459">
        <f>IF(CUENTAS!AA361/CUENTAS!$AB361&lt;&gt;0,CUENTAS!AA361/CUENTAS!$AB361,"")</f>
        <v>0.02191713569</v>
      </c>
    </row>
    <row r="373">
      <c r="A373" s="474"/>
      <c r="B373" s="200"/>
      <c r="C373" s="200"/>
      <c r="F373" s="200"/>
      <c r="G373" s="200"/>
      <c r="L373" s="481"/>
      <c r="N373" s="482"/>
      <c r="O373" s="481"/>
      <c r="S373" s="471">
        <f>CUENTAS!A362</f>
        <v>45740</v>
      </c>
      <c r="T373" s="459">
        <f>IF(CUENTAS!Q362/CUENTAS!$AB362&lt;&gt;0,CUENTAS!Q362/CUENTAS!$AB362,"")</f>
        <v>0.008204052811</v>
      </c>
      <c r="U373" s="459" t="str">
        <f>IF(CUENTAS!C362/CUENTAS!$AB362&lt;&gt;0,CUENTAS!C362/CUENTAS!$AB362,"")</f>
        <v/>
      </c>
      <c r="V373" s="459" t="str">
        <f>IF(CUENTAS!D362/CUENTAS!$AB362&lt;&gt;0,CUENTAS!D362/CUENTAS!$AB362,"")</f>
        <v/>
      </c>
      <c r="W373" s="459" t="str">
        <f>IF(CUENTAS!E362/CUENTAS!$AB362&lt;&gt;0,CUENTAS!E362/CUENTAS!$AB362,"")</f>
        <v/>
      </c>
      <c r="X373" s="459" t="str">
        <f>IF(CUENTAS!F362/CUENTAS!$AB362&lt;&gt;0,CUENTAS!F362/CUENTAS!$AB362,"")</f>
        <v/>
      </c>
      <c r="Y373" s="459" t="str">
        <f>IF(CUENTAS!G362/CUENTAS!$AB362&lt;&gt;0,CUENTAS!G362/CUENTAS!$AB362,"")</f>
        <v/>
      </c>
      <c r="Z373" s="459">
        <f>IF(CUENTAS!H362/CUENTAS!$AB362&lt;&gt;0,CUENTAS!H362/CUENTAS!$AB362,"")</f>
        <v>0.7806047119</v>
      </c>
      <c r="AA373" s="459">
        <f>IF(CUENTAS!I362/CUENTAS!$AB362&lt;&gt;0,CUENTAS!I362/CUENTAS!$AB362,"")</f>
        <v>0.02062782188</v>
      </c>
      <c r="AB373" s="459">
        <f>IF(CUENTAS!J362/CUENTAS!$AB362&lt;&gt;0,CUENTAS!J362/CUENTAS!$AB362,"")</f>
        <v>0.04942973916</v>
      </c>
      <c r="AC373" s="459" t="str">
        <f>IF(CUENTAS!K362/CUENTAS!$AB362&lt;&gt;0,CUENTAS!K362/CUENTAS!$AB362,"")</f>
        <v/>
      </c>
      <c r="AD373" s="459" t="str">
        <f>IF(CUENTAS!L362/CUENTAS!$AB362&lt;&gt;0,CUENTAS!L362/CUENTAS!$AB362,"")</f>
        <v/>
      </c>
      <c r="AE373" s="459" t="str">
        <f>IF(CUENTAS!M362/CUENTAS!$AB362&lt;&gt;0,CUENTAS!M362/CUENTAS!$AB362,"")</f>
        <v/>
      </c>
      <c r="AF373" s="459" t="str">
        <f>IF(CUENTAS!N362/CUENTAS!$AB362&lt;&gt;0,CUENTAS!N362/CUENTAS!$AB362,"")</f>
        <v/>
      </c>
      <c r="AG373" s="459" t="str">
        <f>IF(CUENTAS!O362/CUENTAS!$AB362&lt;&gt;0,CUENTAS!O362/CUENTAS!$AB362,"")</f>
        <v/>
      </c>
      <c r="AH373" s="459" t="str">
        <f>IF(CUENTAS!P362/CUENTAS!$AB362&lt;&gt;0,CUENTAS!P362/CUENTAS!$AB362,"")</f>
        <v/>
      </c>
      <c r="AI373" s="459">
        <f>IF(CUENTAS!R362/CUENTAS!$AB362&lt;&gt;0,CUENTAS!R362/CUENTAS!$AB362,"")</f>
        <v>0.0328932446</v>
      </c>
      <c r="AJ373" s="459" t="str">
        <f>IF(CUENTAS!B362/CUENTAS!$AB362&lt;&gt;0,CUENTAS!B362/CUENTAS!$AB362,"")</f>
        <v/>
      </c>
      <c r="AK373" s="459" t="str">
        <f>IF(CUENTAS!S362/CUENTAS!$AB362&lt;&gt;0,CUENTAS!S362/CUENTAS!$AB362,"")</f>
        <v/>
      </c>
      <c r="AL373" s="459" t="str">
        <f>IF(CUENTAS!T362/CUENTAS!$AB362&lt;&gt;0,CUENTAS!T362/CUENTAS!$AB362,"")</f>
        <v/>
      </c>
      <c r="AM373" s="459" t="str">
        <f>IF(CUENTAS!U362/CUENTAS!$AB362&lt;&gt;0,CUENTAS!U362/CUENTAS!$AB362,"")</f>
        <v/>
      </c>
      <c r="AN373" s="459">
        <f>IF(CUENTAS!V362/CUENTAS!$AB362&lt;&gt;0,CUENTAS!V362/CUENTAS!$AB362,"")</f>
        <v>0.0868422742</v>
      </c>
      <c r="AO373" s="459" t="str">
        <f>IF(CUENTAS!W362/CUENTAS!$AB362&lt;&gt;0,CUENTAS!W362/CUENTAS!$AB362,"")</f>
        <v/>
      </c>
      <c r="AP373" s="459" t="str">
        <f>IF(CUENTAS!X362/CUENTAS!$AB362&lt;&gt;0,CUENTAS!X362/CUENTAS!$AB362,"")</f>
        <v/>
      </c>
      <c r="AQ373" s="459" t="str">
        <f>IF(CUENTAS!Y362/CUENTAS!$AB362&lt;&gt;0,CUENTAS!Y362/CUENTAS!$AB362,"")</f>
        <v/>
      </c>
      <c r="AR373" s="459">
        <f>IF(CUENTAS!AA362/CUENTAS!$AB362&lt;&gt;0,CUENTAS!AA362/CUENTAS!$AB362,"")</f>
        <v>0.02139815548</v>
      </c>
    </row>
    <row r="374">
      <c r="A374" s="474"/>
      <c r="B374" s="200"/>
      <c r="C374" s="200"/>
      <c r="F374" s="200"/>
      <c r="G374" s="200"/>
      <c r="L374" s="481"/>
      <c r="N374" s="482"/>
      <c r="O374" s="481"/>
      <c r="S374" s="471">
        <f>CUENTAS!A363</f>
        <v>45739</v>
      </c>
      <c r="T374" s="459">
        <f>IF(CUENTAS!Q363/CUENTAS!$AB363&lt;&gt;0,CUENTAS!Q363/CUENTAS!$AB363,"")</f>
        <v>0.008204052811</v>
      </c>
      <c r="U374" s="459" t="str">
        <f>IF(CUENTAS!C363/CUENTAS!$AB363&lt;&gt;0,CUENTAS!C363/CUENTAS!$AB363,"")</f>
        <v/>
      </c>
      <c r="V374" s="459" t="str">
        <f>IF(CUENTAS!D363/CUENTAS!$AB363&lt;&gt;0,CUENTAS!D363/CUENTAS!$AB363,"")</f>
        <v/>
      </c>
      <c r="W374" s="459" t="str">
        <f>IF(CUENTAS!E363/CUENTAS!$AB363&lt;&gt;0,CUENTAS!E363/CUENTAS!$AB363,"")</f>
        <v/>
      </c>
      <c r="X374" s="459" t="str">
        <f>IF(CUENTAS!F363/CUENTAS!$AB363&lt;&gt;0,CUENTAS!F363/CUENTAS!$AB363,"")</f>
        <v/>
      </c>
      <c r="Y374" s="459" t="str">
        <f>IF(CUENTAS!G363/CUENTAS!$AB363&lt;&gt;0,CUENTAS!G363/CUENTAS!$AB363,"")</f>
        <v/>
      </c>
      <c r="Z374" s="459">
        <f>IF(CUENTAS!H363/CUENTAS!$AB363&lt;&gt;0,CUENTAS!H363/CUENTAS!$AB363,"")</f>
        <v>0.7806047119</v>
      </c>
      <c r="AA374" s="459">
        <f>IF(CUENTAS!I363/CUENTAS!$AB363&lt;&gt;0,CUENTAS!I363/CUENTAS!$AB363,"")</f>
        <v>0.02062782188</v>
      </c>
      <c r="AB374" s="459">
        <f>IF(CUENTAS!J363/CUENTAS!$AB363&lt;&gt;0,CUENTAS!J363/CUENTAS!$AB363,"")</f>
        <v>0.04942973916</v>
      </c>
      <c r="AC374" s="459" t="str">
        <f>IF(CUENTAS!K363/CUENTAS!$AB363&lt;&gt;0,CUENTAS!K363/CUENTAS!$AB363,"")</f>
        <v/>
      </c>
      <c r="AD374" s="459" t="str">
        <f>IF(CUENTAS!L363/CUENTAS!$AB363&lt;&gt;0,CUENTAS!L363/CUENTAS!$AB363,"")</f>
        <v/>
      </c>
      <c r="AE374" s="459" t="str">
        <f>IF(CUENTAS!M363/CUENTAS!$AB363&lt;&gt;0,CUENTAS!M363/CUENTAS!$AB363,"")</f>
        <v/>
      </c>
      <c r="AF374" s="459" t="str">
        <f>IF(CUENTAS!N363/CUENTAS!$AB363&lt;&gt;0,CUENTAS!N363/CUENTAS!$AB363,"")</f>
        <v/>
      </c>
      <c r="AG374" s="459" t="str">
        <f>IF(CUENTAS!O363/CUENTAS!$AB363&lt;&gt;0,CUENTAS!O363/CUENTAS!$AB363,"")</f>
        <v/>
      </c>
      <c r="AH374" s="459" t="str">
        <f>IF(CUENTAS!P363/CUENTAS!$AB363&lt;&gt;0,CUENTAS!P363/CUENTAS!$AB363,"")</f>
        <v/>
      </c>
      <c r="AI374" s="459">
        <f>IF(CUENTAS!R363/CUENTAS!$AB363&lt;&gt;0,CUENTAS!R363/CUENTAS!$AB363,"")</f>
        <v>0.0328932446</v>
      </c>
      <c r="AJ374" s="459" t="str">
        <f>IF(CUENTAS!B363/CUENTAS!$AB363&lt;&gt;0,CUENTAS!B363/CUENTAS!$AB363,"")</f>
        <v/>
      </c>
      <c r="AK374" s="459" t="str">
        <f>IF(CUENTAS!S363/CUENTAS!$AB363&lt;&gt;0,CUENTAS!S363/CUENTAS!$AB363,"")</f>
        <v/>
      </c>
      <c r="AL374" s="459" t="str">
        <f>IF(CUENTAS!T363/CUENTAS!$AB363&lt;&gt;0,CUENTAS!T363/CUENTAS!$AB363,"")</f>
        <v/>
      </c>
      <c r="AM374" s="459" t="str">
        <f>IF(CUENTAS!U363/CUENTAS!$AB363&lt;&gt;0,CUENTAS!U363/CUENTAS!$AB363,"")</f>
        <v/>
      </c>
      <c r="AN374" s="459">
        <f>IF(CUENTAS!V363/CUENTAS!$AB363&lt;&gt;0,CUENTAS!V363/CUENTAS!$AB363,"")</f>
        <v>0.0868422742</v>
      </c>
      <c r="AO374" s="459" t="str">
        <f>IF(CUENTAS!W363/CUENTAS!$AB363&lt;&gt;0,CUENTAS!W363/CUENTAS!$AB363,"")</f>
        <v/>
      </c>
      <c r="AP374" s="459" t="str">
        <f>IF(CUENTAS!X363/CUENTAS!$AB363&lt;&gt;0,CUENTAS!X363/CUENTAS!$AB363,"")</f>
        <v/>
      </c>
      <c r="AQ374" s="459" t="str">
        <f>IF(CUENTAS!Y363/CUENTAS!$AB363&lt;&gt;0,CUENTAS!Y363/CUENTAS!$AB363,"")</f>
        <v/>
      </c>
      <c r="AR374" s="459">
        <f>IF(CUENTAS!AA363/CUENTAS!$AB363&lt;&gt;0,CUENTAS!AA363/CUENTAS!$AB363,"")</f>
        <v>0.02139815548</v>
      </c>
    </row>
    <row r="375">
      <c r="A375" s="474"/>
      <c r="B375" s="200"/>
      <c r="C375" s="200"/>
      <c r="F375" s="200"/>
      <c r="G375" s="200"/>
      <c r="L375" s="481"/>
      <c r="N375" s="482"/>
      <c r="O375" s="481"/>
      <c r="S375" s="471">
        <f>CUENTAS!A364</f>
        <v>45738</v>
      </c>
      <c r="T375" s="459">
        <f>IF(CUENTAS!Q364/CUENTAS!$AB364&lt;&gt;0,CUENTAS!Q364/CUENTAS!$AB364,"")</f>
        <v>0.008204052811</v>
      </c>
      <c r="U375" s="459" t="str">
        <f>IF(CUENTAS!C364/CUENTAS!$AB364&lt;&gt;0,CUENTAS!C364/CUENTAS!$AB364,"")</f>
        <v/>
      </c>
      <c r="V375" s="459" t="str">
        <f>IF(CUENTAS!D364/CUENTAS!$AB364&lt;&gt;0,CUENTAS!D364/CUENTAS!$AB364,"")</f>
        <v/>
      </c>
      <c r="W375" s="459" t="str">
        <f>IF(CUENTAS!E364/CUENTAS!$AB364&lt;&gt;0,CUENTAS!E364/CUENTAS!$AB364,"")</f>
        <v/>
      </c>
      <c r="X375" s="459" t="str">
        <f>IF(CUENTAS!F364/CUENTAS!$AB364&lt;&gt;0,CUENTAS!F364/CUENTAS!$AB364,"")</f>
        <v/>
      </c>
      <c r="Y375" s="459" t="str">
        <f>IF(CUENTAS!G364/CUENTAS!$AB364&lt;&gt;0,CUENTAS!G364/CUENTAS!$AB364,"")</f>
        <v/>
      </c>
      <c r="Z375" s="459">
        <f>IF(CUENTAS!H364/CUENTAS!$AB364&lt;&gt;0,CUENTAS!H364/CUENTAS!$AB364,"")</f>
        <v>0.7806047119</v>
      </c>
      <c r="AA375" s="459">
        <f>IF(CUENTAS!I364/CUENTAS!$AB364&lt;&gt;0,CUENTAS!I364/CUENTAS!$AB364,"")</f>
        <v>0.02062782188</v>
      </c>
      <c r="AB375" s="459">
        <f>IF(CUENTAS!J364/CUENTAS!$AB364&lt;&gt;0,CUENTAS!J364/CUENTAS!$AB364,"")</f>
        <v>0.04942973916</v>
      </c>
      <c r="AC375" s="459" t="str">
        <f>IF(CUENTAS!K364/CUENTAS!$AB364&lt;&gt;0,CUENTAS!K364/CUENTAS!$AB364,"")</f>
        <v/>
      </c>
      <c r="AD375" s="459" t="str">
        <f>IF(CUENTAS!L364/CUENTAS!$AB364&lt;&gt;0,CUENTAS!L364/CUENTAS!$AB364,"")</f>
        <v/>
      </c>
      <c r="AE375" s="459" t="str">
        <f>IF(CUENTAS!M364/CUENTAS!$AB364&lt;&gt;0,CUENTAS!M364/CUENTAS!$AB364,"")</f>
        <v/>
      </c>
      <c r="AF375" s="459" t="str">
        <f>IF(CUENTAS!N364/CUENTAS!$AB364&lt;&gt;0,CUENTAS!N364/CUENTAS!$AB364,"")</f>
        <v/>
      </c>
      <c r="AG375" s="459" t="str">
        <f>IF(CUENTAS!O364/CUENTAS!$AB364&lt;&gt;0,CUENTAS!O364/CUENTAS!$AB364,"")</f>
        <v/>
      </c>
      <c r="AH375" s="459" t="str">
        <f>IF(CUENTAS!P364/CUENTAS!$AB364&lt;&gt;0,CUENTAS!P364/CUENTAS!$AB364,"")</f>
        <v/>
      </c>
      <c r="AI375" s="459">
        <f>IF(CUENTAS!R364/CUENTAS!$AB364&lt;&gt;0,CUENTAS!R364/CUENTAS!$AB364,"")</f>
        <v>0.0328932446</v>
      </c>
      <c r="AJ375" s="459" t="str">
        <f>IF(CUENTAS!B364/CUENTAS!$AB364&lt;&gt;0,CUENTAS!B364/CUENTAS!$AB364,"")</f>
        <v/>
      </c>
      <c r="AK375" s="459" t="str">
        <f>IF(CUENTAS!S364/CUENTAS!$AB364&lt;&gt;0,CUENTAS!S364/CUENTAS!$AB364,"")</f>
        <v/>
      </c>
      <c r="AL375" s="459" t="str">
        <f>IF(CUENTAS!T364/CUENTAS!$AB364&lt;&gt;0,CUENTAS!T364/CUENTAS!$AB364,"")</f>
        <v/>
      </c>
      <c r="AM375" s="459" t="str">
        <f>IF(CUENTAS!U364/CUENTAS!$AB364&lt;&gt;0,CUENTAS!U364/CUENTAS!$AB364,"")</f>
        <v/>
      </c>
      <c r="AN375" s="459">
        <f>IF(CUENTAS!V364/CUENTAS!$AB364&lt;&gt;0,CUENTAS!V364/CUENTAS!$AB364,"")</f>
        <v>0.0868422742</v>
      </c>
      <c r="AO375" s="459" t="str">
        <f>IF(CUENTAS!W364/CUENTAS!$AB364&lt;&gt;0,CUENTAS!W364/CUENTAS!$AB364,"")</f>
        <v/>
      </c>
      <c r="AP375" s="459" t="str">
        <f>IF(CUENTAS!X364/CUENTAS!$AB364&lt;&gt;0,CUENTAS!X364/CUENTAS!$AB364,"")</f>
        <v/>
      </c>
      <c r="AQ375" s="459" t="str">
        <f>IF(CUENTAS!Y364/CUENTAS!$AB364&lt;&gt;0,CUENTAS!Y364/CUENTAS!$AB364,"")</f>
        <v/>
      </c>
      <c r="AR375" s="459">
        <f>IF(CUENTAS!AA364/CUENTAS!$AB364&lt;&gt;0,CUENTAS!AA364/CUENTAS!$AB364,"")</f>
        <v>0.02139815548</v>
      </c>
    </row>
    <row r="376">
      <c r="A376" s="474"/>
      <c r="B376" s="200"/>
      <c r="C376" s="200"/>
      <c r="F376" s="200"/>
      <c r="G376" s="200"/>
      <c r="L376" s="481"/>
      <c r="N376" s="482"/>
      <c r="O376" s="481"/>
      <c r="S376" s="471">
        <f>CUENTAS!A365</f>
        <v>45737</v>
      </c>
      <c r="T376" s="459">
        <f>IF(CUENTAS!Q365/CUENTAS!$AB365&lt;&gt;0,CUENTAS!Q365/CUENTAS!$AB365,"")</f>
        <v>0.008204052811</v>
      </c>
      <c r="U376" s="459" t="str">
        <f>IF(CUENTAS!C365/CUENTAS!$AB365&lt;&gt;0,CUENTAS!C365/CUENTAS!$AB365,"")</f>
        <v/>
      </c>
      <c r="V376" s="459" t="str">
        <f>IF(CUENTAS!D365/CUENTAS!$AB365&lt;&gt;0,CUENTAS!D365/CUENTAS!$AB365,"")</f>
        <v/>
      </c>
      <c r="W376" s="459" t="str">
        <f>IF(CUENTAS!E365/CUENTAS!$AB365&lt;&gt;0,CUENTAS!E365/CUENTAS!$AB365,"")</f>
        <v/>
      </c>
      <c r="X376" s="459" t="str">
        <f>IF(CUENTAS!F365/CUENTAS!$AB365&lt;&gt;0,CUENTAS!F365/CUENTAS!$AB365,"")</f>
        <v/>
      </c>
      <c r="Y376" s="459" t="str">
        <f>IF(CUENTAS!G365/CUENTAS!$AB365&lt;&gt;0,CUENTAS!G365/CUENTAS!$AB365,"")</f>
        <v/>
      </c>
      <c r="Z376" s="459">
        <f>IF(CUENTAS!H365/CUENTAS!$AB365&lt;&gt;0,CUENTAS!H365/CUENTAS!$AB365,"")</f>
        <v>0.7806047119</v>
      </c>
      <c r="AA376" s="459">
        <f>IF(CUENTAS!I365/CUENTAS!$AB365&lt;&gt;0,CUENTAS!I365/CUENTAS!$AB365,"")</f>
        <v>0.02062782188</v>
      </c>
      <c r="AB376" s="459">
        <f>IF(CUENTAS!J365/CUENTAS!$AB365&lt;&gt;0,CUENTAS!J365/CUENTAS!$AB365,"")</f>
        <v>0.04942973916</v>
      </c>
      <c r="AC376" s="459" t="str">
        <f>IF(CUENTAS!K365/CUENTAS!$AB365&lt;&gt;0,CUENTAS!K365/CUENTAS!$AB365,"")</f>
        <v/>
      </c>
      <c r="AD376" s="459" t="str">
        <f>IF(CUENTAS!L365/CUENTAS!$AB365&lt;&gt;0,CUENTAS!L365/CUENTAS!$AB365,"")</f>
        <v/>
      </c>
      <c r="AE376" s="459" t="str">
        <f>IF(CUENTAS!M365/CUENTAS!$AB365&lt;&gt;0,CUENTAS!M365/CUENTAS!$AB365,"")</f>
        <v/>
      </c>
      <c r="AF376" s="459" t="str">
        <f>IF(CUENTAS!N365/CUENTAS!$AB365&lt;&gt;0,CUENTAS!N365/CUENTAS!$AB365,"")</f>
        <v/>
      </c>
      <c r="AG376" s="459" t="str">
        <f>IF(CUENTAS!O365/CUENTAS!$AB365&lt;&gt;0,CUENTAS!O365/CUENTAS!$AB365,"")</f>
        <v/>
      </c>
      <c r="AH376" s="459" t="str">
        <f>IF(CUENTAS!P365/CUENTAS!$AB365&lt;&gt;0,CUENTAS!P365/CUENTAS!$AB365,"")</f>
        <v/>
      </c>
      <c r="AI376" s="459">
        <f>IF(CUENTAS!R365/CUENTAS!$AB365&lt;&gt;0,CUENTAS!R365/CUENTAS!$AB365,"")</f>
        <v>0.0328932446</v>
      </c>
      <c r="AJ376" s="459" t="str">
        <f>IF(CUENTAS!B365/CUENTAS!$AB365&lt;&gt;0,CUENTAS!B365/CUENTAS!$AB365,"")</f>
        <v/>
      </c>
      <c r="AK376" s="459" t="str">
        <f>IF(CUENTAS!S365/CUENTAS!$AB365&lt;&gt;0,CUENTAS!S365/CUENTAS!$AB365,"")</f>
        <v/>
      </c>
      <c r="AL376" s="459" t="str">
        <f>IF(CUENTAS!T365/CUENTAS!$AB365&lt;&gt;0,CUENTAS!T365/CUENTAS!$AB365,"")</f>
        <v/>
      </c>
      <c r="AM376" s="459" t="str">
        <f>IF(CUENTAS!U365/CUENTAS!$AB365&lt;&gt;0,CUENTAS!U365/CUENTAS!$AB365,"")</f>
        <v/>
      </c>
      <c r="AN376" s="459">
        <f>IF(CUENTAS!V365/CUENTAS!$AB365&lt;&gt;0,CUENTAS!V365/CUENTAS!$AB365,"")</f>
        <v>0.0868422742</v>
      </c>
      <c r="AO376" s="459" t="str">
        <f>IF(CUENTAS!W365/CUENTAS!$AB365&lt;&gt;0,CUENTAS!W365/CUENTAS!$AB365,"")</f>
        <v/>
      </c>
      <c r="AP376" s="459" t="str">
        <f>IF(CUENTAS!X365/CUENTAS!$AB365&lt;&gt;0,CUENTAS!X365/CUENTAS!$AB365,"")</f>
        <v/>
      </c>
      <c r="AQ376" s="459" t="str">
        <f>IF(CUENTAS!Y365/CUENTAS!$AB365&lt;&gt;0,CUENTAS!Y365/CUENTAS!$AB365,"")</f>
        <v/>
      </c>
      <c r="AR376" s="459">
        <f>IF(CUENTAS!AA365/CUENTAS!$AB365&lt;&gt;0,CUENTAS!AA365/CUENTAS!$AB365,"")</f>
        <v>0.02139815548</v>
      </c>
    </row>
    <row r="377">
      <c r="A377" s="474"/>
      <c r="B377" s="200"/>
      <c r="C377" s="200"/>
      <c r="F377" s="200"/>
      <c r="G377" s="200"/>
      <c r="L377" s="481"/>
      <c r="N377" s="482"/>
      <c r="O377" s="481"/>
      <c r="S377" s="471">
        <f>CUENTAS!A366</f>
        <v>45736</v>
      </c>
      <c r="T377" s="459">
        <f>IF(CUENTAS!Q366/CUENTAS!$AB366&lt;&gt;0,CUENTAS!Q366/CUENTAS!$AB366,"")</f>
        <v>0.008260189506</v>
      </c>
      <c r="U377" s="459" t="str">
        <f>IF(CUENTAS!C366/CUENTAS!$AB366&lt;&gt;0,CUENTAS!C366/CUENTAS!$AB366,"")</f>
        <v/>
      </c>
      <c r="V377" s="459" t="str">
        <f>IF(CUENTAS!D366/CUENTAS!$AB366&lt;&gt;0,CUENTAS!D366/CUENTAS!$AB366,"")</f>
        <v/>
      </c>
      <c r="W377" s="459" t="str">
        <f>IF(CUENTAS!E366/CUENTAS!$AB366&lt;&gt;0,CUENTAS!E366/CUENTAS!$AB366,"")</f>
        <v/>
      </c>
      <c r="X377" s="459" t="str">
        <f>IF(CUENTAS!F366/CUENTAS!$AB366&lt;&gt;0,CUENTAS!F366/CUENTAS!$AB366,"")</f>
        <v/>
      </c>
      <c r="Y377" s="459" t="str">
        <f>IF(CUENTAS!G366/CUENTAS!$AB366&lt;&gt;0,CUENTAS!G366/CUENTAS!$AB366,"")</f>
        <v/>
      </c>
      <c r="Z377" s="459">
        <f>IF(CUENTAS!H366/CUENTAS!$AB366&lt;&gt;0,CUENTAS!H366/CUENTAS!$AB366,"")</f>
        <v>0.781033881</v>
      </c>
      <c r="AA377" s="459">
        <f>IF(CUENTAS!I366/CUENTAS!$AB366&lt;&gt;0,CUENTAS!I366/CUENTAS!$AB366,"")</f>
        <v>0.0202346635</v>
      </c>
      <c r="AB377" s="459">
        <f>IF(CUENTAS!J366/CUENTAS!$AB366&lt;&gt;0,CUENTAS!J366/CUENTAS!$AB366,"")</f>
        <v>0.04837187658</v>
      </c>
      <c r="AC377" s="459" t="str">
        <f>IF(CUENTAS!K366/CUENTAS!$AB366&lt;&gt;0,CUENTAS!K366/CUENTAS!$AB366,"")</f>
        <v/>
      </c>
      <c r="AD377" s="459" t="str">
        <f>IF(CUENTAS!L366/CUENTAS!$AB366&lt;&gt;0,CUENTAS!L366/CUENTAS!$AB366,"")</f>
        <v/>
      </c>
      <c r="AE377" s="459" t="str">
        <f>IF(CUENTAS!M366/CUENTAS!$AB366&lt;&gt;0,CUENTAS!M366/CUENTAS!$AB366,"")</f>
        <v/>
      </c>
      <c r="AF377" s="459" t="str">
        <f>IF(CUENTAS!N366/CUENTAS!$AB366&lt;&gt;0,CUENTAS!N366/CUENTAS!$AB366,"")</f>
        <v/>
      </c>
      <c r="AG377" s="459" t="str">
        <f>IF(CUENTAS!O366/CUENTAS!$AB366&lt;&gt;0,CUENTAS!O366/CUENTAS!$AB366,"")</f>
        <v/>
      </c>
      <c r="AH377" s="459" t="str">
        <f>IF(CUENTAS!P366/CUENTAS!$AB366&lt;&gt;0,CUENTAS!P366/CUENTAS!$AB366,"")</f>
        <v/>
      </c>
      <c r="AI377" s="459">
        <f>IF(CUENTAS!R366/CUENTAS!$AB366&lt;&gt;0,CUENTAS!R366/CUENTAS!$AB366,"")</f>
        <v>0.03311831849</v>
      </c>
      <c r="AJ377" s="459" t="str">
        <f>IF(CUENTAS!B366/CUENTAS!$AB366&lt;&gt;0,CUENTAS!B366/CUENTAS!$AB366,"")</f>
        <v/>
      </c>
      <c r="AK377" s="459" t="str">
        <f>IF(CUENTAS!S366/CUENTAS!$AB366&lt;&gt;0,CUENTAS!S366/CUENTAS!$AB366,"")</f>
        <v/>
      </c>
      <c r="AL377" s="459" t="str">
        <f>IF(CUENTAS!T366/CUENTAS!$AB366&lt;&gt;0,CUENTAS!T366/CUENTAS!$AB366,"")</f>
        <v/>
      </c>
      <c r="AM377" s="459" t="str">
        <f>IF(CUENTAS!U366/CUENTAS!$AB366&lt;&gt;0,CUENTAS!U366/CUENTAS!$AB366,"")</f>
        <v/>
      </c>
      <c r="AN377" s="459">
        <f>IF(CUENTAS!V366/CUENTAS!$AB366&lt;&gt;0,CUENTAS!V366/CUENTAS!$AB366,"")</f>
        <v>0.08743649737</v>
      </c>
      <c r="AO377" s="459" t="str">
        <f>IF(CUENTAS!W366/CUENTAS!$AB366&lt;&gt;0,CUENTAS!W366/CUENTAS!$AB366,"")</f>
        <v/>
      </c>
      <c r="AP377" s="459" t="str">
        <f>IF(CUENTAS!X366/CUENTAS!$AB366&lt;&gt;0,CUENTAS!X366/CUENTAS!$AB366,"")</f>
        <v/>
      </c>
      <c r="AQ377" s="459" t="str">
        <f>IF(CUENTAS!Y366/CUENTAS!$AB366&lt;&gt;0,CUENTAS!Y366/CUENTAS!$AB366,"")</f>
        <v/>
      </c>
      <c r="AR377" s="459">
        <f>IF(CUENTAS!AA366/CUENTAS!$AB366&lt;&gt;0,CUENTAS!AA366/CUENTAS!$AB366,"")</f>
        <v>0.02154457357</v>
      </c>
    </row>
    <row r="378">
      <c r="A378" s="474"/>
      <c r="B378" s="200"/>
      <c r="C378" s="200"/>
      <c r="F378" s="200"/>
      <c r="G378" s="200"/>
      <c r="L378" s="481"/>
      <c r="N378" s="482"/>
      <c r="O378" s="481"/>
      <c r="S378" s="471">
        <f>CUENTAS!A367</f>
        <v>45735</v>
      </c>
      <c r="T378" s="459">
        <f>IF(CUENTAS!Q367/CUENTAS!$AB367&lt;&gt;0,CUENTAS!Q367/CUENTAS!$AB367,"")</f>
        <v>0.008055400312</v>
      </c>
      <c r="U378" s="459" t="str">
        <f>IF(CUENTAS!C367/CUENTAS!$AB367&lt;&gt;0,CUENTAS!C367/CUENTAS!$AB367,"")</f>
        <v/>
      </c>
      <c r="V378" s="459" t="str">
        <f>IF(CUENTAS!D367/CUENTAS!$AB367&lt;&gt;0,CUENTAS!D367/CUENTAS!$AB367,"")</f>
        <v/>
      </c>
      <c r="W378" s="459" t="str">
        <f>IF(CUENTAS!E367/CUENTAS!$AB367&lt;&gt;0,CUENTAS!E367/CUENTAS!$AB367,"")</f>
        <v/>
      </c>
      <c r="X378" s="459" t="str">
        <f>IF(CUENTAS!F367/CUENTAS!$AB367&lt;&gt;0,CUENTAS!F367/CUENTAS!$AB367,"")</f>
        <v/>
      </c>
      <c r="Y378" s="459" t="str">
        <f>IF(CUENTAS!G367/CUENTAS!$AB367&lt;&gt;0,CUENTAS!G367/CUENTAS!$AB367,"")</f>
        <v/>
      </c>
      <c r="Z378" s="459">
        <f>IF(CUENTAS!H367/CUENTAS!$AB367&lt;&gt;0,CUENTAS!H367/CUENTAS!$AB367,"")</f>
        <v>0.7865802157</v>
      </c>
      <c r="AA378" s="459">
        <f>IF(CUENTAS!I367/CUENTAS!$AB367&lt;&gt;0,CUENTAS!I367/CUENTAS!$AB367,"")</f>
        <v>0.01979182862</v>
      </c>
      <c r="AB378" s="459">
        <f>IF(CUENTAS!J367/CUENTAS!$AB367&lt;&gt;0,CUENTAS!J367/CUENTAS!$AB367,"")</f>
        <v>0.04699613828</v>
      </c>
      <c r="AC378" s="459" t="str">
        <f>IF(CUENTAS!K367/CUENTAS!$AB367&lt;&gt;0,CUENTAS!K367/CUENTAS!$AB367,"")</f>
        <v/>
      </c>
      <c r="AD378" s="459" t="str">
        <f>IF(CUENTAS!L367/CUENTAS!$AB367&lt;&gt;0,CUENTAS!L367/CUENTAS!$AB367,"")</f>
        <v/>
      </c>
      <c r="AE378" s="459" t="str">
        <f>IF(CUENTAS!M367/CUENTAS!$AB367&lt;&gt;0,CUENTAS!M367/CUENTAS!$AB367,"")</f>
        <v/>
      </c>
      <c r="AF378" s="459" t="str">
        <f>IF(CUENTAS!N367/CUENTAS!$AB367&lt;&gt;0,CUENTAS!N367/CUENTAS!$AB367,"")</f>
        <v/>
      </c>
      <c r="AG378" s="459" t="str">
        <f>IF(CUENTAS!O367/CUENTAS!$AB367&lt;&gt;0,CUENTAS!O367/CUENTAS!$AB367,"")</f>
        <v/>
      </c>
      <c r="AH378" s="459" t="str">
        <f>IF(CUENTAS!P367/CUENTAS!$AB367&lt;&gt;0,CUENTAS!P367/CUENTAS!$AB367,"")</f>
        <v/>
      </c>
      <c r="AI378" s="459">
        <f>IF(CUENTAS!R367/CUENTAS!$AB367&lt;&gt;0,CUENTAS!R367/CUENTAS!$AB367,"")</f>
        <v>0.03229723881</v>
      </c>
      <c r="AJ378" s="459" t="str">
        <f>IF(CUENTAS!B367/CUENTAS!$AB367&lt;&gt;0,CUENTAS!B367/CUENTAS!$AB367,"")</f>
        <v/>
      </c>
      <c r="AK378" s="459" t="str">
        <f>IF(CUENTAS!S367/CUENTAS!$AB367&lt;&gt;0,CUENTAS!S367/CUENTAS!$AB367,"")</f>
        <v/>
      </c>
      <c r="AL378" s="459" t="str">
        <f>IF(CUENTAS!T367/CUENTAS!$AB367&lt;&gt;0,CUENTAS!T367/CUENTAS!$AB367,"")</f>
        <v/>
      </c>
      <c r="AM378" s="459" t="str">
        <f>IF(CUENTAS!U367/CUENTAS!$AB367&lt;&gt;0,CUENTAS!U367/CUENTAS!$AB367,"")</f>
        <v/>
      </c>
      <c r="AN378" s="459">
        <f>IF(CUENTAS!V367/CUENTAS!$AB367&lt;&gt;0,CUENTAS!V367/CUENTAS!$AB367,"")</f>
        <v>0.08526874446</v>
      </c>
      <c r="AO378" s="459" t="str">
        <f>IF(CUENTAS!W367/CUENTAS!$AB367&lt;&gt;0,CUENTAS!W367/CUENTAS!$AB367,"")</f>
        <v/>
      </c>
      <c r="AP378" s="459" t="str">
        <f>IF(CUENTAS!X367/CUENTAS!$AB367&lt;&gt;0,CUENTAS!X367/CUENTAS!$AB367,"")</f>
        <v/>
      </c>
      <c r="AQ378" s="459" t="str">
        <f>IF(CUENTAS!Y367/CUENTAS!$AB367&lt;&gt;0,CUENTAS!Y367/CUENTAS!$AB367,"")</f>
        <v/>
      </c>
      <c r="AR378" s="459">
        <f>IF(CUENTAS!AA367/CUENTAS!$AB367&lt;&gt;0,CUENTAS!AA367/CUENTAS!$AB367,"")</f>
        <v>0.02101043378</v>
      </c>
    </row>
    <row r="379">
      <c r="A379" s="474"/>
      <c r="B379" s="200"/>
      <c r="C379" s="200"/>
      <c r="F379" s="200"/>
      <c r="G379" s="200"/>
      <c r="L379" s="481"/>
      <c r="N379" s="482"/>
      <c r="O379" s="481"/>
      <c r="S379" s="471">
        <f>CUENTAS!A368</f>
        <v>45734</v>
      </c>
      <c r="T379" s="459">
        <f>IF(CUENTAS!Q368/CUENTAS!$AB368&lt;&gt;0,CUENTAS!Q368/CUENTAS!$AB368,"")</f>
        <v>0.008256557637</v>
      </c>
      <c r="U379" s="459" t="str">
        <f>IF(CUENTAS!C368/CUENTAS!$AB368&lt;&gt;0,CUENTAS!C368/CUENTAS!$AB368,"")</f>
        <v/>
      </c>
      <c r="V379" s="459" t="str">
        <f>IF(CUENTAS!D368/CUENTAS!$AB368&lt;&gt;0,CUENTAS!D368/CUENTAS!$AB368,"")</f>
        <v/>
      </c>
      <c r="W379" s="459" t="str">
        <f>IF(CUENTAS!E368/CUENTAS!$AB368&lt;&gt;0,CUENTAS!E368/CUENTAS!$AB368,"")</f>
        <v/>
      </c>
      <c r="X379" s="459" t="str">
        <f>IF(CUENTAS!F368/CUENTAS!$AB368&lt;&gt;0,CUENTAS!F368/CUENTAS!$AB368,"")</f>
        <v/>
      </c>
      <c r="Y379" s="459" t="str">
        <f>IF(CUENTAS!G368/CUENTAS!$AB368&lt;&gt;0,CUENTAS!G368/CUENTAS!$AB368,"")</f>
        <v/>
      </c>
      <c r="Z379" s="459">
        <f>IF(CUENTAS!H368/CUENTAS!$AB368&lt;&gt;0,CUENTAS!H368/CUENTAS!$AB368,"")</f>
        <v>0.7785077326</v>
      </c>
      <c r="AA379" s="459">
        <f>IF(CUENTAS!I368/CUENTAS!$AB368&lt;&gt;0,CUENTAS!I368/CUENTAS!$AB368,"")</f>
        <v>0.02109574389</v>
      </c>
      <c r="AB379" s="459">
        <f>IF(CUENTAS!J368/CUENTAS!$AB368&lt;&gt;0,CUENTAS!J368/CUENTAS!$AB368,"")</f>
        <v>0.04875673372</v>
      </c>
      <c r="AC379" s="459" t="str">
        <f>IF(CUENTAS!K368/CUENTAS!$AB368&lt;&gt;0,CUENTAS!K368/CUENTAS!$AB368,"")</f>
        <v/>
      </c>
      <c r="AD379" s="459" t="str">
        <f>IF(CUENTAS!L368/CUENTAS!$AB368&lt;&gt;0,CUENTAS!L368/CUENTAS!$AB368,"")</f>
        <v/>
      </c>
      <c r="AE379" s="459" t="str">
        <f>IF(CUENTAS!M368/CUENTAS!$AB368&lt;&gt;0,CUENTAS!M368/CUENTAS!$AB368,"")</f>
        <v/>
      </c>
      <c r="AF379" s="459" t="str">
        <f>IF(CUENTAS!N368/CUENTAS!$AB368&lt;&gt;0,CUENTAS!N368/CUENTAS!$AB368,"")</f>
        <v/>
      </c>
      <c r="AG379" s="459" t="str">
        <f>IF(CUENTAS!O368/CUENTAS!$AB368&lt;&gt;0,CUENTAS!O368/CUENTAS!$AB368,"")</f>
        <v/>
      </c>
      <c r="AH379" s="459" t="str">
        <f>IF(CUENTAS!P368/CUENTAS!$AB368&lt;&gt;0,CUENTAS!P368/CUENTAS!$AB368,"")</f>
        <v/>
      </c>
      <c r="AI379" s="459">
        <f>IF(CUENTAS!R368/CUENTAS!$AB368&lt;&gt;0,CUENTAS!R368/CUENTAS!$AB368,"")</f>
        <v>0.0334175366</v>
      </c>
      <c r="AJ379" s="459" t="str">
        <f>IF(CUENTAS!B368/CUENTAS!$AB368&lt;&gt;0,CUENTAS!B368/CUENTAS!$AB368,"")</f>
        <v/>
      </c>
      <c r="AK379" s="459" t="str">
        <f>IF(CUENTAS!S368/CUENTAS!$AB368&lt;&gt;0,CUENTAS!S368/CUENTAS!$AB368,"")</f>
        <v/>
      </c>
      <c r="AL379" s="459" t="str">
        <f>IF(CUENTAS!T368/CUENTAS!$AB368&lt;&gt;0,CUENTAS!T368/CUENTAS!$AB368,"")</f>
        <v/>
      </c>
      <c r="AM379" s="459" t="str">
        <f>IF(CUENTAS!U368/CUENTAS!$AB368&lt;&gt;0,CUENTAS!U368/CUENTAS!$AB368,"")</f>
        <v/>
      </c>
      <c r="AN379" s="459">
        <f>IF(CUENTAS!V368/CUENTAS!$AB368&lt;&gt;0,CUENTAS!V368/CUENTAS!$AB368,"")</f>
        <v>0.08822647055</v>
      </c>
      <c r="AO379" s="459" t="str">
        <f>IF(CUENTAS!W368/CUENTAS!$AB368&lt;&gt;0,CUENTAS!W368/CUENTAS!$AB368,"")</f>
        <v/>
      </c>
      <c r="AP379" s="459" t="str">
        <f>IF(CUENTAS!X368/CUENTAS!$AB368&lt;&gt;0,CUENTAS!X368/CUENTAS!$AB368,"")</f>
        <v/>
      </c>
      <c r="AQ379" s="459" t="str">
        <f>IF(CUENTAS!Y368/CUENTAS!$AB368&lt;&gt;0,CUENTAS!Y368/CUENTAS!$AB368,"")</f>
        <v/>
      </c>
      <c r="AR379" s="459">
        <f>IF(CUENTAS!AA368/CUENTAS!$AB368&lt;&gt;0,CUENTAS!AA368/CUENTAS!$AB368,"")</f>
        <v>0.02173922495</v>
      </c>
    </row>
    <row r="380">
      <c r="A380" s="474"/>
      <c r="B380" s="200"/>
      <c r="C380" s="200"/>
      <c r="F380" s="200"/>
      <c r="G380" s="200"/>
      <c r="L380" s="481"/>
      <c r="N380" s="482"/>
      <c r="O380" s="481"/>
      <c r="S380" s="471">
        <f>CUENTAS!A369</f>
        <v>45733</v>
      </c>
      <c r="T380" s="459">
        <f>IF(CUENTAS!Q369/CUENTAS!$AB369&lt;&gt;0,CUENTAS!Q369/CUENTAS!$AB369,"")</f>
        <v>0.008047137831</v>
      </c>
      <c r="U380" s="459" t="str">
        <f>IF(CUENTAS!C369/CUENTAS!$AB369&lt;&gt;0,CUENTAS!C369/CUENTAS!$AB369,"")</f>
        <v/>
      </c>
      <c r="V380" s="459" t="str">
        <f>IF(CUENTAS!D369/CUENTAS!$AB369&lt;&gt;0,CUENTAS!D369/CUENTAS!$AB369,"")</f>
        <v/>
      </c>
      <c r="W380" s="459" t="str">
        <f>IF(CUENTAS!E369/CUENTAS!$AB369&lt;&gt;0,CUENTAS!E369/CUENTAS!$AB369,"")</f>
        <v/>
      </c>
      <c r="X380" s="459" t="str">
        <f>IF(CUENTAS!F369/CUENTAS!$AB369&lt;&gt;0,CUENTAS!F369/CUENTAS!$AB369,"")</f>
        <v/>
      </c>
      <c r="Y380" s="459" t="str">
        <f>IF(CUENTAS!G369/CUENTAS!$AB369&lt;&gt;0,CUENTAS!G369/CUENTAS!$AB369,"")</f>
        <v/>
      </c>
      <c r="Z380" s="459">
        <f>IF(CUENTAS!H369/CUENTAS!$AB369&lt;&gt;0,CUENTAS!H369/CUENTAS!$AB369,"")</f>
        <v>0.7815479751</v>
      </c>
      <c r="AA380" s="459">
        <f>IF(CUENTAS!I369/CUENTAS!$AB369&lt;&gt;0,CUENTAS!I369/CUENTAS!$AB369,"")</f>
        <v>0.02073858702</v>
      </c>
      <c r="AB380" s="459">
        <f>IF(CUENTAS!J369/CUENTAS!$AB369&lt;&gt;0,CUENTAS!J369/CUENTAS!$AB369,"")</f>
        <v>0.0482442316</v>
      </c>
      <c r="AC380" s="459" t="str">
        <f>IF(CUENTAS!K369/CUENTAS!$AB369&lt;&gt;0,CUENTAS!K369/CUENTAS!$AB369,"")</f>
        <v/>
      </c>
      <c r="AD380" s="459" t="str">
        <f>IF(CUENTAS!L369/CUENTAS!$AB369&lt;&gt;0,CUENTAS!L369/CUENTAS!$AB369,"")</f>
        <v/>
      </c>
      <c r="AE380" s="459" t="str">
        <f>IF(CUENTAS!M369/CUENTAS!$AB369&lt;&gt;0,CUENTAS!M369/CUENTAS!$AB369,"")</f>
        <v/>
      </c>
      <c r="AF380" s="459" t="str">
        <f>IF(CUENTAS!N369/CUENTAS!$AB369&lt;&gt;0,CUENTAS!N369/CUENTAS!$AB369,"")</f>
        <v/>
      </c>
      <c r="AG380" s="459" t="str">
        <f>IF(CUENTAS!O369/CUENTAS!$AB369&lt;&gt;0,CUENTAS!O369/CUENTAS!$AB369,"")</f>
        <v/>
      </c>
      <c r="AH380" s="459" t="str">
        <f>IF(CUENTAS!P369/CUENTAS!$AB369&lt;&gt;0,CUENTAS!P369/CUENTAS!$AB369,"")</f>
        <v/>
      </c>
      <c r="AI380" s="459">
        <f>IF(CUENTAS!R369/CUENTAS!$AB369&lt;&gt;0,CUENTAS!R369/CUENTAS!$AB369,"")</f>
        <v>0.03296045903</v>
      </c>
      <c r="AJ380" s="459" t="str">
        <f>IF(CUENTAS!B369/CUENTAS!$AB369&lt;&gt;0,CUENTAS!B369/CUENTAS!$AB369,"")</f>
        <v/>
      </c>
      <c r="AK380" s="459" t="str">
        <f>IF(CUENTAS!S369/CUENTAS!$AB369&lt;&gt;0,CUENTAS!S369/CUENTAS!$AB369,"")</f>
        <v/>
      </c>
      <c r="AL380" s="459" t="str">
        <f>IF(CUENTAS!T369/CUENTAS!$AB369&lt;&gt;0,CUENTAS!T369/CUENTAS!$AB369,"")</f>
        <v/>
      </c>
      <c r="AM380" s="459" t="str">
        <f>IF(CUENTAS!U369/CUENTAS!$AB369&lt;&gt;0,CUENTAS!U369/CUENTAS!$AB369,"")</f>
        <v/>
      </c>
      <c r="AN380" s="459">
        <f>IF(CUENTAS!V369/CUENTAS!$AB369&lt;&gt;0,CUENTAS!V369/CUENTAS!$AB369,"")</f>
        <v>0.08701972867</v>
      </c>
      <c r="AO380" s="459" t="str">
        <f>IF(CUENTAS!W369/CUENTAS!$AB369&lt;&gt;0,CUENTAS!W369/CUENTAS!$AB369,"")</f>
        <v/>
      </c>
      <c r="AP380" s="459" t="str">
        <f>IF(CUENTAS!X369/CUENTAS!$AB369&lt;&gt;0,CUENTAS!X369/CUENTAS!$AB369,"")</f>
        <v/>
      </c>
      <c r="AQ380" s="459" t="str">
        <f>IF(CUENTAS!Y369/CUENTAS!$AB369&lt;&gt;0,CUENTAS!Y369/CUENTAS!$AB369,"")</f>
        <v/>
      </c>
      <c r="AR380" s="459">
        <f>IF(CUENTAS!AA369/CUENTAS!$AB369&lt;&gt;0,CUENTAS!AA369/CUENTAS!$AB369,"")</f>
        <v>0.02144188071</v>
      </c>
    </row>
    <row r="381">
      <c r="A381" s="474"/>
      <c r="B381" s="200"/>
      <c r="C381" s="200"/>
      <c r="F381" s="200"/>
      <c r="G381" s="200"/>
      <c r="L381" s="481"/>
      <c r="N381" s="482"/>
      <c r="O381" s="481"/>
      <c r="S381" s="471">
        <f>CUENTAS!A370</f>
        <v>45732</v>
      </c>
      <c r="T381" s="459">
        <f>IF(CUENTAS!Q370/CUENTAS!$AB370&lt;&gt;0,CUENTAS!Q370/CUENTAS!$AB370,"")</f>
        <v>0.008187787676</v>
      </c>
      <c r="U381" s="459" t="str">
        <f>IF(CUENTAS!C370/CUENTAS!$AB370&lt;&gt;0,CUENTAS!C370/CUENTAS!$AB370,"")</f>
        <v/>
      </c>
      <c r="V381" s="459" t="str">
        <f>IF(CUENTAS!D370/CUENTAS!$AB370&lt;&gt;0,CUENTAS!D370/CUENTAS!$AB370,"")</f>
        <v/>
      </c>
      <c r="W381" s="459" t="str">
        <f>IF(CUENTAS!E370/CUENTAS!$AB370&lt;&gt;0,CUENTAS!E370/CUENTAS!$AB370,"")</f>
        <v/>
      </c>
      <c r="X381" s="459" t="str">
        <f>IF(CUENTAS!F370/CUENTAS!$AB370&lt;&gt;0,CUENTAS!F370/CUENTAS!$AB370,"")</f>
        <v/>
      </c>
      <c r="Y381" s="459" t="str">
        <f>IF(CUENTAS!G370/CUENTAS!$AB370&lt;&gt;0,CUENTAS!G370/CUENTAS!$AB370,"")</f>
        <v/>
      </c>
      <c r="Z381" s="459">
        <f>IF(CUENTAS!H370/CUENTAS!$AB370&lt;&gt;0,CUENTAS!H370/CUENTAS!$AB370,"")</f>
        <v>0.771165296</v>
      </c>
      <c r="AA381" s="459">
        <f>IF(CUENTAS!I370/CUENTAS!$AB370&lt;&gt;0,CUENTAS!I370/CUENTAS!$AB370,"")</f>
        <v>0.02153685405</v>
      </c>
      <c r="AB381" s="459">
        <f>IF(CUENTAS!J370/CUENTAS!$AB370&lt;&gt;0,CUENTAS!J370/CUENTAS!$AB370,"")</f>
        <v>0.05058593574</v>
      </c>
      <c r="AC381" s="459" t="str">
        <f>IF(CUENTAS!K370/CUENTAS!$AB370&lt;&gt;0,CUENTAS!K370/CUENTAS!$AB370,"")</f>
        <v/>
      </c>
      <c r="AD381" s="459" t="str">
        <f>IF(CUENTAS!L370/CUENTAS!$AB370&lt;&gt;0,CUENTAS!L370/CUENTAS!$AB370,"")</f>
        <v/>
      </c>
      <c r="AE381" s="459" t="str">
        <f>IF(CUENTAS!M370/CUENTAS!$AB370&lt;&gt;0,CUENTAS!M370/CUENTAS!$AB370,"")</f>
        <v/>
      </c>
      <c r="AF381" s="459" t="str">
        <f>IF(CUENTAS!N370/CUENTAS!$AB370&lt;&gt;0,CUENTAS!N370/CUENTAS!$AB370,"")</f>
        <v/>
      </c>
      <c r="AG381" s="459" t="str">
        <f>IF(CUENTAS!O370/CUENTAS!$AB370&lt;&gt;0,CUENTAS!O370/CUENTAS!$AB370,"")</f>
        <v/>
      </c>
      <c r="AH381" s="459" t="str">
        <f>IF(CUENTAS!P370/CUENTAS!$AB370&lt;&gt;0,CUENTAS!P370/CUENTAS!$AB370,"")</f>
        <v/>
      </c>
      <c r="AI381" s="459">
        <f>IF(CUENTAS!R370/CUENTAS!$AB370&lt;&gt;0,CUENTAS!R370/CUENTAS!$AB370,"")</f>
        <v>0.03461569641</v>
      </c>
      <c r="AJ381" s="459" t="str">
        <f>IF(CUENTAS!B370/CUENTAS!$AB370&lt;&gt;0,CUENTAS!B370/CUENTAS!$AB370,"")</f>
        <v/>
      </c>
      <c r="AK381" s="459" t="str">
        <f>IF(CUENTAS!S370/CUENTAS!$AB370&lt;&gt;0,CUENTAS!S370/CUENTAS!$AB370,"")</f>
        <v/>
      </c>
      <c r="AL381" s="459" t="str">
        <f>IF(CUENTAS!T370/CUENTAS!$AB370&lt;&gt;0,CUENTAS!T370/CUENTAS!$AB370,"")</f>
        <v/>
      </c>
      <c r="AM381" s="459" t="str">
        <f>IF(CUENTAS!U370/CUENTAS!$AB370&lt;&gt;0,CUENTAS!U370/CUENTAS!$AB370,"")</f>
        <v/>
      </c>
      <c r="AN381" s="459">
        <f>IF(CUENTAS!V370/CUENTAS!$AB370&lt;&gt;0,CUENTAS!V370/CUENTAS!$AB370,"")</f>
        <v>0.09138976211</v>
      </c>
      <c r="AO381" s="459" t="str">
        <f>IF(CUENTAS!W370/CUENTAS!$AB370&lt;&gt;0,CUENTAS!W370/CUENTAS!$AB370,"")</f>
        <v/>
      </c>
      <c r="AP381" s="459" t="str">
        <f>IF(CUENTAS!X370/CUENTAS!$AB370&lt;&gt;0,CUENTAS!X370/CUENTAS!$AB370,"")</f>
        <v/>
      </c>
      <c r="AQ381" s="459" t="str">
        <f>IF(CUENTAS!Y370/CUENTAS!$AB370&lt;&gt;0,CUENTAS!Y370/CUENTAS!$AB370,"")</f>
        <v/>
      </c>
      <c r="AR381" s="459">
        <f>IF(CUENTAS!AA370/CUENTAS!$AB370&lt;&gt;0,CUENTAS!AA370/CUENTAS!$AB370,"")</f>
        <v>0.02251866798</v>
      </c>
    </row>
    <row r="382">
      <c r="A382" s="474"/>
      <c r="B382" s="200"/>
      <c r="C382" s="200"/>
      <c r="F382" s="200"/>
      <c r="G382" s="200"/>
      <c r="L382" s="481"/>
      <c r="N382" s="482"/>
      <c r="O382" s="481"/>
      <c r="S382" s="471">
        <f>CUENTAS!A371</f>
        <v>45731</v>
      </c>
      <c r="T382" s="459">
        <f>IF(CUENTAS!Q371/CUENTAS!$AB371&lt;&gt;0,CUENTAS!Q371/CUENTAS!$AB371,"")</f>
        <v>0.008192215143</v>
      </c>
      <c r="U382" s="459" t="str">
        <f>IF(CUENTAS!C371/CUENTAS!$AB371&lt;&gt;0,CUENTAS!C371/CUENTAS!$AB371,"")</f>
        <v/>
      </c>
      <c r="V382" s="459" t="str">
        <f>IF(CUENTAS!D371/CUENTAS!$AB371&lt;&gt;0,CUENTAS!D371/CUENTAS!$AB371,"")</f>
        <v/>
      </c>
      <c r="W382" s="459" t="str">
        <f>IF(CUENTAS!E371/CUENTAS!$AB371&lt;&gt;0,CUENTAS!E371/CUENTAS!$AB371,"")</f>
        <v/>
      </c>
      <c r="X382" s="459" t="str">
        <f>IF(CUENTAS!F371/CUENTAS!$AB371&lt;&gt;0,CUENTAS!F371/CUENTAS!$AB371,"")</f>
        <v/>
      </c>
      <c r="Y382" s="459" t="str">
        <f>IF(CUENTAS!G371/CUENTAS!$AB371&lt;&gt;0,CUENTAS!G371/CUENTAS!$AB371,"")</f>
        <v/>
      </c>
      <c r="Z382" s="459">
        <f>IF(CUENTAS!H371/CUENTAS!$AB371&lt;&gt;0,CUENTAS!H371/CUENTAS!$AB371,"")</f>
        <v>0.7715822962</v>
      </c>
      <c r="AA382" s="459">
        <f>IF(CUENTAS!I371/CUENTAS!$AB371&lt;&gt;0,CUENTAS!I371/CUENTAS!$AB371,"")</f>
        <v>0.02100775962</v>
      </c>
      <c r="AB382" s="459">
        <f>IF(CUENTAS!J371/CUENTAS!$AB371&lt;&gt;0,CUENTAS!J371/CUENTAS!$AB371,"")</f>
        <v>0.05061328959</v>
      </c>
      <c r="AC382" s="459" t="str">
        <f>IF(CUENTAS!K371/CUENTAS!$AB371&lt;&gt;0,CUENTAS!K371/CUENTAS!$AB371,"")</f>
        <v/>
      </c>
      <c r="AD382" s="459" t="str">
        <f>IF(CUENTAS!L371/CUENTAS!$AB371&lt;&gt;0,CUENTAS!L371/CUENTAS!$AB371,"")</f>
        <v/>
      </c>
      <c r="AE382" s="459" t="str">
        <f>IF(CUENTAS!M371/CUENTAS!$AB371&lt;&gt;0,CUENTAS!M371/CUENTAS!$AB371,"")</f>
        <v/>
      </c>
      <c r="AF382" s="459" t="str">
        <f>IF(CUENTAS!N371/CUENTAS!$AB371&lt;&gt;0,CUENTAS!N371/CUENTAS!$AB371,"")</f>
        <v/>
      </c>
      <c r="AG382" s="459" t="str">
        <f>IF(CUENTAS!O371/CUENTAS!$AB371&lt;&gt;0,CUENTAS!O371/CUENTAS!$AB371,"")</f>
        <v/>
      </c>
      <c r="AH382" s="459" t="str">
        <f>IF(CUENTAS!P371/CUENTAS!$AB371&lt;&gt;0,CUENTAS!P371/CUENTAS!$AB371,"")</f>
        <v/>
      </c>
      <c r="AI382" s="459">
        <f>IF(CUENTAS!R371/CUENTAS!$AB371&lt;&gt;0,CUENTAS!R371/CUENTAS!$AB371,"")</f>
        <v>0.03463441451</v>
      </c>
      <c r="AJ382" s="459" t="str">
        <f>IF(CUENTAS!B371/CUENTAS!$AB371&lt;&gt;0,CUENTAS!B371/CUENTAS!$AB371,"")</f>
        <v/>
      </c>
      <c r="AK382" s="459" t="str">
        <f>IF(CUENTAS!S371/CUENTAS!$AB371&lt;&gt;0,CUENTAS!S371/CUENTAS!$AB371,"")</f>
        <v/>
      </c>
      <c r="AL382" s="459" t="str">
        <f>IF(CUENTAS!T371/CUENTAS!$AB371&lt;&gt;0,CUENTAS!T371/CUENTAS!$AB371,"")</f>
        <v/>
      </c>
      <c r="AM382" s="459" t="str">
        <f>IF(CUENTAS!U371/CUENTAS!$AB371&lt;&gt;0,CUENTAS!U371/CUENTAS!$AB371,"")</f>
        <v/>
      </c>
      <c r="AN382" s="459">
        <f>IF(CUENTAS!V371/CUENTAS!$AB371&lt;&gt;0,CUENTAS!V371/CUENTAS!$AB371,"")</f>
        <v>0.09143918024</v>
      </c>
      <c r="AO382" s="459" t="str">
        <f>IF(CUENTAS!W371/CUENTAS!$AB371&lt;&gt;0,CUENTAS!W371/CUENTAS!$AB371,"")</f>
        <v/>
      </c>
      <c r="AP382" s="459" t="str">
        <f>IF(CUENTAS!X371/CUENTAS!$AB371&lt;&gt;0,CUENTAS!X371/CUENTAS!$AB371,"")</f>
        <v/>
      </c>
      <c r="AQ382" s="459" t="str">
        <f>IF(CUENTAS!Y371/CUENTAS!$AB371&lt;&gt;0,CUENTAS!Y371/CUENTAS!$AB371,"")</f>
        <v/>
      </c>
      <c r="AR382" s="459">
        <f>IF(CUENTAS!AA371/CUENTAS!$AB371&lt;&gt;0,CUENTAS!AA371/CUENTAS!$AB371,"")</f>
        <v>0.02253084473</v>
      </c>
    </row>
    <row r="383">
      <c r="A383" s="474"/>
      <c r="B383" s="200"/>
      <c r="C383" s="200"/>
      <c r="F383" s="200"/>
      <c r="G383" s="200"/>
      <c r="L383" s="481"/>
      <c r="N383" s="482"/>
      <c r="O383" s="481"/>
      <c r="S383" s="471">
        <f>CUENTAS!A372</f>
        <v>45730</v>
      </c>
      <c r="T383" s="459">
        <f>IF(CUENTAS!Q372/CUENTAS!$AB372&lt;&gt;0,CUENTAS!Q372/CUENTAS!$AB372,"")</f>
        <v>0.008192215143</v>
      </c>
      <c r="U383" s="459" t="str">
        <f>IF(CUENTAS!C372/CUENTAS!$AB372&lt;&gt;0,CUENTAS!C372/CUENTAS!$AB372,"")</f>
        <v/>
      </c>
      <c r="V383" s="459" t="str">
        <f>IF(CUENTAS!D372/CUENTAS!$AB372&lt;&gt;0,CUENTAS!D372/CUENTAS!$AB372,"")</f>
        <v/>
      </c>
      <c r="W383" s="459" t="str">
        <f>IF(CUENTAS!E372/CUENTAS!$AB372&lt;&gt;0,CUENTAS!E372/CUENTAS!$AB372,"")</f>
        <v/>
      </c>
      <c r="X383" s="459" t="str">
        <f>IF(CUENTAS!F372/CUENTAS!$AB372&lt;&gt;0,CUENTAS!F372/CUENTAS!$AB372,"")</f>
        <v/>
      </c>
      <c r="Y383" s="459" t="str">
        <f>IF(CUENTAS!G372/CUENTAS!$AB372&lt;&gt;0,CUENTAS!G372/CUENTAS!$AB372,"")</f>
        <v/>
      </c>
      <c r="Z383" s="459">
        <f>IF(CUENTAS!H372/CUENTAS!$AB372&lt;&gt;0,CUENTAS!H372/CUENTAS!$AB372,"")</f>
        <v>0.7715822962</v>
      </c>
      <c r="AA383" s="459">
        <f>IF(CUENTAS!I372/CUENTAS!$AB372&lt;&gt;0,CUENTAS!I372/CUENTAS!$AB372,"")</f>
        <v>0.02100775962</v>
      </c>
      <c r="AB383" s="459">
        <f>IF(CUENTAS!J372/CUENTAS!$AB372&lt;&gt;0,CUENTAS!J372/CUENTAS!$AB372,"")</f>
        <v>0.05061328959</v>
      </c>
      <c r="AC383" s="459" t="str">
        <f>IF(CUENTAS!K372/CUENTAS!$AB372&lt;&gt;0,CUENTAS!K372/CUENTAS!$AB372,"")</f>
        <v/>
      </c>
      <c r="AD383" s="459" t="str">
        <f>IF(CUENTAS!L372/CUENTAS!$AB372&lt;&gt;0,CUENTAS!L372/CUENTAS!$AB372,"")</f>
        <v/>
      </c>
      <c r="AE383" s="459" t="str">
        <f>IF(CUENTAS!M372/CUENTAS!$AB372&lt;&gt;0,CUENTAS!M372/CUENTAS!$AB372,"")</f>
        <v/>
      </c>
      <c r="AF383" s="459" t="str">
        <f>IF(CUENTAS!N372/CUENTAS!$AB372&lt;&gt;0,CUENTAS!N372/CUENTAS!$AB372,"")</f>
        <v/>
      </c>
      <c r="AG383" s="459" t="str">
        <f>IF(CUENTAS!O372/CUENTAS!$AB372&lt;&gt;0,CUENTAS!O372/CUENTAS!$AB372,"")</f>
        <v/>
      </c>
      <c r="AH383" s="459" t="str">
        <f>IF(CUENTAS!P372/CUENTAS!$AB372&lt;&gt;0,CUENTAS!P372/CUENTAS!$AB372,"")</f>
        <v/>
      </c>
      <c r="AI383" s="459">
        <f>IF(CUENTAS!R372/CUENTAS!$AB372&lt;&gt;0,CUENTAS!R372/CUENTAS!$AB372,"")</f>
        <v>0.03463441451</v>
      </c>
      <c r="AJ383" s="459" t="str">
        <f>IF(CUENTAS!B372/CUENTAS!$AB372&lt;&gt;0,CUENTAS!B372/CUENTAS!$AB372,"")</f>
        <v/>
      </c>
      <c r="AK383" s="459" t="str">
        <f>IF(CUENTAS!S372/CUENTAS!$AB372&lt;&gt;0,CUENTAS!S372/CUENTAS!$AB372,"")</f>
        <v/>
      </c>
      <c r="AL383" s="459" t="str">
        <f>IF(CUENTAS!T372/CUENTAS!$AB372&lt;&gt;0,CUENTAS!T372/CUENTAS!$AB372,"")</f>
        <v/>
      </c>
      <c r="AM383" s="459" t="str">
        <f>IF(CUENTAS!U372/CUENTAS!$AB372&lt;&gt;0,CUENTAS!U372/CUENTAS!$AB372,"")</f>
        <v/>
      </c>
      <c r="AN383" s="459">
        <f>IF(CUENTAS!V372/CUENTAS!$AB372&lt;&gt;0,CUENTAS!V372/CUENTAS!$AB372,"")</f>
        <v>0.09143918024</v>
      </c>
      <c r="AO383" s="459" t="str">
        <f>IF(CUENTAS!W372/CUENTAS!$AB372&lt;&gt;0,CUENTAS!W372/CUENTAS!$AB372,"")</f>
        <v/>
      </c>
      <c r="AP383" s="459" t="str">
        <f>IF(CUENTAS!X372/CUENTAS!$AB372&lt;&gt;0,CUENTAS!X372/CUENTAS!$AB372,"")</f>
        <v/>
      </c>
      <c r="AQ383" s="459" t="str">
        <f>IF(CUENTAS!Y372/CUENTAS!$AB372&lt;&gt;0,CUENTAS!Y372/CUENTAS!$AB372,"")</f>
        <v/>
      </c>
      <c r="AR383" s="459">
        <f>IF(CUENTAS!AA372/CUENTAS!$AB372&lt;&gt;0,CUENTAS!AA372/CUENTAS!$AB372,"")</f>
        <v>0.02253084473</v>
      </c>
    </row>
    <row r="384">
      <c r="A384" s="474"/>
      <c r="B384" s="200"/>
      <c r="C384" s="200"/>
      <c r="F384" s="200"/>
      <c r="G384" s="200"/>
      <c r="L384" s="481"/>
      <c r="N384" s="482"/>
      <c r="O384" s="481"/>
      <c r="S384" s="471">
        <f>CUENTAS!A373</f>
        <v>45729</v>
      </c>
      <c r="T384" s="459">
        <f>IF(CUENTAS!Q373/CUENTAS!$AB373&lt;&gt;0,CUENTAS!Q373/CUENTAS!$AB373,"")</f>
        <v>0.008281867334</v>
      </c>
      <c r="U384" s="459" t="str">
        <f>IF(CUENTAS!C373/CUENTAS!$AB373&lt;&gt;0,CUENTAS!C373/CUENTAS!$AB373,"")</f>
        <v/>
      </c>
      <c r="V384" s="459" t="str">
        <f>IF(CUENTAS!D373/CUENTAS!$AB373&lt;&gt;0,CUENTAS!D373/CUENTAS!$AB373,"")</f>
        <v/>
      </c>
      <c r="W384" s="459" t="str">
        <f>IF(CUENTAS!E373/CUENTAS!$AB373&lt;&gt;0,CUENTAS!E373/CUENTAS!$AB373,"")</f>
        <v/>
      </c>
      <c r="X384" s="459" t="str">
        <f>IF(CUENTAS!F373/CUENTAS!$AB373&lt;&gt;0,CUENTAS!F373/CUENTAS!$AB373,"")</f>
        <v/>
      </c>
      <c r="Y384" s="459" t="str">
        <f>IF(CUENTAS!G373/CUENTAS!$AB373&lt;&gt;0,CUENTAS!G373/CUENTAS!$AB373,"")</f>
        <v/>
      </c>
      <c r="Z384" s="459">
        <f>IF(CUENTAS!H373/CUENTAS!$AB373&lt;&gt;0,CUENTAS!H373/CUENTAS!$AB373,"")</f>
        <v>0.7672058197</v>
      </c>
      <c r="AA384" s="459">
        <f>IF(CUENTAS!I373/CUENTAS!$AB373&lt;&gt;0,CUENTAS!I373/CUENTAS!$AB373,"")</f>
        <v>0.0213433198</v>
      </c>
      <c r="AB384" s="459">
        <f>IF(CUENTAS!J373/CUENTAS!$AB373&lt;&gt;0,CUENTAS!J373/CUENTAS!$AB373,"")</f>
        <v>0.05219087209</v>
      </c>
      <c r="AC384" s="459" t="str">
        <f>IF(CUENTAS!K373/CUENTAS!$AB373&lt;&gt;0,CUENTAS!K373/CUENTAS!$AB373,"")</f>
        <v/>
      </c>
      <c r="AD384" s="459" t="str">
        <f>IF(CUENTAS!L373/CUENTAS!$AB373&lt;&gt;0,CUENTAS!L373/CUENTAS!$AB373,"")</f>
        <v/>
      </c>
      <c r="AE384" s="459" t="str">
        <f>IF(CUENTAS!M373/CUENTAS!$AB373&lt;&gt;0,CUENTAS!M373/CUENTAS!$AB373,"")</f>
        <v/>
      </c>
      <c r="AF384" s="459" t="str">
        <f>IF(CUENTAS!N373/CUENTAS!$AB373&lt;&gt;0,CUENTAS!N373/CUENTAS!$AB373,"")</f>
        <v/>
      </c>
      <c r="AG384" s="459" t="str">
        <f>IF(CUENTAS!O373/CUENTAS!$AB373&lt;&gt;0,CUENTAS!O373/CUENTAS!$AB373,"")</f>
        <v/>
      </c>
      <c r="AH384" s="459" t="str">
        <f>IF(CUENTAS!P373/CUENTAS!$AB373&lt;&gt;0,CUENTAS!P373/CUENTAS!$AB373,"")</f>
        <v/>
      </c>
      <c r="AI384" s="459">
        <f>IF(CUENTAS!R373/CUENTAS!$AB373&lt;&gt;0,CUENTAS!R373/CUENTAS!$AB373,"")</f>
        <v>0.03518763534</v>
      </c>
      <c r="AJ384" s="459" t="str">
        <f>IF(CUENTAS!B373/CUENTAS!$AB373&lt;&gt;0,CUENTAS!B373/CUENTAS!$AB373,"")</f>
        <v/>
      </c>
      <c r="AK384" s="459" t="str">
        <f>IF(CUENTAS!S373/CUENTAS!$AB373&lt;&gt;0,CUENTAS!S373/CUENTAS!$AB373,"")</f>
        <v/>
      </c>
      <c r="AL384" s="459" t="str">
        <f>IF(CUENTAS!T373/CUENTAS!$AB373&lt;&gt;0,CUENTAS!T373/CUENTAS!$AB373,"")</f>
        <v/>
      </c>
      <c r="AM384" s="459" t="str">
        <f>IF(CUENTAS!U373/CUENTAS!$AB373&lt;&gt;0,CUENTAS!U373/CUENTAS!$AB373,"")</f>
        <v/>
      </c>
      <c r="AN384" s="459">
        <f>IF(CUENTAS!V373/CUENTAS!$AB373&lt;&gt;0,CUENTAS!V373/CUENTAS!$AB373,"")</f>
        <v>0.09289975232</v>
      </c>
      <c r="AO384" s="459" t="str">
        <f>IF(CUENTAS!W373/CUENTAS!$AB373&lt;&gt;0,CUENTAS!W373/CUENTAS!$AB373,"")</f>
        <v/>
      </c>
      <c r="AP384" s="459" t="str">
        <f>IF(CUENTAS!X373/CUENTAS!$AB373&lt;&gt;0,CUENTAS!X373/CUENTAS!$AB373,"")</f>
        <v/>
      </c>
      <c r="AQ384" s="459" t="str">
        <f>IF(CUENTAS!Y373/CUENTAS!$AB373&lt;&gt;0,CUENTAS!Y373/CUENTAS!$AB373,"")</f>
        <v/>
      </c>
      <c r="AR384" s="459">
        <f>IF(CUENTAS!AA373/CUENTAS!$AB373&lt;&gt;0,CUENTAS!AA373/CUENTAS!$AB373,"")</f>
        <v>0.02289073337</v>
      </c>
    </row>
    <row r="385">
      <c r="A385" s="474"/>
      <c r="B385" s="200"/>
      <c r="C385" s="200"/>
      <c r="F385" s="200"/>
      <c r="G385" s="200"/>
      <c r="L385" s="481"/>
      <c r="N385" s="482"/>
      <c r="O385" s="481"/>
      <c r="S385" s="471">
        <f>CUENTAS!A374</f>
        <v>45728</v>
      </c>
      <c r="T385" s="459">
        <f>IF(CUENTAS!Q374/CUENTAS!$AB374&lt;&gt;0,CUENTAS!Q374/CUENTAS!$AB374,"")</f>
        <v>0.00818673022</v>
      </c>
      <c r="U385" s="459" t="str">
        <f>IF(CUENTAS!C374/CUENTAS!$AB374&lt;&gt;0,CUENTAS!C374/CUENTAS!$AB374,"")</f>
        <v/>
      </c>
      <c r="V385" s="459" t="str">
        <f>IF(CUENTAS!D374/CUENTAS!$AB374&lt;&gt;0,CUENTAS!D374/CUENTAS!$AB374,"")</f>
        <v/>
      </c>
      <c r="W385" s="459" t="str">
        <f>IF(CUENTAS!E374/CUENTAS!$AB374&lt;&gt;0,CUENTAS!E374/CUENTAS!$AB374,"")</f>
        <v/>
      </c>
      <c r="X385" s="459" t="str">
        <f>IF(CUENTAS!F374/CUENTAS!$AB374&lt;&gt;0,CUENTAS!F374/CUENTAS!$AB374,"")</f>
        <v/>
      </c>
      <c r="Y385" s="459" t="str">
        <f>IF(CUENTAS!G374/CUENTAS!$AB374&lt;&gt;0,CUENTAS!G374/CUENTAS!$AB374,"")</f>
        <v/>
      </c>
      <c r="Z385" s="459">
        <f>IF(CUENTAS!H374/CUENTAS!$AB374&lt;&gt;0,CUENTAS!H374/CUENTAS!$AB374,"")</f>
        <v>0.7687521604</v>
      </c>
      <c r="AA385" s="459">
        <f>IF(CUENTAS!I374/CUENTAS!$AB374&lt;&gt;0,CUENTAS!I374/CUENTAS!$AB374,"")</f>
        <v>0.0210853785</v>
      </c>
      <c r="AB385" s="459">
        <f>IF(CUENTAS!J374/CUENTAS!$AB374&lt;&gt;0,CUENTAS!J374/CUENTAS!$AB374,"")</f>
        <v>0.0519857369</v>
      </c>
      <c r="AC385" s="459" t="str">
        <f>IF(CUENTAS!K374/CUENTAS!$AB374&lt;&gt;0,CUENTAS!K374/CUENTAS!$AB374,"")</f>
        <v/>
      </c>
      <c r="AD385" s="459" t="str">
        <f>IF(CUENTAS!L374/CUENTAS!$AB374&lt;&gt;0,CUENTAS!L374/CUENTAS!$AB374,"")</f>
        <v/>
      </c>
      <c r="AE385" s="459" t="str">
        <f>IF(CUENTAS!M374/CUENTAS!$AB374&lt;&gt;0,CUENTAS!M374/CUENTAS!$AB374,"")</f>
        <v/>
      </c>
      <c r="AF385" s="459" t="str">
        <f>IF(CUENTAS!N374/CUENTAS!$AB374&lt;&gt;0,CUENTAS!N374/CUENTAS!$AB374,"")</f>
        <v/>
      </c>
      <c r="AG385" s="459" t="str">
        <f>IF(CUENTAS!O374/CUENTAS!$AB374&lt;&gt;0,CUENTAS!O374/CUENTAS!$AB374,"")</f>
        <v/>
      </c>
      <c r="AH385" s="459" t="str">
        <f>IF(CUENTAS!P374/CUENTAS!$AB374&lt;&gt;0,CUENTAS!P374/CUENTAS!$AB374,"")</f>
        <v/>
      </c>
      <c r="AI385" s="459">
        <f>IF(CUENTAS!R374/CUENTAS!$AB374&lt;&gt;0,CUENTAS!R374/CUENTAS!$AB374,"")</f>
        <v>0.03495733804</v>
      </c>
      <c r="AJ385" s="459" t="str">
        <f>IF(CUENTAS!B374/CUENTAS!$AB374&lt;&gt;0,CUENTAS!B374/CUENTAS!$AB374,"")</f>
        <v/>
      </c>
      <c r="AK385" s="459" t="str">
        <f>IF(CUENTAS!S374/CUENTAS!$AB374&lt;&gt;0,CUENTAS!S374/CUENTAS!$AB374,"")</f>
        <v/>
      </c>
      <c r="AL385" s="459" t="str">
        <f>IF(CUENTAS!T374/CUENTAS!$AB374&lt;&gt;0,CUENTAS!T374/CUENTAS!$AB374,"")</f>
        <v/>
      </c>
      <c r="AM385" s="459" t="str">
        <f>IF(CUENTAS!U374/CUENTAS!$AB374&lt;&gt;0,CUENTAS!U374/CUENTAS!$AB374,"")</f>
        <v/>
      </c>
      <c r="AN385" s="459">
        <f>IF(CUENTAS!V374/CUENTAS!$AB374&lt;&gt;0,CUENTAS!V374/CUENTAS!$AB374,"")</f>
        <v>0.09229173868</v>
      </c>
      <c r="AO385" s="459" t="str">
        <f>IF(CUENTAS!W374/CUENTAS!$AB374&lt;&gt;0,CUENTAS!W374/CUENTAS!$AB374,"")</f>
        <v/>
      </c>
      <c r="AP385" s="459" t="str">
        <f>IF(CUENTAS!X374/CUENTAS!$AB374&lt;&gt;0,CUENTAS!X374/CUENTAS!$AB374,"")</f>
        <v/>
      </c>
      <c r="AQ385" s="459" t="str">
        <f>IF(CUENTAS!Y374/CUENTAS!$AB374&lt;&gt;0,CUENTAS!Y374/CUENTAS!$AB374,"")</f>
        <v/>
      </c>
      <c r="AR385" s="459">
        <f>IF(CUENTAS!AA374/CUENTAS!$AB374&lt;&gt;0,CUENTAS!AA374/CUENTAS!$AB374,"")</f>
        <v>0.02274091728</v>
      </c>
    </row>
    <row r="386">
      <c r="A386" s="474"/>
      <c r="B386" s="200"/>
      <c r="C386" s="200"/>
      <c r="F386" s="200"/>
      <c r="G386" s="200"/>
      <c r="L386" s="481"/>
      <c r="N386" s="482"/>
      <c r="O386" s="481"/>
      <c r="S386" s="471">
        <f>CUENTAS!A375</f>
        <v>45727</v>
      </c>
      <c r="T386" s="459">
        <f>IF(CUENTAS!Q375/CUENTAS!$AB375&lt;&gt;0,CUENTAS!Q375/CUENTAS!$AB375,"")</f>
        <v>0.008304672427</v>
      </c>
      <c r="U386" s="459" t="str">
        <f>IF(CUENTAS!C375/CUENTAS!$AB375&lt;&gt;0,CUENTAS!C375/CUENTAS!$AB375,"")</f>
        <v/>
      </c>
      <c r="V386" s="459" t="str">
        <f>IF(CUENTAS!D375/CUENTAS!$AB375&lt;&gt;0,CUENTAS!D375/CUENTAS!$AB375,"")</f>
        <v/>
      </c>
      <c r="W386" s="459" t="str">
        <f>IF(CUENTAS!E375/CUENTAS!$AB375&lt;&gt;0,CUENTAS!E375/CUENTAS!$AB375,"")</f>
        <v/>
      </c>
      <c r="X386" s="459" t="str">
        <f>IF(CUENTAS!F375/CUENTAS!$AB375&lt;&gt;0,CUENTAS!F375/CUENTAS!$AB375,"")</f>
        <v/>
      </c>
      <c r="Y386" s="459" t="str">
        <f>IF(CUENTAS!G375/CUENTAS!$AB375&lt;&gt;0,CUENTAS!G375/CUENTAS!$AB375,"")</f>
        <v/>
      </c>
      <c r="Z386" s="459">
        <f>IF(CUENTAS!H375/CUENTAS!$AB375&lt;&gt;0,CUENTAS!H375/CUENTAS!$AB375,"")</f>
        <v>0.7639739395</v>
      </c>
      <c r="AA386" s="459">
        <f>IF(CUENTAS!I375/CUENTAS!$AB375&lt;&gt;0,CUENTAS!I375/CUENTAS!$AB375,"")</f>
        <v>0.02199666322</v>
      </c>
      <c r="AB386" s="459">
        <f>IF(CUENTAS!J375/CUENTAS!$AB375&lt;&gt;0,CUENTAS!J375/CUENTAS!$AB375,"")</f>
        <v>0.0520370215</v>
      </c>
      <c r="AC386" s="459" t="str">
        <f>IF(CUENTAS!K375/CUENTAS!$AB375&lt;&gt;0,CUENTAS!K375/CUENTAS!$AB375,"")</f>
        <v/>
      </c>
      <c r="AD386" s="459" t="str">
        <f>IF(CUENTAS!L375/CUENTAS!$AB375&lt;&gt;0,CUENTAS!L375/CUENTAS!$AB375,"")</f>
        <v/>
      </c>
      <c r="AE386" s="459" t="str">
        <f>IF(CUENTAS!M375/CUENTAS!$AB375&lt;&gt;0,CUENTAS!M375/CUENTAS!$AB375,"")</f>
        <v/>
      </c>
      <c r="AF386" s="459" t="str">
        <f>IF(CUENTAS!N375/CUENTAS!$AB375&lt;&gt;0,CUENTAS!N375/CUENTAS!$AB375,"")</f>
        <v/>
      </c>
      <c r="AG386" s="459" t="str">
        <f>IF(CUENTAS!O375/CUENTAS!$AB375&lt;&gt;0,CUENTAS!O375/CUENTAS!$AB375,"")</f>
        <v/>
      </c>
      <c r="AH386" s="459" t="str">
        <f>IF(CUENTAS!P375/CUENTAS!$AB375&lt;&gt;0,CUENTAS!P375/CUENTAS!$AB375,"")</f>
        <v/>
      </c>
      <c r="AI386" s="459">
        <f>IF(CUENTAS!R375/CUENTAS!$AB375&lt;&gt;0,CUENTAS!R375/CUENTAS!$AB375,"")</f>
        <v>0.03581914269</v>
      </c>
      <c r="AJ386" s="459" t="str">
        <f>IF(CUENTAS!B375/CUENTAS!$AB375&lt;&gt;0,CUENTAS!B375/CUENTAS!$AB375,"")</f>
        <v/>
      </c>
      <c r="AK386" s="459" t="str">
        <f>IF(CUENTAS!S375/CUENTAS!$AB375&lt;&gt;0,CUENTAS!S375/CUENTAS!$AB375,"")</f>
        <v/>
      </c>
      <c r="AL386" s="459" t="str">
        <f>IF(CUENTAS!T375/CUENTAS!$AB375&lt;&gt;0,CUENTAS!T375/CUENTAS!$AB375,"")</f>
        <v/>
      </c>
      <c r="AM386" s="459" t="str">
        <f>IF(CUENTAS!U375/CUENTAS!$AB375&lt;&gt;0,CUENTAS!U375/CUENTAS!$AB375,"")</f>
        <v/>
      </c>
      <c r="AN386" s="459">
        <f>IF(CUENTAS!V375/CUENTAS!$AB375&lt;&gt;0,CUENTAS!V375/CUENTAS!$AB375,"")</f>
        <v>0.0945670106</v>
      </c>
      <c r="AO386" s="459" t="str">
        <f>IF(CUENTAS!W375/CUENTAS!$AB375&lt;&gt;0,CUENTAS!W375/CUENTAS!$AB375,"")</f>
        <v/>
      </c>
      <c r="AP386" s="459" t="str">
        <f>IF(CUENTAS!X375/CUENTAS!$AB375&lt;&gt;0,CUENTAS!X375/CUENTAS!$AB375,"")</f>
        <v/>
      </c>
      <c r="AQ386" s="459" t="str">
        <f>IF(CUENTAS!Y375/CUENTAS!$AB375&lt;&gt;0,CUENTAS!Y375/CUENTAS!$AB375,"")</f>
        <v/>
      </c>
      <c r="AR386" s="459">
        <f>IF(CUENTAS!AA375/CUENTAS!$AB375&lt;&gt;0,CUENTAS!AA375/CUENTAS!$AB375,"")</f>
        <v>0.02330155002</v>
      </c>
    </row>
    <row r="387">
      <c r="A387" s="474"/>
      <c r="B387" s="200"/>
      <c r="C387" s="200"/>
      <c r="F387" s="200"/>
      <c r="G387" s="200"/>
      <c r="L387" s="481"/>
      <c r="N387" s="482"/>
      <c r="O387" s="481"/>
      <c r="S387" s="471">
        <f>CUENTAS!A376</f>
        <v>45726</v>
      </c>
      <c r="T387" s="459">
        <f>IF(CUENTAS!Q376/CUENTAS!$AB376&lt;&gt;0,CUENTAS!Q376/CUENTAS!$AB376,"")</f>
        <v>0.00853688443</v>
      </c>
      <c r="U387" s="459" t="str">
        <f>IF(CUENTAS!C376/CUENTAS!$AB376&lt;&gt;0,CUENTAS!C376/CUENTAS!$AB376,"")</f>
        <v/>
      </c>
      <c r="V387" s="459" t="str">
        <f>IF(CUENTAS!D376/CUENTAS!$AB376&lt;&gt;0,CUENTAS!D376/CUENTAS!$AB376,"")</f>
        <v/>
      </c>
      <c r="W387" s="459" t="str">
        <f>IF(CUENTAS!E376/CUENTAS!$AB376&lt;&gt;0,CUENTAS!E376/CUENTAS!$AB376,"")</f>
        <v/>
      </c>
      <c r="X387" s="459" t="str">
        <f>IF(CUENTAS!F376/CUENTAS!$AB376&lt;&gt;0,CUENTAS!F376/CUENTAS!$AB376,"")</f>
        <v/>
      </c>
      <c r="Y387" s="459" t="str">
        <f>IF(CUENTAS!G376/CUENTAS!$AB376&lt;&gt;0,CUENTAS!G376/CUENTAS!$AB376,"")</f>
        <v/>
      </c>
      <c r="Z387" s="459">
        <f>IF(CUENTAS!H376/CUENTAS!$AB376&lt;&gt;0,CUENTAS!H376/CUENTAS!$AB376,"")</f>
        <v>0.7630910462</v>
      </c>
      <c r="AA387" s="459">
        <f>IF(CUENTAS!I376/CUENTAS!$AB376&lt;&gt;0,CUENTAS!I376/CUENTAS!$AB376,"")</f>
        <v>0.02183961762</v>
      </c>
      <c r="AB387" s="459">
        <f>IF(CUENTAS!J376/CUENTAS!$AB376&lt;&gt;0,CUENTAS!J376/CUENTAS!$AB376,"")</f>
        <v>0.05394200471</v>
      </c>
      <c r="AC387" s="459" t="str">
        <f>IF(CUENTAS!K376/CUENTAS!$AB376&lt;&gt;0,CUENTAS!K376/CUENTAS!$AB376,"")</f>
        <v/>
      </c>
      <c r="AD387" s="459" t="str">
        <f>IF(CUENTAS!L376/CUENTAS!$AB376&lt;&gt;0,CUENTAS!L376/CUENTAS!$AB376,"")</f>
        <v/>
      </c>
      <c r="AE387" s="459" t="str">
        <f>IF(CUENTAS!M376/CUENTAS!$AB376&lt;&gt;0,CUENTAS!M376/CUENTAS!$AB376,"")</f>
        <v/>
      </c>
      <c r="AF387" s="459" t="str">
        <f>IF(CUENTAS!N376/CUENTAS!$AB376&lt;&gt;0,CUENTAS!N376/CUENTAS!$AB376,"")</f>
        <v/>
      </c>
      <c r="AG387" s="459" t="str">
        <f>IF(CUENTAS!O376/CUENTAS!$AB376&lt;&gt;0,CUENTAS!O376/CUENTAS!$AB376,"")</f>
        <v/>
      </c>
      <c r="AH387" s="459" t="str">
        <f>IF(CUENTAS!P376/CUENTAS!$AB376&lt;&gt;0,CUENTAS!P376/CUENTAS!$AB376,"")</f>
        <v/>
      </c>
      <c r="AI387" s="459">
        <f>IF(CUENTAS!R376/CUENTAS!$AB376&lt;&gt;0,CUENTAS!R376/CUENTAS!$AB376,"")</f>
        <v>0.03556341124</v>
      </c>
      <c r="AJ387" s="459" t="str">
        <f>IF(CUENTAS!B376/CUENTAS!$AB376&lt;&gt;0,CUENTAS!B376/CUENTAS!$AB376,"")</f>
        <v/>
      </c>
      <c r="AK387" s="459" t="str">
        <f>IF(CUENTAS!S376/CUENTAS!$AB376&lt;&gt;0,CUENTAS!S376/CUENTAS!$AB376,"")</f>
        <v/>
      </c>
      <c r="AL387" s="459" t="str">
        <f>IF(CUENTAS!T376/CUENTAS!$AB376&lt;&gt;0,CUENTAS!T376/CUENTAS!$AB376,"")</f>
        <v/>
      </c>
      <c r="AM387" s="459" t="str">
        <f>IF(CUENTAS!U376/CUENTAS!$AB376&lt;&gt;0,CUENTAS!U376/CUENTAS!$AB376,"")</f>
        <v/>
      </c>
      <c r="AN387" s="459">
        <f>IF(CUENTAS!V376/CUENTAS!$AB376&lt;&gt;0,CUENTAS!V376/CUENTAS!$AB376,"")</f>
        <v>0.09389184762</v>
      </c>
      <c r="AO387" s="459" t="str">
        <f>IF(CUENTAS!W376/CUENTAS!$AB376&lt;&gt;0,CUENTAS!W376/CUENTAS!$AB376,"")</f>
        <v/>
      </c>
      <c r="AP387" s="459" t="str">
        <f>IF(CUENTAS!X376/CUENTAS!$AB376&lt;&gt;0,CUENTAS!X376/CUENTAS!$AB376,"")</f>
        <v/>
      </c>
      <c r="AQ387" s="459" t="str">
        <f>IF(CUENTAS!Y376/CUENTAS!$AB376&lt;&gt;0,CUENTAS!Y376/CUENTAS!$AB376,"")</f>
        <v/>
      </c>
      <c r="AR387" s="459">
        <f>IF(CUENTAS!AA376/CUENTAS!$AB376&lt;&gt;0,CUENTAS!AA376/CUENTAS!$AB376,"")</f>
        <v>0.02313518816</v>
      </c>
    </row>
    <row r="388">
      <c r="A388" s="474"/>
      <c r="B388" s="200"/>
      <c r="C388" s="200"/>
      <c r="F388" s="200"/>
      <c r="G388" s="200"/>
      <c r="L388" s="481"/>
      <c r="N388" s="482"/>
      <c r="O388" s="481"/>
      <c r="S388" s="471">
        <f>CUENTAS!A377</f>
        <v>45725</v>
      </c>
      <c r="T388" s="459">
        <f>IF(CUENTAS!Q377/CUENTAS!$AB377&lt;&gt;0,CUENTAS!Q377/CUENTAS!$AB377,"")</f>
        <v>0.00853688443</v>
      </c>
      <c r="U388" s="459" t="str">
        <f>IF(CUENTAS!C377/CUENTAS!$AB377&lt;&gt;0,CUENTAS!C377/CUENTAS!$AB377,"")</f>
        <v/>
      </c>
      <c r="V388" s="459" t="str">
        <f>IF(CUENTAS!D377/CUENTAS!$AB377&lt;&gt;0,CUENTAS!D377/CUENTAS!$AB377,"")</f>
        <v/>
      </c>
      <c r="W388" s="459" t="str">
        <f>IF(CUENTAS!E377/CUENTAS!$AB377&lt;&gt;0,CUENTAS!E377/CUENTAS!$AB377,"")</f>
        <v/>
      </c>
      <c r="X388" s="459" t="str">
        <f>IF(CUENTAS!F377/CUENTAS!$AB377&lt;&gt;0,CUENTAS!F377/CUENTAS!$AB377,"")</f>
        <v/>
      </c>
      <c r="Y388" s="459" t="str">
        <f>IF(CUENTAS!G377/CUENTAS!$AB377&lt;&gt;0,CUENTAS!G377/CUENTAS!$AB377,"")</f>
        <v/>
      </c>
      <c r="Z388" s="459">
        <f>IF(CUENTAS!H377/CUENTAS!$AB377&lt;&gt;0,CUENTAS!H377/CUENTAS!$AB377,"")</f>
        <v>0.7630910462</v>
      </c>
      <c r="AA388" s="459">
        <f>IF(CUENTAS!I377/CUENTAS!$AB377&lt;&gt;0,CUENTAS!I377/CUENTAS!$AB377,"")</f>
        <v>0.02183961762</v>
      </c>
      <c r="AB388" s="459">
        <f>IF(CUENTAS!J377/CUENTAS!$AB377&lt;&gt;0,CUENTAS!J377/CUENTAS!$AB377,"")</f>
        <v>0.05394200471</v>
      </c>
      <c r="AC388" s="459" t="str">
        <f>IF(CUENTAS!K377/CUENTAS!$AB377&lt;&gt;0,CUENTAS!K377/CUENTAS!$AB377,"")</f>
        <v/>
      </c>
      <c r="AD388" s="459" t="str">
        <f>IF(CUENTAS!L377/CUENTAS!$AB377&lt;&gt;0,CUENTAS!L377/CUENTAS!$AB377,"")</f>
        <v/>
      </c>
      <c r="AE388" s="459" t="str">
        <f>IF(CUENTAS!M377/CUENTAS!$AB377&lt;&gt;0,CUENTAS!M377/CUENTAS!$AB377,"")</f>
        <v/>
      </c>
      <c r="AF388" s="459" t="str">
        <f>IF(CUENTAS!N377/CUENTAS!$AB377&lt;&gt;0,CUENTAS!N377/CUENTAS!$AB377,"")</f>
        <v/>
      </c>
      <c r="AG388" s="459" t="str">
        <f>IF(CUENTAS!O377/CUENTAS!$AB377&lt;&gt;0,CUENTAS!O377/CUENTAS!$AB377,"")</f>
        <v/>
      </c>
      <c r="AH388" s="459" t="str">
        <f>IF(CUENTAS!P377/CUENTAS!$AB377&lt;&gt;0,CUENTAS!P377/CUENTAS!$AB377,"")</f>
        <v/>
      </c>
      <c r="AI388" s="459">
        <f>IF(CUENTAS!R377/CUENTAS!$AB377&lt;&gt;0,CUENTAS!R377/CUENTAS!$AB377,"")</f>
        <v>0.03556341124</v>
      </c>
      <c r="AJ388" s="459" t="str">
        <f>IF(CUENTAS!B377/CUENTAS!$AB377&lt;&gt;0,CUENTAS!B377/CUENTAS!$AB377,"")</f>
        <v/>
      </c>
      <c r="AK388" s="459" t="str">
        <f>IF(CUENTAS!S377/CUENTAS!$AB377&lt;&gt;0,CUENTAS!S377/CUENTAS!$AB377,"")</f>
        <v/>
      </c>
      <c r="AL388" s="459" t="str">
        <f>IF(CUENTAS!T377/CUENTAS!$AB377&lt;&gt;0,CUENTAS!T377/CUENTAS!$AB377,"")</f>
        <v/>
      </c>
      <c r="AM388" s="459" t="str">
        <f>IF(CUENTAS!U377/CUENTAS!$AB377&lt;&gt;0,CUENTAS!U377/CUENTAS!$AB377,"")</f>
        <v/>
      </c>
      <c r="AN388" s="459">
        <f>IF(CUENTAS!V377/CUENTAS!$AB377&lt;&gt;0,CUENTAS!V377/CUENTAS!$AB377,"")</f>
        <v>0.09389184762</v>
      </c>
      <c r="AO388" s="459" t="str">
        <f>IF(CUENTAS!W377/CUENTAS!$AB377&lt;&gt;0,CUENTAS!W377/CUENTAS!$AB377,"")</f>
        <v/>
      </c>
      <c r="AP388" s="459" t="str">
        <f>IF(CUENTAS!X377/CUENTAS!$AB377&lt;&gt;0,CUENTAS!X377/CUENTAS!$AB377,"")</f>
        <v/>
      </c>
      <c r="AQ388" s="459" t="str">
        <f>IF(CUENTAS!Y377/CUENTAS!$AB377&lt;&gt;0,CUENTAS!Y377/CUENTAS!$AB377,"")</f>
        <v/>
      </c>
      <c r="AR388" s="459">
        <f>IF(CUENTAS!AA377/CUENTAS!$AB377&lt;&gt;0,CUENTAS!AA377/CUENTAS!$AB377,"")</f>
        <v>0.02313518816</v>
      </c>
    </row>
    <row r="389">
      <c r="A389" s="474"/>
      <c r="B389" s="200"/>
      <c r="C389" s="200"/>
      <c r="F389" s="200"/>
      <c r="G389" s="200"/>
      <c r="L389" s="481"/>
      <c r="N389" s="482"/>
      <c r="O389" s="481"/>
      <c r="S389" s="471">
        <f>CUENTAS!A378</f>
        <v>45724</v>
      </c>
      <c r="T389" s="459">
        <f>IF(CUENTAS!Q378/CUENTAS!$AB378&lt;&gt;0,CUENTAS!Q378/CUENTAS!$AB378,"")</f>
        <v>0.00853688443</v>
      </c>
      <c r="U389" s="459" t="str">
        <f>IF(CUENTAS!C378/CUENTAS!$AB378&lt;&gt;0,CUENTAS!C378/CUENTAS!$AB378,"")</f>
        <v/>
      </c>
      <c r="V389" s="459" t="str">
        <f>IF(CUENTAS!D378/CUENTAS!$AB378&lt;&gt;0,CUENTAS!D378/CUENTAS!$AB378,"")</f>
        <v/>
      </c>
      <c r="W389" s="459" t="str">
        <f>IF(CUENTAS!E378/CUENTAS!$AB378&lt;&gt;0,CUENTAS!E378/CUENTAS!$AB378,"")</f>
        <v/>
      </c>
      <c r="X389" s="459" t="str">
        <f>IF(CUENTAS!F378/CUENTAS!$AB378&lt;&gt;0,CUENTAS!F378/CUENTAS!$AB378,"")</f>
        <v/>
      </c>
      <c r="Y389" s="459" t="str">
        <f>IF(CUENTAS!G378/CUENTAS!$AB378&lt;&gt;0,CUENTAS!G378/CUENTAS!$AB378,"")</f>
        <v/>
      </c>
      <c r="Z389" s="459">
        <f>IF(CUENTAS!H378/CUENTAS!$AB378&lt;&gt;0,CUENTAS!H378/CUENTAS!$AB378,"")</f>
        <v>0.7630910462</v>
      </c>
      <c r="AA389" s="459">
        <f>IF(CUENTAS!I378/CUENTAS!$AB378&lt;&gt;0,CUENTAS!I378/CUENTAS!$AB378,"")</f>
        <v>0.02183961762</v>
      </c>
      <c r="AB389" s="459">
        <f>IF(CUENTAS!J378/CUENTAS!$AB378&lt;&gt;0,CUENTAS!J378/CUENTAS!$AB378,"")</f>
        <v>0.05394200471</v>
      </c>
      <c r="AC389" s="459" t="str">
        <f>IF(CUENTAS!K378/CUENTAS!$AB378&lt;&gt;0,CUENTAS!K378/CUENTAS!$AB378,"")</f>
        <v/>
      </c>
      <c r="AD389" s="459" t="str">
        <f>IF(CUENTAS!L378/CUENTAS!$AB378&lt;&gt;0,CUENTAS!L378/CUENTAS!$AB378,"")</f>
        <v/>
      </c>
      <c r="AE389" s="459" t="str">
        <f>IF(CUENTAS!M378/CUENTAS!$AB378&lt;&gt;0,CUENTAS!M378/CUENTAS!$AB378,"")</f>
        <v/>
      </c>
      <c r="AF389" s="459" t="str">
        <f>IF(CUENTAS!N378/CUENTAS!$AB378&lt;&gt;0,CUENTAS!N378/CUENTAS!$AB378,"")</f>
        <v/>
      </c>
      <c r="AG389" s="459" t="str">
        <f>IF(CUENTAS!O378/CUENTAS!$AB378&lt;&gt;0,CUENTAS!O378/CUENTAS!$AB378,"")</f>
        <v/>
      </c>
      <c r="AH389" s="459" t="str">
        <f>IF(CUENTAS!P378/CUENTAS!$AB378&lt;&gt;0,CUENTAS!P378/CUENTAS!$AB378,"")</f>
        <v/>
      </c>
      <c r="AI389" s="459">
        <f>IF(CUENTAS!R378/CUENTAS!$AB378&lt;&gt;0,CUENTAS!R378/CUENTAS!$AB378,"")</f>
        <v>0.03556341124</v>
      </c>
      <c r="AJ389" s="459" t="str">
        <f>IF(CUENTAS!B378/CUENTAS!$AB378&lt;&gt;0,CUENTAS!B378/CUENTAS!$AB378,"")</f>
        <v/>
      </c>
      <c r="AK389" s="459" t="str">
        <f>IF(CUENTAS!S378/CUENTAS!$AB378&lt;&gt;0,CUENTAS!S378/CUENTAS!$AB378,"")</f>
        <v/>
      </c>
      <c r="AL389" s="459" t="str">
        <f>IF(CUENTAS!T378/CUENTAS!$AB378&lt;&gt;0,CUENTAS!T378/CUENTAS!$AB378,"")</f>
        <v/>
      </c>
      <c r="AM389" s="459" t="str">
        <f>IF(CUENTAS!U378/CUENTAS!$AB378&lt;&gt;0,CUENTAS!U378/CUENTAS!$AB378,"")</f>
        <v/>
      </c>
      <c r="AN389" s="459">
        <f>IF(CUENTAS!V378/CUENTAS!$AB378&lt;&gt;0,CUENTAS!V378/CUENTAS!$AB378,"")</f>
        <v>0.09389184762</v>
      </c>
      <c r="AO389" s="459" t="str">
        <f>IF(CUENTAS!W378/CUENTAS!$AB378&lt;&gt;0,CUENTAS!W378/CUENTAS!$AB378,"")</f>
        <v/>
      </c>
      <c r="AP389" s="459" t="str">
        <f>IF(CUENTAS!X378/CUENTAS!$AB378&lt;&gt;0,CUENTAS!X378/CUENTAS!$AB378,"")</f>
        <v/>
      </c>
      <c r="AQ389" s="459" t="str">
        <f>IF(CUENTAS!Y378/CUENTAS!$AB378&lt;&gt;0,CUENTAS!Y378/CUENTAS!$AB378,"")</f>
        <v/>
      </c>
      <c r="AR389" s="459">
        <f>IF(CUENTAS!AA378/CUENTAS!$AB378&lt;&gt;0,CUENTAS!AA378/CUENTAS!$AB378,"")</f>
        <v>0.02313518816</v>
      </c>
    </row>
    <row r="390">
      <c r="A390" s="474"/>
      <c r="B390" s="200"/>
      <c r="C390" s="200"/>
      <c r="F390" s="200"/>
      <c r="G390" s="200"/>
      <c r="L390" s="481"/>
      <c r="N390" s="482"/>
      <c r="O390" s="481"/>
      <c r="S390" s="471">
        <f>CUENTAS!A379</f>
        <v>45723</v>
      </c>
      <c r="T390" s="459">
        <f>IF(CUENTAS!Q379/CUENTAS!$AB379&lt;&gt;0,CUENTAS!Q379/CUENTAS!$AB379,"")</f>
        <v>0.00853688443</v>
      </c>
      <c r="U390" s="459" t="str">
        <f>IF(CUENTAS!C379/CUENTAS!$AB379&lt;&gt;0,CUENTAS!C379/CUENTAS!$AB379,"")</f>
        <v/>
      </c>
      <c r="V390" s="459" t="str">
        <f>IF(CUENTAS!D379/CUENTAS!$AB379&lt;&gt;0,CUENTAS!D379/CUENTAS!$AB379,"")</f>
        <v/>
      </c>
      <c r="W390" s="459" t="str">
        <f>IF(CUENTAS!E379/CUENTAS!$AB379&lt;&gt;0,CUENTAS!E379/CUENTAS!$AB379,"")</f>
        <v/>
      </c>
      <c r="X390" s="459" t="str">
        <f>IF(CUENTAS!F379/CUENTAS!$AB379&lt;&gt;0,CUENTAS!F379/CUENTAS!$AB379,"")</f>
        <v/>
      </c>
      <c r="Y390" s="459" t="str">
        <f>IF(CUENTAS!G379/CUENTAS!$AB379&lt;&gt;0,CUENTAS!G379/CUENTAS!$AB379,"")</f>
        <v/>
      </c>
      <c r="Z390" s="459">
        <f>IF(CUENTAS!H379/CUENTAS!$AB379&lt;&gt;0,CUENTAS!H379/CUENTAS!$AB379,"")</f>
        <v>0.7630910462</v>
      </c>
      <c r="AA390" s="459">
        <f>IF(CUENTAS!I379/CUENTAS!$AB379&lt;&gt;0,CUENTAS!I379/CUENTAS!$AB379,"")</f>
        <v>0.02183961762</v>
      </c>
      <c r="AB390" s="459">
        <f>IF(CUENTAS!J379/CUENTAS!$AB379&lt;&gt;0,CUENTAS!J379/CUENTAS!$AB379,"")</f>
        <v>0.05394200471</v>
      </c>
      <c r="AC390" s="459" t="str">
        <f>IF(CUENTAS!K379/CUENTAS!$AB379&lt;&gt;0,CUENTAS!K379/CUENTAS!$AB379,"")</f>
        <v/>
      </c>
      <c r="AD390" s="459" t="str">
        <f>IF(CUENTAS!L379/CUENTAS!$AB379&lt;&gt;0,CUENTAS!L379/CUENTAS!$AB379,"")</f>
        <v/>
      </c>
      <c r="AE390" s="459" t="str">
        <f>IF(CUENTAS!M379/CUENTAS!$AB379&lt;&gt;0,CUENTAS!M379/CUENTAS!$AB379,"")</f>
        <v/>
      </c>
      <c r="AF390" s="459" t="str">
        <f>IF(CUENTAS!N379/CUENTAS!$AB379&lt;&gt;0,CUENTAS!N379/CUENTAS!$AB379,"")</f>
        <v/>
      </c>
      <c r="AG390" s="459" t="str">
        <f>IF(CUENTAS!O379/CUENTAS!$AB379&lt;&gt;0,CUENTAS!O379/CUENTAS!$AB379,"")</f>
        <v/>
      </c>
      <c r="AH390" s="459" t="str">
        <f>IF(CUENTAS!P379/CUENTAS!$AB379&lt;&gt;0,CUENTAS!P379/CUENTAS!$AB379,"")</f>
        <v/>
      </c>
      <c r="AI390" s="459">
        <f>IF(CUENTAS!R379/CUENTAS!$AB379&lt;&gt;0,CUENTAS!R379/CUENTAS!$AB379,"")</f>
        <v>0.03556341124</v>
      </c>
      <c r="AJ390" s="459" t="str">
        <f>IF(CUENTAS!B379/CUENTAS!$AB379&lt;&gt;0,CUENTAS!B379/CUENTAS!$AB379,"")</f>
        <v/>
      </c>
      <c r="AK390" s="459" t="str">
        <f>IF(CUENTAS!S379/CUENTAS!$AB379&lt;&gt;0,CUENTAS!S379/CUENTAS!$AB379,"")</f>
        <v/>
      </c>
      <c r="AL390" s="459" t="str">
        <f>IF(CUENTAS!T379/CUENTAS!$AB379&lt;&gt;0,CUENTAS!T379/CUENTAS!$AB379,"")</f>
        <v/>
      </c>
      <c r="AM390" s="459" t="str">
        <f>IF(CUENTAS!U379/CUENTAS!$AB379&lt;&gt;0,CUENTAS!U379/CUENTAS!$AB379,"")</f>
        <v/>
      </c>
      <c r="AN390" s="459">
        <f>IF(CUENTAS!V379/CUENTAS!$AB379&lt;&gt;0,CUENTAS!V379/CUENTAS!$AB379,"")</f>
        <v>0.09389184762</v>
      </c>
      <c r="AO390" s="459" t="str">
        <f>IF(CUENTAS!W379/CUENTAS!$AB379&lt;&gt;0,CUENTAS!W379/CUENTAS!$AB379,"")</f>
        <v/>
      </c>
      <c r="AP390" s="459" t="str">
        <f>IF(CUENTAS!X379/CUENTAS!$AB379&lt;&gt;0,CUENTAS!X379/CUENTAS!$AB379,"")</f>
        <v/>
      </c>
      <c r="AQ390" s="459" t="str">
        <f>IF(CUENTAS!Y379/CUENTAS!$AB379&lt;&gt;0,CUENTAS!Y379/CUENTAS!$AB379,"")</f>
        <v/>
      </c>
      <c r="AR390" s="459">
        <f>IF(CUENTAS!AA379/CUENTAS!$AB379&lt;&gt;0,CUENTAS!AA379/CUENTAS!$AB379,"")</f>
        <v>0.02313518816</v>
      </c>
    </row>
    <row r="391">
      <c r="A391" s="474"/>
      <c r="B391" s="200"/>
      <c r="C391" s="200"/>
      <c r="F391" s="200"/>
      <c r="G391" s="200"/>
      <c r="L391" s="481"/>
      <c r="N391" s="482"/>
      <c r="O391" s="481"/>
      <c r="S391" s="471">
        <f>CUENTAS!A380</f>
        <v>45722</v>
      </c>
      <c r="T391" s="459">
        <f>IF(CUENTAS!Q380/CUENTAS!$AB380&lt;&gt;0,CUENTAS!Q380/CUENTAS!$AB380,"")</f>
        <v>0.008313780553</v>
      </c>
      <c r="U391" s="459" t="str">
        <f>IF(CUENTAS!C380/CUENTAS!$AB380&lt;&gt;0,CUENTAS!C380/CUENTAS!$AB380,"")</f>
        <v/>
      </c>
      <c r="V391" s="459" t="str">
        <f>IF(CUENTAS!D380/CUENTAS!$AB380&lt;&gt;0,CUENTAS!D380/CUENTAS!$AB380,"")</f>
        <v/>
      </c>
      <c r="W391" s="459" t="str">
        <f>IF(CUENTAS!E380/CUENTAS!$AB380&lt;&gt;0,CUENTAS!E380/CUENTAS!$AB380,"")</f>
        <v/>
      </c>
      <c r="X391" s="459" t="str">
        <f>IF(CUENTAS!F380/CUENTAS!$AB380&lt;&gt;0,CUENTAS!F380/CUENTAS!$AB380,"")</f>
        <v/>
      </c>
      <c r="Y391" s="459" t="str">
        <f>IF(CUENTAS!G380/CUENTAS!$AB380&lt;&gt;0,CUENTAS!G380/CUENTAS!$AB380,"")</f>
        <v/>
      </c>
      <c r="Z391" s="459">
        <f>IF(CUENTAS!H380/CUENTAS!$AB380&lt;&gt;0,CUENTAS!H380/CUENTAS!$AB380,"")</f>
        <v>0.7687475751</v>
      </c>
      <c r="AA391" s="459">
        <f>IF(CUENTAS!I380/CUENTAS!$AB380&lt;&gt;0,CUENTAS!I380/CUENTAS!$AB380,"")</f>
        <v>0.02183753025</v>
      </c>
      <c r="AB391" s="459">
        <f>IF(CUENTAS!J380/CUENTAS!$AB380&lt;&gt;0,CUENTAS!J380/CUENTAS!$AB380,"")</f>
        <v>0.05340218375</v>
      </c>
      <c r="AC391" s="459" t="str">
        <f>IF(CUENTAS!K380/CUENTAS!$AB380&lt;&gt;0,CUENTAS!K380/CUENTAS!$AB380,"")</f>
        <v/>
      </c>
      <c r="AD391" s="459" t="str">
        <f>IF(CUENTAS!L380/CUENTAS!$AB380&lt;&gt;0,CUENTAS!L380/CUENTAS!$AB380,"")</f>
        <v/>
      </c>
      <c r="AE391" s="459" t="str">
        <f>IF(CUENTAS!M380/CUENTAS!$AB380&lt;&gt;0,CUENTAS!M380/CUENTAS!$AB380,"")</f>
        <v/>
      </c>
      <c r="AF391" s="459" t="str">
        <f>IF(CUENTAS!N380/CUENTAS!$AB380&lt;&gt;0,CUENTAS!N380/CUENTAS!$AB380,"")</f>
        <v/>
      </c>
      <c r="AG391" s="459" t="str">
        <f>IF(CUENTAS!O380/CUENTAS!$AB380&lt;&gt;0,CUENTAS!O380/CUENTAS!$AB380,"")</f>
        <v/>
      </c>
      <c r="AH391" s="459" t="str">
        <f>IF(CUENTAS!P380/CUENTAS!$AB380&lt;&gt;0,CUENTAS!P380/CUENTAS!$AB380,"")</f>
        <v/>
      </c>
      <c r="AI391" s="459">
        <f>IF(CUENTAS!R380/CUENTAS!$AB380&lt;&gt;0,CUENTAS!R380/CUENTAS!$AB380,"")</f>
        <v>0.03549984296</v>
      </c>
      <c r="AJ391" s="459" t="str">
        <f>IF(CUENTAS!B380/CUENTAS!$AB380&lt;&gt;0,CUENTAS!B380/CUENTAS!$AB380,"")</f>
        <v/>
      </c>
      <c r="AK391" s="459" t="str">
        <f>IF(CUENTAS!S380/CUENTAS!$AB380&lt;&gt;0,CUENTAS!S380/CUENTAS!$AB380,"")</f>
        <v/>
      </c>
      <c r="AL391" s="459" t="str">
        <f>IF(CUENTAS!T380/CUENTAS!$AB380&lt;&gt;0,CUENTAS!T380/CUENTAS!$AB380,"")</f>
        <v/>
      </c>
      <c r="AM391" s="459" t="str">
        <f>IF(CUENTAS!U380/CUENTAS!$AB380&lt;&gt;0,CUENTAS!U380/CUENTAS!$AB380,"")</f>
        <v/>
      </c>
      <c r="AN391" s="459">
        <f>IF(CUENTAS!V380/CUENTAS!$AB380&lt;&gt;0,CUENTAS!V380/CUENTAS!$AB380,"")</f>
        <v>0.1121990873</v>
      </c>
      <c r="AO391" s="459" t="str">
        <f>IF(CUENTAS!W380/CUENTAS!$AB380&lt;&gt;0,CUENTAS!W380/CUENTAS!$AB380,"")</f>
        <v/>
      </c>
      <c r="AP391" s="459" t="str">
        <f>IF(CUENTAS!X380/CUENTAS!$AB380&lt;&gt;0,CUENTAS!X380/CUENTAS!$AB380,"")</f>
        <v/>
      </c>
      <c r="AQ391" s="459" t="str">
        <f>IF(CUENTAS!Y380/CUENTAS!$AB380&lt;&gt;0,CUENTAS!Y380/CUENTAS!$AB380,"")</f>
        <v/>
      </c>
      <c r="AR391" s="459" t="str">
        <f>IF(CUENTAS!AA380/CUENTAS!$AB380&lt;&gt;0,CUENTAS!AA380/CUENTAS!$AB380,"")</f>
        <v/>
      </c>
    </row>
    <row r="392">
      <c r="A392" s="474"/>
      <c r="B392" s="200"/>
      <c r="C392" s="200"/>
      <c r="F392" s="200"/>
      <c r="G392" s="200"/>
      <c r="L392" s="481"/>
      <c r="N392" s="482"/>
      <c r="O392" s="481"/>
      <c r="S392" s="471">
        <f>CUENTAS!A381</f>
        <v>45721</v>
      </c>
      <c r="T392" s="459">
        <f>IF(CUENTAS!Q381/CUENTAS!$AB381&lt;&gt;0,CUENTAS!Q381/CUENTAS!$AB381,"")</f>
        <v>0.009662722585</v>
      </c>
      <c r="U392" s="459" t="str">
        <f>IF(CUENTAS!C381/CUENTAS!$AB381&lt;&gt;0,CUENTAS!C381/CUENTAS!$AB381,"")</f>
        <v/>
      </c>
      <c r="V392" s="459" t="str">
        <f>IF(CUENTAS!D381/CUENTAS!$AB381&lt;&gt;0,CUENTAS!D381/CUENTAS!$AB381,"")</f>
        <v/>
      </c>
      <c r="W392" s="459" t="str">
        <f>IF(CUENTAS!E381/CUENTAS!$AB381&lt;&gt;0,CUENTAS!E381/CUENTAS!$AB381,"")</f>
        <v/>
      </c>
      <c r="X392" s="459" t="str">
        <f>IF(CUENTAS!F381/CUENTAS!$AB381&lt;&gt;0,CUENTAS!F381/CUENTAS!$AB381,"")</f>
        <v/>
      </c>
      <c r="Y392" s="459" t="str">
        <f>IF(CUENTAS!G381/CUENTAS!$AB381&lt;&gt;0,CUENTAS!G381/CUENTAS!$AB381,"")</f>
        <v/>
      </c>
      <c r="Z392" s="459">
        <f>IF(CUENTAS!H381/CUENTAS!$AB381&lt;&gt;0,CUENTAS!H381/CUENTAS!$AB381,"")</f>
        <v>0.6677792427</v>
      </c>
      <c r="AA392" s="459">
        <f>IF(CUENTAS!I381/CUENTAS!$AB381&lt;&gt;0,CUENTAS!I381/CUENTAS!$AB381,"")</f>
        <v>0.02572275719</v>
      </c>
      <c r="AB392" s="459">
        <f>IF(CUENTAS!J381/CUENTAS!$AB381&lt;&gt;0,CUENTAS!J381/CUENTAS!$AB381,"")</f>
        <v>0.06331670032</v>
      </c>
      <c r="AC392" s="459" t="str">
        <f>IF(CUENTAS!K381/CUENTAS!$AB381&lt;&gt;0,CUENTAS!K381/CUENTAS!$AB381,"")</f>
        <v/>
      </c>
      <c r="AD392" s="459" t="str">
        <f>IF(CUENTAS!L381/CUENTAS!$AB381&lt;&gt;0,CUENTAS!L381/CUENTAS!$AB381,"")</f>
        <v/>
      </c>
      <c r="AE392" s="459" t="str">
        <f>IF(CUENTAS!M381/CUENTAS!$AB381&lt;&gt;0,CUENTAS!M381/CUENTAS!$AB381,"")</f>
        <v/>
      </c>
      <c r="AF392" s="459" t="str">
        <f>IF(CUENTAS!N381/CUENTAS!$AB381&lt;&gt;0,CUENTAS!N381/CUENTAS!$AB381,"")</f>
        <v/>
      </c>
      <c r="AG392" s="459" t="str">
        <f>IF(CUENTAS!O381/CUENTAS!$AB381&lt;&gt;0,CUENTAS!O381/CUENTAS!$AB381,"")</f>
        <v/>
      </c>
      <c r="AH392" s="459" t="str">
        <f>IF(CUENTAS!P381/CUENTAS!$AB381&lt;&gt;0,CUENTAS!P381/CUENTAS!$AB381,"")</f>
        <v/>
      </c>
      <c r="AI392" s="459">
        <f>IF(CUENTAS!R381/CUENTAS!$AB381&lt;&gt;0,CUENTAS!R381/CUENTAS!$AB381,"")</f>
        <v>0.04275629579</v>
      </c>
      <c r="AJ392" s="459" t="str">
        <f>IF(CUENTAS!B381/CUENTAS!$AB381&lt;&gt;0,CUENTAS!B381/CUENTAS!$AB381,"")</f>
        <v/>
      </c>
      <c r="AK392" s="459" t="str">
        <f>IF(CUENTAS!S381/CUENTAS!$AB381&lt;&gt;0,CUENTAS!S381/CUENTAS!$AB381,"")</f>
        <v/>
      </c>
      <c r="AL392" s="459" t="str">
        <f>IF(CUENTAS!T381/CUENTAS!$AB381&lt;&gt;0,CUENTAS!T381/CUENTAS!$AB381,"")</f>
        <v/>
      </c>
      <c r="AM392" s="459" t="str">
        <f>IF(CUENTAS!U381/CUENTAS!$AB381&lt;&gt;0,CUENTAS!U381/CUENTAS!$AB381,"")</f>
        <v/>
      </c>
      <c r="AN392" s="459">
        <f>IF(CUENTAS!V381/CUENTAS!$AB381&lt;&gt;0,CUENTAS!V381/CUENTAS!$AB381,"")</f>
        <v>0.1351334813</v>
      </c>
      <c r="AO392" s="459" t="str">
        <f>IF(CUENTAS!W381/CUENTAS!$AB381&lt;&gt;0,CUENTAS!W381/CUENTAS!$AB381,"")</f>
        <v/>
      </c>
      <c r="AP392" s="459" t="str">
        <f>IF(CUENTAS!X381/CUENTAS!$AB381&lt;&gt;0,CUENTAS!X381/CUENTAS!$AB381,"")</f>
        <v/>
      </c>
      <c r="AQ392" s="459" t="str">
        <f>IF(CUENTAS!Y381/CUENTAS!$AB381&lt;&gt;0,CUENTAS!Y381/CUENTAS!$AB381,"")</f>
        <v/>
      </c>
      <c r="AR392" s="459">
        <f>IF(CUENTAS!AA381/CUENTAS!$AB381&lt;&gt;0,CUENTAS!AA381/CUENTAS!$AB381,"")</f>
        <v>0.05562880014</v>
      </c>
    </row>
    <row r="393">
      <c r="A393" s="474"/>
      <c r="B393" s="200"/>
      <c r="C393" s="200"/>
      <c r="F393" s="200"/>
      <c r="G393" s="200"/>
      <c r="L393" s="481"/>
      <c r="N393" s="482"/>
      <c r="O393" s="481"/>
      <c r="S393" s="471">
        <f>CUENTAS!A382</f>
        <v>45720</v>
      </c>
      <c r="T393" s="459">
        <f>IF(CUENTAS!Q382/CUENTAS!$AB382&lt;&gt;0,CUENTAS!Q382/CUENTAS!$AB382,"")</f>
        <v>0.009625832295</v>
      </c>
      <c r="U393" s="459" t="str">
        <f>IF(CUENTAS!C382/CUENTAS!$AB382&lt;&gt;0,CUENTAS!C382/CUENTAS!$AB382,"")</f>
        <v/>
      </c>
      <c r="V393" s="459" t="str">
        <f>IF(CUENTAS!D382/CUENTAS!$AB382&lt;&gt;0,CUENTAS!D382/CUENTAS!$AB382,"")</f>
        <v/>
      </c>
      <c r="W393" s="459" t="str">
        <f>IF(CUENTAS!E382/CUENTAS!$AB382&lt;&gt;0,CUENTAS!E382/CUENTAS!$AB382,"")</f>
        <v/>
      </c>
      <c r="X393" s="459" t="str">
        <f>IF(CUENTAS!F382/CUENTAS!$AB382&lt;&gt;0,CUENTAS!F382/CUENTAS!$AB382,"")</f>
        <v/>
      </c>
      <c r="Y393" s="459" t="str">
        <f>IF(CUENTAS!G382/CUENTAS!$AB382&lt;&gt;0,CUENTAS!G382/CUENTAS!$AB382,"")</f>
        <v/>
      </c>
      <c r="Z393" s="459">
        <f>IF(CUENTAS!H382/CUENTAS!$AB382&lt;&gt;0,CUENTAS!H382/CUENTAS!$AB382,"")</f>
        <v>0.663952634</v>
      </c>
      <c r="AA393" s="459">
        <f>IF(CUENTAS!I382/CUENTAS!$AB382&lt;&gt;0,CUENTAS!I382/CUENTAS!$AB382,"")</f>
        <v>0.02522631912</v>
      </c>
      <c r="AB393" s="459">
        <f>IF(CUENTAS!J382/CUENTAS!$AB382&lt;&gt;0,CUENTAS!J382/CUENTAS!$AB382,"")</f>
        <v>0.06301473237</v>
      </c>
      <c r="AC393" s="459" t="str">
        <f>IF(CUENTAS!K382/CUENTAS!$AB382&lt;&gt;0,CUENTAS!K382/CUENTAS!$AB382,"")</f>
        <v/>
      </c>
      <c r="AD393" s="459" t="str">
        <f>IF(CUENTAS!L382/CUENTAS!$AB382&lt;&gt;0,CUENTAS!L382/CUENTAS!$AB382,"")</f>
        <v/>
      </c>
      <c r="AE393" s="459" t="str">
        <f>IF(CUENTAS!M382/CUENTAS!$AB382&lt;&gt;0,CUENTAS!M382/CUENTAS!$AB382,"")</f>
        <v/>
      </c>
      <c r="AF393" s="459" t="str">
        <f>IF(CUENTAS!N382/CUENTAS!$AB382&lt;&gt;0,CUENTAS!N382/CUENTAS!$AB382,"")</f>
        <v/>
      </c>
      <c r="AG393" s="459" t="str">
        <f>IF(CUENTAS!O382/CUENTAS!$AB382&lt;&gt;0,CUENTAS!O382/CUENTAS!$AB382,"")</f>
        <v/>
      </c>
      <c r="AH393" s="459" t="str">
        <f>IF(CUENTAS!P382/CUENTAS!$AB382&lt;&gt;0,CUENTAS!P382/CUENTAS!$AB382,"")</f>
        <v/>
      </c>
      <c r="AI393" s="459">
        <f>IF(CUENTAS!R382/CUENTAS!$AB382&lt;&gt;0,CUENTAS!R382/CUENTAS!$AB382,"")</f>
        <v>0.04360987151</v>
      </c>
      <c r="AJ393" s="459" t="str">
        <f>IF(CUENTAS!B382/CUENTAS!$AB382&lt;&gt;0,CUENTAS!B382/CUENTAS!$AB382,"")</f>
        <v/>
      </c>
      <c r="AK393" s="459" t="str">
        <f>IF(CUENTAS!S382/CUENTAS!$AB382&lt;&gt;0,CUENTAS!S382/CUENTAS!$AB382,"")</f>
        <v/>
      </c>
      <c r="AL393" s="459" t="str">
        <f>IF(CUENTAS!T382/CUENTAS!$AB382&lt;&gt;0,CUENTAS!T382/CUENTAS!$AB382,"")</f>
        <v/>
      </c>
      <c r="AM393" s="459" t="str">
        <f>IF(CUENTAS!U382/CUENTAS!$AB382&lt;&gt;0,CUENTAS!U382/CUENTAS!$AB382,"")</f>
        <v/>
      </c>
      <c r="AN393" s="459">
        <f>IF(CUENTAS!V382/CUENTAS!$AB382&lt;&gt;0,CUENTAS!V382/CUENTAS!$AB382,"")</f>
        <v>0.1378312515</v>
      </c>
      <c r="AO393" s="459" t="str">
        <f>IF(CUENTAS!W382/CUENTAS!$AB382&lt;&gt;0,CUENTAS!W382/CUENTAS!$AB382,"")</f>
        <v/>
      </c>
      <c r="AP393" s="459" t="str">
        <f>IF(CUENTAS!X382/CUENTAS!$AB382&lt;&gt;0,CUENTAS!X382/CUENTAS!$AB382,"")</f>
        <v/>
      </c>
      <c r="AQ393" s="459" t="str">
        <f>IF(CUENTAS!Y382/CUENTAS!$AB382&lt;&gt;0,CUENTAS!Y382/CUENTAS!$AB382,"")</f>
        <v/>
      </c>
      <c r="AR393" s="459">
        <f>IF(CUENTAS!AA382/CUENTAS!$AB382&lt;&gt;0,CUENTAS!AA382/CUENTAS!$AB382,"")</f>
        <v>0.05673935924</v>
      </c>
    </row>
    <row r="394">
      <c r="A394" s="474"/>
      <c r="B394" s="200"/>
      <c r="C394" s="200"/>
      <c r="F394" s="200"/>
      <c r="G394" s="200"/>
      <c r="L394" s="481"/>
      <c r="N394" s="482"/>
      <c r="O394" s="481"/>
      <c r="S394" s="471">
        <f>CUENTAS!A383</f>
        <v>45719</v>
      </c>
      <c r="T394" s="459">
        <f>IF(CUENTAS!Q383/CUENTAS!$AB383&lt;&gt;0,CUENTAS!Q383/CUENTAS!$AB383,"")</f>
        <v>0.01024574378</v>
      </c>
      <c r="U394" s="459" t="str">
        <f>IF(CUENTAS!C383/CUENTAS!$AB383&lt;&gt;0,CUENTAS!C383/CUENTAS!$AB383,"")</f>
        <v/>
      </c>
      <c r="V394" s="459" t="str">
        <f>IF(CUENTAS!D383/CUENTAS!$AB383&lt;&gt;0,CUENTAS!D383/CUENTAS!$AB383,"")</f>
        <v/>
      </c>
      <c r="W394" s="459" t="str">
        <f>IF(CUENTAS!E383/CUENTAS!$AB383&lt;&gt;0,CUENTAS!E383/CUENTAS!$AB383,"")</f>
        <v/>
      </c>
      <c r="X394" s="459" t="str">
        <f>IF(CUENTAS!F383/CUENTAS!$AB383&lt;&gt;0,CUENTAS!F383/CUENTAS!$AB383,"")</f>
        <v/>
      </c>
      <c r="Y394" s="459" t="str">
        <f>IF(CUENTAS!G383/CUENTAS!$AB383&lt;&gt;0,CUENTAS!G383/CUENTAS!$AB383,"")</f>
        <v/>
      </c>
      <c r="Z394" s="459">
        <f>IF(CUENTAS!H383/CUENTAS!$AB383&lt;&gt;0,CUENTAS!H383/CUENTAS!$AB383,"")</f>
        <v>0.6606578846</v>
      </c>
      <c r="AA394" s="459">
        <f>IF(CUENTAS!I383/CUENTAS!$AB383&lt;&gt;0,CUENTAS!I383/CUENTAS!$AB383,"")</f>
        <v>0.02522204818</v>
      </c>
      <c r="AB394" s="459">
        <f>IF(CUENTAS!J383/CUENTAS!$AB383&lt;&gt;0,CUENTAS!J383/CUENTAS!$AB383,"")</f>
        <v>0.06433334189</v>
      </c>
      <c r="AC394" s="459" t="str">
        <f>IF(CUENTAS!K383/CUENTAS!$AB383&lt;&gt;0,CUENTAS!K383/CUENTAS!$AB383,"")</f>
        <v/>
      </c>
      <c r="AD394" s="459" t="str">
        <f>IF(CUENTAS!L383/CUENTAS!$AB383&lt;&gt;0,CUENTAS!L383/CUENTAS!$AB383,"")</f>
        <v/>
      </c>
      <c r="AE394" s="459" t="str">
        <f>IF(CUENTAS!M383/CUENTAS!$AB383&lt;&gt;0,CUENTAS!M383/CUENTAS!$AB383,"")</f>
        <v/>
      </c>
      <c r="AF394" s="459" t="str">
        <f>IF(CUENTAS!N383/CUENTAS!$AB383&lt;&gt;0,CUENTAS!N383/CUENTAS!$AB383,"")</f>
        <v/>
      </c>
      <c r="AG394" s="459" t="str">
        <f>IF(CUENTAS!O383/CUENTAS!$AB383&lt;&gt;0,CUENTAS!O383/CUENTAS!$AB383,"")</f>
        <v/>
      </c>
      <c r="AH394" s="459" t="str">
        <f>IF(CUENTAS!P383/CUENTAS!$AB383&lt;&gt;0,CUENTAS!P383/CUENTAS!$AB383,"")</f>
        <v/>
      </c>
      <c r="AI394" s="459">
        <f>IF(CUENTAS!R383/CUENTAS!$AB383&lt;&gt;0,CUENTAS!R383/CUENTAS!$AB383,"")</f>
        <v>0.04385897337</v>
      </c>
      <c r="AJ394" s="459" t="str">
        <f>IF(CUENTAS!B383/CUENTAS!$AB383&lt;&gt;0,CUENTAS!B383/CUENTAS!$AB383,"")</f>
        <v/>
      </c>
      <c r="AK394" s="459" t="str">
        <f>IF(CUENTAS!S383/CUENTAS!$AB383&lt;&gt;0,CUENTAS!S383/CUENTAS!$AB383,"")</f>
        <v/>
      </c>
      <c r="AL394" s="459" t="str">
        <f>IF(CUENTAS!T383/CUENTAS!$AB383&lt;&gt;0,CUENTAS!T383/CUENTAS!$AB383,"")</f>
        <v/>
      </c>
      <c r="AM394" s="459" t="str">
        <f>IF(CUENTAS!U383/CUENTAS!$AB383&lt;&gt;0,CUENTAS!U383/CUENTAS!$AB383,"")</f>
        <v/>
      </c>
      <c r="AN394" s="459">
        <f>IF(CUENTAS!V383/CUENTAS!$AB383&lt;&gt;0,CUENTAS!V383/CUENTAS!$AB383,"")</f>
        <v>0.1386185508</v>
      </c>
      <c r="AO394" s="459" t="str">
        <f>IF(CUENTAS!W383/CUENTAS!$AB383&lt;&gt;0,CUENTAS!W383/CUENTAS!$AB383,"")</f>
        <v/>
      </c>
      <c r="AP394" s="459" t="str">
        <f>IF(CUENTAS!X383/CUENTAS!$AB383&lt;&gt;0,CUENTAS!X383/CUENTAS!$AB383,"")</f>
        <v/>
      </c>
      <c r="AQ394" s="459" t="str">
        <f>IF(CUENTAS!Y383/CUENTAS!$AB383&lt;&gt;0,CUENTAS!Y383/CUENTAS!$AB383,"")</f>
        <v/>
      </c>
      <c r="AR394" s="459">
        <f>IF(CUENTAS!AA383/CUENTAS!$AB383&lt;&gt;0,CUENTAS!AA383/CUENTAS!$AB383,"")</f>
        <v>0.05706345742</v>
      </c>
    </row>
    <row r="395">
      <c r="A395" s="474"/>
      <c r="B395" s="200"/>
      <c r="C395" s="200"/>
      <c r="F395" s="200"/>
      <c r="G395" s="200"/>
      <c r="L395" s="481"/>
      <c r="N395" s="482"/>
      <c r="O395" s="481"/>
      <c r="S395" s="471">
        <f>CUENTAS!A384</f>
        <v>45718</v>
      </c>
      <c r="T395" s="459">
        <f>IF(CUENTAS!Q384/CUENTAS!$AB384&lt;&gt;0,CUENTAS!Q384/CUENTAS!$AB384,"")</f>
        <v>0.01025975895</v>
      </c>
      <c r="U395" s="459" t="str">
        <f>IF(CUENTAS!C384/CUENTAS!$AB384&lt;&gt;0,CUENTAS!C384/CUENTAS!$AB384,"")</f>
        <v/>
      </c>
      <c r="V395" s="459" t="str">
        <f>IF(CUENTAS!D384/CUENTAS!$AB384&lt;&gt;0,CUENTAS!D384/CUENTAS!$AB384,"")</f>
        <v/>
      </c>
      <c r="W395" s="459" t="str">
        <f>IF(CUENTAS!E384/CUENTAS!$AB384&lt;&gt;0,CUENTAS!E384/CUENTAS!$AB384,"")</f>
        <v/>
      </c>
      <c r="X395" s="459" t="str">
        <f>IF(CUENTAS!F384/CUENTAS!$AB384&lt;&gt;0,CUENTAS!F384/CUENTAS!$AB384,"")</f>
        <v/>
      </c>
      <c r="Y395" s="459" t="str">
        <f>IF(CUENTAS!G384/CUENTAS!$AB384&lt;&gt;0,CUENTAS!G384/CUENTAS!$AB384,"")</f>
        <v/>
      </c>
      <c r="Z395" s="459">
        <f>IF(CUENTAS!H384/CUENTAS!$AB384&lt;&gt;0,CUENTAS!H384/CUENTAS!$AB384,"")</f>
        <v>0.6681792525</v>
      </c>
      <c r="AA395" s="459">
        <f>IF(CUENTAS!I384/CUENTAS!$AB384&lt;&gt;0,CUENTAS!I384/CUENTAS!$AB384,"")</f>
        <v>0.02531183248</v>
      </c>
      <c r="AB395" s="459">
        <f>IF(CUENTAS!J384/CUENTAS!$AB384&lt;&gt;0,CUENTAS!J384/CUENTAS!$AB384,"")</f>
        <v>0.06394917712</v>
      </c>
      <c r="AC395" s="459" t="str">
        <f>IF(CUENTAS!K384/CUENTAS!$AB384&lt;&gt;0,CUENTAS!K384/CUENTAS!$AB384,"")</f>
        <v/>
      </c>
      <c r="AD395" s="459" t="str">
        <f>IF(CUENTAS!L384/CUENTAS!$AB384&lt;&gt;0,CUENTAS!L384/CUENTAS!$AB384,"")</f>
        <v/>
      </c>
      <c r="AE395" s="459" t="str">
        <f>IF(CUENTAS!M384/CUENTAS!$AB384&lt;&gt;0,CUENTAS!M384/CUENTAS!$AB384,"")</f>
        <v/>
      </c>
      <c r="AF395" s="459" t="str">
        <f>IF(CUENTAS!N384/CUENTAS!$AB384&lt;&gt;0,CUENTAS!N384/CUENTAS!$AB384,"")</f>
        <v/>
      </c>
      <c r="AG395" s="459" t="str">
        <f>IF(CUENTAS!O384/CUENTAS!$AB384&lt;&gt;0,CUENTAS!O384/CUENTAS!$AB384,"")</f>
        <v/>
      </c>
      <c r="AH395" s="459" t="str">
        <f>IF(CUENTAS!P384/CUENTAS!$AB384&lt;&gt;0,CUENTAS!P384/CUENTAS!$AB384,"")</f>
        <v/>
      </c>
      <c r="AI395" s="459">
        <f>IF(CUENTAS!R384/CUENTAS!$AB384&lt;&gt;0,CUENTAS!R384/CUENTAS!$AB384,"")</f>
        <v>0.04253317543</v>
      </c>
      <c r="AJ395" s="459" t="str">
        <f>IF(CUENTAS!B384/CUENTAS!$AB384&lt;&gt;0,CUENTAS!B384/CUENTAS!$AB384,"")</f>
        <v/>
      </c>
      <c r="AK395" s="459" t="str">
        <f>IF(CUENTAS!S384/CUENTAS!$AB384&lt;&gt;0,CUENTAS!S384/CUENTAS!$AB384,"")</f>
        <v/>
      </c>
      <c r="AL395" s="459" t="str">
        <f>IF(CUENTAS!T384/CUENTAS!$AB384&lt;&gt;0,CUENTAS!T384/CUENTAS!$AB384,"")</f>
        <v/>
      </c>
      <c r="AM395" s="459" t="str">
        <f>IF(CUENTAS!U384/CUENTAS!$AB384&lt;&gt;0,CUENTAS!U384/CUENTAS!$AB384,"")</f>
        <v/>
      </c>
      <c r="AN395" s="459">
        <f>IF(CUENTAS!V384/CUENTAS!$AB384&lt;&gt;0,CUENTAS!V384/CUENTAS!$AB384,"")</f>
        <v>0.1344282979</v>
      </c>
      <c r="AO395" s="459" t="str">
        <f>IF(CUENTAS!W384/CUENTAS!$AB384&lt;&gt;0,CUENTAS!W384/CUENTAS!$AB384,"")</f>
        <v/>
      </c>
      <c r="AP395" s="459" t="str">
        <f>IF(CUENTAS!X384/CUENTAS!$AB384&lt;&gt;0,CUENTAS!X384/CUENTAS!$AB384,"")</f>
        <v/>
      </c>
      <c r="AQ395" s="459" t="str">
        <f>IF(CUENTAS!Y384/CUENTAS!$AB384&lt;&gt;0,CUENTAS!Y384/CUENTAS!$AB384,"")</f>
        <v/>
      </c>
      <c r="AR395" s="459">
        <f>IF(CUENTAS!AA384/CUENTAS!$AB384&lt;&gt;0,CUENTAS!AA384/CUENTAS!$AB384,"")</f>
        <v>0.05533850564</v>
      </c>
    </row>
    <row r="396">
      <c r="A396" s="474"/>
      <c r="B396" s="200"/>
      <c r="C396" s="200"/>
      <c r="F396" s="200"/>
      <c r="G396" s="200"/>
      <c r="L396" s="481"/>
      <c r="N396" s="482"/>
      <c r="O396" s="481"/>
      <c r="S396" s="471">
        <f>CUENTAS!A385</f>
        <v>45717</v>
      </c>
      <c r="T396" s="459">
        <f>IF(CUENTAS!Q385/CUENTAS!$AB385&lt;&gt;0,CUENTAS!Q385/CUENTAS!$AB385,"")</f>
        <v>0.01025975895</v>
      </c>
      <c r="U396" s="459" t="str">
        <f>IF(CUENTAS!C385/CUENTAS!$AB385&lt;&gt;0,CUENTAS!C385/CUENTAS!$AB385,"")</f>
        <v/>
      </c>
      <c r="V396" s="459" t="str">
        <f>IF(CUENTAS!D385/CUENTAS!$AB385&lt;&gt;0,CUENTAS!D385/CUENTAS!$AB385,"")</f>
        <v/>
      </c>
      <c r="W396" s="459" t="str">
        <f>IF(CUENTAS!E385/CUENTAS!$AB385&lt;&gt;0,CUENTAS!E385/CUENTAS!$AB385,"")</f>
        <v/>
      </c>
      <c r="X396" s="459" t="str">
        <f>IF(CUENTAS!F385/CUENTAS!$AB385&lt;&gt;0,CUENTAS!F385/CUENTAS!$AB385,"")</f>
        <v/>
      </c>
      <c r="Y396" s="459" t="str">
        <f>IF(CUENTAS!G385/CUENTAS!$AB385&lt;&gt;0,CUENTAS!G385/CUENTAS!$AB385,"")</f>
        <v/>
      </c>
      <c r="Z396" s="459">
        <f>IF(CUENTAS!H385/CUENTAS!$AB385&lt;&gt;0,CUENTAS!H385/CUENTAS!$AB385,"")</f>
        <v>0.6681792525</v>
      </c>
      <c r="AA396" s="459">
        <f>IF(CUENTAS!I385/CUENTAS!$AB385&lt;&gt;0,CUENTAS!I385/CUENTAS!$AB385,"")</f>
        <v>0.02531183248</v>
      </c>
      <c r="AB396" s="459">
        <f>IF(CUENTAS!J385/CUENTAS!$AB385&lt;&gt;0,CUENTAS!J385/CUENTAS!$AB385,"")</f>
        <v>0.06394917712</v>
      </c>
      <c r="AC396" s="459" t="str">
        <f>IF(CUENTAS!K385/CUENTAS!$AB385&lt;&gt;0,CUENTAS!K385/CUENTAS!$AB385,"")</f>
        <v/>
      </c>
      <c r="AD396" s="459" t="str">
        <f>IF(CUENTAS!L385/CUENTAS!$AB385&lt;&gt;0,CUENTAS!L385/CUENTAS!$AB385,"")</f>
        <v/>
      </c>
      <c r="AE396" s="459" t="str">
        <f>IF(CUENTAS!M385/CUENTAS!$AB385&lt;&gt;0,CUENTAS!M385/CUENTAS!$AB385,"")</f>
        <v/>
      </c>
      <c r="AF396" s="459" t="str">
        <f>IF(CUENTAS!N385/CUENTAS!$AB385&lt;&gt;0,CUENTAS!N385/CUENTAS!$AB385,"")</f>
        <v/>
      </c>
      <c r="AG396" s="459" t="str">
        <f>IF(CUENTAS!O385/CUENTAS!$AB385&lt;&gt;0,CUENTAS!O385/CUENTAS!$AB385,"")</f>
        <v/>
      </c>
      <c r="AH396" s="459" t="str">
        <f>IF(CUENTAS!P385/CUENTAS!$AB385&lt;&gt;0,CUENTAS!P385/CUENTAS!$AB385,"")</f>
        <v/>
      </c>
      <c r="AI396" s="459">
        <f>IF(CUENTAS!R385/CUENTAS!$AB385&lt;&gt;0,CUENTAS!R385/CUENTAS!$AB385,"")</f>
        <v>0.04253317543</v>
      </c>
      <c r="AJ396" s="459" t="str">
        <f>IF(CUENTAS!B385/CUENTAS!$AB385&lt;&gt;0,CUENTAS!B385/CUENTAS!$AB385,"")</f>
        <v/>
      </c>
      <c r="AK396" s="459" t="str">
        <f>IF(CUENTAS!S385/CUENTAS!$AB385&lt;&gt;0,CUENTAS!S385/CUENTAS!$AB385,"")</f>
        <v/>
      </c>
      <c r="AL396" s="459" t="str">
        <f>IF(CUENTAS!T385/CUENTAS!$AB385&lt;&gt;0,CUENTAS!T385/CUENTAS!$AB385,"")</f>
        <v/>
      </c>
      <c r="AM396" s="459" t="str">
        <f>IF(CUENTAS!U385/CUENTAS!$AB385&lt;&gt;0,CUENTAS!U385/CUENTAS!$AB385,"")</f>
        <v/>
      </c>
      <c r="AN396" s="459">
        <f>IF(CUENTAS!V385/CUENTAS!$AB385&lt;&gt;0,CUENTAS!V385/CUENTAS!$AB385,"")</f>
        <v>0.1344282979</v>
      </c>
      <c r="AO396" s="459" t="str">
        <f>IF(CUENTAS!W385/CUENTAS!$AB385&lt;&gt;0,CUENTAS!W385/CUENTAS!$AB385,"")</f>
        <v/>
      </c>
      <c r="AP396" s="459" t="str">
        <f>IF(CUENTAS!X385/CUENTAS!$AB385&lt;&gt;0,CUENTAS!X385/CUENTAS!$AB385,"")</f>
        <v/>
      </c>
      <c r="AQ396" s="459" t="str">
        <f>IF(CUENTAS!Y385/CUENTAS!$AB385&lt;&gt;0,CUENTAS!Y385/CUENTAS!$AB385,"")</f>
        <v/>
      </c>
      <c r="AR396" s="459">
        <f>IF(CUENTAS!AA385/CUENTAS!$AB385&lt;&gt;0,CUENTAS!AA385/CUENTAS!$AB385,"")</f>
        <v>0.05533850564</v>
      </c>
    </row>
    <row r="397">
      <c r="A397" s="474"/>
      <c r="B397" s="200"/>
      <c r="C397" s="200"/>
      <c r="F397" s="200"/>
      <c r="G397" s="200"/>
      <c r="L397" s="481"/>
      <c r="N397" s="482"/>
      <c r="O397" s="481"/>
      <c r="S397" s="471">
        <f>CUENTAS!A386</f>
        <v>45716</v>
      </c>
      <c r="T397" s="459">
        <f>IF(CUENTAS!Q386/CUENTAS!$AB386&lt;&gt;0,CUENTAS!Q386/CUENTAS!$AB386,"")</f>
        <v>0.01025975895</v>
      </c>
      <c r="U397" s="459" t="str">
        <f>IF(CUENTAS!C386/CUENTAS!$AB386&lt;&gt;0,CUENTAS!C386/CUENTAS!$AB386,"")</f>
        <v/>
      </c>
      <c r="V397" s="459" t="str">
        <f>IF(CUENTAS!D386/CUENTAS!$AB386&lt;&gt;0,CUENTAS!D386/CUENTAS!$AB386,"")</f>
        <v/>
      </c>
      <c r="W397" s="459" t="str">
        <f>IF(CUENTAS!E386/CUENTAS!$AB386&lt;&gt;0,CUENTAS!E386/CUENTAS!$AB386,"")</f>
        <v/>
      </c>
      <c r="X397" s="459" t="str">
        <f>IF(CUENTAS!F386/CUENTAS!$AB386&lt;&gt;0,CUENTAS!F386/CUENTAS!$AB386,"")</f>
        <v/>
      </c>
      <c r="Y397" s="459" t="str">
        <f>IF(CUENTAS!G386/CUENTAS!$AB386&lt;&gt;0,CUENTAS!G386/CUENTAS!$AB386,"")</f>
        <v/>
      </c>
      <c r="Z397" s="459">
        <f>IF(CUENTAS!H386/CUENTAS!$AB386&lt;&gt;0,CUENTAS!H386/CUENTAS!$AB386,"")</f>
        <v>0.6681792525</v>
      </c>
      <c r="AA397" s="459">
        <f>IF(CUENTAS!I386/CUENTAS!$AB386&lt;&gt;0,CUENTAS!I386/CUENTAS!$AB386,"")</f>
        <v>0.02531183248</v>
      </c>
      <c r="AB397" s="459">
        <f>IF(CUENTAS!J386/CUENTAS!$AB386&lt;&gt;0,CUENTAS!J386/CUENTAS!$AB386,"")</f>
        <v>0.06394917712</v>
      </c>
      <c r="AC397" s="459" t="str">
        <f>IF(CUENTAS!K386/CUENTAS!$AB386&lt;&gt;0,CUENTAS!K386/CUENTAS!$AB386,"")</f>
        <v/>
      </c>
      <c r="AD397" s="459" t="str">
        <f>IF(CUENTAS!L386/CUENTAS!$AB386&lt;&gt;0,CUENTAS!L386/CUENTAS!$AB386,"")</f>
        <v/>
      </c>
      <c r="AE397" s="459" t="str">
        <f>IF(CUENTAS!M386/CUENTAS!$AB386&lt;&gt;0,CUENTAS!M386/CUENTAS!$AB386,"")</f>
        <v/>
      </c>
      <c r="AF397" s="459" t="str">
        <f>IF(CUENTAS!N386/CUENTAS!$AB386&lt;&gt;0,CUENTAS!N386/CUENTAS!$AB386,"")</f>
        <v/>
      </c>
      <c r="AG397" s="459" t="str">
        <f>IF(CUENTAS!O386/CUENTAS!$AB386&lt;&gt;0,CUENTAS!O386/CUENTAS!$AB386,"")</f>
        <v/>
      </c>
      <c r="AH397" s="459" t="str">
        <f>IF(CUENTAS!P386/CUENTAS!$AB386&lt;&gt;0,CUENTAS!P386/CUENTAS!$AB386,"")</f>
        <v/>
      </c>
      <c r="AI397" s="459">
        <f>IF(CUENTAS!R386/CUENTAS!$AB386&lt;&gt;0,CUENTAS!R386/CUENTAS!$AB386,"")</f>
        <v>0.04253317543</v>
      </c>
      <c r="AJ397" s="459" t="str">
        <f>IF(CUENTAS!B386/CUENTAS!$AB386&lt;&gt;0,CUENTAS!B386/CUENTAS!$AB386,"")</f>
        <v/>
      </c>
      <c r="AK397" s="459" t="str">
        <f>IF(CUENTAS!S386/CUENTAS!$AB386&lt;&gt;0,CUENTAS!S386/CUENTAS!$AB386,"")</f>
        <v/>
      </c>
      <c r="AL397" s="459" t="str">
        <f>IF(CUENTAS!T386/CUENTAS!$AB386&lt;&gt;0,CUENTAS!T386/CUENTAS!$AB386,"")</f>
        <v/>
      </c>
      <c r="AM397" s="459" t="str">
        <f>IF(CUENTAS!U386/CUENTAS!$AB386&lt;&gt;0,CUENTAS!U386/CUENTAS!$AB386,"")</f>
        <v/>
      </c>
      <c r="AN397" s="459">
        <f>IF(CUENTAS!V386/CUENTAS!$AB386&lt;&gt;0,CUENTAS!V386/CUENTAS!$AB386,"")</f>
        <v>0.1344282979</v>
      </c>
      <c r="AO397" s="459" t="str">
        <f>IF(CUENTAS!W386/CUENTAS!$AB386&lt;&gt;0,CUENTAS!W386/CUENTAS!$AB386,"")</f>
        <v/>
      </c>
      <c r="AP397" s="459" t="str">
        <f>IF(CUENTAS!X386/CUENTAS!$AB386&lt;&gt;0,CUENTAS!X386/CUENTAS!$AB386,"")</f>
        <v/>
      </c>
      <c r="AQ397" s="459" t="str">
        <f>IF(CUENTAS!Y386/CUENTAS!$AB386&lt;&gt;0,CUENTAS!Y386/CUENTAS!$AB386,"")</f>
        <v/>
      </c>
      <c r="AR397" s="459">
        <f>IF(CUENTAS!AA386/CUENTAS!$AB386&lt;&gt;0,CUENTAS!AA386/CUENTAS!$AB386,"")</f>
        <v>0.05533850564</v>
      </c>
    </row>
    <row r="398">
      <c r="A398" s="474"/>
      <c r="B398" s="200"/>
      <c r="C398" s="200"/>
      <c r="F398" s="200"/>
      <c r="G398" s="200"/>
      <c r="L398" s="481"/>
      <c r="N398" s="482"/>
      <c r="O398" s="481"/>
      <c r="S398" s="471">
        <f>CUENTAS!A387</f>
        <v>45715</v>
      </c>
      <c r="T398" s="459">
        <f>IF(CUENTAS!Q387/CUENTAS!$AB387&lt;&gt;0,CUENTAS!Q387/CUENTAS!$AB387,"")</f>
        <v>0.009854979569</v>
      </c>
      <c r="U398" s="459" t="str">
        <f>IF(CUENTAS!C387/CUENTAS!$AB387&lt;&gt;0,CUENTAS!C387/CUENTAS!$AB387,"")</f>
        <v/>
      </c>
      <c r="V398" s="459" t="str">
        <f>IF(CUENTAS!D387/CUENTAS!$AB387&lt;&gt;0,CUENTAS!D387/CUENTAS!$AB387,"")</f>
        <v/>
      </c>
      <c r="W398" s="459" t="str">
        <f>IF(CUENTAS!E387/CUENTAS!$AB387&lt;&gt;0,CUENTAS!E387/CUENTAS!$AB387,"")</f>
        <v/>
      </c>
      <c r="X398" s="459" t="str">
        <f>IF(CUENTAS!F387/CUENTAS!$AB387&lt;&gt;0,CUENTAS!F387/CUENTAS!$AB387,"")</f>
        <v/>
      </c>
      <c r="Y398" s="459" t="str">
        <f>IF(CUENTAS!G387/CUENTAS!$AB387&lt;&gt;0,CUENTAS!G387/CUENTAS!$AB387,"")</f>
        <v/>
      </c>
      <c r="Z398" s="459">
        <f>IF(CUENTAS!H387/CUENTAS!$AB387&lt;&gt;0,CUENTAS!H387/CUENTAS!$AB387,"")</f>
        <v>0.6792724942</v>
      </c>
      <c r="AA398" s="459">
        <f>IF(CUENTAS!I387/CUENTAS!$AB387&lt;&gt;0,CUENTAS!I387/CUENTAS!$AB387,"")</f>
        <v>0.02489116791</v>
      </c>
      <c r="AB398" s="459">
        <f>IF(CUENTAS!J387/CUENTAS!$AB387&lt;&gt;0,CUENTAS!J387/CUENTAS!$AB387,"")</f>
        <v>0.06175787197</v>
      </c>
      <c r="AC398" s="459" t="str">
        <f>IF(CUENTAS!K387/CUENTAS!$AB387&lt;&gt;0,CUENTAS!K387/CUENTAS!$AB387,"")</f>
        <v/>
      </c>
      <c r="AD398" s="459" t="str">
        <f>IF(CUENTAS!L387/CUENTAS!$AB387&lt;&gt;0,CUENTAS!L387/CUENTAS!$AB387,"")</f>
        <v/>
      </c>
      <c r="AE398" s="459" t="str">
        <f>IF(CUENTAS!M387/CUENTAS!$AB387&lt;&gt;0,CUENTAS!M387/CUENTAS!$AB387,"")</f>
        <v/>
      </c>
      <c r="AF398" s="459" t="str">
        <f>IF(CUENTAS!N387/CUENTAS!$AB387&lt;&gt;0,CUENTAS!N387/CUENTAS!$AB387,"")</f>
        <v/>
      </c>
      <c r="AG398" s="459" t="str">
        <f>IF(CUENTAS!O387/CUENTAS!$AB387&lt;&gt;0,CUENTAS!O387/CUENTAS!$AB387,"")</f>
        <v/>
      </c>
      <c r="AH398" s="459" t="str">
        <f>IF(CUENTAS!P387/CUENTAS!$AB387&lt;&gt;0,CUENTAS!P387/CUENTAS!$AB387,"")</f>
        <v/>
      </c>
      <c r="AI398" s="459">
        <f>IF(CUENTAS!R387/CUENTAS!$AB387&lt;&gt;0,CUENTAS!R387/CUENTAS!$AB387,"")</f>
        <v>0.04105440269</v>
      </c>
      <c r="AJ398" s="459" t="str">
        <f>IF(CUENTAS!B387/CUENTAS!$AB387&lt;&gt;0,CUENTAS!B387/CUENTAS!$AB387,"")</f>
        <v/>
      </c>
      <c r="AK398" s="459" t="str">
        <f>IF(CUENTAS!S387/CUENTAS!$AB387&lt;&gt;0,CUENTAS!S387/CUENTAS!$AB387,"")</f>
        <v/>
      </c>
      <c r="AL398" s="459" t="str">
        <f>IF(CUENTAS!T387/CUENTAS!$AB387&lt;&gt;0,CUENTAS!T387/CUENTAS!$AB387,"")</f>
        <v/>
      </c>
      <c r="AM398" s="459" t="str">
        <f>IF(CUENTAS!U387/CUENTAS!$AB387&lt;&gt;0,CUENTAS!U387/CUENTAS!$AB387,"")</f>
        <v/>
      </c>
      <c r="AN398" s="459">
        <f>IF(CUENTAS!V387/CUENTAS!$AB387&lt;&gt;0,CUENTAS!V387/CUENTAS!$AB387,"")</f>
        <v>0.1297545603</v>
      </c>
      <c r="AO398" s="459" t="str">
        <f>IF(CUENTAS!W387/CUENTAS!$AB387&lt;&gt;0,CUENTAS!W387/CUENTAS!$AB387,"")</f>
        <v/>
      </c>
      <c r="AP398" s="459" t="str">
        <f>IF(CUENTAS!X387/CUENTAS!$AB387&lt;&gt;0,CUENTAS!X387/CUENTAS!$AB387,"")</f>
        <v/>
      </c>
      <c r="AQ398" s="459" t="str">
        <f>IF(CUENTAS!Y387/CUENTAS!$AB387&lt;&gt;0,CUENTAS!Y387/CUENTAS!$AB387,"")</f>
        <v/>
      </c>
      <c r="AR398" s="459">
        <f>IF(CUENTAS!AA387/CUENTAS!$AB387&lt;&gt;0,CUENTAS!AA387/CUENTAS!$AB387,"")</f>
        <v>0.05341452341</v>
      </c>
    </row>
    <row r="399">
      <c r="A399" s="474"/>
      <c r="B399" s="200"/>
      <c r="C399" s="200"/>
      <c r="F399" s="200"/>
      <c r="G399" s="200"/>
      <c r="L399" s="481"/>
      <c r="N399" s="482"/>
      <c r="O399" s="481"/>
      <c r="S399" s="471">
        <f>CUENTAS!A388</f>
        <v>45714</v>
      </c>
      <c r="T399" s="459">
        <f>IF(CUENTAS!Q388/CUENTAS!$AB388&lt;&gt;0,CUENTAS!Q388/CUENTAS!$AB388,"")</f>
        <v>0.01000594545</v>
      </c>
      <c r="U399" s="459" t="str">
        <f>IF(CUENTAS!C388/CUENTAS!$AB388&lt;&gt;0,CUENTAS!C388/CUENTAS!$AB388,"")</f>
        <v/>
      </c>
      <c r="V399" s="459" t="str">
        <f>IF(CUENTAS!D388/CUENTAS!$AB388&lt;&gt;0,CUENTAS!D388/CUENTAS!$AB388,"")</f>
        <v/>
      </c>
      <c r="W399" s="459" t="str">
        <f>IF(CUENTAS!E388/CUENTAS!$AB388&lt;&gt;0,CUENTAS!E388/CUENTAS!$AB388,"")</f>
        <v/>
      </c>
      <c r="X399" s="459" t="str">
        <f>IF(CUENTAS!F388/CUENTAS!$AB388&lt;&gt;0,CUENTAS!F388/CUENTAS!$AB388,"")</f>
        <v/>
      </c>
      <c r="Y399" s="459" t="str">
        <f>IF(CUENTAS!G388/CUENTAS!$AB388&lt;&gt;0,CUENTAS!G388/CUENTAS!$AB388,"")</f>
        <v/>
      </c>
      <c r="Z399" s="459">
        <f>IF(CUENTAS!H388/CUENTAS!$AB388&lt;&gt;0,CUENTAS!H388/CUENTAS!$AB388,"")</f>
        <v>0.6806922312</v>
      </c>
      <c r="AA399" s="459">
        <f>IF(CUENTAS!I388/CUENTAS!$AB388&lt;&gt;0,CUENTAS!I388/CUENTAS!$AB388,"")</f>
        <v>0.02531746815</v>
      </c>
      <c r="AB399" s="459">
        <f>IF(CUENTAS!J388/CUENTAS!$AB388&lt;&gt;0,CUENTAS!J388/CUENTAS!$AB388,"")</f>
        <v>0.06014764968</v>
      </c>
      <c r="AC399" s="459" t="str">
        <f>IF(CUENTAS!K388/CUENTAS!$AB388&lt;&gt;0,CUENTAS!K388/CUENTAS!$AB388,"")</f>
        <v/>
      </c>
      <c r="AD399" s="459" t="str">
        <f>IF(CUENTAS!L388/CUENTAS!$AB388&lt;&gt;0,CUENTAS!L388/CUENTAS!$AB388,"")</f>
        <v/>
      </c>
      <c r="AE399" s="459" t="str">
        <f>IF(CUENTAS!M388/CUENTAS!$AB388&lt;&gt;0,CUENTAS!M388/CUENTAS!$AB388,"")</f>
        <v/>
      </c>
      <c r="AF399" s="459" t="str">
        <f>IF(CUENTAS!N388/CUENTAS!$AB388&lt;&gt;0,CUENTAS!N388/CUENTAS!$AB388,"")</f>
        <v/>
      </c>
      <c r="AG399" s="459" t="str">
        <f>IF(CUENTAS!O388/CUENTAS!$AB388&lt;&gt;0,CUENTAS!O388/CUENTAS!$AB388,"")</f>
        <v/>
      </c>
      <c r="AH399" s="459" t="str">
        <f>IF(CUENTAS!P388/CUENTAS!$AB388&lt;&gt;0,CUENTAS!P388/CUENTAS!$AB388,"")</f>
        <v/>
      </c>
      <c r="AI399" s="459">
        <f>IF(CUENTAS!R388/CUENTAS!$AB388&lt;&gt;0,CUENTAS!R388/CUENTAS!$AB388,"")</f>
        <v>0.0409835847</v>
      </c>
      <c r="AJ399" s="459" t="str">
        <f>IF(CUENTAS!B388/CUENTAS!$AB388&lt;&gt;0,CUENTAS!B388/CUENTAS!$AB388,"")</f>
        <v/>
      </c>
      <c r="AK399" s="459" t="str">
        <f>IF(CUENTAS!S388/CUENTAS!$AB388&lt;&gt;0,CUENTAS!S388/CUENTAS!$AB388,"")</f>
        <v/>
      </c>
      <c r="AL399" s="459" t="str">
        <f>IF(CUENTAS!T388/CUENTAS!$AB388&lt;&gt;0,CUENTAS!T388/CUENTAS!$AB388,"")</f>
        <v/>
      </c>
      <c r="AM399" s="459" t="str">
        <f>IF(CUENTAS!U388/CUENTAS!$AB388&lt;&gt;0,CUENTAS!U388/CUENTAS!$AB388,"")</f>
        <v/>
      </c>
      <c r="AN399" s="459">
        <f>IF(CUENTAS!V388/CUENTAS!$AB388&lt;&gt;0,CUENTAS!V388/CUENTAS!$AB388,"")</f>
        <v>0.1295307364</v>
      </c>
      <c r="AO399" s="459" t="str">
        <f>IF(CUENTAS!W388/CUENTAS!$AB388&lt;&gt;0,CUENTAS!W388/CUENTAS!$AB388,"")</f>
        <v/>
      </c>
      <c r="AP399" s="459" t="str">
        <f>IF(CUENTAS!X388/CUENTAS!$AB388&lt;&gt;0,CUENTAS!X388/CUENTAS!$AB388,"")</f>
        <v/>
      </c>
      <c r="AQ399" s="459" t="str">
        <f>IF(CUENTAS!Y388/CUENTAS!$AB388&lt;&gt;0,CUENTAS!Y388/CUENTAS!$AB388,"")</f>
        <v/>
      </c>
      <c r="AR399" s="459">
        <f>IF(CUENTAS!AA388/CUENTAS!$AB388&lt;&gt;0,CUENTAS!AA388/CUENTAS!$AB388,"")</f>
        <v>0.05332238447</v>
      </c>
    </row>
    <row r="400">
      <c r="A400" s="474"/>
      <c r="B400" s="200"/>
      <c r="C400" s="200"/>
      <c r="F400" s="200"/>
      <c r="G400" s="200"/>
      <c r="L400" s="481"/>
      <c r="N400" s="482"/>
      <c r="O400" s="481"/>
      <c r="S400" s="471">
        <f>CUENTAS!A389</f>
        <v>45713</v>
      </c>
      <c r="T400" s="459">
        <f>IF(CUENTAS!Q389/CUENTAS!$AB389&lt;&gt;0,CUENTAS!Q389/CUENTAS!$AB389,"")</f>
        <v>0.01031793448</v>
      </c>
      <c r="U400" s="459" t="str">
        <f>IF(CUENTAS!C389/CUENTAS!$AB389&lt;&gt;0,CUENTAS!C389/CUENTAS!$AB389,"")</f>
        <v/>
      </c>
      <c r="V400" s="459" t="str">
        <f>IF(CUENTAS!D389/CUENTAS!$AB389&lt;&gt;0,CUENTAS!D389/CUENTAS!$AB389,"")</f>
        <v/>
      </c>
      <c r="W400" s="459" t="str">
        <f>IF(CUENTAS!E389/CUENTAS!$AB389&lt;&gt;0,CUENTAS!E389/CUENTAS!$AB389,"")</f>
        <v/>
      </c>
      <c r="X400" s="459" t="str">
        <f>IF(CUENTAS!F389/CUENTAS!$AB389&lt;&gt;0,CUENTAS!F389/CUENTAS!$AB389,"")</f>
        <v/>
      </c>
      <c r="Y400" s="459" t="str">
        <f>IF(CUENTAS!G389/CUENTAS!$AB389&lt;&gt;0,CUENTAS!G389/CUENTAS!$AB389,"")</f>
        <v/>
      </c>
      <c r="Z400" s="459">
        <f>IF(CUENTAS!H389/CUENTAS!$AB389&lt;&gt;0,CUENTAS!H389/CUENTAS!$AB389,"")</f>
        <v>0.6769146308</v>
      </c>
      <c r="AA400" s="459">
        <f>IF(CUENTAS!I389/CUENTAS!$AB389&lt;&gt;0,CUENTAS!I389/CUENTAS!$AB389,"")</f>
        <v>0.02543691097</v>
      </c>
      <c r="AB400" s="459">
        <f>IF(CUENTAS!J389/CUENTAS!$AB389&lt;&gt;0,CUENTAS!J389/CUENTAS!$AB389,"")</f>
        <v>0.06139090278</v>
      </c>
      <c r="AC400" s="459" t="str">
        <f>IF(CUENTAS!K389/CUENTAS!$AB389&lt;&gt;0,CUENTAS!K389/CUENTAS!$AB389,"")</f>
        <v/>
      </c>
      <c r="AD400" s="459" t="str">
        <f>IF(CUENTAS!L389/CUENTAS!$AB389&lt;&gt;0,CUENTAS!L389/CUENTAS!$AB389,"")</f>
        <v/>
      </c>
      <c r="AE400" s="459" t="str">
        <f>IF(CUENTAS!M389/CUENTAS!$AB389&lt;&gt;0,CUENTAS!M389/CUENTAS!$AB389,"")</f>
        <v/>
      </c>
      <c r="AF400" s="459" t="str">
        <f>IF(CUENTAS!N389/CUENTAS!$AB389&lt;&gt;0,CUENTAS!N389/CUENTAS!$AB389,"")</f>
        <v/>
      </c>
      <c r="AG400" s="459" t="str">
        <f>IF(CUENTAS!O389/CUENTAS!$AB389&lt;&gt;0,CUENTAS!O389/CUENTAS!$AB389,"")</f>
        <v/>
      </c>
      <c r="AH400" s="459" t="str">
        <f>IF(CUENTAS!P389/CUENTAS!$AB389&lt;&gt;0,CUENTAS!P389/CUENTAS!$AB389,"")</f>
        <v/>
      </c>
      <c r="AI400" s="459">
        <f>IF(CUENTAS!R389/CUENTAS!$AB389&lt;&gt;0,CUENTAS!R389/CUENTAS!$AB389,"")</f>
        <v>0.04136861992</v>
      </c>
      <c r="AJ400" s="459" t="str">
        <f>IF(CUENTAS!B389/CUENTAS!$AB389&lt;&gt;0,CUENTAS!B389/CUENTAS!$AB389,"")</f>
        <v/>
      </c>
      <c r="AK400" s="459" t="str">
        <f>IF(CUENTAS!S389/CUENTAS!$AB389&lt;&gt;0,CUENTAS!S389/CUENTAS!$AB389,"")</f>
        <v/>
      </c>
      <c r="AL400" s="459" t="str">
        <f>IF(CUENTAS!T389/CUENTAS!$AB389&lt;&gt;0,CUENTAS!T389/CUENTAS!$AB389,"")</f>
        <v/>
      </c>
      <c r="AM400" s="459" t="str">
        <f>IF(CUENTAS!U389/CUENTAS!$AB389&lt;&gt;0,CUENTAS!U389/CUENTAS!$AB389,"")</f>
        <v/>
      </c>
      <c r="AN400" s="459">
        <f>IF(CUENTAS!V389/CUENTAS!$AB389&lt;&gt;0,CUENTAS!V389/CUENTAS!$AB389,"")</f>
        <v>0.13074766</v>
      </c>
      <c r="AO400" s="459" t="str">
        <f>IF(CUENTAS!W389/CUENTAS!$AB389&lt;&gt;0,CUENTAS!W389/CUENTAS!$AB389,"")</f>
        <v/>
      </c>
      <c r="AP400" s="459" t="str">
        <f>IF(CUENTAS!X389/CUENTAS!$AB389&lt;&gt;0,CUENTAS!X389/CUENTAS!$AB389,"")</f>
        <v/>
      </c>
      <c r="AQ400" s="459" t="str">
        <f>IF(CUENTAS!Y389/CUENTAS!$AB389&lt;&gt;0,CUENTAS!Y389/CUENTAS!$AB389,"")</f>
        <v/>
      </c>
      <c r="AR400" s="459">
        <f>IF(CUENTAS!AA389/CUENTAS!$AB389&lt;&gt;0,CUENTAS!AA389/CUENTAS!$AB389,"")</f>
        <v>0.05382334103</v>
      </c>
    </row>
    <row r="401">
      <c r="A401" s="474"/>
      <c r="B401" s="200"/>
      <c r="C401" s="200"/>
      <c r="F401" s="200"/>
      <c r="G401" s="200"/>
      <c r="L401" s="481"/>
      <c r="N401" s="482"/>
      <c r="O401" s="481"/>
      <c r="S401" s="471">
        <f>CUENTAS!A390</f>
        <v>45712</v>
      </c>
      <c r="T401" s="459">
        <f>IF(CUENTAS!Q390/CUENTAS!$AB390&lt;&gt;0,CUENTAS!Q390/CUENTAS!$AB390,"")</f>
        <v>0.01049843788</v>
      </c>
      <c r="U401" s="459" t="str">
        <f>IF(CUENTAS!C390/CUENTAS!$AB390&lt;&gt;0,CUENTAS!C390/CUENTAS!$AB390,"")</f>
        <v/>
      </c>
      <c r="V401" s="459" t="str">
        <f>IF(CUENTAS!D390/CUENTAS!$AB390&lt;&gt;0,CUENTAS!D390/CUENTAS!$AB390,"")</f>
        <v/>
      </c>
      <c r="W401" s="459" t="str">
        <f>IF(CUENTAS!E390/CUENTAS!$AB390&lt;&gt;0,CUENTAS!E390/CUENTAS!$AB390,"")</f>
        <v/>
      </c>
      <c r="X401" s="459" t="str">
        <f>IF(CUENTAS!F390/CUENTAS!$AB390&lt;&gt;0,CUENTAS!F390/CUENTAS!$AB390,"")</f>
        <v/>
      </c>
      <c r="Y401" s="459" t="str">
        <f>IF(CUENTAS!G390/CUENTAS!$AB390&lt;&gt;0,CUENTAS!G390/CUENTAS!$AB390,"")</f>
        <v/>
      </c>
      <c r="Z401" s="459">
        <f>IF(CUENTAS!H390/CUENTAS!$AB390&lt;&gt;0,CUENTAS!H390/CUENTAS!$AB390,"")</f>
        <v>0.6733683372</v>
      </c>
      <c r="AA401" s="459">
        <f>IF(CUENTAS!I390/CUENTAS!$AB390&lt;&gt;0,CUENTAS!I390/CUENTAS!$AB390,"")</f>
        <v>0.02582055584</v>
      </c>
      <c r="AB401" s="459">
        <f>IF(CUENTAS!J390/CUENTAS!$AB390&lt;&gt;0,CUENTAS!J390/CUENTAS!$AB390,"")</f>
        <v>0.06202806653</v>
      </c>
      <c r="AC401" s="459" t="str">
        <f>IF(CUENTAS!K390/CUENTAS!$AB390&lt;&gt;0,CUENTAS!K390/CUENTAS!$AB390,"")</f>
        <v/>
      </c>
      <c r="AD401" s="459" t="str">
        <f>IF(CUENTAS!L390/CUENTAS!$AB390&lt;&gt;0,CUENTAS!L390/CUENTAS!$AB390,"")</f>
        <v/>
      </c>
      <c r="AE401" s="459" t="str">
        <f>IF(CUENTAS!M390/CUENTAS!$AB390&lt;&gt;0,CUENTAS!M390/CUENTAS!$AB390,"")</f>
        <v/>
      </c>
      <c r="AF401" s="459" t="str">
        <f>IF(CUENTAS!N390/CUENTAS!$AB390&lt;&gt;0,CUENTAS!N390/CUENTAS!$AB390,"")</f>
        <v/>
      </c>
      <c r="AG401" s="459" t="str">
        <f>IF(CUENTAS!O390/CUENTAS!$AB390&lt;&gt;0,CUENTAS!O390/CUENTAS!$AB390,"")</f>
        <v/>
      </c>
      <c r="AH401" s="459" t="str">
        <f>IF(CUENTAS!P390/CUENTAS!$AB390&lt;&gt;0,CUENTAS!P390/CUENTAS!$AB390,"")</f>
        <v/>
      </c>
      <c r="AI401" s="459">
        <f>IF(CUENTAS!R390/CUENTAS!$AB390&lt;&gt;0,CUENTAS!R390/CUENTAS!$AB390,"")</f>
        <v>0.04179797645</v>
      </c>
      <c r="AJ401" s="459" t="str">
        <f>IF(CUENTAS!B390/CUENTAS!$AB390&lt;&gt;0,CUENTAS!B390/CUENTAS!$AB390,"")</f>
        <v/>
      </c>
      <c r="AK401" s="459" t="str">
        <f>IF(CUENTAS!S390/CUENTAS!$AB390&lt;&gt;0,CUENTAS!S390/CUENTAS!$AB390,"")</f>
        <v/>
      </c>
      <c r="AL401" s="459" t="str">
        <f>IF(CUENTAS!T390/CUENTAS!$AB390&lt;&gt;0,CUENTAS!T390/CUENTAS!$AB390,"")</f>
        <v/>
      </c>
      <c r="AM401" s="459" t="str">
        <f>IF(CUENTAS!U390/CUENTAS!$AB390&lt;&gt;0,CUENTAS!U390/CUENTAS!$AB390,"")</f>
        <v/>
      </c>
      <c r="AN401" s="459">
        <f>IF(CUENTAS!V390/CUENTAS!$AB390&lt;&gt;0,CUENTAS!V390/CUENTAS!$AB390,"")</f>
        <v>0.1321046635</v>
      </c>
      <c r="AO401" s="459" t="str">
        <f>IF(CUENTAS!W390/CUENTAS!$AB390&lt;&gt;0,CUENTAS!W390/CUENTAS!$AB390,"")</f>
        <v/>
      </c>
      <c r="AP401" s="459" t="str">
        <f>IF(CUENTAS!X390/CUENTAS!$AB390&lt;&gt;0,CUENTAS!X390/CUENTAS!$AB390,"")</f>
        <v/>
      </c>
      <c r="AQ401" s="459" t="str">
        <f>IF(CUENTAS!Y390/CUENTAS!$AB390&lt;&gt;0,CUENTAS!Y390/CUENTAS!$AB390,"")</f>
        <v/>
      </c>
      <c r="AR401" s="459">
        <f>IF(CUENTAS!AA390/CUENTAS!$AB390&lt;&gt;0,CUENTAS!AA390/CUENTAS!$AB390,"")</f>
        <v>0.05438196259</v>
      </c>
    </row>
    <row r="402">
      <c r="A402" s="474"/>
      <c r="B402" s="200"/>
      <c r="C402" s="200"/>
      <c r="F402" s="200"/>
      <c r="G402" s="200"/>
      <c r="L402" s="481"/>
      <c r="N402" s="482"/>
      <c r="O402" s="481"/>
      <c r="S402" s="471">
        <f>CUENTAS!A391</f>
        <v>45711</v>
      </c>
      <c r="T402" s="459">
        <f>IF(CUENTAS!Q391/CUENTAS!$AB391&lt;&gt;0,CUENTAS!Q391/CUENTAS!$AB391,"")</f>
        <v>0.01071984852</v>
      </c>
      <c r="U402" s="459" t="str">
        <f>IF(CUENTAS!C391/CUENTAS!$AB391&lt;&gt;0,CUENTAS!C391/CUENTAS!$AB391,"")</f>
        <v/>
      </c>
      <c r="V402" s="459" t="str">
        <f>IF(CUENTAS!D391/CUENTAS!$AB391&lt;&gt;0,CUENTAS!D391/CUENTAS!$AB391,"")</f>
        <v/>
      </c>
      <c r="W402" s="459" t="str">
        <f>IF(CUENTAS!E391/CUENTAS!$AB391&lt;&gt;0,CUENTAS!E391/CUENTAS!$AB391,"")</f>
        <v/>
      </c>
      <c r="X402" s="459" t="str">
        <f>IF(CUENTAS!F391/CUENTAS!$AB391&lt;&gt;0,CUENTAS!F391/CUENTAS!$AB391,"")</f>
        <v/>
      </c>
      <c r="Y402" s="459" t="str">
        <f>IF(CUENTAS!G391/CUENTAS!$AB391&lt;&gt;0,CUENTAS!G391/CUENTAS!$AB391,"")</f>
        <v/>
      </c>
      <c r="Z402" s="459">
        <f>IF(CUENTAS!H391/CUENTAS!$AB391&lt;&gt;0,CUENTAS!H391/CUENTAS!$AB391,"")</f>
        <v>0.6716772218</v>
      </c>
      <c r="AA402" s="459">
        <f>IF(CUENTAS!I391/CUENTAS!$AB391&lt;&gt;0,CUENTAS!I391/CUENTAS!$AB391,"")</f>
        <v>0.02633179056</v>
      </c>
      <c r="AB402" s="459">
        <f>IF(CUENTAS!J391/CUENTAS!$AB391&lt;&gt;0,CUENTAS!J391/CUENTAS!$AB391,"")</f>
        <v>0.0581720451</v>
      </c>
      <c r="AC402" s="459" t="str">
        <f>IF(CUENTAS!K391/CUENTAS!$AB391&lt;&gt;0,CUENTAS!K391/CUENTAS!$AB391,"")</f>
        <v/>
      </c>
      <c r="AD402" s="459" t="str">
        <f>IF(CUENTAS!L391/CUENTAS!$AB391&lt;&gt;0,CUENTAS!L391/CUENTAS!$AB391,"")</f>
        <v/>
      </c>
      <c r="AE402" s="459" t="str">
        <f>IF(CUENTAS!M391/CUENTAS!$AB391&lt;&gt;0,CUENTAS!M391/CUENTAS!$AB391,"")</f>
        <v/>
      </c>
      <c r="AF402" s="459" t="str">
        <f>IF(CUENTAS!N391/CUENTAS!$AB391&lt;&gt;0,CUENTAS!N391/CUENTAS!$AB391,"")</f>
        <v/>
      </c>
      <c r="AG402" s="459" t="str">
        <f>IF(CUENTAS!O391/CUENTAS!$AB391&lt;&gt;0,CUENTAS!O391/CUENTAS!$AB391,"")</f>
        <v/>
      </c>
      <c r="AH402" s="459" t="str">
        <f>IF(CUENTAS!P391/CUENTAS!$AB391&lt;&gt;0,CUENTAS!P391/CUENTAS!$AB391,"")</f>
        <v/>
      </c>
      <c r="AI402" s="459">
        <f>IF(CUENTAS!R391/CUENTAS!$AB391&lt;&gt;0,CUENTAS!R391/CUENTAS!$AB391,"")</f>
        <v>0.04267949013</v>
      </c>
      <c r="AJ402" s="459" t="str">
        <f>IF(CUENTAS!B391/CUENTAS!$AB391&lt;&gt;0,CUENTAS!B391/CUENTAS!$AB391,"")</f>
        <v/>
      </c>
      <c r="AK402" s="459" t="str">
        <f>IF(CUENTAS!S391/CUENTAS!$AB391&lt;&gt;0,CUENTAS!S391/CUENTAS!$AB391,"")</f>
        <v/>
      </c>
      <c r="AL402" s="459" t="str">
        <f>IF(CUENTAS!T391/CUENTAS!$AB391&lt;&gt;0,CUENTAS!T391/CUENTAS!$AB391,"")</f>
        <v/>
      </c>
      <c r="AM402" s="459" t="str">
        <f>IF(CUENTAS!U391/CUENTAS!$AB391&lt;&gt;0,CUENTAS!U391/CUENTAS!$AB391,"")</f>
        <v/>
      </c>
      <c r="AN402" s="459">
        <f>IF(CUENTAS!V391/CUENTAS!$AB391&lt;&gt;0,CUENTAS!V391/CUENTAS!$AB391,"")</f>
        <v>0.1348907331</v>
      </c>
      <c r="AO402" s="459" t="str">
        <f>IF(CUENTAS!W391/CUENTAS!$AB391&lt;&gt;0,CUENTAS!W391/CUENTAS!$AB391,"")</f>
        <v/>
      </c>
      <c r="AP402" s="459" t="str">
        <f>IF(CUENTAS!X391/CUENTAS!$AB391&lt;&gt;0,CUENTAS!X391/CUENTAS!$AB391,"")</f>
        <v/>
      </c>
      <c r="AQ402" s="459" t="str">
        <f>IF(CUENTAS!Y391/CUENTAS!$AB391&lt;&gt;0,CUENTAS!Y391/CUENTAS!$AB391,"")</f>
        <v/>
      </c>
      <c r="AR402" s="459">
        <f>IF(CUENTAS!AA391/CUENTAS!$AB391&lt;&gt;0,CUENTAS!AA391/CUENTAS!$AB391,"")</f>
        <v>0.05552887085</v>
      </c>
    </row>
    <row r="403">
      <c r="A403" s="474"/>
      <c r="B403" s="200"/>
      <c r="C403" s="200"/>
      <c r="F403" s="200"/>
      <c r="G403" s="200"/>
      <c r="L403" s="481"/>
      <c r="N403" s="482"/>
      <c r="O403" s="481"/>
      <c r="S403" s="471">
        <f>CUENTAS!A392</f>
        <v>45710</v>
      </c>
      <c r="T403" s="459">
        <f>IF(CUENTAS!Q392/CUENTAS!$AB392&lt;&gt;0,CUENTAS!Q392/CUENTAS!$AB392,"")</f>
        <v>0.01071984852</v>
      </c>
      <c r="U403" s="459" t="str">
        <f>IF(CUENTAS!C392/CUENTAS!$AB392&lt;&gt;0,CUENTAS!C392/CUENTAS!$AB392,"")</f>
        <v/>
      </c>
      <c r="V403" s="459" t="str">
        <f>IF(CUENTAS!D392/CUENTAS!$AB392&lt;&gt;0,CUENTAS!D392/CUENTAS!$AB392,"")</f>
        <v/>
      </c>
      <c r="W403" s="459" t="str">
        <f>IF(CUENTAS!E392/CUENTAS!$AB392&lt;&gt;0,CUENTAS!E392/CUENTAS!$AB392,"")</f>
        <v/>
      </c>
      <c r="X403" s="459" t="str">
        <f>IF(CUENTAS!F392/CUENTAS!$AB392&lt;&gt;0,CUENTAS!F392/CUENTAS!$AB392,"")</f>
        <v/>
      </c>
      <c r="Y403" s="459" t="str">
        <f>IF(CUENTAS!G392/CUENTAS!$AB392&lt;&gt;0,CUENTAS!G392/CUENTAS!$AB392,"")</f>
        <v/>
      </c>
      <c r="Z403" s="459">
        <f>IF(CUENTAS!H392/CUENTAS!$AB392&lt;&gt;0,CUENTAS!H392/CUENTAS!$AB392,"")</f>
        <v>0.6716772218</v>
      </c>
      <c r="AA403" s="459">
        <f>IF(CUENTAS!I392/CUENTAS!$AB392&lt;&gt;0,CUENTAS!I392/CUENTAS!$AB392,"")</f>
        <v>0.02633179056</v>
      </c>
      <c r="AB403" s="459">
        <f>IF(CUENTAS!J392/CUENTAS!$AB392&lt;&gt;0,CUENTAS!J392/CUENTAS!$AB392,"")</f>
        <v>0.0581720451</v>
      </c>
      <c r="AC403" s="459" t="str">
        <f>IF(CUENTAS!K392/CUENTAS!$AB392&lt;&gt;0,CUENTAS!K392/CUENTAS!$AB392,"")</f>
        <v/>
      </c>
      <c r="AD403" s="459" t="str">
        <f>IF(CUENTAS!L392/CUENTAS!$AB392&lt;&gt;0,CUENTAS!L392/CUENTAS!$AB392,"")</f>
        <v/>
      </c>
      <c r="AE403" s="459" t="str">
        <f>IF(CUENTAS!M392/CUENTAS!$AB392&lt;&gt;0,CUENTAS!M392/CUENTAS!$AB392,"")</f>
        <v/>
      </c>
      <c r="AF403" s="459" t="str">
        <f>IF(CUENTAS!N392/CUENTAS!$AB392&lt;&gt;0,CUENTAS!N392/CUENTAS!$AB392,"")</f>
        <v/>
      </c>
      <c r="AG403" s="459" t="str">
        <f>IF(CUENTAS!O392/CUENTAS!$AB392&lt;&gt;0,CUENTAS!O392/CUENTAS!$AB392,"")</f>
        <v/>
      </c>
      <c r="AH403" s="459" t="str">
        <f>IF(CUENTAS!P392/CUENTAS!$AB392&lt;&gt;0,CUENTAS!P392/CUENTAS!$AB392,"")</f>
        <v/>
      </c>
      <c r="AI403" s="459">
        <f>IF(CUENTAS!R392/CUENTAS!$AB392&lt;&gt;0,CUENTAS!R392/CUENTAS!$AB392,"")</f>
        <v>0.04267949013</v>
      </c>
      <c r="AJ403" s="459" t="str">
        <f>IF(CUENTAS!B392/CUENTAS!$AB392&lt;&gt;0,CUENTAS!B392/CUENTAS!$AB392,"")</f>
        <v/>
      </c>
      <c r="AK403" s="459" t="str">
        <f>IF(CUENTAS!S392/CUENTAS!$AB392&lt;&gt;0,CUENTAS!S392/CUENTAS!$AB392,"")</f>
        <v/>
      </c>
      <c r="AL403" s="459" t="str">
        <f>IF(CUENTAS!T392/CUENTAS!$AB392&lt;&gt;0,CUENTAS!T392/CUENTAS!$AB392,"")</f>
        <v/>
      </c>
      <c r="AM403" s="459" t="str">
        <f>IF(CUENTAS!U392/CUENTAS!$AB392&lt;&gt;0,CUENTAS!U392/CUENTAS!$AB392,"")</f>
        <v/>
      </c>
      <c r="AN403" s="459">
        <f>IF(CUENTAS!V392/CUENTAS!$AB392&lt;&gt;0,CUENTAS!V392/CUENTAS!$AB392,"")</f>
        <v>0.1348907331</v>
      </c>
      <c r="AO403" s="459" t="str">
        <f>IF(CUENTAS!W392/CUENTAS!$AB392&lt;&gt;0,CUENTAS!W392/CUENTAS!$AB392,"")</f>
        <v/>
      </c>
      <c r="AP403" s="459" t="str">
        <f>IF(CUENTAS!X392/CUENTAS!$AB392&lt;&gt;0,CUENTAS!X392/CUENTAS!$AB392,"")</f>
        <v/>
      </c>
      <c r="AQ403" s="459" t="str">
        <f>IF(CUENTAS!Y392/CUENTAS!$AB392&lt;&gt;0,CUENTAS!Y392/CUENTAS!$AB392,"")</f>
        <v/>
      </c>
      <c r="AR403" s="459">
        <f>IF(CUENTAS!AA392/CUENTAS!$AB392&lt;&gt;0,CUENTAS!AA392/CUENTAS!$AB392,"")</f>
        <v>0.05552887085</v>
      </c>
    </row>
    <row r="404">
      <c r="A404" s="474"/>
      <c r="B404" s="200"/>
      <c r="C404" s="200"/>
      <c r="F404" s="200"/>
      <c r="G404" s="200"/>
      <c r="L404" s="481"/>
      <c r="N404" s="482"/>
      <c r="O404" s="481"/>
      <c r="S404" s="471">
        <f>CUENTAS!A393</f>
        <v>45709</v>
      </c>
      <c r="T404" s="459">
        <f>IF(CUENTAS!Q393/CUENTAS!$AB393&lt;&gt;0,CUENTAS!Q393/CUENTAS!$AB393,"")</f>
        <v>0.01071984852</v>
      </c>
      <c r="U404" s="459" t="str">
        <f>IF(CUENTAS!C393/CUENTAS!$AB393&lt;&gt;0,CUENTAS!C393/CUENTAS!$AB393,"")</f>
        <v/>
      </c>
      <c r="V404" s="459" t="str">
        <f>IF(CUENTAS!D393/CUENTAS!$AB393&lt;&gt;0,CUENTAS!D393/CUENTAS!$AB393,"")</f>
        <v/>
      </c>
      <c r="W404" s="459" t="str">
        <f>IF(CUENTAS!E393/CUENTAS!$AB393&lt;&gt;0,CUENTAS!E393/CUENTAS!$AB393,"")</f>
        <v/>
      </c>
      <c r="X404" s="459" t="str">
        <f>IF(CUENTAS!F393/CUENTAS!$AB393&lt;&gt;0,CUENTAS!F393/CUENTAS!$AB393,"")</f>
        <v/>
      </c>
      <c r="Y404" s="459" t="str">
        <f>IF(CUENTAS!G393/CUENTAS!$AB393&lt;&gt;0,CUENTAS!G393/CUENTAS!$AB393,"")</f>
        <v/>
      </c>
      <c r="Z404" s="459">
        <f>IF(CUENTAS!H393/CUENTAS!$AB393&lt;&gt;0,CUENTAS!H393/CUENTAS!$AB393,"")</f>
        <v>0.6716772218</v>
      </c>
      <c r="AA404" s="459">
        <f>IF(CUENTAS!I393/CUENTAS!$AB393&lt;&gt;0,CUENTAS!I393/CUENTAS!$AB393,"")</f>
        <v>0.02633179056</v>
      </c>
      <c r="AB404" s="459">
        <f>IF(CUENTAS!J393/CUENTAS!$AB393&lt;&gt;0,CUENTAS!J393/CUENTAS!$AB393,"")</f>
        <v>0.0581720451</v>
      </c>
      <c r="AC404" s="459" t="str">
        <f>IF(CUENTAS!K393/CUENTAS!$AB393&lt;&gt;0,CUENTAS!K393/CUENTAS!$AB393,"")</f>
        <v/>
      </c>
      <c r="AD404" s="459" t="str">
        <f>IF(CUENTAS!L393/CUENTAS!$AB393&lt;&gt;0,CUENTAS!L393/CUENTAS!$AB393,"")</f>
        <v/>
      </c>
      <c r="AE404" s="459" t="str">
        <f>IF(CUENTAS!M393/CUENTAS!$AB393&lt;&gt;0,CUENTAS!M393/CUENTAS!$AB393,"")</f>
        <v/>
      </c>
      <c r="AF404" s="459" t="str">
        <f>IF(CUENTAS!N393/CUENTAS!$AB393&lt;&gt;0,CUENTAS!N393/CUENTAS!$AB393,"")</f>
        <v/>
      </c>
      <c r="AG404" s="459" t="str">
        <f>IF(CUENTAS!O393/CUENTAS!$AB393&lt;&gt;0,CUENTAS!O393/CUENTAS!$AB393,"")</f>
        <v/>
      </c>
      <c r="AH404" s="459" t="str">
        <f>IF(CUENTAS!P393/CUENTAS!$AB393&lt;&gt;0,CUENTAS!P393/CUENTAS!$AB393,"")</f>
        <v/>
      </c>
      <c r="AI404" s="459">
        <f>IF(CUENTAS!R393/CUENTAS!$AB393&lt;&gt;0,CUENTAS!R393/CUENTAS!$AB393,"")</f>
        <v>0.04267949013</v>
      </c>
      <c r="AJ404" s="459" t="str">
        <f>IF(CUENTAS!B393/CUENTAS!$AB393&lt;&gt;0,CUENTAS!B393/CUENTAS!$AB393,"")</f>
        <v/>
      </c>
      <c r="AK404" s="459" t="str">
        <f>IF(CUENTAS!S393/CUENTAS!$AB393&lt;&gt;0,CUENTAS!S393/CUENTAS!$AB393,"")</f>
        <v/>
      </c>
      <c r="AL404" s="459" t="str">
        <f>IF(CUENTAS!T393/CUENTAS!$AB393&lt;&gt;0,CUENTAS!T393/CUENTAS!$AB393,"")</f>
        <v/>
      </c>
      <c r="AM404" s="459" t="str">
        <f>IF(CUENTAS!U393/CUENTAS!$AB393&lt;&gt;0,CUENTAS!U393/CUENTAS!$AB393,"")</f>
        <v/>
      </c>
      <c r="AN404" s="459">
        <f>IF(CUENTAS!V393/CUENTAS!$AB393&lt;&gt;0,CUENTAS!V393/CUENTAS!$AB393,"")</f>
        <v>0.1348907331</v>
      </c>
      <c r="AO404" s="459" t="str">
        <f>IF(CUENTAS!W393/CUENTAS!$AB393&lt;&gt;0,CUENTAS!W393/CUENTAS!$AB393,"")</f>
        <v/>
      </c>
      <c r="AP404" s="459" t="str">
        <f>IF(CUENTAS!X393/CUENTAS!$AB393&lt;&gt;0,CUENTAS!X393/CUENTAS!$AB393,"")</f>
        <v/>
      </c>
      <c r="AQ404" s="459" t="str">
        <f>IF(CUENTAS!Y393/CUENTAS!$AB393&lt;&gt;0,CUENTAS!Y393/CUENTAS!$AB393,"")</f>
        <v/>
      </c>
      <c r="AR404" s="459">
        <f>IF(CUENTAS!AA393/CUENTAS!$AB393&lt;&gt;0,CUENTAS!AA393/CUENTAS!$AB393,"")</f>
        <v>0.05552887085</v>
      </c>
    </row>
    <row r="405">
      <c r="A405" s="474"/>
      <c r="B405" s="200"/>
      <c r="C405" s="200"/>
      <c r="F405" s="200"/>
      <c r="G405" s="200"/>
      <c r="L405" s="481"/>
      <c r="N405" s="482"/>
      <c r="O405" s="481"/>
      <c r="S405" s="471">
        <f>CUENTAS!A394</f>
        <v>45708</v>
      </c>
      <c r="T405" s="459">
        <f>IF(CUENTAS!Q394/CUENTAS!$AB394&lt;&gt;0,CUENTAS!Q394/CUENTAS!$AB394,"")</f>
        <v>0.008293973211</v>
      </c>
      <c r="U405" s="459" t="str">
        <f>IF(CUENTAS!C394/CUENTAS!$AB394&lt;&gt;0,CUENTAS!C394/CUENTAS!$AB394,"")</f>
        <v/>
      </c>
      <c r="V405" s="459" t="str">
        <f>IF(CUENTAS!D394/CUENTAS!$AB394&lt;&gt;0,CUENTAS!D394/CUENTAS!$AB394,"")</f>
        <v/>
      </c>
      <c r="W405" s="459" t="str">
        <f>IF(CUENTAS!E394/CUENTAS!$AB394&lt;&gt;0,CUENTAS!E394/CUENTAS!$AB394,"")</f>
        <v/>
      </c>
      <c r="X405" s="459" t="str">
        <f>IF(CUENTAS!F394/CUENTAS!$AB394&lt;&gt;0,CUENTAS!F394/CUENTAS!$AB394,"")</f>
        <v/>
      </c>
      <c r="Y405" s="459" t="str">
        <f>IF(CUENTAS!G394/CUENTAS!$AB394&lt;&gt;0,CUENTAS!G394/CUENTAS!$AB394,"")</f>
        <v/>
      </c>
      <c r="Z405" s="459">
        <f>IF(CUENTAS!H394/CUENTAS!$AB394&lt;&gt;0,CUENTAS!H394/CUENTAS!$AB394,"")</f>
        <v>0.6074082931</v>
      </c>
      <c r="AA405" s="459">
        <f>IF(CUENTAS!I394/CUENTAS!$AB394&lt;&gt;0,CUENTAS!I394/CUENTAS!$AB394,"")</f>
        <v>0.01960206246</v>
      </c>
      <c r="AB405" s="459">
        <f>IF(CUENTAS!J394/CUENTAS!$AB394&lt;&gt;0,CUENTAS!J394/CUENTAS!$AB394,"")</f>
        <v>0.0425274868</v>
      </c>
      <c r="AC405" s="459" t="str">
        <f>IF(CUENTAS!K394/CUENTAS!$AB394&lt;&gt;0,CUENTAS!K394/CUENTAS!$AB394,"")</f>
        <v/>
      </c>
      <c r="AD405" s="459" t="str">
        <f>IF(CUENTAS!L394/CUENTAS!$AB394&lt;&gt;0,CUENTAS!L394/CUENTAS!$AB394,"")</f>
        <v/>
      </c>
      <c r="AE405" s="459" t="str">
        <f>IF(CUENTAS!M394/CUENTAS!$AB394&lt;&gt;0,CUENTAS!M394/CUENTAS!$AB394,"")</f>
        <v/>
      </c>
      <c r="AF405" s="459" t="str">
        <f>IF(CUENTAS!N394/CUENTAS!$AB394&lt;&gt;0,CUENTAS!N394/CUENTAS!$AB394,"")</f>
        <v/>
      </c>
      <c r="AG405" s="459" t="str">
        <f>IF(CUENTAS!O394/CUENTAS!$AB394&lt;&gt;0,CUENTAS!O394/CUENTAS!$AB394,"")</f>
        <v/>
      </c>
      <c r="AH405" s="459" t="str">
        <f>IF(CUENTAS!P394/CUENTAS!$AB394&lt;&gt;0,CUENTAS!P394/CUENTAS!$AB394,"")</f>
        <v/>
      </c>
      <c r="AI405" s="459">
        <f>IF(CUENTAS!R394/CUENTAS!$AB394&lt;&gt;0,CUENTAS!R394/CUENTAS!$AB394,"")</f>
        <v>0.03169151285</v>
      </c>
      <c r="AJ405" s="459" t="str">
        <f>IF(CUENTAS!B394/CUENTAS!$AB394&lt;&gt;0,CUENTAS!B394/CUENTAS!$AB394,"")</f>
        <v/>
      </c>
      <c r="AK405" s="459" t="str">
        <f>IF(CUENTAS!S394/CUENTAS!$AB394&lt;&gt;0,CUENTAS!S394/CUENTAS!$AB394,"")</f>
        <v/>
      </c>
      <c r="AL405" s="459" t="str">
        <f>IF(CUENTAS!T394/CUENTAS!$AB394&lt;&gt;0,CUENTAS!T394/CUENTAS!$AB394,"")</f>
        <v/>
      </c>
      <c r="AM405" s="459" t="str">
        <f>IF(CUENTAS!U394/CUENTAS!$AB394&lt;&gt;0,CUENTAS!U394/CUENTAS!$AB394,"")</f>
        <v/>
      </c>
      <c r="AN405" s="459">
        <f>IF(CUENTAS!V394/CUENTAS!$AB394&lt;&gt;0,CUENTAS!V394/CUENTAS!$AB394,"")</f>
        <v>0.1001626633</v>
      </c>
      <c r="AO405" s="459" t="str">
        <f>IF(CUENTAS!W394/CUENTAS!$AB394&lt;&gt;0,CUENTAS!W394/CUENTAS!$AB394,"")</f>
        <v/>
      </c>
      <c r="AP405" s="459" t="str">
        <f>IF(CUENTAS!X394/CUENTAS!$AB394&lt;&gt;0,CUENTAS!X394/CUENTAS!$AB394,"")</f>
        <v/>
      </c>
      <c r="AQ405" s="459" t="str">
        <f>IF(CUENTAS!Y394/CUENTAS!$AB394&lt;&gt;0,CUENTAS!Y394/CUENTAS!$AB394,"")</f>
        <v/>
      </c>
      <c r="AR405" s="459">
        <f>IF(CUENTAS!AA394/CUENTAS!$AB394&lt;&gt;0,CUENTAS!AA394/CUENTAS!$AB394,"")</f>
        <v>0.1903140082</v>
      </c>
    </row>
    <row r="406">
      <c r="A406" s="474"/>
      <c r="B406" s="200"/>
      <c r="C406" s="200"/>
      <c r="F406" s="200"/>
      <c r="G406" s="200"/>
      <c r="L406" s="481"/>
      <c r="N406" s="482"/>
      <c r="O406" s="481"/>
      <c r="S406" s="471">
        <f>CUENTAS!A395</f>
        <v>45707</v>
      </c>
      <c r="T406" s="459">
        <f>IF(CUENTAS!Q395/CUENTAS!$AB395&lt;&gt;0,CUENTAS!Q395/CUENTAS!$AB395,"")</f>
        <v>0.008304818274</v>
      </c>
      <c r="U406" s="459" t="str">
        <f>IF(CUENTAS!C395/CUENTAS!$AB395&lt;&gt;0,CUENTAS!C395/CUENTAS!$AB395,"")</f>
        <v/>
      </c>
      <c r="V406" s="459" t="str">
        <f>IF(CUENTAS!D395/CUENTAS!$AB395&lt;&gt;0,CUENTAS!D395/CUENTAS!$AB395,"")</f>
        <v/>
      </c>
      <c r="W406" s="459" t="str">
        <f>IF(CUENTAS!E395/CUENTAS!$AB395&lt;&gt;0,CUENTAS!E395/CUENTAS!$AB395,"")</f>
        <v/>
      </c>
      <c r="X406" s="459" t="str">
        <f>IF(CUENTAS!F395/CUENTAS!$AB395&lt;&gt;0,CUENTAS!F395/CUENTAS!$AB395,"")</f>
        <v/>
      </c>
      <c r="Y406" s="459" t="str">
        <f>IF(CUENTAS!G395/CUENTAS!$AB395&lt;&gt;0,CUENTAS!G395/CUENTAS!$AB395,"")</f>
        <v/>
      </c>
      <c r="Z406" s="459">
        <f>IF(CUENTAS!H395/CUENTAS!$AB395&lt;&gt;0,CUENTAS!H395/CUENTAS!$AB395,"")</f>
        <v>0.6110422639</v>
      </c>
      <c r="AA406" s="459">
        <f>IF(CUENTAS!I395/CUENTAS!$AB395&lt;&gt;0,CUENTAS!I395/CUENTAS!$AB395,"")</f>
        <v>0.01873465068</v>
      </c>
      <c r="AB406" s="459">
        <f>IF(CUENTAS!J395/CUENTAS!$AB395&lt;&gt;0,CUENTAS!J395/CUENTAS!$AB395,"")</f>
        <v>0.04076574494</v>
      </c>
      <c r="AC406" s="459" t="str">
        <f>IF(CUENTAS!K395/CUENTAS!$AB395&lt;&gt;0,CUENTAS!K395/CUENTAS!$AB395,"")</f>
        <v/>
      </c>
      <c r="AD406" s="459" t="str">
        <f>IF(CUENTAS!L395/CUENTAS!$AB395&lt;&gt;0,CUENTAS!L395/CUENTAS!$AB395,"")</f>
        <v/>
      </c>
      <c r="AE406" s="459" t="str">
        <f>IF(CUENTAS!M395/CUENTAS!$AB395&lt;&gt;0,CUENTAS!M395/CUENTAS!$AB395,"")</f>
        <v/>
      </c>
      <c r="AF406" s="459" t="str">
        <f>IF(CUENTAS!N395/CUENTAS!$AB395&lt;&gt;0,CUENTAS!N395/CUENTAS!$AB395,"")</f>
        <v/>
      </c>
      <c r="AG406" s="459" t="str">
        <f>IF(CUENTAS!O395/CUENTAS!$AB395&lt;&gt;0,CUENTAS!O395/CUENTAS!$AB395,"")</f>
        <v/>
      </c>
      <c r="AH406" s="459" t="str">
        <f>IF(CUENTAS!P395/CUENTAS!$AB395&lt;&gt;0,CUENTAS!P395/CUENTAS!$AB395,"")</f>
        <v/>
      </c>
      <c r="AI406" s="459">
        <f>IF(CUENTAS!R395/CUENTAS!$AB395&lt;&gt;0,CUENTAS!R395/CUENTAS!$AB395,"")</f>
        <v>0.0315916027</v>
      </c>
      <c r="AJ406" s="459" t="str">
        <f>IF(CUENTAS!B395/CUENTAS!$AB395&lt;&gt;0,CUENTAS!B395/CUENTAS!$AB395,"")</f>
        <v/>
      </c>
      <c r="AK406" s="459" t="str">
        <f>IF(CUENTAS!S395/CUENTAS!$AB395&lt;&gt;0,CUENTAS!S395/CUENTAS!$AB395,"")</f>
        <v/>
      </c>
      <c r="AL406" s="459" t="str">
        <f>IF(CUENTAS!T395/CUENTAS!$AB395&lt;&gt;0,CUENTAS!T395/CUENTAS!$AB395,"")</f>
        <v/>
      </c>
      <c r="AM406" s="459" t="str">
        <f>IF(CUENTAS!U395/CUENTAS!$AB395&lt;&gt;0,CUENTAS!U395/CUENTAS!$AB395,"")</f>
        <v/>
      </c>
      <c r="AN406" s="459">
        <f>IF(CUENTAS!V395/CUENTAS!$AB395&lt;&gt;0,CUENTAS!V395/CUENTAS!$AB395,"")</f>
        <v>0.09984689212</v>
      </c>
      <c r="AO406" s="459" t="str">
        <f>IF(CUENTAS!W395/CUENTAS!$AB395&lt;&gt;0,CUENTAS!W395/CUENTAS!$AB395,"")</f>
        <v/>
      </c>
      <c r="AP406" s="459" t="str">
        <f>IF(CUENTAS!X395/CUENTAS!$AB395&lt;&gt;0,CUENTAS!X395/CUENTAS!$AB395,"")</f>
        <v/>
      </c>
      <c r="AQ406" s="459" t="str">
        <f>IF(CUENTAS!Y395/CUENTAS!$AB395&lt;&gt;0,CUENTAS!Y395/CUENTAS!$AB395,"")</f>
        <v/>
      </c>
      <c r="AR406" s="459">
        <f>IF(CUENTAS!AA395/CUENTAS!$AB395&lt;&gt;0,CUENTAS!AA395/CUENTAS!$AB395,"")</f>
        <v>0.1897140274</v>
      </c>
    </row>
    <row r="407">
      <c r="A407" s="474"/>
      <c r="B407" s="200"/>
      <c r="C407" s="200"/>
      <c r="F407" s="200"/>
      <c r="G407" s="200"/>
      <c r="L407" s="481"/>
      <c r="N407" s="482"/>
      <c r="O407" s="481"/>
      <c r="S407" s="471">
        <f>CUENTAS!A396</f>
        <v>45706</v>
      </c>
      <c r="T407" s="459">
        <f>IF(CUENTAS!Q396/CUENTAS!$AB396&lt;&gt;0,CUENTAS!Q396/CUENTAS!$AB396,"")</f>
        <v>0.008219582018</v>
      </c>
      <c r="U407" s="459" t="str">
        <f>IF(CUENTAS!C396/CUENTAS!$AB396&lt;&gt;0,CUENTAS!C396/CUENTAS!$AB396,"")</f>
        <v/>
      </c>
      <c r="V407" s="459" t="str">
        <f>IF(CUENTAS!D396/CUENTAS!$AB396&lt;&gt;0,CUENTAS!D396/CUENTAS!$AB396,"")</f>
        <v/>
      </c>
      <c r="W407" s="459" t="str">
        <f>IF(CUENTAS!E396/CUENTAS!$AB396&lt;&gt;0,CUENTAS!E396/CUENTAS!$AB396,"")</f>
        <v/>
      </c>
      <c r="X407" s="459" t="str">
        <f>IF(CUENTAS!F396/CUENTAS!$AB396&lt;&gt;0,CUENTAS!F396/CUENTAS!$AB396,"")</f>
        <v/>
      </c>
      <c r="Y407" s="459" t="str">
        <f>IF(CUENTAS!G396/CUENTAS!$AB396&lt;&gt;0,CUENTAS!G396/CUENTAS!$AB396,"")</f>
        <v/>
      </c>
      <c r="Z407" s="459">
        <f>IF(CUENTAS!H396/CUENTAS!$AB396&lt;&gt;0,CUENTAS!H396/CUENTAS!$AB396,"")</f>
        <v>0.6148099913</v>
      </c>
      <c r="AA407" s="459">
        <f>IF(CUENTAS!I396/CUENTAS!$AB396&lt;&gt;0,CUENTAS!I396/CUENTAS!$AB396,"")</f>
        <v>0.01859337437</v>
      </c>
      <c r="AB407" s="459">
        <f>IF(CUENTAS!J396/CUENTAS!$AB396&lt;&gt;0,CUENTAS!J396/CUENTAS!$AB396,"")</f>
        <v>0.03838262216</v>
      </c>
      <c r="AC407" s="459" t="str">
        <f>IF(CUENTAS!K396/CUENTAS!$AB396&lt;&gt;0,CUENTAS!K396/CUENTAS!$AB396,"")</f>
        <v/>
      </c>
      <c r="AD407" s="459" t="str">
        <f>IF(CUENTAS!L396/CUENTAS!$AB396&lt;&gt;0,CUENTAS!L396/CUENTAS!$AB396,"")</f>
        <v/>
      </c>
      <c r="AE407" s="459" t="str">
        <f>IF(CUENTAS!M396/CUENTAS!$AB396&lt;&gt;0,CUENTAS!M396/CUENTAS!$AB396,"")</f>
        <v/>
      </c>
      <c r="AF407" s="459" t="str">
        <f>IF(CUENTAS!N396/CUENTAS!$AB396&lt;&gt;0,CUENTAS!N396/CUENTAS!$AB396,"")</f>
        <v/>
      </c>
      <c r="AG407" s="459" t="str">
        <f>IF(CUENTAS!O396/CUENTAS!$AB396&lt;&gt;0,CUENTAS!O396/CUENTAS!$AB396,"")</f>
        <v/>
      </c>
      <c r="AH407" s="459" t="str">
        <f>IF(CUENTAS!P396/CUENTAS!$AB396&lt;&gt;0,CUENTAS!P396/CUENTAS!$AB396,"")</f>
        <v/>
      </c>
      <c r="AI407" s="459">
        <f>IF(CUENTAS!R396/CUENTAS!$AB396&lt;&gt;0,CUENTAS!R396/CUENTAS!$AB396,"")</f>
        <v>0.03147768181</v>
      </c>
      <c r="AJ407" s="459" t="str">
        <f>IF(CUENTAS!B396/CUENTAS!$AB396&lt;&gt;0,CUENTAS!B396/CUENTAS!$AB396,"")</f>
        <v/>
      </c>
      <c r="AK407" s="459" t="str">
        <f>IF(CUENTAS!S396/CUENTAS!$AB396&lt;&gt;0,CUENTAS!S396/CUENTAS!$AB396,"")</f>
        <v/>
      </c>
      <c r="AL407" s="459" t="str">
        <f>IF(CUENTAS!T396/CUENTAS!$AB396&lt;&gt;0,CUENTAS!T396/CUENTAS!$AB396,"")</f>
        <v/>
      </c>
      <c r="AM407" s="459" t="str">
        <f>IF(CUENTAS!U396/CUENTAS!$AB396&lt;&gt;0,CUENTAS!U396/CUENTAS!$AB396,"")</f>
        <v/>
      </c>
      <c r="AN407" s="459">
        <f>IF(CUENTAS!V396/CUENTAS!$AB396&lt;&gt;0,CUENTAS!V396/CUENTAS!$AB396,"")</f>
        <v>0.09948683925</v>
      </c>
      <c r="AO407" s="459" t="str">
        <f>IF(CUENTAS!W396/CUENTAS!$AB396&lt;&gt;0,CUENTAS!W396/CUENTAS!$AB396,"")</f>
        <v/>
      </c>
      <c r="AP407" s="459" t="str">
        <f>IF(CUENTAS!X396/CUENTAS!$AB396&lt;&gt;0,CUENTAS!X396/CUENTAS!$AB396,"")</f>
        <v/>
      </c>
      <c r="AQ407" s="459" t="str">
        <f>IF(CUENTAS!Y396/CUENTAS!$AB396&lt;&gt;0,CUENTAS!Y396/CUENTAS!$AB396,"")</f>
        <v/>
      </c>
      <c r="AR407" s="459">
        <f>IF(CUENTAS!AA396/CUENTAS!$AB396&lt;&gt;0,CUENTAS!AA396/CUENTAS!$AB396,"")</f>
        <v>0.1890299091</v>
      </c>
    </row>
    <row r="408">
      <c r="A408" s="474"/>
      <c r="B408" s="200"/>
      <c r="C408" s="200"/>
      <c r="F408" s="200"/>
      <c r="G408" s="200"/>
      <c r="L408" s="481"/>
      <c r="N408" s="482"/>
      <c r="O408" s="481"/>
      <c r="S408" s="471">
        <f>CUENTAS!A397</f>
        <v>45705</v>
      </c>
      <c r="T408" s="459">
        <f>IF(CUENTAS!Q397/CUENTAS!$AB397&lt;&gt;0,CUENTAS!Q397/CUENTAS!$AB397,"")</f>
        <v>0.008100548512</v>
      </c>
      <c r="U408" s="459" t="str">
        <f>IF(CUENTAS!C397/CUENTAS!$AB397&lt;&gt;0,CUENTAS!C397/CUENTAS!$AB397,"")</f>
        <v/>
      </c>
      <c r="V408" s="459" t="str">
        <f>IF(CUENTAS!D397/CUENTAS!$AB397&lt;&gt;0,CUENTAS!D397/CUENTAS!$AB397,"")</f>
        <v/>
      </c>
      <c r="W408" s="459" t="str">
        <f>IF(CUENTAS!E397/CUENTAS!$AB397&lt;&gt;0,CUENTAS!E397/CUENTAS!$AB397,"")</f>
        <v/>
      </c>
      <c r="X408" s="459" t="str">
        <f>IF(CUENTAS!F397/CUENTAS!$AB397&lt;&gt;0,CUENTAS!F397/CUENTAS!$AB397,"")</f>
        <v/>
      </c>
      <c r="Y408" s="459" t="str">
        <f>IF(CUENTAS!G397/CUENTAS!$AB397&lt;&gt;0,CUENTAS!G397/CUENTAS!$AB397,"")</f>
        <v/>
      </c>
      <c r="Z408" s="459">
        <f>IF(CUENTAS!H397/CUENTAS!$AB397&lt;&gt;0,CUENTAS!H397/CUENTAS!$AB397,"")</f>
        <v>0.6209451851</v>
      </c>
      <c r="AA408" s="459">
        <f>IF(CUENTAS!I397/CUENTAS!$AB397&lt;&gt;0,CUENTAS!I397/CUENTAS!$AB397,"")</f>
        <v>0.01832411074</v>
      </c>
      <c r="AB408" s="459">
        <f>IF(CUENTAS!J397/CUENTAS!$AB397&lt;&gt;0,CUENTAS!J397/CUENTAS!$AB397,"")</f>
        <v>0.03726978822</v>
      </c>
      <c r="AC408" s="459" t="str">
        <f>IF(CUENTAS!K397/CUENTAS!$AB397&lt;&gt;0,CUENTAS!K397/CUENTAS!$AB397,"")</f>
        <v/>
      </c>
      <c r="AD408" s="459" t="str">
        <f>IF(CUENTAS!L397/CUENTAS!$AB397&lt;&gt;0,CUENTAS!L397/CUENTAS!$AB397,"")</f>
        <v/>
      </c>
      <c r="AE408" s="459" t="str">
        <f>IF(CUENTAS!M397/CUENTAS!$AB397&lt;&gt;0,CUENTAS!M397/CUENTAS!$AB397,"")</f>
        <v/>
      </c>
      <c r="AF408" s="459" t="str">
        <f>IF(CUENTAS!N397/CUENTAS!$AB397&lt;&gt;0,CUENTAS!N397/CUENTAS!$AB397,"")</f>
        <v/>
      </c>
      <c r="AG408" s="459" t="str">
        <f>IF(CUENTAS!O397/CUENTAS!$AB397&lt;&gt;0,CUENTAS!O397/CUENTAS!$AB397,"")</f>
        <v/>
      </c>
      <c r="AH408" s="459" t="str">
        <f>IF(CUENTAS!P397/CUENTAS!$AB397&lt;&gt;0,CUENTAS!P397/CUENTAS!$AB397,"")</f>
        <v/>
      </c>
      <c r="AI408" s="459">
        <f>IF(CUENTAS!R397/CUENTAS!$AB397&lt;&gt;0,CUENTAS!R397/CUENTAS!$AB397,"")</f>
        <v>0.03102183152</v>
      </c>
      <c r="AJ408" s="459" t="str">
        <f>IF(CUENTAS!B397/CUENTAS!$AB397&lt;&gt;0,CUENTAS!B397/CUENTAS!$AB397,"")</f>
        <v/>
      </c>
      <c r="AK408" s="459" t="str">
        <f>IF(CUENTAS!S397/CUENTAS!$AB397&lt;&gt;0,CUENTAS!S397/CUENTAS!$AB397,"")</f>
        <v/>
      </c>
      <c r="AL408" s="459" t="str">
        <f>IF(CUENTAS!T397/CUENTAS!$AB397&lt;&gt;0,CUENTAS!T397/CUENTAS!$AB397,"")</f>
        <v/>
      </c>
      <c r="AM408" s="459" t="str">
        <f>IF(CUENTAS!U397/CUENTAS!$AB397&lt;&gt;0,CUENTAS!U397/CUENTAS!$AB397,"")</f>
        <v/>
      </c>
      <c r="AN408" s="459">
        <f>IF(CUENTAS!V397/CUENTAS!$AB397&lt;&gt;0,CUENTAS!V397/CUENTAS!$AB397,"")</f>
        <v>0.09804610088</v>
      </c>
      <c r="AO408" s="459" t="str">
        <f>IF(CUENTAS!W397/CUENTAS!$AB397&lt;&gt;0,CUENTAS!W397/CUENTAS!$AB397,"")</f>
        <v/>
      </c>
      <c r="AP408" s="459" t="str">
        <f>IF(CUENTAS!X397/CUENTAS!$AB397&lt;&gt;0,CUENTAS!X397/CUENTAS!$AB397,"")</f>
        <v/>
      </c>
      <c r="AQ408" s="459" t="str">
        <f>IF(CUENTAS!Y397/CUENTAS!$AB397&lt;&gt;0,CUENTAS!Y397/CUENTAS!$AB397,"")</f>
        <v/>
      </c>
      <c r="AR408" s="459">
        <f>IF(CUENTAS!AA397/CUENTAS!$AB397&lt;&gt;0,CUENTAS!AA397/CUENTAS!$AB397,"")</f>
        <v>0.186292435</v>
      </c>
    </row>
    <row r="409">
      <c r="A409" s="474"/>
      <c r="B409" s="200"/>
      <c r="C409" s="200"/>
      <c r="F409" s="200"/>
      <c r="G409" s="200"/>
      <c r="L409" s="481"/>
      <c r="N409" s="482"/>
      <c r="O409" s="481"/>
      <c r="S409" s="471">
        <f>CUENTAS!A398</f>
        <v>45704</v>
      </c>
      <c r="T409" s="459">
        <f>IF(CUENTAS!Q398/CUENTAS!$AB398&lt;&gt;0,CUENTAS!Q398/CUENTAS!$AB398,"")</f>
        <v>0.007730255513</v>
      </c>
      <c r="U409" s="459" t="str">
        <f>IF(CUENTAS!C398/CUENTAS!$AB398&lt;&gt;0,CUENTAS!C398/CUENTAS!$AB398,"")</f>
        <v/>
      </c>
      <c r="V409" s="459" t="str">
        <f>IF(CUENTAS!D398/CUENTAS!$AB398&lt;&gt;0,CUENTAS!D398/CUENTAS!$AB398,"")</f>
        <v/>
      </c>
      <c r="W409" s="459" t="str">
        <f>IF(CUENTAS!E398/CUENTAS!$AB398&lt;&gt;0,CUENTAS!E398/CUENTAS!$AB398,"")</f>
        <v/>
      </c>
      <c r="X409" s="459" t="str">
        <f>IF(CUENTAS!F398/CUENTAS!$AB398&lt;&gt;0,CUENTAS!F398/CUENTAS!$AB398,"")</f>
        <v/>
      </c>
      <c r="Y409" s="459" t="str">
        <f>IF(CUENTAS!G398/CUENTAS!$AB398&lt;&gt;0,CUENTAS!G398/CUENTAS!$AB398,"")</f>
        <v/>
      </c>
      <c r="Z409" s="459">
        <f>IF(CUENTAS!H398/CUENTAS!$AB398&lt;&gt;0,CUENTAS!H398/CUENTAS!$AB398,"")</f>
        <v>0.6207486121</v>
      </c>
      <c r="AA409" s="459">
        <f>IF(CUENTAS!I398/CUENTAS!$AB398&lt;&gt;0,CUENTAS!I398/CUENTAS!$AB398,"")</f>
        <v>0.01838285076</v>
      </c>
      <c r="AB409" s="459">
        <f>IF(CUENTAS!J398/CUENTAS!$AB398&lt;&gt;0,CUENTAS!J398/CUENTAS!$AB398,"")</f>
        <v>0.0373234925</v>
      </c>
      <c r="AC409" s="459" t="str">
        <f>IF(CUENTAS!K398/CUENTAS!$AB398&lt;&gt;0,CUENTAS!K398/CUENTAS!$AB398,"")</f>
        <v/>
      </c>
      <c r="AD409" s="459" t="str">
        <f>IF(CUENTAS!L398/CUENTAS!$AB398&lt;&gt;0,CUENTAS!L398/CUENTAS!$AB398,"")</f>
        <v/>
      </c>
      <c r="AE409" s="459" t="str">
        <f>IF(CUENTAS!M398/CUENTAS!$AB398&lt;&gt;0,CUENTAS!M398/CUENTAS!$AB398,"")</f>
        <v/>
      </c>
      <c r="AF409" s="459" t="str">
        <f>IF(CUENTAS!N398/CUENTAS!$AB398&lt;&gt;0,CUENTAS!N398/CUENTAS!$AB398,"")</f>
        <v/>
      </c>
      <c r="AG409" s="459" t="str">
        <f>IF(CUENTAS!O398/CUENTAS!$AB398&lt;&gt;0,CUENTAS!O398/CUENTAS!$AB398,"")</f>
        <v/>
      </c>
      <c r="AH409" s="459" t="str">
        <f>IF(CUENTAS!P398/CUENTAS!$AB398&lt;&gt;0,CUENTAS!P398/CUENTAS!$AB398,"")</f>
        <v/>
      </c>
      <c r="AI409" s="459">
        <f>IF(CUENTAS!R398/CUENTAS!$AB398&lt;&gt;0,CUENTAS!R398/CUENTAS!$AB398,"")</f>
        <v>0.03106653274</v>
      </c>
      <c r="AJ409" s="459" t="str">
        <f>IF(CUENTAS!B398/CUENTAS!$AB398&lt;&gt;0,CUENTAS!B398/CUENTAS!$AB398,"")</f>
        <v/>
      </c>
      <c r="AK409" s="459" t="str">
        <f>IF(CUENTAS!S398/CUENTAS!$AB398&lt;&gt;0,CUENTAS!S398/CUENTAS!$AB398,"")</f>
        <v/>
      </c>
      <c r="AL409" s="459" t="str">
        <f>IF(CUENTAS!T398/CUENTAS!$AB398&lt;&gt;0,CUENTAS!T398/CUENTAS!$AB398,"")</f>
        <v/>
      </c>
      <c r="AM409" s="459" t="str">
        <f>IF(CUENTAS!U398/CUENTAS!$AB398&lt;&gt;0,CUENTAS!U398/CUENTAS!$AB398,"")</f>
        <v/>
      </c>
      <c r="AN409" s="459">
        <f>IF(CUENTAS!V398/CUENTAS!$AB398&lt;&gt;0,CUENTAS!V398/CUENTAS!$AB398,"")</f>
        <v>0.09818738139</v>
      </c>
      <c r="AO409" s="459" t="str">
        <f>IF(CUENTAS!W398/CUENTAS!$AB398&lt;&gt;0,CUENTAS!W398/CUENTAS!$AB398,"")</f>
        <v/>
      </c>
      <c r="AP409" s="459" t="str">
        <f>IF(CUENTAS!X398/CUENTAS!$AB398&lt;&gt;0,CUENTAS!X398/CUENTAS!$AB398,"")</f>
        <v/>
      </c>
      <c r="AQ409" s="459" t="str">
        <f>IF(CUENTAS!Y398/CUENTAS!$AB398&lt;&gt;0,CUENTAS!Y398/CUENTAS!$AB398,"")</f>
        <v/>
      </c>
      <c r="AR409" s="459">
        <f>IF(CUENTAS!AA398/CUENTAS!$AB398&lt;&gt;0,CUENTAS!AA398/CUENTAS!$AB398,"")</f>
        <v>0.186560875</v>
      </c>
    </row>
    <row r="410">
      <c r="A410" s="474"/>
      <c r="B410" s="200"/>
      <c r="C410" s="200"/>
      <c r="F410" s="200"/>
      <c r="G410" s="200"/>
      <c r="L410" s="481"/>
      <c r="N410" s="482"/>
      <c r="O410" s="481"/>
      <c r="S410" s="471">
        <f>CUENTAS!A399</f>
        <v>45703</v>
      </c>
      <c r="T410" s="459">
        <f>IF(CUENTAS!Q399/CUENTAS!$AB399&lt;&gt;0,CUENTAS!Q399/CUENTAS!$AB399,"")</f>
        <v>0.007020809128</v>
      </c>
      <c r="U410" s="459" t="str">
        <f>IF(CUENTAS!C399/CUENTAS!$AB399&lt;&gt;0,CUENTAS!C399/CUENTAS!$AB399,"")</f>
        <v/>
      </c>
      <c r="V410" s="459" t="str">
        <f>IF(CUENTAS!D399/CUENTAS!$AB399&lt;&gt;0,CUENTAS!D399/CUENTAS!$AB399,"")</f>
        <v/>
      </c>
      <c r="W410" s="459" t="str">
        <f>IF(CUENTAS!E399/CUENTAS!$AB399&lt;&gt;0,CUENTAS!E399/CUENTAS!$AB399,"")</f>
        <v/>
      </c>
      <c r="X410" s="459" t="str">
        <f>IF(CUENTAS!F399/CUENTAS!$AB399&lt;&gt;0,CUENTAS!F399/CUENTAS!$AB399,"")</f>
        <v/>
      </c>
      <c r="Y410" s="459" t="str">
        <f>IF(CUENTAS!G399/CUENTAS!$AB399&lt;&gt;0,CUENTAS!G399/CUENTAS!$AB399,"")</f>
        <v/>
      </c>
      <c r="Z410" s="459">
        <f>IF(CUENTAS!H399/CUENTAS!$AB399&lt;&gt;0,CUENTAS!H399/CUENTAS!$AB399,"")</f>
        <v>0.5637792327</v>
      </c>
      <c r="AA410" s="459">
        <f>IF(CUENTAS!I399/CUENTAS!$AB399&lt;&gt;0,CUENTAS!I399/CUENTAS!$AB399,"")</f>
        <v>0.01669575943</v>
      </c>
      <c r="AB410" s="459">
        <f>IF(CUENTAS!J399/CUENTAS!$AB399&lt;&gt;0,CUENTAS!J399/CUENTAS!$AB399,"")</f>
        <v>0.03389811842</v>
      </c>
      <c r="AC410" s="459" t="str">
        <f>IF(CUENTAS!K399/CUENTAS!$AB399&lt;&gt;0,CUENTAS!K399/CUENTAS!$AB399,"")</f>
        <v/>
      </c>
      <c r="AD410" s="459" t="str">
        <f>IF(CUENTAS!L399/CUENTAS!$AB399&lt;&gt;0,CUENTAS!L399/CUENTAS!$AB399,"")</f>
        <v/>
      </c>
      <c r="AE410" s="459" t="str">
        <f>IF(CUENTAS!M399/CUENTAS!$AB399&lt;&gt;0,CUENTAS!M399/CUENTAS!$AB399,"")</f>
        <v/>
      </c>
      <c r="AF410" s="459" t="str">
        <f>IF(CUENTAS!N399/CUENTAS!$AB399&lt;&gt;0,CUENTAS!N399/CUENTAS!$AB399,"")</f>
        <v/>
      </c>
      <c r="AG410" s="459" t="str">
        <f>IF(CUENTAS!O399/CUENTAS!$AB399&lt;&gt;0,CUENTAS!O399/CUENTAS!$AB399,"")</f>
        <v/>
      </c>
      <c r="AH410" s="459" t="str">
        <f>IF(CUENTAS!P399/CUENTAS!$AB399&lt;&gt;0,CUENTAS!P399/CUENTAS!$AB399,"")</f>
        <v/>
      </c>
      <c r="AI410" s="459">
        <f>IF(CUENTAS!R399/CUENTAS!$AB399&lt;&gt;0,CUENTAS!R399/CUENTAS!$AB399,"")</f>
        <v>0.02821539292</v>
      </c>
      <c r="AJ410" s="459" t="str">
        <f>IF(CUENTAS!B399/CUENTAS!$AB399&lt;&gt;0,CUENTAS!B399/CUENTAS!$AB399,"")</f>
        <v/>
      </c>
      <c r="AK410" s="459" t="str">
        <f>IF(CUENTAS!S399/CUENTAS!$AB399&lt;&gt;0,CUENTAS!S399/CUENTAS!$AB399,"")</f>
        <v/>
      </c>
      <c r="AL410" s="459" t="str">
        <f>IF(CUENTAS!T399/CUENTAS!$AB399&lt;&gt;0,CUENTAS!T399/CUENTAS!$AB399,"")</f>
        <v/>
      </c>
      <c r="AM410" s="459" t="str">
        <f>IF(CUENTAS!U399/CUENTAS!$AB399&lt;&gt;0,CUENTAS!U399/CUENTAS!$AB399,"")</f>
        <v/>
      </c>
      <c r="AN410" s="459">
        <f>IF(CUENTAS!V399/CUENTAS!$AB399&lt;&gt;0,CUENTAS!V399/CUENTAS!$AB399,"")</f>
        <v>0.08917620671</v>
      </c>
      <c r="AO410" s="459" t="str">
        <f>IF(CUENTAS!W399/CUENTAS!$AB399&lt;&gt;0,CUENTAS!W399/CUENTAS!$AB399,"")</f>
        <v/>
      </c>
      <c r="AP410" s="459" t="str">
        <f>IF(CUENTAS!X399/CUENTAS!$AB399&lt;&gt;0,CUENTAS!X399/CUENTAS!$AB399,"")</f>
        <v/>
      </c>
      <c r="AQ410" s="459" t="str">
        <f>IF(CUENTAS!Y399/CUENTAS!$AB399&lt;&gt;0,CUENTAS!Y399/CUENTAS!$AB399,"")</f>
        <v/>
      </c>
      <c r="AR410" s="459">
        <f>IF(CUENTAS!AA399/CUENTAS!$AB399&lt;&gt;0,CUENTAS!AA399/CUENTAS!$AB399,"")</f>
        <v>0.2612144807</v>
      </c>
    </row>
    <row r="411">
      <c r="A411" s="474"/>
      <c r="B411" s="200"/>
      <c r="C411" s="200"/>
      <c r="F411" s="200"/>
      <c r="G411" s="200"/>
      <c r="L411" s="481"/>
      <c r="N411" s="482"/>
      <c r="O411" s="481"/>
      <c r="S411" s="459" t="str">
        <f>CUENTAS!A400</f>
        <v/>
      </c>
      <c r="T411" s="459" t="str">
        <f>CUENTAS!Q400/CUENTAS!$AB400</f>
        <v>#DIV/0!</v>
      </c>
    </row>
    <row r="412">
      <c r="A412" s="474"/>
      <c r="B412" s="200"/>
      <c r="C412" s="200"/>
      <c r="F412" s="200"/>
      <c r="G412" s="200"/>
      <c r="L412" s="481"/>
      <c r="N412" s="482"/>
      <c r="O412" s="481"/>
      <c r="S412" s="459" t="str">
        <f>CUENTAS!A401</f>
        <v/>
      </c>
      <c r="T412" s="459" t="str">
        <f>CUENTAS!Q401/CUENTAS!$AB401</f>
        <v>#DIV/0!</v>
      </c>
    </row>
    <row r="413">
      <c r="A413" s="474"/>
      <c r="B413" s="200"/>
      <c r="C413" s="200"/>
      <c r="F413" s="200"/>
      <c r="G413" s="200"/>
      <c r="L413" s="481"/>
      <c r="N413" s="482"/>
      <c r="O413" s="481"/>
      <c r="S413" s="459" t="str">
        <f>CUENTAS!A402</f>
        <v/>
      </c>
      <c r="T413" s="459" t="str">
        <f>CUENTAS!Q402/CUENTAS!$AB402</f>
        <v>#DIV/0!</v>
      </c>
    </row>
    <row r="414">
      <c r="A414" s="474"/>
      <c r="B414" s="200"/>
      <c r="C414" s="200"/>
      <c r="F414" s="200"/>
      <c r="G414" s="200"/>
      <c r="L414" s="481"/>
      <c r="N414" s="482"/>
      <c r="O414" s="481"/>
      <c r="S414" s="459" t="str">
        <f>CUENTAS!A403</f>
        <v/>
      </c>
      <c r="T414" s="459" t="str">
        <f>CUENTAS!Q403/CUENTAS!$AB403</f>
        <v>#DIV/0!</v>
      </c>
    </row>
    <row r="415">
      <c r="A415" s="474"/>
      <c r="B415" s="200"/>
      <c r="C415" s="200"/>
      <c r="F415" s="200"/>
      <c r="G415" s="200"/>
      <c r="L415" s="481"/>
      <c r="N415" s="482"/>
      <c r="O415" s="481"/>
      <c r="S415" s="459" t="str">
        <f>CUENTAS!A404</f>
        <v/>
      </c>
      <c r="T415" s="459" t="str">
        <f>CUENTAS!Q404/CUENTAS!$AB404</f>
        <v>#DIV/0!</v>
      </c>
    </row>
    <row r="416">
      <c r="A416" s="474"/>
      <c r="B416" s="200"/>
      <c r="C416" s="200"/>
      <c r="F416" s="200"/>
      <c r="G416" s="200"/>
      <c r="L416" s="481"/>
      <c r="N416" s="482"/>
      <c r="O416" s="481"/>
      <c r="S416" s="459" t="str">
        <f>CUENTAS!A405</f>
        <v/>
      </c>
      <c r="T416" s="459" t="str">
        <f>CUENTAS!Q405/CUENTAS!$AB405</f>
        <v>#DIV/0!</v>
      </c>
    </row>
    <row r="417">
      <c r="A417" s="474"/>
      <c r="B417" s="200"/>
      <c r="C417" s="200"/>
      <c r="F417" s="200"/>
      <c r="G417" s="200"/>
      <c r="L417" s="481"/>
      <c r="N417" s="482"/>
      <c r="O417" s="481"/>
      <c r="S417" s="459" t="str">
        <f>CUENTAS!A406</f>
        <v/>
      </c>
      <c r="T417" s="459" t="str">
        <f>CUENTAS!Q406/CUENTAS!$AB406</f>
        <v>#DIV/0!</v>
      </c>
    </row>
    <row r="418">
      <c r="A418" s="474"/>
      <c r="B418" s="200"/>
      <c r="C418" s="200"/>
      <c r="F418" s="200"/>
      <c r="G418" s="200"/>
      <c r="L418" s="481"/>
      <c r="N418" s="482"/>
      <c r="O418" s="481"/>
      <c r="S418" s="459" t="str">
        <f>CUENTAS!A407</f>
        <v/>
      </c>
      <c r="T418" s="459" t="str">
        <f>CUENTAS!Q407/CUENTAS!$AB407</f>
        <v>#DIV/0!</v>
      </c>
    </row>
    <row r="419">
      <c r="A419" s="474"/>
      <c r="B419" s="200"/>
      <c r="C419" s="200"/>
      <c r="F419" s="200"/>
      <c r="G419" s="200"/>
      <c r="L419" s="481"/>
      <c r="N419" s="482"/>
      <c r="O419" s="481"/>
      <c r="S419" s="459" t="str">
        <f>CUENTAS!A408</f>
        <v/>
      </c>
      <c r="T419" s="459" t="str">
        <f>CUENTAS!Q408/CUENTAS!$AB408</f>
        <v>#DIV/0!</v>
      </c>
    </row>
    <row r="420">
      <c r="A420" s="474"/>
      <c r="B420" s="200"/>
      <c r="C420" s="200"/>
      <c r="F420" s="200"/>
      <c r="G420" s="200"/>
      <c r="L420" s="481"/>
      <c r="N420" s="482"/>
      <c r="O420" s="481"/>
      <c r="S420" s="459" t="str">
        <f>CUENTAS!A409</f>
        <v/>
      </c>
      <c r="T420" s="459" t="str">
        <f>CUENTAS!Q409/CUENTAS!$AB409</f>
        <v>#DIV/0!</v>
      </c>
    </row>
    <row r="421">
      <c r="A421" s="474"/>
      <c r="B421" s="200"/>
      <c r="C421" s="200"/>
      <c r="F421" s="200"/>
      <c r="G421" s="200"/>
      <c r="L421" s="481"/>
      <c r="N421" s="482"/>
      <c r="O421" s="481"/>
      <c r="S421" s="459" t="str">
        <f>CUENTAS!A410</f>
        <v/>
      </c>
      <c r="T421" s="459" t="str">
        <f>CUENTAS!Q410/CUENTAS!$AB410</f>
        <v>#DIV/0!</v>
      </c>
    </row>
    <row r="422">
      <c r="A422" s="474"/>
      <c r="B422" s="200"/>
      <c r="C422" s="200"/>
      <c r="F422" s="200"/>
      <c r="G422" s="200"/>
      <c r="L422" s="481"/>
      <c r="N422" s="482"/>
      <c r="O422" s="481"/>
      <c r="S422" s="459" t="str">
        <f>CUENTAS!A411</f>
        <v/>
      </c>
      <c r="T422" s="459" t="str">
        <f>CUENTAS!Q411/CUENTAS!$AB411</f>
        <v>#DIV/0!</v>
      </c>
    </row>
    <row r="423">
      <c r="A423" s="474"/>
      <c r="B423" s="200"/>
      <c r="C423" s="200"/>
      <c r="F423" s="200"/>
      <c r="G423" s="200"/>
      <c r="L423" s="481"/>
      <c r="N423" s="482"/>
      <c r="O423" s="481"/>
      <c r="S423" s="459" t="str">
        <f>CUENTAS!A412</f>
        <v/>
      </c>
      <c r="T423" s="459" t="str">
        <f>CUENTAS!Q412/CUENTAS!$AB412</f>
        <v>#DIV/0!</v>
      </c>
    </row>
    <row r="424">
      <c r="A424" s="474"/>
      <c r="B424" s="200"/>
      <c r="C424" s="200"/>
      <c r="F424" s="200"/>
      <c r="G424" s="200"/>
      <c r="L424" s="481"/>
      <c r="N424" s="482"/>
      <c r="O424" s="481"/>
      <c r="S424" s="459" t="str">
        <f>CUENTAS!A413</f>
        <v/>
      </c>
      <c r="T424" s="459" t="str">
        <f>CUENTAS!Q413/CUENTAS!$AB413</f>
        <v>#DIV/0!</v>
      </c>
    </row>
    <row r="425">
      <c r="A425" s="474"/>
      <c r="B425" s="200"/>
      <c r="C425" s="200"/>
      <c r="F425" s="200"/>
      <c r="G425" s="200"/>
      <c r="L425" s="481"/>
      <c r="N425" s="482"/>
      <c r="O425" s="481"/>
      <c r="S425" s="459" t="str">
        <f>CUENTAS!A414</f>
        <v/>
      </c>
      <c r="T425" s="459" t="str">
        <f>CUENTAS!Q414/CUENTAS!$AB414</f>
        <v>#DIV/0!</v>
      </c>
    </row>
    <row r="426">
      <c r="A426" s="474"/>
      <c r="B426" s="200"/>
      <c r="C426" s="200"/>
      <c r="F426" s="200"/>
      <c r="G426" s="200"/>
      <c r="L426" s="481"/>
      <c r="N426" s="482"/>
      <c r="O426" s="481"/>
      <c r="S426" s="459" t="str">
        <f>CUENTAS!A415</f>
        <v/>
      </c>
      <c r="T426" s="459" t="str">
        <f>CUENTAS!Q415/CUENTAS!$AB415</f>
        <v>#DIV/0!</v>
      </c>
    </row>
    <row r="427">
      <c r="A427" s="474"/>
      <c r="B427" s="200"/>
      <c r="C427" s="200"/>
      <c r="F427" s="200"/>
      <c r="G427" s="200"/>
      <c r="L427" s="481"/>
      <c r="N427" s="482"/>
      <c r="O427" s="481"/>
      <c r="S427" s="459" t="str">
        <f>CUENTAS!A416</f>
        <v/>
      </c>
      <c r="T427" s="459" t="str">
        <f>CUENTAS!Q416/CUENTAS!$AB416</f>
        <v>#DIV/0!</v>
      </c>
    </row>
    <row r="428">
      <c r="A428" s="474"/>
      <c r="B428" s="200"/>
      <c r="C428" s="200"/>
      <c r="F428" s="200"/>
      <c r="G428" s="200"/>
      <c r="L428" s="481"/>
      <c r="N428" s="482"/>
      <c r="O428" s="481"/>
      <c r="S428" s="459" t="str">
        <f>CUENTAS!A417</f>
        <v/>
      </c>
      <c r="T428" s="459" t="str">
        <f>CUENTAS!Q417/CUENTAS!$AB417</f>
        <v>#DIV/0!</v>
      </c>
    </row>
    <row r="429">
      <c r="A429" s="474"/>
      <c r="B429" s="200"/>
      <c r="C429" s="200"/>
      <c r="F429" s="200"/>
      <c r="G429" s="200"/>
      <c r="L429" s="481"/>
      <c r="N429" s="482"/>
      <c r="O429" s="481"/>
      <c r="S429" s="459" t="str">
        <f>CUENTAS!A418</f>
        <v/>
      </c>
      <c r="T429" s="459" t="str">
        <f>CUENTAS!Q418/CUENTAS!$AB418</f>
        <v>#DIV/0!</v>
      </c>
    </row>
    <row r="430">
      <c r="A430" s="474"/>
      <c r="B430" s="200"/>
      <c r="C430" s="200"/>
      <c r="F430" s="200"/>
      <c r="G430" s="200"/>
      <c r="L430" s="481"/>
      <c r="N430" s="482"/>
      <c r="O430" s="481"/>
      <c r="S430" s="459" t="str">
        <f>CUENTAS!A419</f>
        <v/>
      </c>
      <c r="T430" s="459" t="str">
        <f>CUENTAS!Q419/CUENTAS!$AB419</f>
        <v>#DIV/0!</v>
      </c>
    </row>
    <row r="431">
      <c r="A431" s="474"/>
      <c r="B431" s="200"/>
      <c r="C431" s="200"/>
      <c r="F431" s="200"/>
      <c r="G431" s="200"/>
      <c r="L431" s="481"/>
      <c r="N431" s="482"/>
      <c r="O431" s="481"/>
      <c r="S431" s="459" t="str">
        <f>CUENTAS!A420</f>
        <v/>
      </c>
      <c r="T431" s="459" t="str">
        <f>CUENTAS!Q420/CUENTAS!$AB420</f>
        <v>#DIV/0!</v>
      </c>
    </row>
    <row r="432">
      <c r="A432" s="474"/>
      <c r="B432" s="200"/>
      <c r="C432" s="200"/>
      <c r="F432" s="200"/>
      <c r="G432" s="200"/>
      <c r="L432" s="481"/>
      <c r="N432" s="482"/>
      <c r="O432" s="481"/>
      <c r="S432" s="459" t="str">
        <f>CUENTAS!A421</f>
        <v/>
      </c>
      <c r="T432" s="459" t="str">
        <f>CUENTAS!Q421/CUENTAS!$AB421</f>
        <v>#DIV/0!</v>
      </c>
    </row>
    <row r="433">
      <c r="A433" s="474"/>
      <c r="B433" s="200"/>
      <c r="C433" s="200"/>
      <c r="F433" s="200"/>
      <c r="G433" s="200"/>
      <c r="L433" s="481"/>
      <c r="N433" s="482"/>
      <c r="O433" s="481"/>
      <c r="S433" s="459" t="str">
        <f>CUENTAS!A422</f>
        <v/>
      </c>
      <c r="T433" s="459" t="str">
        <f>CUENTAS!Q422/CUENTAS!$AB422</f>
        <v>#DIV/0!</v>
      </c>
    </row>
    <row r="434">
      <c r="A434" s="474"/>
      <c r="B434" s="200"/>
      <c r="C434" s="200"/>
      <c r="F434" s="200"/>
      <c r="G434" s="200"/>
      <c r="L434" s="481"/>
      <c r="N434" s="482"/>
      <c r="O434" s="481"/>
      <c r="S434" s="459" t="str">
        <f>CUENTAS!A423</f>
        <v/>
      </c>
      <c r="T434" s="459" t="str">
        <f>CUENTAS!Q423/CUENTAS!$AB423</f>
        <v>#DIV/0!</v>
      </c>
    </row>
    <row r="435">
      <c r="A435" s="474"/>
      <c r="B435" s="200"/>
      <c r="C435" s="200"/>
      <c r="F435" s="200"/>
      <c r="G435" s="200"/>
      <c r="L435" s="481"/>
      <c r="N435" s="482"/>
      <c r="O435" s="481"/>
      <c r="S435" s="459" t="str">
        <f>CUENTAS!A424</f>
        <v/>
      </c>
      <c r="T435" s="459" t="str">
        <f>CUENTAS!Q424/CUENTAS!$AB424</f>
        <v>#DIV/0!</v>
      </c>
    </row>
    <row r="436">
      <c r="A436" s="474"/>
      <c r="B436" s="200"/>
      <c r="C436" s="200"/>
      <c r="F436" s="200"/>
      <c r="G436" s="200"/>
      <c r="L436" s="481"/>
      <c r="N436" s="482"/>
      <c r="O436" s="481"/>
      <c r="S436" s="459" t="str">
        <f>CUENTAS!A425</f>
        <v/>
      </c>
      <c r="T436" s="459" t="str">
        <f>CUENTAS!Q425/CUENTAS!$AB425</f>
        <v>#DIV/0!</v>
      </c>
    </row>
    <row r="437">
      <c r="A437" s="474"/>
      <c r="B437" s="200"/>
      <c r="C437" s="200"/>
      <c r="F437" s="200"/>
      <c r="G437" s="200"/>
      <c r="L437" s="481"/>
      <c r="N437" s="482"/>
      <c r="O437" s="481"/>
      <c r="S437" s="459" t="str">
        <f>CUENTAS!A426</f>
        <v/>
      </c>
      <c r="T437" s="459" t="str">
        <f>CUENTAS!Q426/CUENTAS!$AB426</f>
        <v>#DIV/0!</v>
      </c>
    </row>
    <row r="438">
      <c r="A438" s="474"/>
      <c r="B438" s="200"/>
      <c r="C438" s="200"/>
      <c r="F438" s="200"/>
      <c r="G438" s="200"/>
      <c r="L438" s="481"/>
      <c r="N438" s="482"/>
      <c r="O438" s="481"/>
    </row>
    <row r="439">
      <c r="A439" s="474"/>
      <c r="B439" s="200"/>
      <c r="C439" s="200"/>
      <c r="F439" s="200"/>
      <c r="G439" s="200"/>
      <c r="L439" s="481"/>
      <c r="N439" s="482"/>
      <c r="O439" s="481"/>
    </row>
    <row r="440">
      <c r="A440" s="474"/>
      <c r="B440" s="200"/>
      <c r="C440" s="200"/>
      <c r="F440" s="200"/>
      <c r="G440" s="200"/>
      <c r="L440" s="481"/>
      <c r="N440" s="482"/>
      <c r="O440" s="481"/>
    </row>
    <row r="441">
      <c r="A441" s="474"/>
      <c r="B441" s="200"/>
      <c r="C441" s="200"/>
      <c r="F441" s="200"/>
      <c r="G441" s="200"/>
      <c r="L441" s="481"/>
      <c r="N441" s="482"/>
      <c r="O441" s="481"/>
    </row>
    <row r="442">
      <c r="A442" s="474"/>
      <c r="B442" s="200"/>
      <c r="C442" s="200"/>
      <c r="F442" s="200"/>
      <c r="G442" s="200"/>
      <c r="L442" s="481"/>
      <c r="N442" s="482"/>
      <c r="O442" s="481"/>
    </row>
    <row r="443">
      <c r="A443" s="474"/>
      <c r="B443" s="200"/>
      <c r="C443" s="200"/>
      <c r="F443" s="200"/>
      <c r="G443" s="200"/>
      <c r="L443" s="481"/>
      <c r="N443" s="482"/>
      <c r="O443" s="481"/>
    </row>
    <row r="444">
      <c r="A444" s="474"/>
      <c r="B444" s="200"/>
      <c r="C444" s="200"/>
      <c r="F444" s="200"/>
      <c r="G444" s="200"/>
      <c r="L444" s="481"/>
      <c r="N444" s="482"/>
      <c r="O444" s="481"/>
    </row>
    <row r="445">
      <c r="A445" s="474"/>
      <c r="B445" s="200"/>
      <c r="C445" s="200"/>
      <c r="F445" s="200"/>
      <c r="G445" s="200"/>
      <c r="L445" s="481"/>
      <c r="N445" s="482"/>
      <c r="O445" s="481"/>
    </row>
    <row r="446">
      <c r="A446" s="474"/>
      <c r="B446" s="200"/>
      <c r="C446" s="200"/>
      <c r="F446" s="200"/>
      <c r="G446" s="200"/>
      <c r="L446" s="481"/>
      <c r="N446" s="482"/>
      <c r="O446" s="481"/>
    </row>
    <row r="447">
      <c r="A447" s="474"/>
      <c r="B447" s="200"/>
      <c r="C447" s="200"/>
      <c r="F447" s="200"/>
      <c r="G447" s="200"/>
      <c r="L447" s="481"/>
      <c r="N447" s="482"/>
      <c r="O447" s="481"/>
    </row>
    <row r="448">
      <c r="A448" s="474"/>
      <c r="B448" s="200"/>
      <c r="C448" s="200"/>
      <c r="F448" s="200"/>
      <c r="G448" s="200"/>
      <c r="L448" s="481"/>
      <c r="N448" s="482"/>
      <c r="O448" s="481"/>
    </row>
    <row r="449">
      <c r="A449" s="474"/>
      <c r="B449" s="200"/>
      <c r="C449" s="200"/>
      <c r="F449" s="200"/>
      <c r="G449" s="200"/>
      <c r="L449" s="481"/>
      <c r="N449" s="482"/>
      <c r="O449" s="481"/>
    </row>
    <row r="450">
      <c r="A450" s="474"/>
      <c r="B450" s="200"/>
      <c r="C450" s="200"/>
      <c r="F450" s="200"/>
      <c r="G450" s="200"/>
      <c r="L450" s="481"/>
      <c r="N450" s="482"/>
      <c r="O450" s="481"/>
    </row>
    <row r="451">
      <c r="A451" s="474"/>
      <c r="B451" s="200"/>
      <c r="C451" s="200"/>
      <c r="F451" s="200"/>
      <c r="G451" s="200"/>
      <c r="L451" s="481"/>
      <c r="N451" s="482"/>
      <c r="O451" s="481"/>
    </row>
    <row r="452">
      <c r="A452" s="474"/>
      <c r="B452" s="200"/>
      <c r="C452" s="200"/>
      <c r="F452" s="200"/>
      <c r="G452" s="200"/>
      <c r="L452" s="481"/>
      <c r="N452" s="482"/>
      <c r="O452" s="481"/>
    </row>
    <row r="453">
      <c r="A453" s="474"/>
      <c r="B453" s="200"/>
      <c r="C453" s="200"/>
      <c r="F453" s="200"/>
      <c r="G453" s="200"/>
      <c r="L453" s="481"/>
      <c r="N453" s="482"/>
      <c r="O453" s="481"/>
    </row>
    <row r="454">
      <c r="A454" s="474"/>
      <c r="B454" s="200"/>
      <c r="C454" s="200"/>
      <c r="F454" s="200"/>
      <c r="G454" s="200"/>
      <c r="L454" s="481"/>
      <c r="N454" s="482"/>
      <c r="O454" s="481"/>
    </row>
    <row r="455">
      <c r="A455" s="474"/>
      <c r="B455" s="200"/>
      <c r="C455" s="200"/>
      <c r="F455" s="200"/>
      <c r="G455" s="200"/>
      <c r="L455" s="481"/>
      <c r="N455" s="482"/>
      <c r="O455" s="481"/>
    </row>
    <row r="456">
      <c r="A456" s="474"/>
      <c r="B456" s="200"/>
      <c r="C456" s="200"/>
      <c r="F456" s="200"/>
      <c r="G456" s="200"/>
      <c r="L456" s="481"/>
      <c r="N456" s="482"/>
      <c r="O456" s="481"/>
    </row>
    <row r="457">
      <c r="A457" s="474"/>
      <c r="B457" s="200"/>
      <c r="C457" s="200"/>
      <c r="F457" s="200"/>
      <c r="G457" s="200"/>
      <c r="L457" s="481"/>
      <c r="N457" s="482"/>
      <c r="O457" s="481"/>
    </row>
    <row r="458">
      <c r="A458" s="474"/>
      <c r="B458" s="200"/>
      <c r="C458" s="200"/>
      <c r="F458" s="200"/>
      <c r="G458" s="200"/>
      <c r="L458" s="481"/>
      <c r="N458" s="482"/>
      <c r="O458" s="481"/>
    </row>
    <row r="459">
      <c r="A459" s="474"/>
      <c r="B459" s="200"/>
      <c r="C459" s="200"/>
      <c r="F459" s="200"/>
      <c r="G459" s="200"/>
      <c r="L459" s="481"/>
      <c r="N459" s="482"/>
      <c r="O459" s="481"/>
    </row>
    <row r="460">
      <c r="A460" s="474"/>
      <c r="B460" s="200"/>
      <c r="C460" s="200"/>
      <c r="F460" s="200"/>
      <c r="G460" s="200"/>
      <c r="L460" s="481"/>
      <c r="N460" s="482"/>
      <c r="O460" s="481"/>
    </row>
    <row r="461">
      <c r="A461" s="474"/>
      <c r="B461" s="200"/>
      <c r="C461" s="200"/>
      <c r="F461" s="200"/>
      <c r="G461" s="200"/>
      <c r="L461" s="481"/>
      <c r="N461" s="482"/>
      <c r="O461" s="481"/>
    </row>
    <row r="462">
      <c r="A462" s="474"/>
      <c r="B462" s="200"/>
      <c r="C462" s="200"/>
      <c r="F462" s="200"/>
      <c r="G462" s="200"/>
      <c r="L462" s="481"/>
      <c r="N462" s="482"/>
      <c r="O462" s="481"/>
    </row>
    <row r="463">
      <c r="A463" s="474"/>
      <c r="B463" s="200"/>
      <c r="C463" s="200"/>
      <c r="F463" s="200"/>
      <c r="G463" s="200"/>
      <c r="L463" s="481"/>
      <c r="N463" s="482"/>
      <c r="O463" s="481"/>
    </row>
    <row r="464">
      <c r="A464" s="474"/>
      <c r="B464" s="200"/>
      <c r="C464" s="200"/>
      <c r="F464" s="200"/>
      <c r="G464" s="200"/>
      <c r="L464" s="481"/>
      <c r="N464" s="482"/>
      <c r="O464" s="481"/>
    </row>
    <row r="465">
      <c r="A465" s="474"/>
      <c r="B465" s="200"/>
      <c r="C465" s="200"/>
      <c r="F465" s="200"/>
      <c r="G465" s="200"/>
      <c r="L465" s="481"/>
      <c r="N465" s="482"/>
      <c r="O465" s="481"/>
    </row>
    <row r="466">
      <c r="A466" s="474"/>
      <c r="B466" s="200"/>
      <c r="C466" s="200"/>
      <c r="F466" s="200"/>
      <c r="G466" s="200"/>
      <c r="L466" s="481"/>
      <c r="N466" s="482"/>
      <c r="O466" s="481"/>
    </row>
    <row r="467">
      <c r="A467" s="474"/>
      <c r="B467" s="200"/>
      <c r="C467" s="200"/>
      <c r="F467" s="200"/>
      <c r="G467" s="200"/>
      <c r="L467" s="481"/>
      <c r="N467" s="482"/>
      <c r="O467" s="481"/>
    </row>
    <row r="468">
      <c r="A468" s="474"/>
      <c r="B468" s="200"/>
      <c r="C468" s="200"/>
      <c r="F468" s="200"/>
      <c r="G468" s="200"/>
      <c r="L468" s="481"/>
      <c r="N468" s="482"/>
      <c r="O468" s="481"/>
    </row>
    <row r="469">
      <c r="A469" s="474"/>
      <c r="B469" s="200"/>
      <c r="C469" s="200"/>
      <c r="F469" s="200"/>
      <c r="G469" s="200"/>
      <c r="L469" s="481"/>
      <c r="N469" s="482"/>
      <c r="O469" s="481"/>
    </row>
    <row r="470">
      <c r="A470" s="474"/>
      <c r="B470" s="200"/>
      <c r="C470" s="200"/>
      <c r="F470" s="200"/>
      <c r="G470" s="200"/>
      <c r="L470" s="481"/>
      <c r="N470" s="482"/>
      <c r="O470" s="481"/>
    </row>
    <row r="471">
      <c r="A471" s="474"/>
      <c r="B471" s="200"/>
      <c r="C471" s="200"/>
      <c r="F471" s="200"/>
      <c r="G471" s="200"/>
      <c r="L471" s="481"/>
      <c r="N471" s="482"/>
      <c r="O471" s="481"/>
    </row>
    <row r="472">
      <c r="A472" s="474"/>
      <c r="B472" s="200"/>
      <c r="C472" s="200"/>
      <c r="F472" s="200"/>
      <c r="G472" s="200"/>
      <c r="L472" s="481"/>
      <c r="N472" s="482"/>
      <c r="O472" s="481"/>
    </row>
    <row r="473">
      <c r="A473" s="474"/>
      <c r="B473" s="200"/>
      <c r="C473" s="200"/>
      <c r="F473" s="200"/>
      <c r="G473" s="200"/>
      <c r="L473" s="481"/>
      <c r="N473" s="482"/>
      <c r="O473" s="481"/>
    </row>
    <row r="474">
      <c r="A474" s="474"/>
      <c r="B474" s="200"/>
      <c r="C474" s="200"/>
      <c r="F474" s="200"/>
      <c r="G474" s="200"/>
      <c r="L474" s="481"/>
      <c r="N474" s="482"/>
      <c r="O474" s="481"/>
    </row>
    <row r="475">
      <c r="A475" s="474"/>
      <c r="B475" s="200"/>
      <c r="C475" s="200"/>
      <c r="F475" s="200"/>
      <c r="G475" s="200"/>
      <c r="L475" s="481"/>
      <c r="N475" s="482"/>
      <c r="O475" s="481"/>
    </row>
    <row r="476">
      <c r="A476" s="474"/>
      <c r="B476" s="200"/>
      <c r="C476" s="200"/>
      <c r="F476" s="200"/>
      <c r="G476" s="200"/>
      <c r="L476" s="481"/>
      <c r="N476" s="482"/>
      <c r="O476" s="481"/>
    </row>
    <row r="477">
      <c r="A477" s="474"/>
      <c r="B477" s="200"/>
      <c r="C477" s="200"/>
      <c r="F477" s="200"/>
      <c r="G477" s="200"/>
      <c r="L477" s="481"/>
      <c r="N477" s="482"/>
      <c r="O477" s="481"/>
    </row>
    <row r="478">
      <c r="A478" s="474"/>
      <c r="B478" s="200"/>
      <c r="C478" s="200"/>
      <c r="F478" s="200"/>
      <c r="G478" s="200"/>
      <c r="L478" s="481"/>
      <c r="N478" s="482"/>
      <c r="O478" s="481"/>
    </row>
    <row r="479">
      <c r="A479" s="474"/>
      <c r="B479" s="200"/>
      <c r="C479" s="200"/>
      <c r="F479" s="200"/>
      <c r="G479" s="200"/>
      <c r="L479" s="481"/>
      <c r="N479" s="482"/>
      <c r="O479" s="481"/>
    </row>
    <row r="480">
      <c r="A480" s="474"/>
      <c r="B480" s="200"/>
      <c r="C480" s="200"/>
      <c r="F480" s="200"/>
      <c r="G480" s="200"/>
      <c r="L480" s="481"/>
      <c r="N480" s="482"/>
      <c r="O480" s="481"/>
    </row>
    <row r="481">
      <c r="A481" s="474"/>
      <c r="B481" s="200"/>
      <c r="C481" s="200"/>
      <c r="F481" s="200"/>
      <c r="G481" s="200"/>
      <c r="L481" s="481"/>
      <c r="N481" s="482"/>
      <c r="O481" s="481"/>
    </row>
    <row r="482">
      <c r="A482" s="474"/>
      <c r="B482" s="200"/>
      <c r="C482" s="200"/>
      <c r="F482" s="200"/>
      <c r="G482" s="200"/>
      <c r="L482" s="481"/>
      <c r="N482" s="482"/>
      <c r="O482" s="481"/>
    </row>
    <row r="483">
      <c r="A483" s="474"/>
      <c r="B483" s="200"/>
      <c r="C483" s="200"/>
      <c r="F483" s="200"/>
      <c r="G483" s="200"/>
      <c r="L483" s="481"/>
      <c r="N483" s="482"/>
      <c r="O483" s="481"/>
    </row>
    <row r="484">
      <c r="A484" s="474"/>
      <c r="B484" s="200"/>
      <c r="C484" s="200"/>
      <c r="F484" s="200"/>
      <c r="G484" s="200"/>
      <c r="L484" s="481"/>
      <c r="N484" s="482"/>
      <c r="O484" s="481"/>
    </row>
    <row r="485">
      <c r="A485" s="474"/>
      <c r="B485" s="200"/>
      <c r="C485" s="200"/>
      <c r="F485" s="200"/>
      <c r="G485" s="200"/>
      <c r="L485" s="481"/>
      <c r="N485" s="482"/>
      <c r="O485" s="481"/>
    </row>
    <row r="486">
      <c r="A486" s="474"/>
      <c r="B486" s="200"/>
      <c r="C486" s="200"/>
      <c r="F486" s="200"/>
      <c r="G486" s="200"/>
      <c r="L486" s="481"/>
      <c r="N486" s="482"/>
      <c r="O486" s="481"/>
    </row>
    <row r="487">
      <c r="A487" s="474"/>
      <c r="B487" s="200"/>
      <c r="C487" s="200"/>
      <c r="F487" s="200"/>
      <c r="G487" s="200"/>
      <c r="L487" s="481"/>
      <c r="N487" s="482"/>
      <c r="O487" s="481"/>
    </row>
    <row r="488">
      <c r="A488" s="474"/>
      <c r="B488" s="200"/>
      <c r="C488" s="200"/>
      <c r="F488" s="200"/>
      <c r="G488" s="200"/>
      <c r="L488" s="481"/>
      <c r="N488" s="482"/>
      <c r="O488" s="481"/>
    </row>
    <row r="489">
      <c r="A489" s="474"/>
      <c r="B489" s="200"/>
      <c r="C489" s="200"/>
      <c r="F489" s="200"/>
      <c r="G489" s="200"/>
      <c r="L489" s="481"/>
      <c r="N489" s="482"/>
      <c r="O489" s="481"/>
    </row>
    <row r="490">
      <c r="A490" s="474"/>
      <c r="B490" s="200"/>
      <c r="C490" s="200"/>
      <c r="F490" s="200"/>
      <c r="G490" s="200"/>
      <c r="L490" s="481"/>
      <c r="N490" s="482"/>
      <c r="O490" s="481"/>
    </row>
    <row r="491">
      <c r="A491" s="474"/>
      <c r="B491" s="200"/>
      <c r="C491" s="200"/>
      <c r="F491" s="200"/>
      <c r="G491" s="200"/>
      <c r="L491" s="481"/>
      <c r="N491" s="482"/>
      <c r="O491" s="481"/>
    </row>
    <row r="492">
      <c r="A492" s="474"/>
      <c r="B492" s="200"/>
      <c r="C492" s="200"/>
      <c r="F492" s="200"/>
      <c r="G492" s="200"/>
      <c r="L492" s="481"/>
      <c r="N492" s="482"/>
      <c r="O492" s="481"/>
    </row>
    <row r="493">
      <c r="A493" s="474"/>
      <c r="B493" s="200"/>
      <c r="C493" s="200"/>
      <c r="F493" s="200"/>
      <c r="G493" s="200"/>
      <c r="L493" s="481"/>
      <c r="N493" s="482"/>
      <c r="O493" s="481"/>
    </row>
    <row r="494">
      <c r="A494" s="474"/>
      <c r="B494" s="200"/>
      <c r="C494" s="200"/>
      <c r="F494" s="200"/>
      <c r="G494" s="200"/>
      <c r="L494" s="481"/>
      <c r="N494" s="482"/>
      <c r="O494" s="481"/>
    </row>
    <row r="495">
      <c r="A495" s="474"/>
      <c r="B495" s="200"/>
      <c r="C495" s="200"/>
      <c r="F495" s="200"/>
      <c r="G495" s="200"/>
      <c r="L495" s="481"/>
      <c r="N495" s="482"/>
      <c r="O495" s="481"/>
    </row>
    <row r="496">
      <c r="A496" s="474"/>
      <c r="B496" s="200"/>
      <c r="C496" s="200"/>
      <c r="F496" s="200"/>
      <c r="G496" s="200"/>
      <c r="L496" s="481"/>
      <c r="N496" s="482"/>
      <c r="O496" s="481"/>
    </row>
    <row r="497">
      <c r="A497" s="474"/>
      <c r="B497" s="200"/>
      <c r="C497" s="200"/>
      <c r="F497" s="200"/>
      <c r="G497" s="200"/>
      <c r="L497" s="481"/>
      <c r="N497" s="482"/>
      <c r="O497" s="481"/>
    </row>
    <row r="498">
      <c r="A498" s="474"/>
      <c r="B498" s="200"/>
      <c r="C498" s="200"/>
      <c r="F498" s="200"/>
      <c r="G498" s="200"/>
      <c r="L498" s="481"/>
      <c r="N498" s="482"/>
      <c r="O498" s="481"/>
    </row>
    <row r="499">
      <c r="A499" s="474"/>
      <c r="B499" s="200"/>
      <c r="C499" s="200"/>
      <c r="F499" s="200"/>
      <c r="G499" s="200"/>
      <c r="L499" s="481"/>
      <c r="N499" s="482"/>
      <c r="O499" s="481"/>
    </row>
    <row r="500">
      <c r="A500" s="474"/>
      <c r="B500" s="200"/>
      <c r="C500" s="200"/>
      <c r="F500" s="200"/>
      <c r="G500" s="200"/>
      <c r="L500" s="481"/>
      <c r="N500" s="482"/>
      <c r="O500" s="481"/>
    </row>
    <row r="501">
      <c r="A501" s="474"/>
      <c r="B501" s="200"/>
      <c r="C501" s="200"/>
      <c r="F501" s="200"/>
      <c r="G501" s="200"/>
      <c r="L501" s="481"/>
      <c r="N501" s="482"/>
      <c r="O501" s="481"/>
    </row>
    <row r="502">
      <c r="A502" s="474"/>
      <c r="B502" s="200"/>
      <c r="C502" s="200"/>
      <c r="F502" s="200"/>
      <c r="G502" s="200"/>
      <c r="L502" s="481"/>
      <c r="N502" s="482"/>
      <c r="O502" s="481"/>
    </row>
    <row r="503">
      <c r="A503" s="474"/>
      <c r="B503" s="200"/>
      <c r="C503" s="200"/>
      <c r="F503" s="200"/>
      <c r="G503" s="200"/>
      <c r="L503" s="481"/>
      <c r="N503" s="482"/>
      <c r="O503" s="481"/>
    </row>
    <row r="504">
      <c r="A504" s="474"/>
      <c r="B504" s="200"/>
      <c r="C504" s="200"/>
      <c r="F504" s="200"/>
      <c r="G504" s="200"/>
      <c r="L504" s="481"/>
      <c r="N504" s="482"/>
      <c r="O504" s="481"/>
    </row>
    <row r="505">
      <c r="A505" s="474"/>
      <c r="B505" s="200"/>
      <c r="C505" s="200"/>
      <c r="F505" s="200"/>
      <c r="G505" s="200"/>
      <c r="L505" s="481"/>
      <c r="N505" s="482"/>
      <c r="O505" s="481"/>
    </row>
    <row r="506">
      <c r="A506" s="474"/>
      <c r="B506" s="200"/>
      <c r="C506" s="200"/>
      <c r="F506" s="200"/>
      <c r="G506" s="200"/>
      <c r="L506" s="481"/>
      <c r="N506" s="482"/>
      <c r="O506" s="481"/>
    </row>
    <row r="507">
      <c r="A507" s="474"/>
      <c r="B507" s="200"/>
      <c r="C507" s="200"/>
      <c r="F507" s="200"/>
      <c r="G507" s="200"/>
      <c r="L507" s="481"/>
      <c r="N507" s="482"/>
      <c r="O507" s="481"/>
    </row>
    <row r="508">
      <c r="A508" s="474"/>
      <c r="B508" s="200"/>
      <c r="C508" s="200"/>
      <c r="F508" s="200"/>
      <c r="G508" s="200"/>
      <c r="L508" s="481"/>
      <c r="N508" s="482"/>
      <c r="O508" s="481"/>
    </row>
    <row r="509">
      <c r="A509" s="474"/>
      <c r="B509" s="200"/>
      <c r="C509" s="200"/>
      <c r="F509" s="200"/>
      <c r="G509" s="200"/>
      <c r="L509" s="481"/>
      <c r="N509" s="482"/>
      <c r="O509" s="481"/>
    </row>
    <row r="510">
      <c r="A510" s="474"/>
      <c r="B510" s="200"/>
      <c r="C510" s="200"/>
      <c r="F510" s="200"/>
      <c r="G510" s="200"/>
      <c r="L510" s="481"/>
      <c r="N510" s="482"/>
      <c r="O510" s="481"/>
    </row>
    <row r="511">
      <c r="A511" s="474"/>
      <c r="B511" s="200"/>
      <c r="C511" s="200"/>
      <c r="F511" s="200"/>
      <c r="G511" s="200"/>
      <c r="L511" s="481"/>
      <c r="N511" s="482"/>
      <c r="O511" s="481"/>
    </row>
    <row r="512">
      <c r="A512" s="474"/>
      <c r="B512" s="200"/>
      <c r="C512" s="200"/>
      <c r="F512" s="200"/>
      <c r="G512" s="200"/>
      <c r="L512" s="481"/>
      <c r="N512" s="482"/>
      <c r="O512" s="481"/>
    </row>
    <row r="513">
      <c r="A513" s="474"/>
      <c r="B513" s="200"/>
      <c r="C513" s="200"/>
      <c r="F513" s="200"/>
      <c r="G513" s="200"/>
      <c r="L513" s="481"/>
      <c r="N513" s="482"/>
      <c r="O513" s="481"/>
    </row>
    <row r="514">
      <c r="A514" s="474"/>
      <c r="B514" s="200"/>
      <c r="C514" s="200"/>
      <c r="F514" s="200"/>
      <c r="G514" s="200"/>
      <c r="L514" s="481"/>
      <c r="N514" s="482"/>
      <c r="O514" s="481"/>
    </row>
    <row r="515">
      <c r="A515" s="474"/>
      <c r="B515" s="200"/>
      <c r="C515" s="200"/>
      <c r="F515" s="200"/>
      <c r="G515" s="200"/>
      <c r="L515" s="481"/>
      <c r="N515" s="482"/>
      <c r="O515" s="481"/>
    </row>
    <row r="516">
      <c r="A516" s="474"/>
      <c r="B516" s="200"/>
      <c r="C516" s="200"/>
      <c r="F516" s="200"/>
      <c r="G516" s="200"/>
      <c r="L516" s="481"/>
      <c r="N516" s="482"/>
      <c r="O516" s="481"/>
    </row>
    <row r="517">
      <c r="A517" s="474"/>
      <c r="B517" s="200"/>
      <c r="C517" s="200"/>
      <c r="F517" s="200"/>
      <c r="G517" s="200"/>
      <c r="L517" s="481"/>
      <c r="N517" s="482"/>
      <c r="O517" s="481"/>
    </row>
    <row r="518">
      <c r="A518" s="474"/>
      <c r="B518" s="200"/>
      <c r="C518" s="200"/>
      <c r="F518" s="200"/>
      <c r="G518" s="200"/>
      <c r="L518" s="481"/>
      <c r="N518" s="482"/>
      <c r="O518" s="481"/>
    </row>
    <row r="519">
      <c r="A519" s="474"/>
      <c r="B519" s="200"/>
      <c r="C519" s="200"/>
      <c r="F519" s="200"/>
      <c r="G519" s="200"/>
      <c r="L519" s="481"/>
      <c r="N519" s="482"/>
      <c r="O519" s="481"/>
    </row>
    <row r="520">
      <c r="A520" s="474"/>
      <c r="B520" s="200"/>
      <c r="C520" s="200"/>
      <c r="F520" s="200"/>
      <c r="G520" s="200"/>
      <c r="L520" s="481"/>
      <c r="N520" s="482"/>
      <c r="O520" s="481"/>
    </row>
    <row r="521">
      <c r="A521" s="474"/>
      <c r="B521" s="200"/>
      <c r="C521" s="200"/>
      <c r="F521" s="200"/>
      <c r="G521" s="200"/>
      <c r="L521" s="481"/>
      <c r="N521" s="482"/>
      <c r="O521" s="481"/>
    </row>
    <row r="522">
      <c r="A522" s="474"/>
      <c r="B522" s="200"/>
      <c r="C522" s="200"/>
      <c r="F522" s="200"/>
      <c r="G522" s="200"/>
      <c r="L522" s="481"/>
      <c r="N522" s="482"/>
      <c r="O522" s="481"/>
    </row>
    <row r="523">
      <c r="A523" s="474"/>
      <c r="B523" s="200"/>
      <c r="C523" s="200"/>
      <c r="F523" s="200"/>
      <c r="G523" s="200"/>
      <c r="L523" s="481"/>
      <c r="N523" s="482"/>
      <c r="O523" s="481"/>
    </row>
    <row r="524">
      <c r="A524" s="474"/>
      <c r="B524" s="200"/>
      <c r="C524" s="200"/>
      <c r="F524" s="200"/>
      <c r="G524" s="200"/>
      <c r="L524" s="481"/>
      <c r="N524" s="482"/>
      <c r="O524" s="481"/>
    </row>
    <row r="525">
      <c r="A525" s="474"/>
      <c r="B525" s="200"/>
      <c r="C525" s="200"/>
      <c r="F525" s="200"/>
      <c r="G525" s="200"/>
      <c r="L525" s="481"/>
      <c r="N525" s="482"/>
      <c r="O525" s="481"/>
    </row>
    <row r="526">
      <c r="A526" s="474"/>
      <c r="B526" s="200"/>
      <c r="C526" s="200"/>
      <c r="F526" s="200"/>
      <c r="G526" s="200"/>
      <c r="L526" s="481"/>
      <c r="N526" s="482"/>
      <c r="O526" s="481"/>
    </row>
    <row r="527">
      <c r="A527" s="474"/>
      <c r="B527" s="200"/>
      <c r="C527" s="200"/>
      <c r="F527" s="200"/>
      <c r="G527" s="200"/>
      <c r="L527" s="481"/>
      <c r="N527" s="482"/>
      <c r="O527" s="481"/>
    </row>
    <row r="528">
      <c r="A528" s="474"/>
      <c r="B528" s="200"/>
      <c r="C528" s="200"/>
      <c r="F528" s="200"/>
      <c r="G528" s="200"/>
      <c r="L528" s="481"/>
      <c r="N528" s="482"/>
      <c r="O528" s="481"/>
    </row>
    <row r="529">
      <c r="A529" s="474"/>
      <c r="B529" s="200"/>
      <c r="C529" s="200"/>
      <c r="F529" s="200"/>
      <c r="G529" s="200"/>
      <c r="L529" s="481"/>
      <c r="N529" s="482"/>
      <c r="O529" s="481"/>
    </row>
    <row r="530">
      <c r="A530" s="474"/>
      <c r="B530" s="200"/>
      <c r="C530" s="200"/>
      <c r="F530" s="200"/>
      <c r="G530" s="200"/>
      <c r="L530" s="481"/>
      <c r="N530" s="482"/>
      <c r="O530" s="481"/>
    </row>
    <row r="531">
      <c r="A531" s="474"/>
      <c r="B531" s="200"/>
      <c r="C531" s="200"/>
      <c r="F531" s="200"/>
      <c r="G531" s="200"/>
      <c r="L531" s="481"/>
      <c r="N531" s="482"/>
      <c r="O531" s="481"/>
    </row>
    <row r="532">
      <c r="A532" s="474"/>
      <c r="B532" s="200"/>
      <c r="C532" s="200"/>
      <c r="F532" s="200"/>
      <c r="G532" s="200"/>
      <c r="L532" s="481"/>
      <c r="N532" s="482"/>
      <c r="O532" s="481"/>
    </row>
    <row r="533">
      <c r="A533" s="474"/>
      <c r="B533" s="200"/>
      <c r="C533" s="200"/>
      <c r="F533" s="200"/>
      <c r="G533" s="200"/>
      <c r="L533" s="481"/>
      <c r="N533" s="482"/>
      <c r="O533" s="481"/>
    </row>
    <row r="534">
      <c r="A534" s="474"/>
      <c r="B534" s="200"/>
      <c r="C534" s="200"/>
      <c r="F534" s="200"/>
      <c r="G534" s="200"/>
      <c r="L534" s="481"/>
      <c r="N534" s="482"/>
      <c r="O534" s="481"/>
    </row>
    <row r="535">
      <c r="A535" s="474"/>
      <c r="B535" s="200"/>
      <c r="C535" s="200"/>
      <c r="F535" s="200"/>
      <c r="G535" s="200"/>
      <c r="L535" s="481"/>
      <c r="N535" s="482"/>
      <c r="O535" s="481"/>
    </row>
    <row r="536">
      <c r="A536" s="474"/>
      <c r="B536" s="200"/>
      <c r="C536" s="200"/>
      <c r="F536" s="200"/>
      <c r="G536" s="200"/>
      <c r="L536" s="481"/>
      <c r="N536" s="482"/>
      <c r="O536" s="481"/>
    </row>
    <row r="537">
      <c r="A537" s="474"/>
      <c r="B537" s="200"/>
      <c r="C537" s="200"/>
      <c r="F537" s="200"/>
      <c r="G537" s="200"/>
      <c r="L537" s="481"/>
      <c r="N537" s="482"/>
      <c r="O537" s="481"/>
    </row>
    <row r="538">
      <c r="A538" s="474"/>
      <c r="B538" s="200"/>
      <c r="C538" s="200"/>
      <c r="F538" s="200"/>
      <c r="G538" s="200"/>
      <c r="L538" s="481"/>
      <c r="N538" s="482"/>
      <c r="O538" s="481"/>
    </row>
    <row r="539">
      <c r="A539" s="474"/>
      <c r="B539" s="200"/>
      <c r="C539" s="200"/>
      <c r="F539" s="200"/>
      <c r="G539" s="200"/>
      <c r="L539" s="481"/>
      <c r="N539" s="482"/>
      <c r="O539" s="481"/>
    </row>
    <row r="540">
      <c r="A540" s="474"/>
      <c r="B540" s="200"/>
      <c r="C540" s="200"/>
      <c r="F540" s="200"/>
      <c r="G540" s="200"/>
      <c r="L540" s="481"/>
      <c r="N540" s="482"/>
      <c r="O540" s="481"/>
    </row>
    <row r="541">
      <c r="A541" s="474"/>
      <c r="B541" s="200"/>
      <c r="C541" s="200"/>
      <c r="F541" s="200"/>
      <c r="G541" s="200"/>
      <c r="L541" s="481"/>
      <c r="N541" s="482"/>
      <c r="O541" s="481"/>
    </row>
    <row r="542">
      <c r="A542" s="474"/>
      <c r="B542" s="200"/>
      <c r="C542" s="200"/>
      <c r="F542" s="200"/>
      <c r="G542" s="200"/>
      <c r="L542" s="481"/>
      <c r="N542" s="482"/>
      <c r="O542" s="481"/>
    </row>
    <row r="543">
      <c r="A543" s="474"/>
      <c r="B543" s="200"/>
      <c r="C543" s="200"/>
      <c r="F543" s="200"/>
      <c r="G543" s="200"/>
      <c r="L543" s="481"/>
      <c r="N543" s="482"/>
      <c r="O543" s="481"/>
    </row>
    <row r="544">
      <c r="A544" s="474"/>
      <c r="B544" s="200"/>
      <c r="C544" s="200"/>
      <c r="F544" s="200"/>
      <c r="G544" s="200"/>
      <c r="L544" s="481"/>
      <c r="N544" s="482"/>
      <c r="O544" s="481"/>
    </row>
    <row r="545">
      <c r="A545" s="474"/>
      <c r="B545" s="200"/>
      <c r="C545" s="200"/>
      <c r="F545" s="200"/>
      <c r="G545" s="200"/>
      <c r="L545" s="481"/>
      <c r="N545" s="482"/>
      <c r="O545" s="481"/>
    </row>
    <row r="546">
      <c r="A546" s="474"/>
      <c r="B546" s="200"/>
      <c r="C546" s="200"/>
      <c r="F546" s="200"/>
      <c r="G546" s="200"/>
      <c r="L546" s="481"/>
      <c r="N546" s="482"/>
      <c r="O546" s="481"/>
    </row>
    <row r="547">
      <c r="A547" s="474"/>
      <c r="B547" s="200"/>
      <c r="C547" s="200"/>
      <c r="F547" s="200"/>
      <c r="G547" s="200"/>
      <c r="L547" s="481"/>
      <c r="N547" s="482"/>
      <c r="O547" s="481"/>
    </row>
    <row r="548">
      <c r="A548" s="474"/>
      <c r="B548" s="200"/>
      <c r="C548" s="200"/>
      <c r="F548" s="200"/>
      <c r="G548" s="200"/>
      <c r="L548" s="481"/>
      <c r="N548" s="482"/>
      <c r="O548" s="481"/>
    </row>
    <row r="549">
      <c r="A549" s="474"/>
      <c r="B549" s="200"/>
      <c r="C549" s="200"/>
      <c r="F549" s="200"/>
      <c r="G549" s="200"/>
      <c r="L549" s="481"/>
      <c r="N549" s="482"/>
      <c r="O549" s="481"/>
    </row>
    <row r="550">
      <c r="A550" s="474"/>
      <c r="B550" s="200"/>
      <c r="C550" s="200"/>
      <c r="F550" s="200"/>
      <c r="G550" s="200"/>
      <c r="L550" s="481"/>
      <c r="N550" s="482"/>
      <c r="O550" s="481"/>
    </row>
    <row r="551">
      <c r="A551" s="474"/>
      <c r="B551" s="200"/>
      <c r="C551" s="200"/>
      <c r="F551" s="200"/>
      <c r="G551" s="200"/>
      <c r="L551" s="481"/>
      <c r="N551" s="482"/>
      <c r="O551" s="481"/>
    </row>
    <row r="552">
      <c r="A552" s="474"/>
      <c r="B552" s="200"/>
      <c r="C552" s="200"/>
      <c r="F552" s="200"/>
      <c r="G552" s="200"/>
      <c r="L552" s="481"/>
      <c r="N552" s="482"/>
      <c r="O552" s="481"/>
    </row>
    <row r="553">
      <c r="A553" s="474"/>
      <c r="B553" s="200"/>
      <c r="C553" s="200"/>
      <c r="F553" s="200"/>
      <c r="G553" s="200"/>
      <c r="L553" s="481"/>
      <c r="N553" s="482"/>
      <c r="O553" s="481"/>
    </row>
    <row r="554">
      <c r="A554" s="474"/>
      <c r="B554" s="200"/>
      <c r="C554" s="200"/>
      <c r="F554" s="200"/>
      <c r="G554" s="200"/>
      <c r="L554" s="481"/>
      <c r="N554" s="482"/>
      <c r="O554" s="481"/>
    </row>
    <row r="555">
      <c r="A555" s="474"/>
      <c r="B555" s="200"/>
      <c r="C555" s="200"/>
      <c r="F555" s="200"/>
      <c r="G555" s="200"/>
      <c r="L555" s="481"/>
      <c r="N555" s="482"/>
      <c r="O555" s="481"/>
    </row>
    <row r="556">
      <c r="A556" s="474"/>
      <c r="B556" s="200"/>
      <c r="C556" s="200"/>
      <c r="F556" s="200"/>
      <c r="G556" s="200"/>
      <c r="L556" s="481"/>
      <c r="N556" s="482"/>
      <c r="O556" s="481"/>
    </row>
    <row r="557">
      <c r="A557" s="474"/>
      <c r="B557" s="200"/>
      <c r="C557" s="200"/>
      <c r="F557" s="200"/>
      <c r="G557" s="200"/>
      <c r="L557" s="481"/>
      <c r="N557" s="482"/>
      <c r="O557" s="481"/>
    </row>
    <row r="558">
      <c r="A558" s="474"/>
      <c r="B558" s="200"/>
      <c r="C558" s="200"/>
      <c r="F558" s="200"/>
      <c r="G558" s="200"/>
      <c r="L558" s="481"/>
      <c r="N558" s="482"/>
      <c r="O558" s="481"/>
    </row>
    <row r="559">
      <c r="A559" s="474"/>
      <c r="B559" s="200"/>
      <c r="C559" s="200"/>
      <c r="F559" s="200"/>
      <c r="G559" s="200"/>
      <c r="L559" s="481"/>
      <c r="N559" s="482"/>
      <c r="O559" s="481"/>
    </row>
    <row r="560">
      <c r="A560" s="474"/>
      <c r="B560" s="200"/>
      <c r="C560" s="200"/>
      <c r="F560" s="200"/>
      <c r="G560" s="200"/>
      <c r="L560" s="481"/>
      <c r="N560" s="482"/>
      <c r="O560" s="481"/>
    </row>
    <row r="561">
      <c r="A561" s="474"/>
      <c r="B561" s="200"/>
      <c r="C561" s="200"/>
      <c r="F561" s="200"/>
      <c r="G561" s="200"/>
      <c r="L561" s="481"/>
      <c r="N561" s="482"/>
      <c r="O561" s="481"/>
    </row>
    <row r="562">
      <c r="A562" s="474"/>
      <c r="B562" s="200"/>
      <c r="C562" s="200"/>
      <c r="F562" s="200"/>
      <c r="G562" s="200"/>
      <c r="L562" s="481"/>
      <c r="N562" s="482"/>
      <c r="O562" s="481"/>
    </row>
    <row r="563">
      <c r="A563" s="474"/>
      <c r="B563" s="200"/>
      <c r="C563" s="200"/>
      <c r="F563" s="200"/>
      <c r="G563" s="200"/>
      <c r="L563" s="481"/>
      <c r="N563" s="482"/>
      <c r="O563" s="481"/>
    </row>
    <row r="564">
      <c r="A564" s="474"/>
      <c r="B564" s="200"/>
      <c r="C564" s="200"/>
      <c r="F564" s="200"/>
      <c r="G564" s="200"/>
      <c r="L564" s="481"/>
      <c r="N564" s="482"/>
      <c r="O564" s="481"/>
    </row>
    <row r="565">
      <c r="A565" s="474"/>
      <c r="B565" s="200"/>
      <c r="C565" s="200"/>
      <c r="F565" s="200"/>
      <c r="G565" s="200"/>
      <c r="L565" s="481"/>
      <c r="N565" s="482"/>
      <c r="O565" s="481"/>
    </row>
    <row r="566">
      <c r="A566" s="474"/>
      <c r="B566" s="200"/>
      <c r="C566" s="200"/>
      <c r="F566" s="200"/>
      <c r="G566" s="200"/>
      <c r="L566" s="481"/>
      <c r="N566" s="482"/>
      <c r="O566" s="481"/>
    </row>
    <row r="567">
      <c r="A567" s="474"/>
      <c r="B567" s="200"/>
      <c r="C567" s="200"/>
      <c r="F567" s="200"/>
      <c r="G567" s="200"/>
      <c r="L567" s="481"/>
      <c r="N567" s="482"/>
      <c r="O567" s="481"/>
    </row>
    <row r="568">
      <c r="A568" s="474"/>
      <c r="B568" s="200"/>
      <c r="C568" s="200"/>
      <c r="F568" s="200"/>
      <c r="G568" s="200"/>
      <c r="L568" s="481"/>
      <c r="N568" s="482"/>
      <c r="O568" s="481"/>
    </row>
    <row r="569">
      <c r="A569" s="474"/>
      <c r="B569" s="200"/>
      <c r="C569" s="200"/>
      <c r="F569" s="200"/>
      <c r="G569" s="200"/>
      <c r="L569" s="481"/>
      <c r="N569" s="482"/>
      <c r="O569" s="481"/>
    </row>
    <row r="570">
      <c r="A570" s="474"/>
      <c r="B570" s="200"/>
      <c r="C570" s="200"/>
      <c r="F570" s="200"/>
      <c r="G570" s="200"/>
      <c r="L570" s="481"/>
      <c r="N570" s="482"/>
      <c r="O570" s="481"/>
    </row>
    <row r="571">
      <c r="A571" s="474"/>
      <c r="B571" s="200"/>
      <c r="C571" s="200"/>
      <c r="F571" s="200"/>
      <c r="G571" s="200"/>
      <c r="L571" s="481"/>
      <c r="N571" s="482"/>
      <c r="O571" s="481"/>
    </row>
    <row r="572">
      <c r="A572" s="474"/>
      <c r="B572" s="200"/>
      <c r="C572" s="200"/>
      <c r="F572" s="200"/>
      <c r="G572" s="200"/>
      <c r="L572" s="481"/>
      <c r="N572" s="482"/>
      <c r="O572" s="481"/>
    </row>
    <row r="573">
      <c r="A573" s="474"/>
      <c r="B573" s="200"/>
      <c r="C573" s="200"/>
      <c r="F573" s="200"/>
      <c r="G573" s="200"/>
      <c r="L573" s="481"/>
      <c r="N573" s="482"/>
      <c r="O573" s="481"/>
    </row>
    <row r="574">
      <c r="A574" s="474"/>
      <c r="B574" s="200"/>
      <c r="C574" s="200"/>
      <c r="F574" s="200"/>
      <c r="G574" s="200"/>
      <c r="L574" s="481"/>
      <c r="N574" s="482"/>
      <c r="O574" s="481"/>
    </row>
    <row r="575">
      <c r="A575" s="474"/>
      <c r="B575" s="200"/>
      <c r="C575" s="200"/>
      <c r="F575" s="200"/>
      <c r="G575" s="200"/>
      <c r="L575" s="481"/>
      <c r="N575" s="482"/>
      <c r="O575" s="481"/>
    </row>
    <row r="576">
      <c r="A576" s="474"/>
      <c r="B576" s="200"/>
      <c r="C576" s="200"/>
      <c r="F576" s="200"/>
      <c r="G576" s="200"/>
      <c r="L576" s="481"/>
      <c r="N576" s="482"/>
      <c r="O576" s="481"/>
    </row>
    <row r="577">
      <c r="A577" s="474"/>
      <c r="B577" s="200"/>
      <c r="C577" s="200"/>
      <c r="F577" s="200"/>
      <c r="G577" s="200"/>
      <c r="L577" s="481"/>
      <c r="N577" s="482"/>
      <c r="O577" s="481"/>
    </row>
    <row r="578">
      <c r="A578" s="474"/>
      <c r="B578" s="200"/>
      <c r="C578" s="200"/>
      <c r="F578" s="200"/>
      <c r="G578" s="200"/>
      <c r="L578" s="481"/>
      <c r="N578" s="482"/>
      <c r="O578" s="481"/>
    </row>
    <row r="579">
      <c r="A579" s="474"/>
      <c r="B579" s="200"/>
      <c r="C579" s="200"/>
      <c r="F579" s="200"/>
      <c r="G579" s="200"/>
      <c r="L579" s="481"/>
      <c r="N579" s="482"/>
      <c r="O579" s="481"/>
    </row>
    <row r="580">
      <c r="A580" s="474"/>
      <c r="B580" s="200"/>
      <c r="C580" s="200"/>
      <c r="F580" s="200"/>
      <c r="G580" s="200"/>
      <c r="L580" s="481"/>
      <c r="N580" s="482"/>
      <c r="O580" s="481"/>
    </row>
    <row r="581">
      <c r="A581" s="474"/>
      <c r="B581" s="200"/>
      <c r="C581" s="200"/>
      <c r="F581" s="200"/>
      <c r="G581" s="200"/>
      <c r="L581" s="481"/>
      <c r="N581" s="482"/>
      <c r="O581" s="481"/>
    </row>
    <row r="582">
      <c r="A582" s="474"/>
      <c r="B582" s="200"/>
      <c r="C582" s="200"/>
      <c r="F582" s="200"/>
      <c r="G582" s="200"/>
      <c r="L582" s="481"/>
      <c r="N582" s="482"/>
      <c r="O582" s="481"/>
    </row>
    <row r="583">
      <c r="A583" s="474"/>
      <c r="B583" s="200"/>
      <c r="C583" s="200"/>
      <c r="F583" s="200"/>
      <c r="G583" s="200"/>
      <c r="L583" s="481"/>
      <c r="N583" s="482"/>
      <c r="O583" s="481"/>
    </row>
    <row r="584">
      <c r="A584" s="474"/>
      <c r="B584" s="200"/>
      <c r="C584" s="200"/>
      <c r="F584" s="200"/>
      <c r="G584" s="200"/>
      <c r="L584" s="481"/>
      <c r="N584" s="482"/>
      <c r="O584" s="481"/>
    </row>
    <row r="585">
      <c r="A585" s="474"/>
      <c r="B585" s="200"/>
      <c r="C585" s="200"/>
      <c r="F585" s="200"/>
      <c r="G585" s="200"/>
      <c r="L585" s="481"/>
      <c r="N585" s="482"/>
      <c r="O585" s="481"/>
    </row>
    <row r="586">
      <c r="A586" s="474"/>
      <c r="B586" s="200"/>
      <c r="C586" s="200"/>
      <c r="F586" s="200"/>
      <c r="G586" s="200"/>
      <c r="L586" s="481"/>
      <c r="N586" s="482"/>
      <c r="O586" s="481"/>
    </row>
    <row r="587">
      <c r="A587" s="474"/>
      <c r="B587" s="200"/>
      <c r="C587" s="200"/>
      <c r="F587" s="200"/>
      <c r="G587" s="200"/>
      <c r="L587" s="481"/>
      <c r="N587" s="482"/>
      <c r="O587" s="481"/>
    </row>
    <row r="588">
      <c r="A588" s="474"/>
      <c r="B588" s="200"/>
      <c r="C588" s="200"/>
      <c r="F588" s="200"/>
      <c r="G588" s="200"/>
      <c r="L588" s="481"/>
      <c r="N588" s="482"/>
      <c r="O588" s="481"/>
    </row>
    <row r="589">
      <c r="A589" s="474"/>
      <c r="B589" s="200"/>
      <c r="C589" s="200"/>
      <c r="F589" s="200"/>
      <c r="G589" s="200"/>
      <c r="L589" s="481"/>
      <c r="N589" s="482"/>
      <c r="O589" s="481"/>
    </row>
    <row r="590">
      <c r="A590" s="474"/>
      <c r="B590" s="200"/>
      <c r="C590" s="200"/>
      <c r="F590" s="200"/>
      <c r="G590" s="200"/>
      <c r="L590" s="481"/>
      <c r="N590" s="482"/>
      <c r="O590" s="481"/>
    </row>
    <row r="591">
      <c r="A591" s="474"/>
      <c r="B591" s="200"/>
      <c r="C591" s="200"/>
      <c r="F591" s="200"/>
      <c r="G591" s="200"/>
      <c r="L591" s="481"/>
      <c r="N591" s="482"/>
      <c r="O591" s="481"/>
    </row>
    <row r="592">
      <c r="A592" s="474"/>
      <c r="B592" s="200"/>
      <c r="C592" s="200"/>
      <c r="F592" s="200"/>
      <c r="G592" s="200"/>
      <c r="L592" s="481"/>
      <c r="N592" s="482"/>
      <c r="O592" s="481"/>
    </row>
    <row r="593">
      <c r="A593" s="474"/>
      <c r="B593" s="200"/>
      <c r="C593" s="200"/>
      <c r="F593" s="200"/>
      <c r="G593" s="200"/>
      <c r="L593" s="481"/>
      <c r="N593" s="482"/>
      <c r="O593" s="481"/>
    </row>
    <row r="594">
      <c r="A594" s="474"/>
      <c r="B594" s="200"/>
      <c r="C594" s="200"/>
      <c r="F594" s="200"/>
      <c r="G594" s="200"/>
      <c r="L594" s="481"/>
      <c r="N594" s="482"/>
      <c r="O594" s="481"/>
    </row>
    <row r="595">
      <c r="A595" s="474"/>
      <c r="B595" s="200"/>
      <c r="C595" s="200"/>
      <c r="F595" s="200"/>
      <c r="G595" s="200"/>
      <c r="L595" s="481"/>
      <c r="N595" s="482"/>
      <c r="O595" s="481"/>
    </row>
    <row r="596">
      <c r="A596" s="474"/>
      <c r="B596" s="200"/>
      <c r="C596" s="200"/>
      <c r="F596" s="200"/>
      <c r="G596" s="200"/>
      <c r="L596" s="481"/>
      <c r="N596" s="482"/>
      <c r="O596" s="481"/>
    </row>
    <row r="597">
      <c r="A597" s="474"/>
      <c r="B597" s="200"/>
      <c r="C597" s="200"/>
      <c r="F597" s="200"/>
      <c r="G597" s="200"/>
      <c r="L597" s="481"/>
      <c r="N597" s="482"/>
      <c r="O597" s="481"/>
    </row>
    <row r="598">
      <c r="A598" s="474"/>
      <c r="B598" s="200"/>
      <c r="C598" s="200"/>
      <c r="F598" s="200"/>
      <c r="G598" s="200"/>
      <c r="L598" s="481"/>
      <c r="N598" s="482"/>
      <c r="O598" s="481"/>
    </row>
    <row r="599">
      <c r="A599" s="474"/>
      <c r="B599" s="200"/>
      <c r="C599" s="200"/>
      <c r="F599" s="200"/>
      <c r="G599" s="200"/>
      <c r="L599" s="481"/>
      <c r="N599" s="482"/>
      <c r="O599" s="481"/>
    </row>
    <row r="600">
      <c r="A600" s="474"/>
      <c r="B600" s="200"/>
      <c r="C600" s="200"/>
      <c r="F600" s="200"/>
      <c r="G600" s="200"/>
      <c r="L600" s="481"/>
      <c r="N600" s="482"/>
      <c r="O600" s="481"/>
    </row>
    <row r="601">
      <c r="A601" s="474"/>
      <c r="B601" s="200"/>
      <c r="C601" s="200"/>
      <c r="F601" s="200"/>
      <c r="G601" s="200"/>
      <c r="L601" s="481"/>
      <c r="N601" s="482"/>
      <c r="O601" s="481"/>
    </row>
    <row r="602">
      <c r="A602" s="474"/>
      <c r="B602" s="200"/>
      <c r="C602" s="200"/>
      <c r="F602" s="200"/>
      <c r="G602" s="200"/>
      <c r="L602" s="481"/>
      <c r="N602" s="482"/>
      <c r="O602" s="481"/>
    </row>
    <row r="603">
      <c r="A603" s="474"/>
      <c r="B603" s="200"/>
      <c r="C603" s="200"/>
      <c r="F603" s="200"/>
      <c r="G603" s="200"/>
      <c r="L603" s="481"/>
      <c r="N603" s="482"/>
      <c r="O603" s="481"/>
    </row>
    <row r="604">
      <c r="A604" s="474"/>
      <c r="B604" s="200"/>
      <c r="C604" s="200"/>
      <c r="F604" s="200"/>
      <c r="G604" s="200"/>
      <c r="L604" s="481"/>
      <c r="N604" s="482"/>
      <c r="O604" s="481"/>
    </row>
    <row r="605">
      <c r="A605" s="474"/>
      <c r="B605" s="200"/>
      <c r="C605" s="200"/>
      <c r="F605" s="200"/>
      <c r="G605" s="200"/>
      <c r="L605" s="481"/>
      <c r="N605" s="482"/>
      <c r="O605" s="481"/>
    </row>
    <row r="606">
      <c r="A606" s="474"/>
      <c r="B606" s="200"/>
      <c r="C606" s="200"/>
      <c r="F606" s="200"/>
      <c r="G606" s="200"/>
      <c r="L606" s="481"/>
      <c r="N606" s="482"/>
      <c r="O606" s="481"/>
    </row>
    <row r="607">
      <c r="A607" s="474"/>
      <c r="B607" s="200"/>
      <c r="C607" s="200"/>
      <c r="F607" s="200"/>
      <c r="G607" s="200"/>
      <c r="L607" s="481"/>
      <c r="N607" s="482"/>
      <c r="O607" s="481"/>
    </row>
    <row r="608">
      <c r="A608" s="474"/>
      <c r="B608" s="200"/>
      <c r="C608" s="200"/>
      <c r="F608" s="200"/>
      <c r="G608" s="200"/>
      <c r="L608" s="481"/>
      <c r="N608" s="482"/>
      <c r="O608" s="481"/>
    </row>
    <row r="609">
      <c r="A609" s="474"/>
      <c r="B609" s="200"/>
      <c r="C609" s="200"/>
      <c r="F609" s="200"/>
      <c r="G609" s="200"/>
      <c r="L609" s="481"/>
      <c r="N609" s="482"/>
      <c r="O609" s="481"/>
    </row>
    <row r="610">
      <c r="A610" s="474"/>
      <c r="B610" s="200"/>
      <c r="C610" s="200"/>
      <c r="F610" s="200"/>
      <c r="G610" s="200"/>
      <c r="L610" s="481"/>
      <c r="N610" s="482"/>
      <c r="O610" s="481"/>
    </row>
    <row r="611">
      <c r="A611" s="474"/>
      <c r="B611" s="200"/>
      <c r="C611" s="200"/>
      <c r="F611" s="200"/>
      <c r="G611" s="200"/>
      <c r="L611" s="481"/>
      <c r="N611" s="482"/>
      <c r="O611" s="481"/>
    </row>
    <row r="612">
      <c r="A612" s="474"/>
      <c r="B612" s="200"/>
      <c r="C612" s="200"/>
      <c r="F612" s="200"/>
      <c r="G612" s="200"/>
      <c r="L612" s="481"/>
      <c r="N612" s="482"/>
      <c r="O612" s="481"/>
    </row>
    <row r="613">
      <c r="A613" s="474"/>
      <c r="B613" s="200"/>
      <c r="C613" s="200"/>
      <c r="F613" s="200"/>
      <c r="G613" s="200"/>
      <c r="L613" s="481"/>
      <c r="N613" s="482"/>
      <c r="O613" s="481"/>
    </row>
    <row r="614">
      <c r="A614" s="474"/>
      <c r="B614" s="200"/>
      <c r="C614" s="200"/>
      <c r="F614" s="200"/>
      <c r="G614" s="200"/>
      <c r="L614" s="481"/>
      <c r="N614" s="482"/>
      <c r="O614" s="481"/>
    </row>
    <row r="615">
      <c r="A615" s="474"/>
      <c r="B615" s="200"/>
      <c r="C615" s="200"/>
      <c r="F615" s="200"/>
      <c r="G615" s="200"/>
      <c r="L615" s="481"/>
      <c r="N615" s="482"/>
      <c r="O615" s="481"/>
    </row>
    <row r="616">
      <c r="A616" s="474"/>
      <c r="B616" s="200"/>
      <c r="C616" s="200"/>
      <c r="F616" s="200"/>
      <c r="G616" s="200"/>
      <c r="L616" s="481"/>
      <c r="N616" s="482"/>
      <c r="O616" s="481"/>
    </row>
    <row r="617">
      <c r="A617" s="474"/>
      <c r="B617" s="200"/>
      <c r="C617" s="200"/>
      <c r="F617" s="200"/>
      <c r="G617" s="200"/>
      <c r="L617" s="481"/>
      <c r="N617" s="482"/>
      <c r="O617" s="481"/>
    </row>
    <row r="618">
      <c r="A618" s="474"/>
      <c r="B618" s="200"/>
      <c r="C618" s="200"/>
      <c r="F618" s="200"/>
      <c r="G618" s="200"/>
      <c r="L618" s="481"/>
      <c r="N618" s="482"/>
      <c r="O618" s="481"/>
    </row>
    <row r="619">
      <c r="A619" s="474"/>
      <c r="B619" s="200"/>
      <c r="C619" s="200"/>
      <c r="F619" s="200"/>
      <c r="G619" s="200"/>
      <c r="L619" s="481"/>
      <c r="N619" s="482"/>
      <c r="O619" s="481"/>
    </row>
    <row r="620">
      <c r="A620" s="474"/>
      <c r="B620" s="200"/>
      <c r="C620" s="200"/>
      <c r="F620" s="200"/>
      <c r="G620" s="200"/>
      <c r="L620" s="481"/>
      <c r="N620" s="482"/>
      <c r="O620" s="481"/>
    </row>
    <row r="621">
      <c r="A621" s="474"/>
      <c r="B621" s="200"/>
      <c r="C621" s="200"/>
      <c r="F621" s="200"/>
      <c r="G621" s="200"/>
      <c r="L621" s="481"/>
      <c r="N621" s="482"/>
      <c r="O621" s="481"/>
    </row>
    <row r="622">
      <c r="A622" s="474"/>
      <c r="B622" s="200"/>
      <c r="C622" s="200"/>
      <c r="F622" s="200"/>
      <c r="G622" s="200"/>
      <c r="L622" s="481"/>
      <c r="N622" s="482"/>
      <c r="O622" s="481"/>
    </row>
    <row r="623">
      <c r="A623" s="474"/>
      <c r="B623" s="200"/>
      <c r="C623" s="200"/>
      <c r="F623" s="200"/>
      <c r="G623" s="200"/>
      <c r="L623" s="481"/>
      <c r="N623" s="482"/>
      <c r="O623" s="481"/>
    </row>
    <row r="624">
      <c r="A624" s="474"/>
      <c r="B624" s="200"/>
      <c r="C624" s="200"/>
      <c r="F624" s="200"/>
      <c r="G624" s="200"/>
      <c r="L624" s="481"/>
      <c r="N624" s="482"/>
      <c r="O624" s="481"/>
    </row>
    <row r="625">
      <c r="A625" s="474"/>
      <c r="B625" s="200"/>
      <c r="C625" s="200"/>
      <c r="F625" s="200"/>
      <c r="G625" s="200"/>
      <c r="L625" s="481"/>
      <c r="N625" s="482"/>
      <c r="O625" s="481"/>
    </row>
    <row r="626">
      <c r="A626" s="474"/>
      <c r="B626" s="200"/>
      <c r="C626" s="200"/>
      <c r="F626" s="200"/>
      <c r="G626" s="200"/>
      <c r="L626" s="481"/>
      <c r="N626" s="482"/>
      <c r="O626" s="481"/>
    </row>
    <row r="627">
      <c r="A627" s="474"/>
      <c r="B627" s="200"/>
      <c r="C627" s="200"/>
      <c r="F627" s="200"/>
      <c r="G627" s="200"/>
      <c r="L627" s="481"/>
      <c r="N627" s="482"/>
      <c r="O627" s="481"/>
    </row>
    <row r="628">
      <c r="A628" s="474"/>
      <c r="B628" s="200"/>
      <c r="C628" s="200"/>
      <c r="F628" s="200"/>
      <c r="G628" s="200"/>
      <c r="L628" s="481"/>
      <c r="N628" s="482"/>
      <c r="O628" s="481"/>
    </row>
    <row r="629">
      <c r="A629" s="474"/>
      <c r="B629" s="200"/>
      <c r="C629" s="200"/>
      <c r="F629" s="200"/>
      <c r="G629" s="200"/>
      <c r="L629" s="481"/>
      <c r="N629" s="482"/>
      <c r="O629" s="481"/>
    </row>
    <row r="630">
      <c r="A630" s="474"/>
      <c r="B630" s="200"/>
      <c r="C630" s="200"/>
      <c r="F630" s="200"/>
      <c r="G630" s="200"/>
      <c r="L630" s="481"/>
      <c r="N630" s="482"/>
      <c r="O630" s="481"/>
    </row>
    <row r="631">
      <c r="A631" s="474"/>
      <c r="B631" s="200"/>
      <c r="C631" s="200"/>
      <c r="F631" s="200"/>
      <c r="G631" s="200"/>
      <c r="L631" s="481"/>
      <c r="N631" s="482"/>
      <c r="O631" s="481"/>
    </row>
    <row r="632">
      <c r="A632" s="474"/>
      <c r="B632" s="200"/>
      <c r="C632" s="200"/>
      <c r="F632" s="200"/>
      <c r="G632" s="200"/>
      <c r="L632" s="481"/>
      <c r="N632" s="482"/>
      <c r="O632" s="481"/>
    </row>
    <row r="633">
      <c r="A633" s="474"/>
      <c r="B633" s="200"/>
      <c r="C633" s="200"/>
      <c r="F633" s="200"/>
      <c r="G633" s="200"/>
      <c r="L633" s="481"/>
      <c r="N633" s="482"/>
      <c r="O633" s="481"/>
    </row>
    <row r="634">
      <c r="A634" s="474"/>
      <c r="B634" s="200"/>
      <c r="C634" s="200"/>
      <c r="F634" s="200"/>
      <c r="G634" s="200"/>
      <c r="L634" s="481"/>
      <c r="N634" s="482"/>
      <c r="O634" s="481"/>
    </row>
    <row r="635">
      <c r="A635" s="474"/>
      <c r="B635" s="200"/>
      <c r="C635" s="200"/>
      <c r="F635" s="200"/>
      <c r="G635" s="200"/>
      <c r="L635" s="481"/>
      <c r="N635" s="482"/>
      <c r="O635" s="481"/>
    </row>
    <row r="636">
      <c r="A636" s="474"/>
      <c r="B636" s="200"/>
      <c r="C636" s="200"/>
      <c r="F636" s="200"/>
      <c r="G636" s="200"/>
      <c r="L636" s="481"/>
      <c r="N636" s="482"/>
      <c r="O636" s="481"/>
    </row>
    <row r="637">
      <c r="A637" s="474"/>
      <c r="B637" s="200"/>
      <c r="C637" s="200"/>
      <c r="F637" s="200"/>
      <c r="G637" s="200"/>
      <c r="L637" s="481"/>
      <c r="N637" s="482"/>
      <c r="O637" s="481"/>
    </row>
    <row r="638">
      <c r="A638" s="474"/>
      <c r="B638" s="200"/>
      <c r="C638" s="200"/>
      <c r="F638" s="200"/>
      <c r="G638" s="200"/>
      <c r="L638" s="481"/>
      <c r="N638" s="482"/>
      <c r="O638" s="481"/>
    </row>
    <row r="639">
      <c r="A639" s="474"/>
      <c r="B639" s="200"/>
      <c r="C639" s="200"/>
      <c r="F639" s="200"/>
      <c r="G639" s="200"/>
      <c r="L639" s="481"/>
      <c r="N639" s="482"/>
      <c r="O639" s="481"/>
    </row>
    <row r="640">
      <c r="A640" s="474"/>
      <c r="B640" s="200"/>
      <c r="C640" s="200"/>
      <c r="F640" s="200"/>
      <c r="G640" s="200"/>
      <c r="L640" s="481"/>
      <c r="N640" s="482"/>
      <c r="O640" s="481"/>
    </row>
    <row r="641">
      <c r="A641" s="474"/>
      <c r="B641" s="200"/>
      <c r="C641" s="200"/>
      <c r="F641" s="200"/>
      <c r="G641" s="200"/>
      <c r="L641" s="481"/>
      <c r="N641" s="482"/>
      <c r="O641" s="481"/>
    </row>
    <row r="642">
      <c r="A642" s="474"/>
      <c r="B642" s="200"/>
      <c r="C642" s="200"/>
      <c r="F642" s="200"/>
      <c r="G642" s="200"/>
      <c r="L642" s="481"/>
      <c r="N642" s="482"/>
      <c r="O642" s="481"/>
    </row>
    <row r="643">
      <c r="A643" s="474"/>
      <c r="B643" s="200"/>
      <c r="C643" s="200"/>
      <c r="F643" s="200"/>
      <c r="G643" s="200"/>
      <c r="L643" s="481"/>
      <c r="N643" s="482"/>
      <c r="O643" s="481"/>
    </row>
    <row r="644">
      <c r="A644" s="474"/>
      <c r="B644" s="200"/>
      <c r="C644" s="200"/>
      <c r="F644" s="200"/>
      <c r="G644" s="200"/>
      <c r="L644" s="481"/>
      <c r="N644" s="482"/>
      <c r="O644" s="481"/>
    </row>
    <row r="645">
      <c r="A645" s="474"/>
      <c r="B645" s="200"/>
      <c r="C645" s="200"/>
      <c r="F645" s="200"/>
      <c r="G645" s="200"/>
      <c r="L645" s="481"/>
      <c r="N645" s="482"/>
      <c r="O645" s="481"/>
    </row>
    <row r="646">
      <c r="A646" s="474"/>
      <c r="B646" s="200"/>
      <c r="C646" s="200"/>
      <c r="F646" s="200"/>
      <c r="G646" s="200"/>
      <c r="L646" s="481"/>
      <c r="N646" s="482"/>
      <c r="O646" s="481"/>
    </row>
    <row r="647">
      <c r="A647" s="474"/>
      <c r="B647" s="200"/>
      <c r="C647" s="200"/>
      <c r="F647" s="200"/>
      <c r="G647" s="200"/>
      <c r="L647" s="481"/>
      <c r="N647" s="482"/>
      <c r="O647" s="481"/>
    </row>
    <row r="648">
      <c r="A648" s="474"/>
      <c r="B648" s="200"/>
      <c r="C648" s="200"/>
      <c r="F648" s="200"/>
      <c r="G648" s="200"/>
      <c r="L648" s="481"/>
      <c r="N648" s="482"/>
      <c r="O648" s="481"/>
    </row>
    <row r="649">
      <c r="A649" s="474"/>
      <c r="B649" s="200"/>
      <c r="C649" s="200"/>
      <c r="F649" s="200"/>
      <c r="G649" s="200"/>
      <c r="L649" s="481"/>
      <c r="N649" s="482"/>
      <c r="O649" s="481"/>
    </row>
    <row r="650">
      <c r="A650" s="474"/>
      <c r="B650" s="200"/>
      <c r="C650" s="200"/>
      <c r="F650" s="200"/>
      <c r="G650" s="200"/>
      <c r="L650" s="481"/>
      <c r="N650" s="482"/>
      <c r="O650" s="481"/>
    </row>
    <row r="651">
      <c r="A651" s="474"/>
      <c r="B651" s="200"/>
      <c r="C651" s="200"/>
      <c r="F651" s="200"/>
      <c r="G651" s="200"/>
      <c r="L651" s="481"/>
      <c r="N651" s="482"/>
      <c r="O651" s="481"/>
    </row>
    <row r="652">
      <c r="A652" s="474"/>
      <c r="B652" s="200"/>
      <c r="C652" s="200"/>
      <c r="F652" s="200"/>
      <c r="G652" s="200"/>
      <c r="L652" s="481"/>
      <c r="N652" s="482"/>
      <c r="O652" s="481"/>
    </row>
    <row r="653">
      <c r="A653" s="474"/>
      <c r="B653" s="200"/>
      <c r="C653" s="200"/>
      <c r="F653" s="200"/>
      <c r="G653" s="200"/>
      <c r="L653" s="481"/>
      <c r="N653" s="482"/>
      <c r="O653" s="481"/>
    </row>
    <row r="654">
      <c r="A654" s="474"/>
      <c r="B654" s="200"/>
      <c r="C654" s="200"/>
      <c r="F654" s="200"/>
      <c r="G654" s="200"/>
      <c r="L654" s="481"/>
      <c r="N654" s="482"/>
      <c r="O654" s="481"/>
    </row>
    <row r="655">
      <c r="A655" s="474"/>
      <c r="B655" s="200"/>
      <c r="C655" s="200"/>
      <c r="F655" s="200"/>
      <c r="G655" s="200"/>
      <c r="L655" s="481"/>
      <c r="N655" s="482"/>
      <c r="O655" s="481"/>
    </row>
    <row r="656">
      <c r="A656" s="474"/>
      <c r="B656" s="200"/>
      <c r="C656" s="200"/>
      <c r="F656" s="200"/>
      <c r="G656" s="200"/>
      <c r="L656" s="481"/>
      <c r="N656" s="482"/>
      <c r="O656" s="481"/>
    </row>
    <row r="657">
      <c r="A657" s="474"/>
      <c r="B657" s="200"/>
      <c r="C657" s="200"/>
      <c r="F657" s="200"/>
      <c r="G657" s="200"/>
      <c r="L657" s="481"/>
      <c r="N657" s="482"/>
      <c r="O657" s="481"/>
    </row>
    <row r="658">
      <c r="A658" s="474"/>
      <c r="B658" s="200"/>
      <c r="C658" s="200"/>
      <c r="F658" s="200"/>
      <c r="G658" s="200"/>
      <c r="L658" s="481"/>
      <c r="N658" s="482"/>
      <c r="O658" s="481"/>
    </row>
    <row r="659">
      <c r="A659" s="474"/>
      <c r="B659" s="200"/>
      <c r="C659" s="200"/>
      <c r="F659" s="200"/>
      <c r="G659" s="200"/>
      <c r="L659" s="481"/>
      <c r="N659" s="482"/>
      <c r="O659" s="481"/>
    </row>
    <row r="660">
      <c r="A660" s="474"/>
      <c r="B660" s="200"/>
      <c r="C660" s="200"/>
      <c r="F660" s="200"/>
      <c r="G660" s="200"/>
      <c r="L660" s="481"/>
      <c r="N660" s="482"/>
      <c r="O660" s="481"/>
    </row>
    <row r="661">
      <c r="A661" s="474"/>
      <c r="B661" s="200"/>
      <c r="C661" s="200"/>
      <c r="F661" s="200"/>
      <c r="G661" s="200"/>
      <c r="L661" s="481"/>
      <c r="N661" s="482"/>
      <c r="O661" s="481"/>
    </row>
    <row r="662">
      <c r="A662" s="474"/>
      <c r="B662" s="200"/>
      <c r="C662" s="200"/>
      <c r="F662" s="200"/>
      <c r="G662" s="200"/>
      <c r="L662" s="481"/>
      <c r="N662" s="482"/>
      <c r="O662" s="481"/>
    </row>
    <row r="663">
      <c r="A663" s="474"/>
      <c r="B663" s="200"/>
      <c r="C663" s="200"/>
      <c r="F663" s="200"/>
      <c r="G663" s="200"/>
      <c r="L663" s="481"/>
      <c r="N663" s="482"/>
      <c r="O663" s="481"/>
    </row>
    <row r="664">
      <c r="A664" s="474"/>
      <c r="B664" s="200"/>
      <c r="C664" s="200"/>
      <c r="F664" s="200"/>
      <c r="G664" s="200"/>
      <c r="L664" s="481"/>
      <c r="N664" s="482"/>
      <c r="O664" s="481"/>
    </row>
    <row r="665">
      <c r="A665" s="474"/>
      <c r="B665" s="200"/>
      <c r="C665" s="200"/>
      <c r="F665" s="200"/>
      <c r="G665" s="200"/>
      <c r="L665" s="481"/>
      <c r="N665" s="482"/>
      <c r="O665" s="481"/>
    </row>
    <row r="666">
      <c r="A666" s="474"/>
      <c r="B666" s="200"/>
      <c r="C666" s="200"/>
      <c r="F666" s="200"/>
      <c r="G666" s="200"/>
      <c r="L666" s="481"/>
      <c r="N666" s="482"/>
      <c r="O666" s="481"/>
    </row>
    <row r="667">
      <c r="A667" s="474"/>
      <c r="B667" s="200"/>
      <c r="C667" s="200"/>
      <c r="F667" s="200"/>
      <c r="G667" s="200"/>
      <c r="L667" s="481"/>
      <c r="N667" s="482"/>
      <c r="O667" s="481"/>
    </row>
    <row r="668">
      <c r="A668" s="474"/>
      <c r="B668" s="200"/>
      <c r="C668" s="200"/>
      <c r="F668" s="200"/>
      <c r="G668" s="200"/>
      <c r="L668" s="481"/>
      <c r="N668" s="482"/>
      <c r="O668" s="481"/>
    </row>
    <row r="669">
      <c r="A669" s="474"/>
      <c r="B669" s="200"/>
      <c r="C669" s="200"/>
      <c r="F669" s="200"/>
      <c r="G669" s="200"/>
      <c r="L669" s="481"/>
      <c r="N669" s="482"/>
      <c r="O669" s="481"/>
    </row>
    <row r="670">
      <c r="A670" s="474"/>
      <c r="B670" s="200"/>
      <c r="C670" s="200"/>
      <c r="F670" s="200"/>
      <c r="G670" s="200"/>
      <c r="L670" s="481"/>
      <c r="N670" s="482"/>
      <c r="O670" s="481"/>
    </row>
    <row r="671">
      <c r="A671" s="474"/>
      <c r="B671" s="200"/>
      <c r="C671" s="200"/>
      <c r="F671" s="200"/>
      <c r="G671" s="200"/>
      <c r="L671" s="481"/>
      <c r="N671" s="482"/>
      <c r="O671" s="481"/>
    </row>
    <row r="672">
      <c r="A672" s="474"/>
      <c r="B672" s="200"/>
      <c r="C672" s="200"/>
      <c r="F672" s="200"/>
      <c r="G672" s="200"/>
      <c r="L672" s="481"/>
      <c r="N672" s="482"/>
      <c r="O672" s="481"/>
    </row>
    <row r="673">
      <c r="A673" s="474"/>
      <c r="B673" s="200"/>
      <c r="C673" s="200"/>
      <c r="F673" s="200"/>
      <c r="G673" s="200"/>
      <c r="L673" s="481"/>
      <c r="N673" s="482"/>
      <c r="O673" s="481"/>
    </row>
    <row r="674">
      <c r="A674" s="474"/>
      <c r="B674" s="200"/>
      <c r="C674" s="200"/>
      <c r="F674" s="200"/>
      <c r="G674" s="200"/>
      <c r="L674" s="481"/>
      <c r="N674" s="482"/>
      <c r="O674" s="481"/>
    </row>
    <row r="675">
      <c r="A675" s="474"/>
      <c r="B675" s="200"/>
      <c r="C675" s="200"/>
      <c r="F675" s="200"/>
      <c r="G675" s="200"/>
      <c r="L675" s="481"/>
      <c r="N675" s="482"/>
      <c r="O675" s="481"/>
    </row>
    <row r="676">
      <c r="A676" s="474"/>
      <c r="B676" s="200"/>
      <c r="C676" s="200"/>
      <c r="F676" s="200"/>
      <c r="G676" s="200"/>
      <c r="L676" s="481"/>
      <c r="N676" s="482"/>
      <c r="O676" s="481"/>
    </row>
    <row r="677">
      <c r="A677" s="474"/>
      <c r="B677" s="200"/>
      <c r="C677" s="200"/>
      <c r="F677" s="200"/>
      <c r="G677" s="200"/>
      <c r="L677" s="481"/>
      <c r="N677" s="482"/>
      <c r="O677" s="481"/>
    </row>
    <row r="678">
      <c r="A678" s="474"/>
      <c r="B678" s="200"/>
      <c r="C678" s="200"/>
      <c r="F678" s="200"/>
      <c r="G678" s="200"/>
      <c r="L678" s="481"/>
      <c r="N678" s="482"/>
      <c r="O678" s="481"/>
    </row>
    <row r="679">
      <c r="A679" s="474"/>
      <c r="B679" s="200"/>
      <c r="C679" s="200"/>
      <c r="F679" s="200"/>
      <c r="G679" s="200"/>
      <c r="L679" s="481"/>
      <c r="N679" s="482"/>
      <c r="O679" s="481"/>
    </row>
    <row r="680">
      <c r="A680" s="474"/>
      <c r="B680" s="200"/>
      <c r="C680" s="200"/>
      <c r="F680" s="200"/>
      <c r="G680" s="200"/>
      <c r="L680" s="481"/>
      <c r="N680" s="482"/>
      <c r="O680" s="481"/>
    </row>
    <row r="681">
      <c r="A681" s="474"/>
      <c r="B681" s="200"/>
      <c r="C681" s="200"/>
      <c r="F681" s="200"/>
      <c r="G681" s="200"/>
      <c r="L681" s="481"/>
      <c r="N681" s="482"/>
      <c r="O681" s="481"/>
    </row>
    <row r="682">
      <c r="A682" s="474"/>
      <c r="B682" s="200"/>
      <c r="C682" s="200"/>
      <c r="F682" s="200"/>
      <c r="G682" s="200"/>
      <c r="L682" s="481"/>
      <c r="N682" s="482"/>
      <c r="O682" s="481"/>
    </row>
    <row r="683">
      <c r="A683" s="474"/>
      <c r="B683" s="200"/>
      <c r="C683" s="200"/>
      <c r="F683" s="200"/>
      <c r="G683" s="200"/>
      <c r="L683" s="481"/>
      <c r="N683" s="482"/>
      <c r="O683" s="481"/>
    </row>
    <row r="684">
      <c r="A684" s="474"/>
      <c r="B684" s="200"/>
      <c r="C684" s="200"/>
      <c r="F684" s="200"/>
      <c r="G684" s="200"/>
      <c r="L684" s="481"/>
      <c r="N684" s="482"/>
      <c r="O684" s="481"/>
    </row>
    <row r="685">
      <c r="A685" s="474"/>
      <c r="B685" s="200"/>
      <c r="C685" s="200"/>
      <c r="F685" s="200"/>
      <c r="G685" s="200"/>
      <c r="L685" s="481"/>
      <c r="N685" s="482"/>
      <c r="O685" s="481"/>
    </row>
    <row r="686">
      <c r="A686" s="474"/>
      <c r="B686" s="200"/>
      <c r="C686" s="200"/>
      <c r="F686" s="200"/>
      <c r="G686" s="200"/>
      <c r="L686" s="481"/>
      <c r="N686" s="482"/>
      <c r="O686" s="481"/>
    </row>
    <row r="687">
      <c r="A687" s="474"/>
      <c r="B687" s="200"/>
      <c r="C687" s="200"/>
      <c r="F687" s="200"/>
      <c r="G687" s="200"/>
      <c r="L687" s="481"/>
      <c r="N687" s="482"/>
      <c r="O687" s="481"/>
    </row>
    <row r="688">
      <c r="A688" s="474"/>
      <c r="B688" s="200"/>
      <c r="C688" s="200"/>
      <c r="F688" s="200"/>
      <c r="G688" s="200"/>
      <c r="L688" s="481"/>
      <c r="N688" s="482"/>
      <c r="O688" s="481"/>
    </row>
    <row r="689">
      <c r="A689" s="474"/>
      <c r="B689" s="200"/>
      <c r="C689" s="200"/>
      <c r="F689" s="200"/>
      <c r="G689" s="200"/>
      <c r="L689" s="481"/>
      <c r="N689" s="482"/>
      <c r="O689" s="481"/>
    </row>
    <row r="690">
      <c r="A690" s="474"/>
      <c r="B690" s="200"/>
      <c r="C690" s="200"/>
      <c r="F690" s="200"/>
      <c r="G690" s="200"/>
      <c r="L690" s="481"/>
      <c r="N690" s="482"/>
      <c r="O690" s="481"/>
    </row>
    <row r="691">
      <c r="A691" s="474"/>
      <c r="B691" s="200"/>
      <c r="C691" s="200"/>
      <c r="F691" s="200"/>
      <c r="G691" s="200"/>
      <c r="L691" s="481"/>
      <c r="N691" s="482"/>
      <c r="O691" s="481"/>
    </row>
    <row r="692">
      <c r="A692" s="474"/>
      <c r="B692" s="200"/>
      <c r="C692" s="200"/>
      <c r="F692" s="200"/>
      <c r="G692" s="200"/>
      <c r="L692" s="481"/>
      <c r="N692" s="482"/>
      <c r="O692" s="481"/>
    </row>
    <row r="693">
      <c r="A693" s="474"/>
      <c r="B693" s="200"/>
      <c r="C693" s="200"/>
      <c r="F693" s="200"/>
      <c r="G693" s="200"/>
      <c r="L693" s="481"/>
      <c r="N693" s="482"/>
      <c r="O693" s="481"/>
    </row>
    <row r="694">
      <c r="A694" s="474"/>
      <c r="B694" s="200"/>
      <c r="C694" s="200"/>
      <c r="F694" s="200"/>
      <c r="G694" s="200"/>
      <c r="L694" s="481"/>
      <c r="N694" s="482"/>
      <c r="O694" s="481"/>
    </row>
    <row r="695">
      <c r="A695" s="474"/>
      <c r="B695" s="200"/>
      <c r="C695" s="200"/>
      <c r="F695" s="200"/>
      <c r="G695" s="200"/>
      <c r="L695" s="481"/>
      <c r="N695" s="482"/>
      <c r="O695" s="481"/>
    </row>
    <row r="696">
      <c r="A696" s="474"/>
      <c r="B696" s="200"/>
      <c r="C696" s="200"/>
      <c r="F696" s="200"/>
      <c r="G696" s="200"/>
      <c r="L696" s="481"/>
      <c r="N696" s="482"/>
      <c r="O696" s="481"/>
    </row>
    <row r="697">
      <c r="A697" s="474"/>
      <c r="B697" s="200"/>
      <c r="C697" s="200"/>
      <c r="F697" s="200"/>
      <c r="G697" s="200"/>
      <c r="L697" s="481"/>
      <c r="N697" s="482"/>
      <c r="O697" s="481"/>
    </row>
    <row r="698">
      <c r="A698" s="474"/>
      <c r="B698" s="200"/>
      <c r="C698" s="200"/>
      <c r="F698" s="200"/>
      <c r="G698" s="200"/>
      <c r="L698" s="481"/>
      <c r="N698" s="482"/>
      <c r="O698" s="481"/>
    </row>
    <row r="699">
      <c r="A699" s="474"/>
      <c r="B699" s="200"/>
      <c r="C699" s="200"/>
      <c r="F699" s="200"/>
      <c r="G699" s="200"/>
      <c r="L699" s="481"/>
      <c r="N699" s="482"/>
      <c r="O699" s="481"/>
    </row>
    <row r="700">
      <c r="A700" s="474"/>
      <c r="B700" s="200"/>
      <c r="C700" s="200"/>
      <c r="F700" s="200"/>
      <c r="G700" s="200"/>
      <c r="L700" s="481"/>
      <c r="N700" s="482"/>
      <c r="O700" s="481"/>
    </row>
    <row r="701">
      <c r="A701" s="474"/>
      <c r="B701" s="200"/>
      <c r="C701" s="200"/>
      <c r="F701" s="200"/>
      <c r="G701" s="200"/>
      <c r="L701" s="481"/>
      <c r="N701" s="482"/>
      <c r="O701" s="481"/>
    </row>
    <row r="702">
      <c r="A702" s="474"/>
      <c r="B702" s="200"/>
      <c r="C702" s="200"/>
      <c r="F702" s="200"/>
      <c r="G702" s="200"/>
      <c r="L702" s="481"/>
      <c r="N702" s="482"/>
      <c r="O702" s="481"/>
    </row>
    <row r="703">
      <c r="A703" s="474"/>
      <c r="B703" s="200"/>
      <c r="C703" s="200"/>
      <c r="F703" s="200"/>
      <c r="G703" s="200"/>
      <c r="L703" s="481"/>
      <c r="N703" s="482"/>
      <c r="O703" s="481"/>
    </row>
    <row r="704">
      <c r="A704" s="474"/>
      <c r="B704" s="200"/>
      <c r="C704" s="200"/>
      <c r="F704" s="200"/>
      <c r="G704" s="200"/>
      <c r="L704" s="481"/>
      <c r="N704" s="482"/>
      <c r="O704" s="481"/>
    </row>
    <row r="705">
      <c r="A705" s="474"/>
      <c r="B705" s="200"/>
      <c r="C705" s="200"/>
      <c r="F705" s="200"/>
      <c r="G705" s="200"/>
      <c r="L705" s="481"/>
      <c r="N705" s="482"/>
      <c r="O705" s="481"/>
    </row>
    <row r="706">
      <c r="A706" s="474"/>
      <c r="B706" s="200"/>
      <c r="C706" s="200"/>
      <c r="F706" s="200"/>
      <c r="G706" s="200"/>
      <c r="L706" s="481"/>
      <c r="N706" s="482"/>
      <c r="O706" s="481"/>
    </row>
    <row r="707">
      <c r="A707" s="474"/>
      <c r="B707" s="200"/>
      <c r="C707" s="200"/>
      <c r="F707" s="200"/>
      <c r="G707" s="200"/>
      <c r="L707" s="481"/>
      <c r="N707" s="482"/>
      <c r="O707" s="481"/>
    </row>
    <row r="708">
      <c r="A708" s="474"/>
      <c r="B708" s="200"/>
      <c r="C708" s="200"/>
      <c r="F708" s="200"/>
      <c r="G708" s="200"/>
      <c r="L708" s="481"/>
      <c r="N708" s="482"/>
      <c r="O708" s="481"/>
    </row>
    <row r="709">
      <c r="A709" s="474"/>
      <c r="B709" s="200"/>
      <c r="C709" s="200"/>
      <c r="F709" s="200"/>
      <c r="G709" s="200"/>
      <c r="L709" s="481"/>
      <c r="N709" s="482"/>
      <c r="O709" s="481"/>
    </row>
    <row r="710">
      <c r="A710" s="474"/>
      <c r="B710" s="200"/>
      <c r="C710" s="200"/>
      <c r="F710" s="200"/>
      <c r="G710" s="200"/>
      <c r="L710" s="481"/>
      <c r="N710" s="482"/>
      <c r="O710" s="481"/>
    </row>
    <row r="711">
      <c r="A711" s="474"/>
      <c r="B711" s="200"/>
      <c r="C711" s="200"/>
      <c r="F711" s="200"/>
      <c r="G711" s="200"/>
      <c r="L711" s="481"/>
      <c r="N711" s="482"/>
      <c r="O711" s="481"/>
    </row>
    <row r="712">
      <c r="A712" s="474"/>
      <c r="B712" s="200"/>
      <c r="C712" s="200"/>
      <c r="F712" s="200"/>
      <c r="G712" s="200"/>
      <c r="L712" s="481"/>
      <c r="N712" s="482"/>
      <c r="O712" s="481"/>
    </row>
    <row r="713">
      <c r="A713" s="474"/>
      <c r="B713" s="200"/>
      <c r="C713" s="200"/>
      <c r="F713" s="200"/>
      <c r="G713" s="200"/>
      <c r="L713" s="481"/>
      <c r="N713" s="482"/>
      <c r="O713" s="481"/>
    </row>
    <row r="714">
      <c r="A714" s="474"/>
      <c r="B714" s="200"/>
      <c r="C714" s="200"/>
      <c r="F714" s="200"/>
      <c r="G714" s="200"/>
      <c r="L714" s="481"/>
      <c r="N714" s="482"/>
      <c r="O714" s="481"/>
    </row>
    <row r="715">
      <c r="A715" s="474"/>
      <c r="B715" s="200"/>
      <c r="C715" s="200"/>
      <c r="F715" s="200"/>
      <c r="G715" s="200"/>
      <c r="L715" s="481"/>
      <c r="N715" s="482"/>
      <c r="O715" s="481"/>
    </row>
    <row r="716">
      <c r="A716" s="474"/>
      <c r="B716" s="200"/>
      <c r="C716" s="200"/>
      <c r="F716" s="200"/>
      <c r="G716" s="200"/>
      <c r="L716" s="481"/>
      <c r="N716" s="482"/>
      <c r="O716" s="481"/>
    </row>
    <row r="717">
      <c r="A717" s="474"/>
      <c r="B717" s="200"/>
      <c r="C717" s="200"/>
      <c r="F717" s="200"/>
      <c r="G717" s="200"/>
      <c r="L717" s="481"/>
      <c r="N717" s="482"/>
      <c r="O717" s="481"/>
    </row>
    <row r="718">
      <c r="A718" s="474"/>
      <c r="B718" s="200"/>
      <c r="C718" s="200"/>
      <c r="F718" s="200"/>
      <c r="G718" s="200"/>
      <c r="L718" s="481"/>
      <c r="N718" s="482"/>
      <c r="O718" s="481"/>
    </row>
    <row r="719">
      <c r="A719" s="474"/>
      <c r="B719" s="200"/>
      <c r="C719" s="200"/>
      <c r="F719" s="200"/>
      <c r="G719" s="200"/>
      <c r="L719" s="481"/>
      <c r="N719" s="482"/>
      <c r="O719" s="481"/>
    </row>
    <row r="720">
      <c r="A720" s="474"/>
      <c r="B720" s="200"/>
      <c r="C720" s="200"/>
      <c r="F720" s="200"/>
      <c r="G720" s="200"/>
      <c r="L720" s="481"/>
      <c r="N720" s="482"/>
      <c r="O720" s="481"/>
    </row>
    <row r="721">
      <c r="A721" s="474"/>
      <c r="B721" s="200"/>
      <c r="C721" s="200"/>
      <c r="F721" s="200"/>
      <c r="G721" s="200"/>
      <c r="L721" s="481"/>
      <c r="N721" s="482"/>
      <c r="O721" s="481"/>
    </row>
    <row r="722">
      <c r="A722" s="474"/>
      <c r="B722" s="200"/>
      <c r="C722" s="200"/>
      <c r="F722" s="200"/>
      <c r="G722" s="200"/>
      <c r="L722" s="481"/>
      <c r="N722" s="482"/>
      <c r="O722" s="481"/>
    </row>
    <row r="723">
      <c r="A723" s="474"/>
      <c r="B723" s="200"/>
      <c r="C723" s="200"/>
      <c r="F723" s="200"/>
      <c r="G723" s="200"/>
      <c r="L723" s="481"/>
      <c r="N723" s="482"/>
      <c r="O723" s="481"/>
    </row>
    <row r="724">
      <c r="A724" s="474"/>
      <c r="B724" s="200"/>
      <c r="C724" s="200"/>
      <c r="F724" s="200"/>
      <c r="G724" s="200"/>
      <c r="L724" s="481"/>
      <c r="N724" s="482"/>
      <c r="O724" s="481"/>
    </row>
    <row r="725">
      <c r="A725" s="474"/>
      <c r="B725" s="200"/>
      <c r="C725" s="200"/>
      <c r="F725" s="200"/>
      <c r="G725" s="200"/>
      <c r="L725" s="481"/>
      <c r="N725" s="482"/>
      <c r="O725" s="481"/>
    </row>
    <row r="726">
      <c r="A726" s="474"/>
      <c r="B726" s="200"/>
      <c r="C726" s="200"/>
      <c r="F726" s="200"/>
      <c r="G726" s="200"/>
      <c r="L726" s="481"/>
      <c r="N726" s="482"/>
      <c r="O726" s="481"/>
    </row>
    <row r="727">
      <c r="A727" s="474"/>
      <c r="B727" s="200"/>
      <c r="C727" s="200"/>
      <c r="F727" s="200"/>
      <c r="G727" s="200"/>
      <c r="L727" s="481"/>
      <c r="N727" s="482"/>
      <c r="O727" s="481"/>
    </row>
    <row r="728">
      <c r="A728" s="474"/>
      <c r="B728" s="200"/>
      <c r="C728" s="200"/>
      <c r="F728" s="200"/>
      <c r="G728" s="200"/>
      <c r="L728" s="481"/>
      <c r="N728" s="482"/>
      <c r="O728" s="481"/>
    </row>
    <row r="729">
      <c r="A729" s="474"/>
      <c r="B729" s="200"/>
      <c r="C729" s="200"/>
      <c r="F729" s="200"/>
      <c r="G729" s="200"/>
      <c r="L729" s="481"/>
      <c r="N729" s="482"/>
      <c r="O729" s="481"/>
    </row>
    <row r="730">
      <c r="A730" s="474"/>
      <c r="B730" s="200"/>
      <c r="C730" s="200"/>
      <c r="F730" s="200"/>
      <c r="G730" s="200"/>
      <c r="L730" s="481"/>
      <c r="N730" s="482"/>
      <c r="O730" s="481"/>
    </row>
    <row r="731">
      <c r="A731" s="474"/>
      <c r="B731" s="200"/>
      <c r="C731" s="200"/>
      <c r="F731" s="200"/>
      <c r="G731" s="200"/>
      <c r="L731" s="481"/>
      <c r="N731" s="482"/>
      <c r="O731" s="481"/>
    </row>
    <row r="732">
      <c r="A732" s="474"/>
      <c r="B732" s="200"/>
      <c r="C732" s="200"/>
      <c r="F732" s="200"/>
      <c r="G732" s="200"/>
      <c r="L732" s="481"/>
      <c r="N732" s="482"/>
      <c r="O732" s="481"/>
    </row>
    <row r="733">
      <c r="A733" s="474"/>
      <c r="B733" s="200"/>
      <c r="C733" s="200"/>
      <c r="F733" s="200"/>
      <c r="G733" s="200"/>
      <c r="L733" s="481"/>
      <c r="N733" s="482"/>
      <c r="O733" s="481"/>
    </row>
    <row r="734">
      <c r="A734" s="474"/>
      <c r="B734" s="200"/>
      <c r="C734" s="200"/>
      <c r="F734" s="200"/>
      <c r="G734" s="200"/>
      <c r="L734" s="481"/>
      <c r="N734" s="482"/>
      <c r="O734" s="481"/>
    </row>
    <row r="735">
      <c r="A735" s="474"/>
      <c r="B735" s="200"/>
      <c r="C735" s="200"/>
      <c r="F735" s="200"/>
      <c r="G735" s="200"/>
      <c r="L735" s="481"/>
      <c r="N735" s="482"/>
      <c r="O735" s="481"/>
    </row>
    <row r="736">
      <c r="A736" s="474"/>
      <c r="B736" s="200"/>
      <c r="C736" s="200"/>
      <c r="F736" s="200"/>
      <c r="G736" s="200"/>
      <c r="L736" s="481"/>
      <c r="N736" s="482"/>
      <c r="O736" s="481"/>
    </row>
    <row r="737">
      <c r="A737" s="474"/>
      <c r="B737" s="200"/>
      <c r="C737" s="200"/>
      <c r="F737" s="200"/>
      <c r="G737" s="200"/>
      <c r="L737" s="481"/>
      <c r="N737" s="482"/>
      <c r="O737" s="481"/>
    </row>
    <row r="738">
      <c r="A738" s="474"/>
      <c r="B738" s="200"/>
      <c r="C738" s="200"/>
      <c r="F738" s="200"/>
      <c r="G738" s="200"/>
      <c r="L738" s="481"/>
      <c r="N738" s="482"/>
      <c r="O738" s="481"/>
    </row>
    <row r="739">
      <c r="A739" s="474"/>
      <c r="B739" s="200"/>
      <c r="C739" s="200"/>
      <c r="F739" s="200"/>
      <c r="G739" s="200"/>
      <c r="L739" s="481"/>
      <c r="N739" s="482"/>
      <c r="O739" s="481"/>
    </row>
    <row r="740">
      <c r="A740" s="474"/>
      <c r="B740" s="200"/>
      <c r="C740" s="200"/>
      <c r="F740" s="200"/>
      <c r="G740" s="200"/>
      <c r="L740" s="481"/>
      <c r="N740" s="482"/>
      <c r="O740" s="481"/>
    </row>
    <row r="741">
      <c r="A741" s="474"/>
      <c r="B741" s="200"/>
      <c r="C741" s="200"/>
      <c r="F741" s="200"/>
      <c r="G741" s="200"/>
      <c r="L741" s="481"/>
      <c r="N741" s="482"/>
      <c r="O741" s="481"/>
    </row>
    <row r="742">
      <c r="A742" s="474"/>
      <c r="B742" s="200"/>
      <c r="C742" s="200"/>
      <c r="F742" s="200"/>
      <c r="G742" s="200"/>
      <c r="L742" s="481"/>
      <c r="N742" s="482"/>
      <c r="O742" s="481"/>
    </row>
    <row r="743">
      <c r="A743" s="474"/>
      <c r="B743" s="200"/>
      <c r="C743" s="200"/>
      <c r="F743" s="200"/>
      <c r="G743" s="200"/>
      <c r="L743" s="481"/>
      <c r="N743" s="482"/>
      <c r="O743" s="481"/>
    </row>
    <row r="744">
      <c r="A744" s="474"/>
      <c r="B744" s="200"/>
      <c r="C744" s="200"/>
      <c r="F744" s="200"/>
      <c r="G744" s="200"/>
      <c r="L744" s="481"/>
      <c r="N744" s="482"/>
      <c r="O744" s="481"/>
    </row>
    <row r="745">
      <c r="A745" s="474"/>
      <c r="B745" s="200"/>
      <c r="C745" s="200"/>
      <c r="F745" s="200"/>
      <c r="G745" s="200"/>
      <c r="L745" s="481"/>
      <c r="N745" s="482"/>
      <c r="O745" s="481"/>
    </row>
    <row r="746">
      <c r="A746" s="474"/>
      <c r="B746" s="200"/>
      <c r="C746" s="200"/>
      <c r="F746" s="200"/>
      <c r="G746" s="200"/>
      <c r="L746" s="481"/>
      <c r="N746" s="482"/>
      <c r="O746" s="481"/>
    </row>
    <row r="747">
      <c r="A747" s="474"/>
      <c r="B747" s="200"/>
      <c r="C747" s="200"/>
      <c r="F747" s="200"/>
      <c r="G747" s="200"/>
      <c r="L747" s="481"/>
      <c r="N747" s="482"/>
      <c r="O747" s="481"/>
    </row>
    <row r="748">
      <c r="A748" s="474"/>
      <c r="B748" s="200"/>
      <c r="C748" s="200"/>
      <c r="F748" s="200"/>
      <c r="G748" s="200"/>
      <c r="L748" s="481"/>
      <c r="N748" s="482"/>
      <c r="O748" s="481"/>
    </row>
    <row r="749">
      <c r="A749" s="474"/>
      <c r="B749" s="200"/>
      <c r="C749" s="200"/>
      <c r="F749" s="200"/>
      <c r="G749" s="200"/>
      <c r="L749" s="481"/>
      <c r="N749" s="482"/>
      <c r="O749" s="481"/>
    </row>
    <row r="750">
      <c r="A750" s="474"/>
      <c r="B750" s="200"/>
      <c r="C750" s="200"/>
      <c r="F750" s="200"/>
      <c r="G750" s="200"/>
      <c r="L750" s="481"/>
      <c r="N750" s="482"/>
      <c r="O750" s="481"/>
    </row>
    <row r="751">
      <c r="A751" s="474"/>
      <c r="B751" s="200"/>
      <c r="C751" s="200"/>
      <c r="F751" s="200"/>
      <c r="G751" s="200"/>
      <c r="L751" s="481"/>
      <c r="N751" s="482"/>
      <c r="O751" s="481"/>
    </row>
    <row r="752">
      <c r="A752" s="474"/>
      <c r="B752" s="200"/>
      <c r="C752" s="200"/>
      <c r="F752" s="200"/>
      <c r="G752" s="200"/>
      <c r="L752" s="481"/>
      <c r="N752" s="482"/>
      <c r="O752" s="481"/>
    </row>
    <row r="753">
      <c r="A753" s="474"/>
      <c r="B753" s="200"/>
      <c r="C753" s="200"/>
      <c r="F753" s="200"/>
      <c r="G753" s="200"/>
      <c r="L753" s="481"/>
      <c r="N753" s="482"/>
      <c r="O753" s="481"/>
    </row>
    <row r="754">
      <c r="A754" s="474"/>
      <c r="B754" s="200"/>
      <c r="C754" s="200"/>
      <c r="F754" s="200"/>
      <c r="G754" s="200"/>
      <c r="L754" s="481"/>
      <c r="N754" s="482"/>
      <c r="O754" s="481"/>
    </row>
    <row r="755">
      <c r="A755" s="474"/>
      <c r="B755" s="200"/>
      <c r="C755" s="200"/>
      <c r="F755" s="200"/>
      <c r="G755" s="200"/>
      <c r="L755" s="481"/>
      <c r="N755" s="482"/>
      <c r="O755" s="481"/>
    </row>
    <row r="756">
      <c r="A756" s="474"/>
      <c r="B756" s="200"/>
      <c r="C756" s="200"/>
      <c r="F756" s="200"/>
      <c r="G756" s="200"/>
      <c r="L756" s="481"/>
      <c r="N756" s="482"/>
      <c r="O756" s="481"/>
    </row>
    <row r="757">
      <c r="A757" s="474"/>
      <c r="B757" s="200"/>
      <c r="C757" s="200"/>
      <c r="F757" s="200"/>
      <c r="G757" s="200"/>
      <c r="L757" s="481"/>
      <c r="N757" s="482"/>
      <c r="O757" s="481"/>
    </row>
    <row r="758">
      <c r="A758" s="474"/>
      <c r="B758" s="200"/>
      <c r="C758" s="200"/>
      <c r="F758" s="200"/>
      <c r="G758" s="200"/>
      <c r="L758" s="481"/>
      <c r="N758" s="482"/>
      <c r="O758" s="481"/>
    </row>
    <row r="759">
      <c r="A759" s="474"/>
      <c r="B759" s="200"/>
      <c r="C759" s="200"/>
      <c r="F759" s="200"/>
      <c r="G759" s="200"/>
      <c r="L759" s="481"/>
      <c r="N759" s="482"/>
      <c r="O759" s="481"/>
    </row>
    <row r="760">
      <c r="A760" s="474"/>
      <c r="B760" s="200"/>
      <c r="C760" s="200"/>
      <c r="F760" s="200"/>
      <c r="G760" s="200"/>
      <c r="L760" s="481"/>
      <c r="N760" s="482"/>
      <c r="O760" s="481"/>
    </row>
    <row r="761">
      <c r="A761" s="474"/>
      <c r="B761" s="200"/>
      <c r="C761" s="200"/>
      <c r="F761" s="200"/>
      <c r="G761" s="200"/>
      <c r="L761" s="481"/>
      <c r="N761" s="482"/>
      <c r="O761" s="481"/>
    </row>
    <row r="762">
      <c r="A762" s="474"/>
      <c r="B762" s="200"/>
      <c r="C762" s="200"/>
      <c r="F762" s="200"/>
      <c r="G762" s="200"/>
      <c r="L762" s="481"/>
      <c r="N762" s="482"/>
      <c r="O762" s="481"/>
    </row>
    <row r="763">
      <c r="A763" s="474"/>
      <c r="B763" s="200"/>
      <c r="C763" s="200"/>
      <c r="F763" s="200"/>
      <c r="G763" s="200"/>
      <c r="L763" s="481"/>
      <c r="N763" s="482"/>
      <c r="O763" s="481"/>
    </row>
    <row r="764">
      <c r="A764" s="474"/>
      <c r="B764" s="200"/>
      <c r="C764" s="200"/>
      <c r="F764" s="200"/>
      <c r="G764" s="200"/>
      <c r="L764" s="481"/>
      <c r="N764" s="482"/>
      <c r="O764" s="481"/>
    </row>
    <row r="765">
      <c r="A765" s="474"/>
      <c r="B765" s="200"/>
      <c r="C765" s="200"/>
      <c r="F765" s="200"/>
      <c r="G765" s="200"/>
      <c r="L765" s="481"/>
      <c r="N765" s="482"/>
      <c r="O765" s="481"/>
    </row>
    <row r="766">
      <c r="A766" s="474"/>
      <c r="B766" s="200"/>
      <c r="C766" s="200"/>
      <c r="F766" s="200"/>
      <c r="G766" s="200"/>
      <c r="L766" s="481"/>
      <c r="N766" s="482"/>
      <c r="O766" s="481"/>
    </row>
    <row r="767">
      <c r="A767" s="474"/>
      <c r="B767" s="200"/>
      <c r="C767" s="200"/>
      <c r="F767" s="200"/>
      <c r="G767" s="200"/>
      <c r="L767" s="481"/>
      <c r="N767" s="482"/>
      <c r="O767" s="481"/>
    </row>
    <row r="768">
      <c r="A768" s="474"/>
      <c r="B768" s="200"/>
      <c r="C768" s="200"/>
      <c r="F768" s="200"/>
      <c r="G768" s="200"/>
      <c r="L768" s="481"/>
      <c r="N768" s="482"/>
      <c r="O768" s="481"/>
    </row>
    <row r="769">
      <c r="A769" s="474"/>
      <c r="B769" s="200"/>
      <c r="C769" s="200"/>
      <c r="F769" s="200"/>
      <c r="G769" s="200"/>
      <c r="L769" s="481"/>
      <c r="N769" s="482"/>
      <c r="O769" s="481"/>
    </row>
    <row r="770">
      <c r="A770" s="474"/>
      <c r="B770" s="200"/>
      <c r="C770" s="200"/>
      <c r="F770" s="200"/>
      <c r="G770" s="200"/>
      <c r="L770" s="481"/>
      <c r="N770" s="482"/>
      <c r="O770" s="481"/>
    </row>
    <row r="771">
      <c r="A771" s="474"/>
      <c r="B771" s="200"/>
      <c r="C771" s="200"/>
      <c r="F771" s="200"/>
      <c r="G771" s="200"/>
      <c r="L771" s="481"/>
      <c r="N771" s="482"/>
      <c r="O771" s="481"/>
    </row>
    <row r="772">
      <c r="A772" s="474"/>
      <c r="B772" s="200"/>
      <c r="C772" s="200"/>
      <c r="F772" s="200"/>
      <c r="G772" s="200"/>
      <c r="L772" s="481"/>
      <c r="N772" s="482"/>
      <c r="O772" s="481"/>
    </row>
    <row r="773">
      <c r="A773" s="474"/>
      <c r="B773" s="200"/>
      <c r="C773" s="200"/>
      <c r="F773" s="200"/>
      <c r="G773" s="200"/>
      <c r="L773" s="481"/>
      <c r="N773" s="482"/>
      <c r="O773" s="481"/>
    </row>
    <row r="774">
      <c r="A774" s="474"/>
      <c r="B774" s="200"/>
      <c r="C774" s="200"/>
      <c r="F774" s="200"/>
      <c r="G774" s="200"/>
      <c r="L774" s="481"/>
      <c r="N774" s="482"/>
      <c r="O774" s="481"/>
    </row>
    <row r="775">
      <c r="A775" s="474"/>
      <c r="B775" s="200"/>
      <c r="C775" s="200"/>
      <c r="F775" s="200"/>
      <c r="G775" s="200"/>
      <c r="L775" s="481"/>
      <c r="N775" s="482"/>
      <c r="O775" s="481"/>
    </row>
    <row r="776">
      <c r="A776" s="474"/>
      <c r="B776" s="200"/>
      <c r="C776" s="200"/>
      <c r="F776" s="200"/>
      <c r="G776" s="200"/>
      <c r="L776" s="481"/>
      <c r="N776" s="482"/>
      <c r="O776" s="481"/>
    </row>
    <row r="777">
      <c r="A777" s="474"/>
      <c r="B777" s="200"/>
      <c r="C777" s="200"/>
      <c r="F777" s="200"/>
      <c r="G777" s="200"/>
      <c r="L777" s="481"/>
      <c r="N777" s="482"/>
      <c r="O777" s="481"/>
    </row>
    <row r="778">
      <c r="A778" s="474"/>
      <c r="B778" s="200"/>
      <c r="C778" s="200"/>
      <c r="F778" s="200"/>
      <c r="G778" s="200"/>
      <c r="L778" s="481"/>
      <c r="N778" s="482"/>
      <c r="O778" s="481"/>
    </row>
    <row r="779">
      <c r="A779" s="474"/>
      <c r="B779" s="200"/>
      <c r="C779" s="200"/>
      <c r="F779" s="200"/>
      <c r="G779" s="200"/>
      <c r="L779" s="481"/>
      <c r="N779" s="482"/>
      <c r="O779" s="481"/>
    </row>
    <row r="780">
      <c r="A780" s="474"/>
      <c r="B780" s="200"/>
      <c r="C780" s="200"/>
      <c r="F780" s="200"/>
      <c r="G780" s="200"/>
      <c r="L780" s="481"/>
      <c r="N780" s="482"/>
      <c r="O780" s="481"/>
    </row>
    <row r="781">
      <c r="A781" s="474"/>
      <c r="B781" s="200"/>
      <c r="C781" s="200"/>
      <c r="F781" s="200"/>
      <c r="G781" s="200"/>
      <c r="L781" s="481"/>
      <c r="N781" s="482"/>
      <c r="O781" s="481"/>
    </row>
    <row r="782">
      <c r="A782" s="474"/>
      <c r="B782" s="200"/>
      <c r="C782" s="200"/>
      <c r="F782" s="200"/>
      <c r="G782" s="200"/>
      <c r="L782" s="481"/>
      <c r="N782" s="482"/>
      <c r="O782" s="481"/>
    </row>
    <row r="783">
      <c r="A783" s="474"/>
      <c r="B783" s="200"/>
      <c r="C783" s="200"/>
      <c r="F783" s="200"/>
      <c r="G783" s="200"/>
      <c r="L783" s="481"/>
      <c r="N783" s="482"/>
      <c r="O783" s="481"/>
    </row>
    <row r="784">
      <c r="A784" s="474"/>
      <c r="B784" s="200"/>
      <c r="C784" s="200"/>
      <c r="F784" s="200"/>
      <c r="G784" s="200"/>
      <c r="L784" s="481"/>
      <c r="N784" s="482"/>
      <c r="O784" s="481"/>
    </row>
    <row r="785">
      <c r="A785" s="474"/>
      <c r="B785" s="200"/>
      <c r="C785" s="200"/>
      <c r="F785" s="200"/>
      <c r="G785" s="200"/>
      <c r="L785" s="481"/>
      <c r="N785" s="482"/>
      <c r="O785" s="481"/>
    </row>
    <row r="786">
      <c r="A786" s="474"/>
      <c r="B786" s="200"/>
      <c r="C786" s="200"/>
      <c r="F786" s="200"/>
      <c r="G786" s="200"/>
      <c r="L786" s="481"/>
      <c r="N786" s="482"/>
      <c r="O786" s="481"/>
    </row>
    <row r="787">
      <c r="A787" s="474"/>
      <c r="B787" s="200"/>
      <c r="C787" s="200"/>
      <c r="F787" s="200"/>
      <c r="G787" s="200"/>
      <c r="L787" s="481"/>
      <c r="N787" s="482"/>
      <c r="O787" s="481"/>
    </row>
    <row r="788">
      <c r="A788" s="474"/>
      <c r="B788" s="200"/>
      <c r="C788" s="200"/>
      <c r="F788" s="200"/>
      <c r="G788" s="200"/>
      <c r="L788" s="481"/>
      <c r="N788" s="482"/>
      <c r="O788" s="481"/>
    </row>
    <row r="789">
      <c r="A789" s="474"/>
      <c r="B789" s="200"/>
      <c r="C789" s="200"/>
      <c r="F789" s="200"/>
      <c r="G789" s="200"/>
      <c r="L789" s="481"/>
      <c r="N789" s="482"/>
      <c r="O789" s="481"/>
    </row>
    <row r="790">
      <c r="A790" s="474"/>
      <c r="B790" s="200"/>
      <c r="C790" s="200"/>
      <c r="F790" s="200"/>
      <c r="G790" s="200"/>
      <c r="L790" s="481"/>
      <c r="N790" s="482"/>
      <c r="O790" s="481"/>
    </row>
    <row r="791">
      <c r="A791" s="474"/>
      <c r="B791" s="200"/>
      <c r="C791" s="200"/>
      <c r="F791" s="200"/>
      <c r="G791" s="200"/>
      <c r="L791" s="481"/>
      <c r="N791" s="482"/>
      <c r="O791" s="481"/>
    </row>
    <row r="792">
      <c r="A792" s="474"/>
      <c r="B792" s="200"/>
      <c r="C792" s="200"/>
      <c r="F792" s="200"/>
      <c r="G792" s="200"/>
      <c r="L792" s="481"/>
      <c r="N792" s="482"/>
      <c r="O792" s="481"/>
    </row>
    <row r="793">
      <c r="A793" s="474"/>
      <c r="B793" s="200"/>
      <c r="C793" s="200"/>
      <c r="F793" s="200"/>
      <c r="G793" s="200"/>
      <c r="L793" s="481"/>
      <c r="N793" s="482"/>
      <c r="O793" s="481"/>
    </row>
    <row r="794">
      <c r="A794" s="474"/>
      <c r="B794" s="200"/>
      <c r="C794" s="200"/>
      <c r="F794" s="200"/>
      <c r="G794" s="200"/>
      <c r="L794" s="481"/>
      <c r="N794" s="482"/>
      <c r="O794" s="481"/>
    </row>
    <row r="795">
      <c r="A795" s="474"/>
      <c r="B795" s="200"/>
      <c r="C795" s="200"/>
      <c r="F795" s="200"/>
      <c r="G795" s="200"/>
      <c r="L795" s="481"/>
      <c r="N795" s="482"/>
      <c r="O795" s="481"/>
    </row>
    <row r="796">
      <c r="A796" s="474"/>
      <c r="B796" s="200"/>
      <c r="C796" s="200"/>
      <c r="F796" s="200"/>
      <c r="G796" s="200"/>
      <c r="L796" s="481"/>
      <c r="N796" s="482"/>
      <c r="O796" s="481"/>
    </row>
    <row r="797">
      <c r="A797" s="474"/>
      <c r="B797" s="200"/>
      <c r="C797" s="200"/>
      <c r="F797" s="200"/>
      <c r="G797" s="200"/>
      <c r="L797" s="481"/>
      <c r="N797" s="482"/>
      <c r="O797" s="481"/>
    </row>
    <row r="798">
      <c r="A798" s="474"/>
      <c r="B798" s="200"/>
      <c r="C798" s="200"/>
      <c r="F798" s="200"/>
      <c r="G798" s="200"/>
      <c r="L798" s="481"/>
      <c r="N798" s="482"/>
      <c r="O798" s="481"/>
    </row>
    <row r="799">
      <c r="A799" s="474"/>
      <c r="B799" s="200"/>
      <c r="C799" s="200"/>
      <c r="F799" s="200"/>
      <c r="G799" s="200"/>
      <c r="L799" s="481"/>
      <c r="N799" s="482"/>
      <c r="O799" s="481"/>
    </row>
    <row r="800">
      <c r="A800" s="474"/>
      <c r="B800" s="200"/>
      <c r="C800" s="200"/>
      <c r="F800" s="200"/>
      <c r="G800" s="200"/>
      <c r="L800" s="481"/>
      <c r="N800" s="482"/>
      <c r="O800" s="481"/>
    </row>
    <row r="801">
      <c r="A801" s="474"/>
      <c r="B801" s="200"/>
      <c r="C801" s="200"/>
      <c r="F801" s="200"/>
      <c r="G801" s="200"/>
      <c r="L801" s="481"/>
      <c r="N801" s="482"/>
      <c r="O801" s="481"/>
    </row>
    <row r="802">
      <c r="A802" s="474"/>
      <c r="B802" s="200"/>
      <c r="C802" s="200"/>
      <c r="F802" s="200"/>
      <c r="G802" s="200"/>
      <c r="L802" s="481"/>
      <c r="N802" s="482"/>
      <c r="O802" s="481"/>
    </row>
    <row r="803">
      <c r="A803" s="474"/>
      <c r="B803" s="200"/>
      <c r="C803" s="200"/>
      <c r="F803" s="200"/>
      <c r="G803" s="200"/>
      <c r="L803" s="481"/>
      <c r="N803" s="482"/>
      <c r="O803" s="481"/>
    </row>
    <row r="804">
      <c r="A804" s="474"/>
      <c r="B804" s="200"/>
      <c r="C804" s="200"/>
      <c r="F804" s="200"/>
      <c r="G804" s="200"/>
      <c r="L804" s="481"/>
      <c r="N804" s="482"/>
      <c r="O804" s="481"/>
    </row>
    <row r="805">
      <c r="A805" s="474"/>
      <c r="B805" s="200"/>
      <c r="C805" s="200"/>
      <c r="F805" s="200"/>
      <c r="G805" s="200"/>
      <c r="L805" s="481"/>
      <c r="N805" s="482"/>
      <c r="O805" s="481"/>
    </row>
    <row r="806">
      <c r="A806" s="474"/>
      <c r="B806" s="200"/>
      <c r="C806" s="200"/>
      <c r="F806" s="200"/>
      <c r="G806" s="200"/>
      <c r="L806" s="481"/>
      <c r="N806" s="482"/>
      <c r="O806" s="481"/>
    </row>
    <row r="807">
      <c r="A807" s="474"/>
      <c r="B807" s="200"/>
      <c r="C807" s="200"/>
      <c r="F807" s="200"/>
      <c r="G807" s="200"/>
      <c r="L807" s="481"/>
      <c r="N807" s="482"/>
      <c r="O807" s="481"/>
    </row>
    <row r="808">
      <c r="A808" s="474"/>
      <c r="B808" s="200"/>
      <c r="C808" s="200"/>
      <c r="F808" s="200"/>
      <c r="G808" s="200"/>
      <c r="L808" s="481"/>
      <c r="N808" s="482"/>
      <c r="O808" s="481"/>
    </row>
    <row r="809">
      <c r="A809" s="474"/>
      <c r="B809" s="200"/>
      <c r="C809" s="200"/>
      <c r="F809" s="200"/>
      <c r="G809" s="200"/>
      <c r="L809" s="481"/>
      <c r="N809" s="482"/>
      <c r="O809" s="481"/>
    </row>
    <row r="810">
      <c r="A810" s="474"/>
      <c r="B810" s="200"/>
      <c r="C810" s="200"/>
      <c r="F810" s="200"/>
      <c r="G810" s="200"/>
      <c r="L810" s="481"/>
      <c r="N810" s="482"/>
      <c r="O810" s="481"/>
    </row>
    <row r="811">
      <c r="A811" s="474"/>
      <c r="B811" s="200"/>
      <c r="C811" s="200"/>
      <c r="F811" s="200"/>
      <c r="G811" s="200"/>
      <c r="L811" s="481"/>
      <c r="N811" s="482"/>
      <c r="O811" s="481"/>
    </row>
    <row r="812">
      <c r="A812" s="474"/>
      <c r="B812" s="200"/>
      <c r="C812" s="200"/>
      <c r="F812" s="200"/>
      <c r="G812" s="200"/>
      <c r="L812" s="481"/>
      <c r="N812" s="482"/>
      <c r="O812" s="481"/>
    </row>
    <row r="813">
      <c r="A813" s="474"/>
      <c r="B813" s="200"/>
      <c r="C813" s="200"/>
      <c r="F813" s="200"/>
      <c r="G813" s="200"/>
      <c r="L813" s="481"/>
      <c r="N813" s="482"/>
      <c r="O813" s="481"/>
    </row>
    <row r="814">
      <c r="A814" s="474"/>
      <c r="B814" s="200"/>
      <c r="C814" s="200"/>
      <c r="F814" s="200"/>
      <c r="G814" s="200"/>
      <c r="L814" s="481"/>
      <c r="N814" s="482"/>
      <c r="O814" s="481"/>
    </row>
    <row r="815">
      <c r="A815" s="474"/>
      <c r="B815" s="200"/>
      <c r="C815" s="200"/>
      <c r="F815" s="200"/>
      <c r="G815" s="200"/>
      <c r="L815" s="481"/>
      <c r="N815" s="482"/>
      <c r="O815" s="481"/>
    </row>
    <row r="816">
      <c r="A816" s="474"/>
      <c r="B816" s="200"/>
      <c r="C816" s="200"/>
      <c r="F816" s="200"/>
      <c r="G816" s="200"/>
      <c r="L816" s="481"/>
      <c r="N816" s="482"/>
      <c r="O816" s="481"/>
    </row>
    <row r="817">
      <c r="A817" s="474"/>
      <c r="B817" s="200"/>
      <c r="C817" s="200"/>
      <c r="F817" s="200"/>
      <c r="G817" s="200"/>
      <c r="L817" s="481"/>
      <c r="N817" s="482"/>
      <c r="O817" s="481"/>
    </row>
    <row r="818">
      <c r="A818" s="474"/>
      <c r="B818" s="200"/>
      <c r="C818" s="200"/>
      <c r="F818" s="200"/>
      <c r="G818" s="200"/>
      <c r="L818" s="481"/>
      <c r="N818" s="482"/>
      <c r="O818" s="481"/>
    </row>
    <row r="819">
      <c r="A819" s="474"/>
      <c r="B819" s="200"/>
      <c r="C819" s="200"/>
      <c r="F819" s="200"/>
      <c r="G819" s="200"/>
      <c r="L819" s="481"/>
      <c r="N819" s="482"/>
      <c r="O819" s="481"/>
    </row>
    <row r="820">
      <c r="A820" s="474"/>
      <c r="B820" s="200"/>
      <c r="C820" s="200"/>
      <c r="F820" s="200"/>
      <c r="G820" s="200"/>
      <c r="L820" s="481"/>
      <c r="N820" s="482"/>
      <c r="O820" s="481"/>
    </row>
    <row r="821">
      <c r="A821" s="474"/>
      <c r="B821" s="200"/>
      <c r="C821" s="200"/>
      <c r="F821" s="200"/>
      <c r="G821" s="200"/>
      <c r="L821" s="481"/>
      <c r="N821" s="482"/>
      <c r="O821" s="481"/>
    </row>
    <row r="822">
      <c r="A822" s="474"/>
      <c r="B822" s="200"/>
      <c r="C822" s="200"/>
      <c r="F822" s="200"/>
      <c r="G822" s="200"/>
      <c r="L822" s="481"/>
      <c r="N822" s="482"/>
      <c r="O822" s="481"/>
    </row>
    <row r="823">
      <c r="A823" s="474"/>
      <c r="B823" s="200"/>
      <c r="C823" s="200"/>
      <c r="F823" s="200"/>
      <c r="G823" s="200"/>
      <c r="L823" s="481"/>
      <c r="N823" s="482"/>
      <c r="O823" s="481"/>
    </row>
    <row r="824">
      <c r="A824" s="474"/>
      <c r="B824" s="200"/>
      <c r="C824" s="200"/>
      <c r="F824" s="200"/>
      <c r="G824" s="200"/>
      <c r="L824" s="481"/>
      <c r="N824" s="482"/>
      <c r="O824" s="481"/>
    </row>
    <row r="825">
      <c r="A825" s="474"/>
      <c r="B825" s="200"/>
      <c r="C825" s="200"/>
      <c r="F825" s="200"/>
      <c r="G825" s="200"/>
      <c r="L825" s="481"/>
      <c r="N825" s="482"/>
      <c r="O825" s="481"/>
    </row>
    <row r="826">
      <c r="A826" s="474"/>
      <c r="B826" s="200"/>
      <c r="C826" s="200"/>
      <c r="F826" s="200"/>
      <c r="G826" s="200"/>
      <c r="L826" s="481"/>
      <c r="N826" s="482"/>
      <c r="O826" s="481"/>
    </row>
    <row r="827">
      <c r="A827" s="474"/>
      <c r="B827" s="200"/>
      <c r="C827" s="200"/>
      <c r="F827" s="200"/>
      <c r="G827" s="200"/>
      <c r="L827" s="481"/>
      <c r="N827" s="482"/>
      <c r="O827" s="481"/>
    </row>
    <row r="828">
      <c r="A828" s="474"/>
      <c r="B828" s="200"/>
      <c r="C828" s="200"/>
      <c r="F828" s="200"/>
      <c r="G828" s="200"/>
      <c r="L828" s="481"/>
      <c r="N828" s="482"/>
      <c r="O828" s="481"/>
    </row>
    <row r="829">
      <c r="A829" s="474"/>
      <c r="B829" s="200"/>
      <c r="C829" s="200"/>
      <c r="F829" s="200"/>
      <c r="G829" s="200"/>
      <c r="L829" s="481"/>
      <c r="N829" s="482"/>
      <c r="O829" s="481"/>
    </row>
    <row r="830">
      <c r="A830" s="474"/>
      <c r="B830" s="200"/>
      <c r="C830" s="200"/>
      <c r="F830" s="200"/>
      <c r="G830" s="200"/>
      <c r="L830" s="481"/>
      <c r="N830" s="482"/>
      <c r="O830" s="481"/>
    </row>
    <row r="831">
      <c r="A831" s="474"/>
      <c r="B831" s="200"/>
      <c r="C831" s="200"/>
      <c r="F831" s="200"/>
      <c r="G831" s="200"/>
      <c r="L831" s="481"/>
      <c r="N831" s="482"/>
      <c r="O831" s="481"/>
    </row>
    <row r="832">
      <c r="A832" s="474"/>
      <c r="B832" s="200"/>
      <c r="C832" s="200"/>
      <c r="F832" s="200"/>
      <c r="G832" s="200"/>
      <c r="L832" s="481"/>
      <c r="N832" s="482"/>
      <c r="O832" s="481"/>
    </row>
    <row r="833">
      <c r="A833" s="474"/>
      <c r="B833" s="200"/>
      <c r="C833" s="200"/>
      <c r="F833" s="200"/>
      <c r="G833" s="200"/>
      <c r="L833" s="481"/>
      <c r="N833" s="482"/>
      <c r="O833" s="481"/>
    </row>
    <row r="834">
      <c r="A834" s="474"/>
      <c r="B834" s="200"/>
      <c r="C834" s="200"/>
      <c r="F834" s="200"/>
      <c r="G834" s="200"/>
      <c r="L834" s="481"/>
      <c r="N834" s="482"/>
      <c r="O834" s="481"/>
    </row>
    <row r="835">
      <c r="A835" s="474"/>
      <c r="B835" s="200"/>
      <c r="C835" s="200"/>
      <c r="F835" s="200"/>
      <c r="G835" s="200"/>
      <c r="L835" s="481"/>
      <c r="N835" s="482"/>
      <c r="O835" s="481"/>
    </row>
    <row r="836">
      <c r="A836" s="474"/>
      <c r="B836" s="200"/>
      <c r="C836" s="200"/>
      <c r="F836" s="200"/>
      <c r="G836" s="200"/>
      <c r="L836" s="481"/>
      <c r="N836" s="482"/>
      <c r="O836" s="481"/>
    </row>
    <row r="837">
      <c r="A837" s="474"/>
      <c r="B837" s="200"/>
      <c r="C837" s="200"/>
      <c r="F837" s="200"/>
      <c r="G837" s="200"/>
      <c r="L837" s="481"/>
      <c r="N837" s="482"/>
      <c r="O837" s="481"/>
    </row>
    <row r="838">
      <c r="A838" s="474"/>
      <c r="B838" s="200"/>
      <c r="C838" s="200"/>
      <c r="F838" s="200"/>
      <c r="G838" s="200"/>
      <c r="L838" s="481"/>
      <c r="N838" s="482"/>
      <c r="O838" s="481"/>
    </row>
    <row r="839">
      <c r="A839" s="474"/>
      <c r="B839" s="200"/>
      <c r="C839" s="200"/>
      <c r="F839" s="200"/>
      <c r="G839" s="200"/>
      <c r="L839" s="481"/>
      <c r="N839" s="482"/>
      <c r="O839" s="481"/>
    </row>
    <row r="840">
      <c r="A840" s="474"/>
      <c r="B840" s="200"/>
      <c r="C840" s="200"/>
      <c r="F840" s="200"/>
      <c r="G840" s="200"/>
      <c r="L840" s="481"/>
      <c r="N840" s="482"/>
      <c r="O840" s="481"/>
    </row>
    <row r="841">
      <c r="A841" s="474"/>
      <c r="B841" s="200"/>
      <c r="C841" s="200"/>
      <c r="F841" s="200"/>
      <c r="G841" s="200"/>
      <c r="L841" s="481"/>
      <c r="N841" s="482"/>
      <c r="O841" s="481"/>
    </row>
    <row r="842">
      <c r="A842" s="474"/>
      <c r="B842" s="200"/>
      <c r="C842" s="200"/>
      <c r="F842" s="200"/>
      <c r="G842" s="200"/>
      <c r="L842" s="481"/>
      <c r="N842" s="482"/>
      <c r="O842" s="481"/>
    </row>
    <row r="843">
      <c r="A843" s="474"/>
      <c r="B843" s="200"/>
      <c r="C843" s="200"/>
      <c r="F843" s="200"/>
      <c r="G843" s="200"/>
      <c r="L843" s="481"/>
      <c r="N843" s="482"/>
      <c r="O843" s="481"/>
    </row>
    <row r="844">
      <c r="A844" s="474"/>
      <c r="B844" s="200"/>
      <c r="C844" s="200"/>
      <c r="F844" s="200"/>
      <c r="G844" s="200"/>
      <c r="L844" s="481"/>
      <c r="N844" s="482"/>
      <c r="O844" s="481"/>
    </row>
    <row r="845">
      <c r="A845" s="474"/>
      <c r="B845" s="200"/>
      <c r="C845" s="200"/>
      <c r="F845" s="200"/>
      <c r="G845" s="200"/>
      <c r="L845" s="481"/>
      <c r="N845" s="482"/>
      <c r="O845" s="481"/>
    </row>
    <row r="846">
      <c r="A846" s="474"/>
      <c r="B846" s="200"/>
      <c r="C846" s="200"/>
      <c r="F846" s="200"/>
      <c r="G846" s="200"/>
      <c r="L846" s="481"/>
      <c r="N846" s="482"/>
      <c r="O846" s="481"/>
    </row>
    <row r="847">
      <c r="A847" s="474"/>
      <c r="B847" s="200"/>
      <c r="C847" s="200"/>
      <c r="F847" s="200"/>
      <c r="G847" s="200"/>
      <c r="L847" s="481"/>
      <c r="N847" s="482"/>
      <c r="O847" s="481"/>
    </row>
    <row r="848">
      <c r="A848" s="474"/>
      <c r="B848" s="200"/>
      <c r="C848" s="200"/>
      <c r="F848" s="200"/>
      <c r="G848" s="200"/>
      <c r="L848" s="481"/>
      <c r="N848" s="482"/>
      <c r="O848" s="481"/>
    </row>
    <row r="849">
      <c r="A849" s="474"/>
      <c r="B849" s="200"/>
      <c r="C849" s="200"/>
      <c r="F849" s="200"/>
      <c r="G849" s="200"/>
      <c r="L849" s="481"/>
      <c r="N849" s="482"/>
      <c r="O849" s="481"/>
    </row>
    <row r="850">
      <c r="A850" s="474"/>
      <c r="B850" s="200"/>
      <c r="C850" s="200"/>
      <c r="F850" s="200"/>
      <c r="G850" s="200"/>
      <c r="L850" s="481"/>
      <c r="N850" s="482"/>
      <c r="O850" s="481"/>
    </row>
    <row r="851">
      <c r="A851" s="474"/>
      <c r="B851" s="200"/>
      <c r="C851" s="200"/>
      <c r="F851" s="200"/>
      <c r="G851" s="200"/>
      <c r="L851" s="481"/>
      <c r="N851" s="482"/>
      <c r="O851" s="481"/>
    </row>
    <row r="852">
      <c r="A852" s="474"/>
      <c r="B852" s="200"/>
      <c r="C852" s="200"/>
      <c r="F852" s="200"/>
      <c r="G852" s="200"/>
      <c r="L852" s="481"/>
      <c r="N852" s="482"/>
      <c r="O852" s="481"/>
    </row>
    <row r="853">
      <c r="A853" s="474"/>
      <c r="B853" s="200"/>
      <c r="C853" s="200"/>
      <c r="F853" s="200"/>
      <c r="G853" s="200"/>
      <c r="L853" s="481"/>
      <c r="N853" s="482"/>
      <c r="O853" s="481"/>
    </row>
    <row r="854">
      <c r="A854" s="474"/>
      <c r="B854" s="200"/>
      <c r="C854" s="200"/>
      <c r="F854" s="200"/>
      <c r="G854" s="200"/>
      <c r="L854" s="481"/>
      <c r="N854" s="482"/>
      <c r="O854" s="481"/>
    </row>
    <row r="855">
      <c r="A855" s="474"/>
      <c r="B855" s="200"/>
      <c r="C855" s="200"/>
      <c r="F855" s="200"/>
      <c r="G855" s="200"/>
      <c r="L855" s="481"/>
      <c r="N855" s="482"/>
      <c r="O855" s="481"/>
    </row>
    <row r="856">
      <c r="A856" s="474"/>
      <c r="B856" s="200"/>
      <c r="C856" s="200"/>
      <c r="F856" s="200"/>
      <c r="G856" s="200"/>
      <c r="L856" s="481"/>
      <c r="N856" s="482"/>
      <c r="O856" s="481"/>
    </row>
    <row r="857">
      <c r="A857" s="474"/>
      <c r="B857" s="200"/>
      <c r="C857" s="200"/>
      <c r="F857" s="200"/>
      <c r="G857" s="200"/>
      <c r="L857" s="481"/>
      <c r="N857" s="482"/>
      <c r="O857" s="481"/>
    </row>
    <row r="858">
      <c r="A858" s="474"/>
      <c r="B858" s="200"/>
      <c r="C858" s="200"/>
      <c r="F858" s="200"/>
      <c r="G858" s="200"/>
      <c r="L858" s="481"/>
      <c r="N858" s="482"/>
      <c r="O858" s="481"/>
    </row>
    <row r="859">
      <c r="A859" s="474"/>
      <c r="B859" s="200"/>
      <c r="C859" s="200"/>
      <c r="F859" s="200"/>
      <c r="G859" s="200"/>
      <c r="L859" s="481"/>
      <c r="N859" s="482"/>
      <c r="O859" s="481"/>
    </row>
    <row r="860">
      <c r="A860" s="474"/>
      <c r="B860" s="200"/>
      <c r="C860" s="200"/>
      <c r="F860" s="200"/>
      <c r="G860" s="200"/>
      <c r="L860" s="481"/>
      <c r="N860" s="482"/>
      <c r="O860" s="481"/>
    </row>
    <row r="861">
      <c r="A861" s="474"/>
      <c r="B861" s="200"/>
      <c r="C861" s="200"/>
      <c r="F861" s="200"/>
      <c r="G861" s="200"/>
      <c r="L861" s="481"/>
      <c r="N861" s="482"/>
      <c r="O861" s="481"/>
    </row>
    <row r="862">
      <c r="A862" s="474"/>
      <c r="B862" s="200"/>
      <c r="C862" s="200"/>
      <c r="F862" s="200"/>
      <c r="G862" s="200"/>
      <c r="L862" s="481"/>
      <c r="N862" s="482"/>
      <c r="O862" s="481"/>
    </row>
    <row r="863">
      <c r="A863" s="474"/>
      <c r="B863" s="200"/>
      <c r="C863" s="200"/>
      <c r="F863" s="200"/>
      <c r="G863" s="200"/>
      <c r="L863" s="481"/>
      <c r="N863" s="482"/>
      <c r="O863" s="481"/>
    </row>
    <row r="864">
      <c r="A864" s="474"/>
      <c r="B864" s="200"/>
      <c r="C864" s="200"/>
      <c r="F864" s="200"/>
      <c r="G864" s="200"/>
      <c r="L864" s="481"/>
      <c r="N864" s="482"/>
      <c r="O864" s="481"/>
    </row>
    <row r="865">
      <c r="A865" s="474"/>
      <c r="B865" s="200"/>
      <c r="C865" s="200"/>
      <c r="F865" s="200"/>
      <c r="G865" s="200"/>
      <c r="L865" s="481"/>
      <c r="N865" s="482"/>
      <c r="O865" s="481"/>
    </row>
    <row r="866">
      <c r="A866" s="474"/>
      <c r="B866" s="200"/>
      <c r="C866" s="200"/>
      <c r="F866" s="200"/>
      <c r="G866" s="200"/>
      <c r="L866" s="481"/>
      <c r="N866" s="482"/>
      <c r="O866" s="481"/>
    </row>
    <row r="867">
      <c r="A867" s="474"/>
      <c r="B867" s="200"/>
      <c r="C867" s="200"/>
      <c r="F867" s="200"/>
      <c r="G867" s="200"/>
      <c r="L867" s="481"/>
      <c r="N867" s="482"/>
      <c r="O867" s="481"/>
    </row>
    <row r="868">
      <c r="A868" s="474"/>
      <c r="B868" s="200"/>
      <c r="C868" s="200"/>
      <c r="F868" s="200"/>
      <c r="G868" s="200"/>
      <c r="L868" s="481"/>
      <c r="N868" s="482"/>
      <c r="O868" s="481"/>
    </row>
    <row r="869">
      <c r="A869" s="474"/>
      <c r="B869" s="200"/>
      <c r="C869" s="200"/>
      <c r="F869" s="200"/>
      <c r="G869" s="200"/>
      <c r="L869" s="481"/>
      <c r="N869" s="482"/>
      <c r="O869" s="481"/>
    </row>
    <row r="870">
      <c r="A870" s="474"/>
      <c r="B870" s="200"/>
      <c r="C870" s="200"/>
      <c r="F870" s="200"/>
      <c r="G870" s="200"/>
      <c r="L870" s="481"/>
      <c r="N870" s="482"/>
      <c r="O870" s="481"/>
    </row>
    <row r="871">
      <c r="A871" s="474"/>
      <c r="B871" s="200"/>
      <c r="C871" s="200"/>
      <c r="F871" s="200"/>
      <c r="G871" s="200"/>
      <c r="L871" s="481"/>
      <c r="N871" s="482"/>
      <c r="O871" s="481"/>
    </row>
    <row r="872">
      <c r="A872" s="474"/>
      <c r="B872" s="200"/>
      <c r="C872" s="200"/>
      <c r="F872" s="200"/>
      <c r="G872" s="200"/>
      <c r="L872" s="481"/>
      <c r="N872" s="482"/>
      <c r="O872" s="481"/>
    </row>
    <row r="873">
      <c r="A873" s="474"/>
      <c r="B873" s="200"/>
      <c r="C873" s="200"/>
      <c r="F873" s="200"/>
      <c r="G873" s="200"/>
      <c r="L873" s="481"/>
      <c r="N873" s="482"/>
      <c r="O873" s="481"/>
    </row>
    <row r="874">
      <c r="A874" s="474"/>
      <c r="B874" s="200"/>
      <c r="C874" s="200"/>
      <c r="F874" s="200"/>
      <c r="G874" s="200"/>
      <c r="L874" s="481"/>
      <c r="N874" s="482"/>
      <c r="O874" s="481"/>
    </row>
    <row r="875">
      <c r="A875" s="474"/>
      <c r="B875" s="200"/>
      <c r="C875" s="200"/>
      <c r="F875" s="200"/>
      <c r="G875" s="200"/>
      <c r="L875" s="481"/>
      <c r="N875" s="482"/>
      <c r="O875" s="481"/>
    </row>
    <row r="876">
      <c r="A876" s="474"/>
      <c r="B876" s="200"/>
      <c r="C876" s="200"/>
      <c r="F876" s="200"/>
      <c r="G876" s="200"/>
      <c r="L876" s="481"/>
      <c r="N876" s="482"/>
      <c r="O876" s="481"/>
    </row>
    <row r="877">
      <c r="A877" s="474"/>
      <c r="B877" s="200"/>
      <c r="C877" s="200"/>
      <c r="F877" s="200"/>
      <c r="G877" s="200"/>
      <c r="L877" s="481"/>
      <c r="N877" s="482"/>
      <c r="O877" s="481"/>
    </row>
    <row r="878">
      <c r="A878" s="474"/>
      <c r="B878" s="200"/>
      <c r="C878" s="200"/>
      <c r="F878" s="200"/>
      <c r="G878" s="200"/>
      <c r="L878" s="481"/>
      <c r="N878" s="482"/>
      <c r="O878" s="481"/>
    </row>
    <row r="879">
      <c r="A879" s="474"/>
      <c r="B879" s="200"/>
      <c r="C879" s="200"/>
      <c r="F879" s="200"/>
      <c r="G879" s="200"/>
      <c r="L879" s="481"/>
      <c r="N879" s="482"/>
      <c r="O879" s="481"/>
    </row>
    <row r="880">
      <c r="A880" s="474"/>
      <c r="B880" s="200"/>
      <c r="C880" s="200"/>
      <c r="F880" s="200"/>
      <c r="G880" s="200"/>
      <c r="L880" s="481"/>
      <c r="N880" s="482"/>
      <c r="O880" s="481"/>
    </row>
    <row r="881">
      <c r="A881" s="474"/>
      <c r="B881" s="200"/>
      <c r="C881" s="200"/>
      <c r="F881" s="200"/>
      <c r="G881" s="200"/>
      <c r="L881" s="481"/>
      <c r="N881" s="482"/>
      <c r="O881" s="481"/>
    </row>
    <row r="882">
      <c r="A882" s="474"/>
      <c r="B882" s="200"/>
      <c r="C882" s="200"/>
      <c r="F882" s="200"/>
      <c r="G882" s="200"/>
      <c r="L882" s="481"/>
      <c r="N882" s="482"/>
      <c r="O882" s="481"/>
    </row>
    <row r="883">
      <c r="A883" s="474"/>
      <c r="B883" s="200"/>
      <c r="C883" s="200"/>
      <c r="F883" s="200"/>
      <c r="G883" s="200"/>
      <c r="L883" s="481"/>
      <c r="N883" s="482"/>
      <c r="O883" s="481"/>
    </row>
    <row r="884">
      <c r="A884" s="474"/>
      <c r="B884" s="200"/>
      <c r="C884" s="200"/>
      <c r="F884" s="200"/>
      <c r="G884" s="200"/>
      <c r="L884" s="481"/>
      <c r="N884" s="482"/>
      <c r="O884" s="481"/>
    </row>
    <row r="885">
      <c r="A885" s="474"/>
      <c r="B885" s="200"/>
      <c r="C885" s="200"/>
      <c r="F885" s="200"/>
      <c r="G885" s="200"/>
      <c r="L885" s="481"/>
      <c r="N885" s="482"/>
      <c r="O885" s="481"/>
    </row>
    <row r="886">
      <c r="A886" s="474"/>
      <c r="B886" s="200"/>
      <c r="C886" s="200"/>
      <c r="F886" s="200"/>
      <c r="G886" s="200"/>
      <c r="L886" s="481"/>
      <c r="N886" s="482"/>
      <c r="O886" s="481"/>
    </row>
    <row r="887">
      <c r="A887" s="474"/>
      <c r="B887" s="200"/>
      <c r="C887" s="200"/>
      <c r="F887" s="200"/>
      <c r="G887" s="200"/>
      <c r="L887" s="481"/>
      <c r="N887" s="482"/>
      <c r="O887" s="481"/>
    </row>
    <row r="888">
      <c r="A888" s="474"/>
      <c r="B888" s="200"/>
      <c r="C888" s="200"/>
      <c r="F888" s="200"/>
      <c r="G888" s="200"/>
      <c r="L888" s="481"/>
      <c r="N888" s="482"/>
      <c r="O888" s="481"/>
    </row>
    <row r="889">
      <c r="A889" s="474"/>
      <c r="B889" s="200"/>
      <c r="C889" s="200"/>
      <c r="F889" s="200"/>
      <c r="G889" s="200"/>
      <c r="L889" s="481"/>
      <c r="N889" s="482"/>
      <c r="O889" s="481"/>
    </row>
    <row r="890">
      <c r="A890" s="474"/>
      <c r="B890" s="200"/>
      <c r="C890" s="200"/>
      <c r="F890" s="200"/>
      <c r="G890" s="200"/>
      <c r="L890" s="481"/>
      <c r="N890" s="482"/>
      <c r="O890" s="481"/>
    </row>
    <row r="891">
      <c r="A891" s="474"/>
      <c r="B891" s="200"/>
      <c r="C891" s="200"/>
      <c r="F891" s="200"/>
      <c r="G891" s="200"/>
      <c r="L891" s="481"/>
      <c r="N891" s="482"/>
      <c r="O891" s="481"/>
    </row>
    <row r="892">
      <c r="A892" s="474"/>
      <c r="B892" s="200"/>
      <c r="C892" s="200"/>
      <c r="F892" s="200"/>
      <c r="G892" s="200"/>
      <c r="L892" s="481"/>
      <c r="N892" s="482"/>
      <c r="O892" s="481"/>
    </row>
    <row r="893">
      <c r="A893" s="474"/>
      <c r="B893" s="200"/>
      <c r="C893" s="200"/>
      <c r="F893" s="200"/>
      <c r="G893" s="200"/>
      <c r="L893" s="481"/>
      <c r="N893" s="482"/>
      <c r="O893" s="481"/>
    </row>
    <row r="894">
      <c r="A894" s="474"/>
      <c r="B894" s="200"/>
      <c r="C894" s="200"/>
      <c r="F894" s="200"/>
      <c r="G894" s="200"/>
      <c r="L894" s="481"/>
      <c r="N894" s="482"/>
      <c r="O894" s="481"/>
    </row>
    <row r="895">
      <c r="A895" s="474"/>
      <c r="B895" s="200"/>
      <c r="C895" s="200"/>
      <c r="F895" s="200"/>
      <c r="G895" s="200"/>
      <c r="L895" s="481"/>
      <c r="N895" s="482"/>
      <c r="O895" s="481"/>
    </row>
    <row r="896">
      <c r="A896" s="474"/>
      <c r="B896" s="200"/>
      <c r="C896" s="200"/>
      <c r="F896" s="200"/>
      <c r="G896" s="200"/>
      <c r="L896" s="481"/>
      <c r="N896" s="482"/>
      <c r="O896" s="481"/>
    </row>
    <row r="897">
      <c r="A897" s="474"/>
      <c r="B897" s="200"/>
      <c r="C897" s="200"/>
      <c r="F897" s="200"/>
      <c r="G897" s="200"/>
      <c r="L897" s="481"/>
      <c r="N897" s="482"/>
      <c r="O897" s="481"/>
    </row>
    <row r="898">
      <c r="A898" s="474"/>
      <c r="B898" s="200"/>
      <c r="C898" s="200"/>
      <c r="F898" s="200"/>
      <c r="G898" s="200"/>
      <c r="L898" s="481"/>
      <c r="N898" s="482"/>
      <c r="O898" s="481"/>
    </row>
    <row r="899">
      <c r="A899" s="474"/>
      <c r="B899" s="200"/>
      <c r="C899" s="200"/>
      <c r="F899" s="200"/>
      <c r="G899" s="200"/>
      <c r="L899" s="481"/>
      <c r="N899" s="482"/>
      <c r="O899" s="481"/>
    </row>
    <row r="900">
      <c r="A900" s="474"/>
      <c r="B900" s="200"/>
      <c r="C900" s="200"/>
      <c r="F900" s="200"/>
      <c r="G900" s="200"/>
      <c r="L900" s="481"/>
      <c r="N900" s="482"/>
      <c r="O900" s="481"/>
    </row>
    <row r="901">
      <c r="A901" s="474"/>
      <c r="B901" s="200"/>
      <c r="C901" s="200"/>
      <c r="F901" s="200"/>
      <c r="G901" s="200"/>
      <c r="L901" s="481"/>
      <c r="N901" s="482"/>
      <c r="O901" s="481"/>
    </row>
    <row r="902">
      <c r="A902" s="474"/>
      <c r="B902" s="200"/>
      <c r="C902" s="200"/>
      <c r="F902" s="200"/>
      <c r="G902" s="200"/>
      <c r="L902" s="481"/>
      <c r="N902" s="482"/>
      <c r="O902" s="481"/>
    </row>
    <row r="903">
      <c r="A903" s="474"/>
      <c r="B903" s="200"/>
      <c r="C903" s="200"/>
      <c r="F903" s="200"/>
      <c r="G903" s="200"/>
      <c r="L903" s="481"/>
      <c r="N903" s="482"/>
      <c r="O903" s="481"/>
    </row>
    <row r="904">
      <c r="A904" s="474"/>
      <c r="B904" s="200"/>
      <c r="C904" s="200"/>
      <c r="F904" s="200"/>
      <c r="G904" s="200"/>
      <c r="L904" s="481"/>
      <c r="N904" s="482"/>
      <c r="O904" s="481"/>
    </row>
    <row r="905">
      <c r="A905" s="474"/>
      <c r="B905" s="200"/>
      <c r="C905" s="200"/>
      <c r="F905" s="200"/>
      <c r="G905" s="200"/>
      <c r="L905" s="481"/>
      <c r="N905" s="482"/>
      <c r="O905" s="481"/>
    </row>
    <row r="906">
      <c r="A906" s="474"/>
      <c r="B906" s="200"/>
      <c r="C906" s="200"/>
      <c r="F906" s="200"/>
      <c r="G906" s="200"/>
      <c r="L906" s="481"/>
      <c r="N906" s="482"/>
      <c r="O906" s="481"/>
    </row>
    <row r="907">
      <c r="A907" s="474"/>
      <c r="B907" s="200"/>
      <c r="C907" s="200"/>
      <c r="F907" s="200"/>
      <c r="G907" s="200"/>
      <c r="L907" s="481"/>
      <c r="N907" s="482"/>
      <c r="O907" s="481"/>
    </row>
    <row r="908">
      <c r="A908" s="474"/>
      <c r="B908" s="200"/>
      <c r="C908" s="200"/>
      <c r="F908" s="200"/>
      <c r="G908" s="200"/>
      <c r="L908" s="481"/>
      <c r="N908" s="482"/>
      <c r="O908" s="481"/>
    </row>
    <row r="909">
      <c r="A909" s="474"/>
      <c r="B909" s="200"/>
      <c r="C909" s="200"/>
      <c r="F909" s="200"/>
      <c r="G909" s="200"/>
      <c r="L909" s="481"/>
      <c r="N909" s="482"/>
      <c r="O909" s="481"/>
    </row>
    <row r="910">
      <c r="A910" s="474"/>
      <c r="B910" s="200"/>
      <c r="C910" s="200"/>
      <c r="F910" s="200"/>
      <c r="G910" s="200"/>
      <c r="L910" s="481"/>
      <c r="N910" s="482"/>
      <c r="O910" s="481"/>
    </row>
    <row r="911">
      <c r="A911" s="474"/>
      <c r="B911" s="200"/>
      <c r="C911" s="200"/>
      <c r="F911" s="200"/>
      <c r="G911" s="200"/>
      <c r="L911" s="481"/>
      <c r="N911" s="482"/>
      <c r="O911" s="481"/>
    </row>
    <row r="912">
      <c r="A912" s="474"/>
      <c r="B912" s="200"/>
      <c r="C912" s="200"/>
      <c r="F912" s="200"/>
      <c r="G912" s="200"/>
      <c r="L912" s="481"/>
      <c r="N912" s="482"/>
      <c r="O912" s="481"/>
    </row>
    <row r="913">
      <c r="A913" s="474"/>
      <c r="B913" s="200"/>
      <c r="C913" s="200"/>
      <c r="F913" s="200"/>
      <c r="G913" s="200"/>
      <c r="L913" s="481"/>
      <c r="N913" s="482"/>
      <c r="O913" s="481"/>
    </row>
    <row r="914">
      <c r="A914" s="474"/>
      <c r="B914" s="200"/>
      <c r="C914" s="200"/>
      <c r="F914" s="200"/>
      <c r="G914" s="200"/>
      <c r="L914" s="481"/>
      <c r="N914" s="482"/>
      <c r="O914" s="481"/>
    </row>
    <row r="915">
      <c r="A915" s="474"/>
      <c r="B915" s="200"/>
      <c r="C915" s="200"/>
      <c r="F915" s="200"/>
      <c r="G915" s="200"/>
      <c r="L915" s="481"/>
      <c r="N915" s="482"/>
      <c r="O915" s="481"/>
    </row>
    <row r="916">
      <c r="A916" s="474"/>
      <c r="B916" s="200"/>
      <c r="C916" s="200"/>
      <c r="F916" s="200"/>
      <c r="G916" s="200"/>
      <c r="L916" s="481"/>
      <c r="N916" s="482"/>
      <c r="O916" s="481"/>
    </row>
    <row r="917">
      <c r="A917" s="474"/>
      <c r="B917" s="200"/>
      <c r="C917" s="200"/>
      <c r="F917" s="200"/>
      <c r="G917" s="200"/>
      <c r="L917" s="481"/>
      <c r="N917" s="482"/>
      <c r="O917" s="481"/>
    </row>
    <row r="918">
      <c r="A918" s="474"/>
      <c r="B918" s="200"/>
      <c r="C918" s="200"/>
      <c r="F918" s="200"/>
      <c r="G918" s="200"/>
      <c r="L918" s="481"/>
      <c r="N918" s="482"/>
      <c r="O918" s="481"/>
    </row>
    <row r="919">
      <c r="A919" s="474"/>
      <c r="B919" s="200"/>
      <c r="C919" s="200"/>
      <c r="F919" s="200"/>
      <c r="G919" s="200"/>
      <c r="L919" s="481"/>
      <c r="N919" s="482"/>
      <c r="O919" s="481"/>
    </row>
    <row r="920">
      <c r="A920" s="474"/>
      <c r="B920" s="200"/>
      <c r="C920" s="200"/>
      <c r="F920" s="200"/>
      <c r="G920" s="200"/>
      <c r="L920" s="481"/>
      <c r="N920" s="482"/>
      <c r="O920" s="481"/>
    </row>
    <row r="921">
      <c r="A921" s="474"/>
      <c r="B921" s="200"/>
      <c r="C921" s="200"/>
      <c r="F921" s="200"/>
      <c r="G921" s="200"/>
      <c r="L921" s="481"/>
      <c r="N921" s="482"/>
      <c r="O921" s="481"/>
    </row>
    <row r="922">
      <c r="A922" s="474"/>
      <c r="B922" s="200"/>
      <c r="C922" s="200"/>
      <c r="F922" s="200"/>
      <c r="G922" s="200"/>
      <c r="L922" s="481"/>
      <c r="N922" s="482"/>
      <c r="O922" s="481"/>
    </row>
    <row r="923">
      <c r="A923" s="474"/>
      <c r="B923" s="200"/>
      <c r="C923" s="200"/>
      <c r="F923" s="200"/>
      <c r="G923" s="200"/>
      <c r="L923" s="481"/>
      <c r="N923" s="482"/>
      <c r="O923" s="481"/>
    </row>
    <row r="924">
      <c r="A924" s="474"/>
      <c r="B924" s="200"/>
      <c r="C924" s="200"/>
      <c r="F924" s="200"/>
      <c r="G924" s="200"/>
      <c r="L924" s="481"/>
      <c r="N924" s="482"/>
      <c r="O924" s="481"/>
    </row>
    <row r="925">
      <c r="A925" s="474"/>
      <c r="B925" s="200"/>
      <c r="C925" s="200"/>
      <c r="F925" s="200"/>
      <c r="G925" s="200"/>
      <c r="L925" s="481"/>
      <c r="N925" s="482"/>
      <c r="O925" s="481"/>
    </row>
    <row r="926">
      <c r="A926" s="474"/>
      <c r="B926" s="200"/>
      <c r="C926" s="200"/>
      <c r="F926" s="200"/>
      <c r="G926" s="200"/>
      <c r="L926" s="481"/>
      <c r="N926" s="482"/>
      <c r="O926" s="481"/>
    </row>
    <row r="927">
      <c r="A927" s="474"/>
      <c r="B927" s="200"/>
      <c r="C927" s="200"/>
      <c r="F927" s="200"/>
      <c r="G927" s="200"/>
      <c r="L927" s="481"/>
      <c r="N927" s="482"/>
      <c r="O927" s="481"/>
    </row>
    <row r="928">
      <c r="A928" s="474"/>
      <c r="B928" s="200"/>
      <c r="C928" s="200"/>
      <c r="F928" s="200"/>
      <c r="G928" s="200"/>
      <c r="L928" s="481"/>
      <c r="N928" s="482"/>
      <c r="O928" s="481"/>
    </row>
    <row r="929">
      <c r="A929" s="474"/>
      <c r="B929" s="200"/>
      <c r="C929" s="200"/>
      <c r="F929" s="200"/>
      <c r="G929" s="200"/>
      <c r="L929" s="481"/>
      <c r="N929" s="482"/>
      <c r="O929" s="481"/>
    </row>
    <row r="930">
      <c r="A930" s="474"/>
      <c r="B930" s="200"/>
      <c r="C930" s="200"/>
      <c r="F930" s="200"/>
      <c r="G930" s="200"/>
      <c r="L930" s="481"/>
      <c r="N930" s="482"/>
      <c r="O930" s="481"/>
    </row>
    <row r="931">
      <c r="A931" s="474"/>
      <c r="B931" s="200"/>
      <c r="C931" s="200"/>
      <c r="F931" s="200"/>
      <c r="G931" s="200"/>
      <c r="L931" s="481"/>
      <c r="N931" s="482"/>
      <c r="O931" s="481"/>
    </row>
    <row r="932">
      <c r="A932" s="474"/>
      <c r="B932" s="200"/>
      <c r="C932" s="200"/>
      <c r="F932" s="200"/>
      <c r="G932" s="200"/>
      <c r="L932" s="481"/>
      <c r="N932" s="482"/>
      <c r="O932" s="481"/>
    </row>
    <row r="933">
      <c r="A933" s="474"/>
      <c r="B933" s="200"/>
      <c r="C933" s="200"/>
      <c r="F933" s="200"/>
      <c r="G933" s="200"/>
      <c r="L933" s="481"/>
      <c r="N933" s="482"/>
      <c r="O933" s="481"/>
    </row>
    <row r="934">
      <c r="A934" s="474"/>
      <c r="B934" s="200"/>
      <c r="C934" s="200"/>
      <c r="F934" s="200"/>
      <c r="G934" s="200"/>
      <c r="L934" s="481"/>
      <c r="N934" s="482"/>
      <c r="O934" s="481"/>
    </row>
    <row r="935">
      <c r="A935" s="474"/>
      <c r="B935" s="200"/>
      <c r="C935" s="200"/>
      <c r="F935" s="200"/>
      <c r="G935" s="200"/>
      <c r="L935" s="481"/>
      <c r="N935" s="482"/>
      <c r="O935" s="481"/>
    </row>
    <row r="936">
      <c r="A936" s="474"/>
      <c r="B936" s="200"/>
      <c r="C936" s="200"/>
      <c r="F936" s="200"/>
      <c r="G936" s="200"/>
      <c r="L936" s="481"/>
      <c r="N936" s="482"/>
      <c r="O936" s="481"/>
    </row>
    <row r="937">
      <c r="A937" s="474"/>
      <c r="B937" s="200"/>
      <c r="C937" s="200"/>
      <c r="F937" s="200"/>
      <c r="G937" s="200"/>
      <c r="L937" s="481"/>
      <c r="N937" s="482"/>
      <c r="O937" s="481"/>
    </row>
    <row r="938">
      <c r="A938" s="474"/>
      <c r="B938" s="200"/>
      <c r="C938" s="200"/>
      <c r="F938" s="200"/>
      <c r="G938" s="200"/>
      <c r="L938" s="481"/>
      <c r="N938" s="482"/>
      <c r="O938" s="481"/>
    </row>
    <row r="939">
      <c r="A939" s="474"/>
      <c r="B939" s="200"/>
      <c r="C939" s="200"/>
      <c r="F939" s="200"/>
      <c r="G939" s="200"/>
      <c r="L939" s="481"/>
      <c r="N939" s="482"/>
      <c r="O939" s="481"/>
    </row>
    <row r="940">
      <c r="A940" s="474"/>
      <c r="B940" s="200"/>
      <c r="C940" s="200"/>
      <c r="F940" s="200"/>
      <c r="G940" s="200"/>
      <c r="L940" s="481"/>
      <c r="N940" s="482"/>
      <c r="O940" s="481"/>
    </row>
    <row r="941">
      <c r="A941" s="474"/>
      <c r="B941" s="200"/>
      <c r="C941" s="200"/>
      <c r="F941" s="200"/>
      <c r="G941" s="200"/>
      <c r="L941" s="481"/>
      <c r="N941" s="482"/>
      <c r="O941" s="481"/>
    </row>
    <row r="942">
      <c r="A942" s="474"/>
      <c r="B942" s="200"/>
      <c r="C942" s="200"/>
      <c r="F942" s="200"/>
      <c r="G942" s="200"/>
      <c r="L942" s="481"/>
      <c r="N942" s="482"/>
      <c r="O942" s="481"/>
    </row>
    <row r="943">
      <c r="A943" s="474"/>
      <c r="B943" s="200"/>
      <c r="C943" s="200"/>
      <c r="F943" s="200"/>
      <c r="G943" s="200"/>
      <c r="L943" s="481"/>
      <c r="N943" s="482"/>
      <c r="O943" s="481"/>
    </row>
    <row r="944">
      <c r="A944" s="474"/>
      <c r="B944" s="200"/>
      <c r="C944" s="200"/>
      <c r="F944" s="200"/>
      <c r="G944" s="200"/>
      <c r="L944" s="481"/>
      <c r="N944" s="482"/>
      <c r="O944" s="481"/>
    </row>
    <row r="945">
      <c r="A945" s="474"/>
      <c r="B945" s="200"/>
      <c r="C945" s="200"/>
      <c r="F945" s="200"/>
      <c r="G945" s="200"/>
      <c r="L945" s="481"/>
      <c r="N945" s="482"/>
      <c r="O945" s="481"/>
    </row>
    <row r="946">
      <c r="A946" s="474"/>
      <c r="B946" s="200"/>
      <c r="C946" s="200"/>
      <c r="F946" s="200"/>
      <c r="G946" s="200"/>
      <c r="L946" s="481"/>
      <c r="N946" s="482"/>
      <c r="O946" s="481"/>
    </row>
    <row r="947">
      <c r="A947" s="474"/>
      <c r="B947" s="200"/>
      <c r="C947" s="200"/>
      <c r="F947" s="200"/>
      <c r="G947" s="200"/>
      <c r="L947" s="481"/>
      <c r="N947" s="482"/>
      <c r="O947" s="481"/>
    </row>
    <row r="948">
      <c r="A948" s="474"/>
      <c r="B948" s="200"/>
      <c r="C948" s="200"/>
      <c r="F948" s="200"/>
      <c r="G948" s="200"/>
      <c r="L948" s="481"/>
      <c r="N948" s="482"/>
      <c r="O948" s="481"/>
    </row>
    <row r="949">
      <c r="A949" s="474"/>
      <c r="B949" s="200"/>
      <c r="C949" s="200"/>
      <c r="F949" s="200"/>
      <c r="G949" s="200"/>
      <c r="L949" s="481"/>
      <c r="N949" s="482"/>
      <c r="O949" s="481"/>
    </row>
    <row r="950">
      <c r="A950" s="474"/>
      <c r="B950" s="200"/>
      <c r="C950" s="200"/>
      <c r="F950" s="200"/>
      <c r="G950" s="200"/>
      <c r="L950" s="481"/>
      <c r="N950" s="482"/>
      <c r="O950" s="481"/>
    </row>
    <row r="951">
      <c r="A951" s="474"/>
      <c r="B951" s="200"/>
      <c r="C951" s="200"/>
      <c r="F951" s="200"/>
      <c r="G951" s="200"/>
      <c r="L951" s="481"/>
      <c r="N951" s="482"/>
      <c r="O951" s="481"/>
    </row>
    <row r="952">
      <c r="A952" s="474"/>
      <c r="B952" s="200"/>
      <c r="C952" s="200"/>
      <c r="F952" s="200"/>
      <c r="G952" s="200"/>
      <c r="L952" s="481"/>
      <c r="N952" s="482"/>
      <c r="O952" s="481"/>
    </row>
    <row r="953">
      <c r="A953" s="474"/>
      <c r="B953" s="200"/>
      <c r="C953" s="200"/>
      <c r="F953" s="200"/>
      <c r="G953" s="200"/>
      <c r="L953" s="481"/>
      <c r="N953" s="482"/>
      <c r="O953" s="481"/>
    </row>
    <row r="954">
      <c r="A954" s="474"/>
      <c r="B954" s="200"/>
      <c r="C954" s="200"/>
      <c r="F954" s="200"/>
      <c r="G954" s="200"/>
      <c r="L954" s="481"/>
      <c r="N954" s="482"/>
      <c r="O954" s="481"/>
    </row>
    <row r="955">
      <c r="A955" s="474"/>
      <c r="B955" s="200"/>
      <c r="C955" s="200"/>
      <c r="F955" s="200"/>
      <c r="G955" s="200"/>
      <c r="L955" s="481"/>
      <c r="N955" s="482"/>
      <c r="O955" s="481"/>
    </row>
    <row r="956">
      <c r="A956" s="474"/>
      <c r="B956" s="200"/>
      <c r="C956" s="200"/>
      <c r="F956" s="200"/>
      <c r="G956" s="200"/>
      <c r="L956" s="481"/>
      <c r="N956" s="482"/>
      <c r="O956" s="481"/>
    </row>
    <row r="957">
      <c r="A957" s="474"/>
      <c r="B957" s="200"/>
      <c r="C957" s="200"/>
      <c r="F957" s="200"/>
      <c r="G957" s="200"/>
      <c r="L957" s="481"/>
      <c r="N957" s="482"/>
      <c r="O957" s="481"/>
    </row>
    <row r="958">
      <c r="A958" s="474"/>
      <c r="B958" s="200"/>
      <c r="C958" s="200"/>
      <c r="F958" s="200"/>
      <c r="G958" s="200"/>
      <c r="L958" s="481"/>
      <c r="N958" s="482"/>
      <c r="O958" s="481"/>
    </row>
    <row r="959">
      <c r="A959" s="474"/>
      <c r="B959" s="200"/>
      <c r="C959" s="200"/>
      <c r="F959" s="200"/>
      <c r="G959" s="200"/>
      <c r="L959" s="481"/>
      <c r="N959" s="482"/>
      <c r="O959" s="481"/>
    </row>
    <row r="960">
      <c r="A960" s="474"/>
      <c r="B960" s="200"/>
      <c r="C960" s="200"/>
      <c r="F960" s="200"/>
      <c r="G960" s="200"/>
      <c r="L960" s="481"/>
      <c r="N960" s="482"/>
      <c r="O960" s="481"/>
    </row>
    <row r="961">
      <c r="A961" s="474"/>
      <c r="B961" s="200"/>
      <c r="C961" s="200"/>
      <c r="F961" s="200"/>
      <c r="G961" s="200"/>
      <c r="L961" s="481"/>
      <c r="N961" s="482"/>
      <c r="O961" s="481"/>
    </row>
    <row r="962">
      <c r="A962" s="474"/>
      <c r="B962" s="200"/>
      <c r="C962" s="200"/>
      <c r="F962" s="200"/>
      <c r="G962" s="200"/>
      <c r="L962" s="481"/>
      <c r="N962" s="482"/>
      <c r="O962" s="481"/>
    </row>
    <row r="963">
      <c r="A963" s="474"/>
      <c r="B963" s="200"/>
      <c r="C963" s="200"/>
      <c r="F963" s="200"/>
      <c r="G963" s="200"/>
      <c r="L963" s="481"/>
      <c r="N963" s="482"/>
      <c r="O963" s="481"/>
    </row>
    <row r="964">
      <c r="A964" s="474"/>
      <c r="B964" s="200"/>
      <c r="C964" s="200"/>
      <c r="F964" s="200"/>
      <c r="G964" s="200"/>
      <c r="L964" s="481"/>
      <c r="N964" s="482"/>
      <c r="O964" s="481"/>
    </row>
    <row r="965">
      <c r="A965" s="474"/>
      <c r="B965" s="200"/>
      <c r="C965" s="200"/>
      <c r="F965" s="200"/>
      <c r="G965" s="200"/>
      <c r="L965" s="481"/>
      <c r="N965" s="482"/>
      <c r="O965" s="481"/>
    </row>
    <row r="966">
      <c r="A966" s="474"/>
      <c r="B966" s="200"/>
      <c r="C966" s="200"/>
      <c r="F966" s="200"/>
      <c r="G966" s="200"/>
      <c r="L966" s="481"/>
      <c r="N966" s="482"/>
      <c r="O966" s="481"/>
    </row>
    <row r="967">
      <c r="A967" s="474"/>
      <c r="B967" s="200"/>
      <c r="C967" s="200"/>
      <c r="F967" s="200"/>
      <c r="G967" s="200"/>
      <c r="L967" s="481"/>
      <c r="N967" s="482"/>
      <c r="O967" s="481"/>
    </row>
    <row r="968">
      <c r="A968" s="474"/>
      <c r="B968" s="200"/>
      <c r="C968" s="200"/>
      <c r="F968" s="200"/>
      <c r="G968" s="200"/>
      <c r="L968" s="481"/>
      <c r="N968" s="482"/>
      <c r="O968" s="481"/>
    </row>
    <row r="969">
      <c r="A969" s="474"/>
      <c r="B969" s="200"/>
      <c r="C969" s="200"/>
      <c r="F969" s="200"/>
      <c r="G969" s="200"/>
      <c r="L969" s="481"/>
      <c r="N969" s="482"/>
      <c r="O969" s="481"/>
    </row>
    <row r="970">
      <c r="A970" s="474"/>
      <c r="B970" s="200"/>
      <c r="C970" s="200"/>
      <c r="F970" s="200"/>
      <c r="G970" s="200"/>
      <c r="L970" s="481"/>
      <c r="N970" s="482"/>
      <c r="O970" s="481"/>
    </row>
    <row r="971">
      <c r="A971" s="474"/>
      <c r="B971" s="200"/>
      <c r="C971" s="200"/>
      <c r="F971" s="200"/>
      <c r="G971" s="200"/>
      <c r="L971" s="481"/>
      <c r="N971" s="482"/>
      <c r="O971" s="481"/>
    </row>
    <row r="972">
      <c r="A972" s="474"/>
      <c r="B972" s="200"/>
      <c r="C972" s="200"/>
      <c r="F972" s="200"/>
      <c r="G972" s="200"/>
      <c r="L972" s="481"/>
      <c r="N972" s="482"/>
      <c r="O972" s="481"/>
    </row>
    <row r="973">
      <c r="A973" s="474"/>
      <c r="B973" s="200"/>
      <c r="C973" s="200"/>
      <c r="F973" s="200"/>
      <c r="G973" s="200"/>
      <c r="L973" s="481"/>
      <c r="N973" s="482"/>
      <c r="O973" s="481"/>
    </row>
    <row r="974">
      <c r="A974" s="474"/>
      <c r="B974" s="200"/>
      <c r="C974" s="200"/>
      <c r="F974" s="200"/>
      <c r="G974" s="200"/>
      <c r="L974" s="481"/>
      <c r="N974" s="482"/>
      <c r="O974" s="481"/>
    </row>
    <row r="975">
      <c r="A975" s="474"/>
      <c r="B975" s="200"/>
      <c r="C975" s="200"/>
      <c r="F975" s="200"/>
      <c r="G975" s="200"/>
      <c r="L975" s="481"/>
      <c r="N975" s="482"/>
      <c r="O975" s="481"/>
    </row>
    <row r="976">
      <c r="A976" s="474"/>
      <c r="B976" s="200"/>
      <c r="C976" s="200"/>
      <c r="F976" s="200"/>
      <c r="G976" s="200"/>
      <c r="L976" s="481"/>
      <c r="N976" s="482"/>
      <c r="O976" s="481"/>
    </row>
    <row r="977">
      <c r="A977" s="474"/>
      <c r="B977" s="200"/>
      <c r="C977" s="200"/>
      <c r="F977" s="200"/>
      <c r="G977" s="200"/>
      <c r="L977" s="481"/>
      <c r="N977" s="482"/>
      <c r="O977" s="481"/>
    </row>
    <row r="978">
      <c r="A978" s="474"/>
      <c r="B978" s="200"/>
      <c r="C978" s="200"/>
      <c r="F978" s="200"/>
      <c r="G978" s="200"/>
      <c r="L978" s="481"/>
      <c r="N978" s="482"/>
      <c r="O978" s="481"/>
    </row>
    <row r="979">
      <c r="A979" s="474"/>
      <c r="B979" s="200"/>
      <c r="C979" s="200"/>
      <c r="F979" s="200"/>
      <c r="G979" s="200"/>
      <c r="L979" s="481"/>
      <c r="N979" s="482"/>
      <c r="O979" s="481"/>
    </row>
    <row r="980">
      <c r="A980" s="474"/>
      <c r="B980" s="200"/>
      <c r="C980" s="200"/>
      <c r="F980" s="200"/>
      <c r="G980" s="200"/>
      <c r="L980" s="481"/>
      <c r="N980" s="482"/>
      <c r="O980" s="481"/>
    </row>
    <row r="981">
      <c r="A981" s="474"/>
      <c r="B981" s="200"/>
      <c r="C981" s="200"/>
      <c r="F981" s="200"/>
      <c r="G981" s="200"/>
      <c r="L981" s="481"/>
      <c r="N981" s="482"/>
      <c r="O981" s="481"/>
    </row>
    <row r="982">
      <c r="A982" s="474"/>
      <c r="B982" s="200"/>
      <c r="C982" s="200"/>
      <c r="F982" s="200"/>
      <c r="G982" s="200"/>
      <c r="L982" s="481"/>
      <c r="N982" s="482"/>
      <c r="O982" s="481"/>
    </row>
    <row r="983">
      <c r="A983" s="474"/>
      <c r="B983" s="200"/>
      <c r="C983" s="200"/>
      <c r="F983" s="200"/>
      <c r="G983" s="200"/>
      <c r="L983" s="481"/>
      <c r="N983" s="482"/>
      <c r="O983" s="481"/>
    </row>
    <row r="984">
      <c r="A984" s="474"/>
      <c r="B984" s="200"/>
      <c r="C984" s="200"/>
      <c r="F984" s="200"/>
      <c r="G984" s="200"/>
      <c r="L984" s="481"/>
      <c r="N984" s="482"/>
      <c r="O984" s="481"/>
    </row>
    <row r="985">
      <c r="A985" s="474"/>
      <c r="B985" s="200"/>
      <c r="C985" s="200"/>
      <c r="F985" s="200"/>
      <c r="G985" s="200"/>
      <c r="L985" s="481"/>
      <c r="N985" s="482"/>
      <c r="O985" s="481"/>
    </row>
    <row r="986">
      <c r="A986" s="474"/>
      <c r="B986" s="200"/>
      <c r="C986" s="200"/>
      <c r="F986" s="200"/>
      <c r="G986" s="200"/>
      <c r="L986" s="481"/>
      <c r="N986" s="482"/>
      <c r="O986" s="481"/>
    </row>
    <row r="987">
      <c r="A987" s="474"/>
      <c r="B987" s="200"/>
      <c r="C987" s="200"/>
      <c r="F987" s="200"/>
      <c r="G987" s="200"/>
      <c r="L987" s="481"/>
      <c r="N987" s="482"/>
      <c r="O987" s="481"/>
    </row>
    <row r="988">
      <c r="A988" s="474"/>
      <c r="B988" s="200"/>
      <c r="C988" s="200"/>
      <c r="F988" s="200"/>
      <c r="G988" s="200"/>
      <c r="L988" s="481"/>
      <c r="N988" s="482"/>
      <c r="O988" s="481"/>
    </row>
    <row r="989">
      <c r="A989" s="474"/>
      <c r="B989" s="200"/>
      <c r="C989" s="200"/>
      <c r="F989" s="200"/>
      <c r="G989" s="200"/>
      <c r="L989" s="481"/>
      <c r="N989" s="482"/>
      <c r="O989" s="481"/>
    </row>
    <row r="990">
      <c r="A990" s="474"/>
      <c r="B990" s="200"/>
      <c r="C990" s="200"/>
      <c r="F990" s="200"/>
      <c r="G990" s="200"/>
      <c r="L990" s="481"/>
      <c r="N990" s="482"/>
      <c r="O990" s="481"/>
    </row>
    <row r="991">
      <c r="A991" s="474"/>
      <c r="B991" s="200"/>
      <c r="C991" s="200"/>
      <c r="F991" s="200"/>
      <c r="G991" s="200"/>
      <c r="L991" s="481"/>
      <c r="N991" s="482"/>
      <c r="O991" s="481"/>
    </row>
    <row r="992">
      <c r="A992" s="474"/>
      <c r="B992" s="200"/>
      <c r="C992" s="200"/>
      <c r="F992" s="200"/>
      <c r="G992" s="200"/>
      <c r="L992" s="481"/>
      <c r="N992" s="482"/>
      <c r="O992" s="481"/>
    </row>
    <row r="993">
      <c r="A993" s="474"/>
      <c r="B993" s="200"/>
      <c r="C993" s="200"/>
      <c r="F993" s="200"/>
      <c r="G993" s="200"/>
      <c r="L993" s="481"/>
      <c r="N993" s="482"/>
      <c r="O993" s="481"/>
    </row>
    <row r="994">
      <c r="A994" s="474"/>
      <c r="B994" s="200"/>
      <c r="C994" s="200"/>
      <c r="F994" s="200"/>
      <c r="G994" s="200"/>
      <c r="L994" s="481"/>
      <c r="N994" s="482"/>
      <c r="O994" s="481"/>
    </row>
    <row r="995">
      <c r="A995" s="474"/>
      <c r="B995" s="200"/>
      <c r="C995" s="200"/>
      <c r="F995" s="200"/>
      <c r="G995" s="200"/>
      <c r="L995" s="481"/>
      <c r="N995" s="482"/>
      <c r="O995" s="481"/>
    </row>
    <row r="996">
      <c r="A996" s="474"/>
      <c r="B996" s="200"/>
      <c r="C996" s="200"/>
      <c r="F996" s="200"/>
      <c r="G996" s="200"/>
      <c r="L996" s="481"/>
      <c r="N996" s="482"/>
      <c r="O996" s="481"/>
    </row>
    <row r="997">
      <c r="A997" s="474"/>
      <c r="B997" s="200"/>
      <c r="C997" s="200"/>
      <c r="F997" s="200"/>
      <c r="G997" s="200"/>
      <c r="L997" s="481"/>
      <c r="N997" s="482"/>
      <c r="O997" s="481"/>
    </row>
    <row r="998">
      <c r="A998" s="474"/>
      <c r="B998" s="200"/>
      <c r="C998" s="200"/>
      <c r="F998" s="200"/>
      <c r="G998" s="200"/>
      <c r="L998" s="481"/>
      <c r="N998" s="482"/>
      <c r="O998" s="481"/>
    </row>
    <row r="999">
      <c r="A999" s="474"/>
      <c r="B999" s="200"/>
      <c r="C999" s="200"/>
      <c r="F999" s="200"/>
      <c r="G999" s="200"/>
      <c r="L999" s="481"/>
      <c r="N999" s="482"/>
      <c r="O999" s="481"/>
    </row>
    <row r="1000">
      <c r="A1000" s="474"/>
      <c r="B1000" s="200"/>
      <c r="C1000" s="200"/>
      <c r="F1000" s="200"/>
      <c r="G1000" s="200"/>
      <c r="L1000" s="481"/>
      <c r="N1000" s="482"/>
      <c r="O1000" s="481"/>
    </row>
    <row r="1001">
      <c r="A1001" s="474"/>
      <c r="B1001" s="200"/>
      <c r="C1001" s="200"/>
      <c r="F1001" s="200"/>
      <c r="G1001" s="200"/>
      <c r="L1001" s="481"/>
      <c r="N1001" s="482"/>
      <c r="O1001" s="481"/>
    </row>
    <row r="1002">
      <c r="A1002" s="474"/>
      <c r="B1002" s="200"/>
      <c r="C1002" s="200"/>
      <c r="F1002" s="200"/>
      <c r="G1002" s="200"/>
      <c r="L1002" s="481"/>
      <c r="N1002" s="482"/>
      <c r="O1002" s="481"/>
    </row>
    <row r="1003">
      <c r="A1003" s="474"/>
      <c r="B1003" s="200"/>
      <c r="C1003" s="200"/>
      <c r="F1003" s="200"/>
      <c r="G1003" s="200"/>
      <c r="L1003" s="481"/>
      <c r="N1003" s="482"/>
      <c r="O1003" s="481"/>
    </row>
    <row r="1004">
      <c r="A1004" s="474"/>
      <c r="B1004" s="200"/>
      <c r="C1004" s="200"/>
      <c r="F1004" s="200"/>
      <c r="G1004" s="200"/>
      <c r="L1004" s="481"/>
      <c r="N1004" s="482"/>
      <c r="O1004" s="481"/>
    </row>
    <row r="1005">
      <c r="A1005" s="474"/>
      <c r="B1005" s="200"/>
      <c r="C1005" s="200"/>
      <c r="F1005" s="200"/>
      <c r="G1005" s="200"/>
      <c r="L1005" s="481"/>
      <c r="N1005" s="482"/>
      <c r="O1005" s="481"/>
    </row>
    <row r="1006">
      <c r="A1006" s="474"/>
      <c r="B1006" s="200"/>
      <c r="C1006" s="200"/>
      <c r="F1006" s="200"/>
      <c r="G1006" s="200"/>
      <c r="L1006" s="481"/>
      <c r="N1006" s="482"/>
      <c r="O1006" s="481"/>
    </row>
    <row r="1007">
      <c r="A1007" s="474"/>
      <c r="B1007" s="200"/>
      <c r="C1007" s="200"/>
      <c r="F1007" s="200"/>
      <c r="G1007" s="200"/>
      <c r="L1007" s="481"/>
      <c r="N1007" s="482"/>
      <c r="O1007" s="481"/>
    </row>
    <row r="1008">
      <c r="A1008" s="474"/>
      <c r="B1008" s="200"/>
      <c r="C1008" s="200"/>
      <c r="F1008" s="200"/>
      <c r="G1008" s="200"/>
      <c r="L1008" s="481"/>
      <c r="N1008" s="482"/>
      <c r="O1008" s="481"/>
    </row>
    <row r="1009">
      <c r="A1009" s="474"/>
      <c r="B1009" s="200"/>
      <c r="C1009" s="200"/>
      <c r="F1009" s="200"/>
      <c r="G1009" s="200"/>
      <c r="L1009" s="481"/>
      <c r="N1009" s="482"/>
      <c r="O1009" s="481"/>
    </row>
    <row r="1010">
      <c r="A1010" s="474"/>
      <c r="B1010" s="200"/>
      <c r="C1010" s="200"/>
      <c r="F1010" s="200"/>
      <c r="G1010" s="200"/>
      <c r="L1010" s="481"/>
      <c r="N1010" s="482"/>
      <c r="O1010" s="481"/>
    </row>
    <row r="1011">
      <c r="A1011" s="474"/>
      <c r="B1011" s="200"/>
      <c r="C1011" s="200"/>
      <c r="F1011" s="200"/>
      <c r="G1011" s="200"/>
      <c r="L1011" s="481"/>
      <c r="N1011" s="482"/>
      <c r="O1011" s="481"/>
    </row>
    <row r="1012">
      <c r="A1012" s="474"/>
      <c r="B1012" s="200"/>
      <c r="C1012" s="200"/>
      <c r="F1012" s="200"/>
      <c r="G1012" s="200"/>
      <c r="L1012" s="481"/>
      <c r="N1012" s="482"/>
      <c r="O1012" s="481"/>
    </row>
    <row r="1013">
      <c r="A1013" s="474"/>
      <c r="B1013" s="200"/>
      <c r="C1013" s="200"/>
      <c r="F1013" s="200"/>
      <c r="G1013" s="200"/>
      <c r="L1013" s="481"/>
      <c r="N1013" s="482"/>
      <c r="O1013" s="481"/>
    </row>
    <row r="1014">
      <c r="A1014" s="474"/>
      <c r="B1014" s="200"/>
      <c r="C1014" s="200"/>
      <c r="F1014" s="200"/>
      <c r="G1014" s="200"/>
      <c r="L1014" s="481"/>
      <c r="N1014" s="482"/>
      <c r="O1014" s="481"/>
    </row>
    <row r="1015">
      <c r="A1015" s="474"/>
      <c r="B1015" s="200"/>
      <c r="C1015" s="200"/>
      <c r="F1015" s="200"/>
      <c r="G1015" s="200"/>
      <c r="L1015" s="481"/>
      <c r="N1015" s="482"/>
      <c r="O1015" s="481"/>
    </row>
    <row r="1016">
      <c r="A1016" s="474"/>
      <c r="B1016" s="200"/>
      <c r="C1016" s="200"/>
      <c r="F1016" s="200"/>
      <c r="G1016" s="200"/>
      <c r="L1016" s="481"/>
      <c r="N1016" s="482"/>
      <c r="O1016" s="481"/>
    </row>
    <row r="1017">
      <c r="A1017" s="474"/>
      <c r="B1017" s="200"/>
      <c r="C1017" s="200"/>
      <c r="F1017" s="200"/>
      <c r="G1017" s="200"/>
      <c r="L1017" s="481"/>
      <c r="N1017" s="482"/>
      <c r="O1017" s="481"/>
    </row>
    <row r="1018">
      <c r="A1018" s="474"/>
      <c r="B1018" s="200"/>
      <c r="C1018" s="200"/>
      <c r="F1018" s="200"/>
      <c r="G1018" s="200"/>
      <c r="L1018" s="481"/>
      <c r="N1018" s="482"/>
      <c r="O1018" s="481"/>
    </row>
    <row r="1019">
      <c r="A1019" s="474"/>
      <c r="B1019" s="200"/>
      <c r="C1019" s="200"/>
      <c r="F1019" s="200"/>
      <c r="G1019" s="200"/>
      <c r="L1019" s="481"/>
      <c r="N1019" s="482"/>
      <c r="O1019" s="481"/>
    </row>
    <row r="1020">
      <c r="A1020" s="474"/>
      <c r="B1020" s="200"/>
      <c r="C1020" s="200"/>
      <c r="F1020" s="200"/>
      <c r="G1020" s="200"/>
      <c r="L1020" s="481"/>
      <c r="N1020" s="482"/>
      <c r="O1020" s="481"/>
    </row>
    <row r="1021">
      <c r="A1021" s="474"/>
      <c r="B1021" s="200"/>
      <c r="C1021" s="200"/>
      <c r="F1021" s="200"/>
      <c r="G1021" s="200"/>
      <c r="L1021" s="481"/>
      <c r="N1021" s="482"/>
      <c r="O1021" s="481"/>
    </row>
    <row r="1022">
      <c r="A1022" s="474"/>
      <c r="B1022" s="200"/>
      <c r="C1022" s="200"/>
      <c r="F1022" s="200"/>
      <c r="G1022" s="200"/>
      <c r="L1022" s="481"/>
      <c r="N1022" s="482"/>
      <c r="O1022" s="481"/>
    </row>
    <row r="1023">
      <c r="A1023" s="474"/>
      <c r="B1023" s="200"/>
      <c r="C1023" s="200"/>
      <c r="F1023" s="200"/>
      <c r="G1023" s="200"/>
      <c r="L1023" s="481"/>
      <c r="N1023" s="482"/>
      <c r="O1023" s="481"/>
    </row>
    <row r="1024">
      <c r="A1024" s="474"/>
      <c r="B1024" s="200"/>
      <c r="C1024" s="200"/>
      <c r="F1024" s="200"/>
      <c r="G1024" s="200"/>
      <c r="L1024" s="481"/>
      <c r="N1024" s="482"/>
      <c r="O1024" s="481"/>
    </row>
    <row r="1025">
      <c r="A1025" s="474"/>
      <c r="B1025" s="200"/>
      <c r="C1025" s="200"/>
      <c r="F1025" s="200"/>
      <c r="G1025" s="200"/>
      <c r="L1025" s="481"/>
      <c r="N1025" s="482"/>
      <c r="O1025" s="481"/>
    </row>
    <row r="1026">
      <c r="A1026" s="474"/>
      <c r="B1026" s="200"/>
      <c r="C1026" s="200"/>
      <c r="F1026" s="200"/>
      <c r="G1026" s="200"/>
      <c r="L1026" s="481"/>
      <c r="N1026" s="482"/>
      <c r="O1026" s="481"/>
    </row>
    <row r="1027">
      <c r="A1027" s="474"/>
      <c r="B1027" s="200"/>
      <c r="C1027" s="200"/>
      <c r="F1027" s="200"/>
      <c r="G1027" s="200"/>
      <c r="L1027" s="481"/>
      <c r="N1027" s="482"/>
      <c r="O1027" s="481"/>
    </row>
    <row r="1028">
      <c r="A1028" s="474"/>
      <c r="B1028" s="200"/>
      <c r="C1028" s="200"/>
      <c r="F1028" s="200"/>
      <c r="G1028" s="200"/>
      <c r="L1028" s="481"/>
      <c r="N1028" s="482"/>
      <c r="O1028" s="481"/>
    </row>
    <row r="1029">
      <c r="A1029" s="474"/>
      <c r="B1029" s="200"/>
      <c r="C1029" s="200"/>
      <c r="F1029" s="200"/>
      <c r="G1029" s="200"/>
      <c r="L1029" s="481"/>
      <c r="N1029" s="482"/>
      <c r="O1029" s="481"/>
    </row>
    <row r="1030">
      <c r="A1030" s="474"/>
      <c r="B1030" s="200"/>
      <c r="C1030" s="200"/>
      <c r="F1030" s="200"/>
      <c r="G1030" s="200"/>
      <c r="L1030" s="481"/>
      <c r="N1030" s="482"/>
      <c r="O1030" s="481"/>
    </row>
    <row r="1031">
      <c r="A1031" s="474"/>
      <c r="B1031" s="200"/>
      <c r="C1031" s="200"/>
      <c r="F1031" s="200"/>
      <c r="G1031" s="200"/>
      <c r="L1031" s="481"/>
      <c r="N1031" s="482"/>
      <c r="O1031" s="481"/>
    </row>
    <row r="1032">
      <c r="A1032" s="474"/>
      <c r="B1032" s="200"/>
      <c r="C1032" s="200"/>
      <c r="F1032" s="200"/>
      <c r="G1032" s="200"/>
      <c r="L1032" s="481"/>
      <c r="N1032" s="482"/>
      <c r="O1032" s="481"/>
    </row>
    <row r="1033">
      <c r="A1033" s="474"/>
      <c r="B1033" s="200"/>
      <c r="C1033" s="200"/>
      <c r="F1033" s="200"/>
      <c r="G1033" s="200"/>
      <c r="L1033" s="481"/>
      <c r="N1033" s="482"/>
      <c r="O1033" s="481"/>
    </row>
    <row r="1034">
      <c r="A1034" s="474"/>
      <c r="B1034" s="200"/>
      <c r="C1034" s="200"/>
      <c r="F1034" s="200"/>
      <c r="G1034" s="200"/>
      <c r="L1034" s="481"/>
      <c r="N1034" s="482"/>
      <c r="O1034" s="481"/>
    </row>
    <row r="1035">
      <c r="A1035" s="474"/>
      <c r="B1035" s="200"/>
      <c r="C1035" s="200"/>
      <c r="F1035" s="200"/>
      <c r="G1035" s="200"/>
      <c r="L1035" s="481"/>
      <c r="N1035" s="482"/>
      <c r="O1035" s="481"/>
    </row>
    <row r="1036">
      <c r="A1036" s="474"/>
      <c r="B1036" s="200"/>
      <c r="C1036" s="200"/>
      <c r="F1036" s="200"/>
      <c r="G1036" s="200"/>
      <c r="L1036" s="481"/>
      <c r="N1036" s="482"/>
      <c r="O1036" s="481"/>
    </row>
    <row r="1037">
      <c r="A1037" s="474"/>
      <c r="B1037" s="200"/>
      <c r="C1037" s="200"/>
      <c r="F1037" s="200"/>
      <c r="G1037" s="200"/>
      <c r="L1037" s="481"/>
      <c r="N1037" s="482"/>
      <c r="O1037" s="481"/>
    </row>
    <row r="1038">
      <c r="A1038" s="474"/>
      <c r="B1038" s="200"/>
      <c r="C1038" s="200"/>
      <c r="F1038" s="200"/>
      <c r="G1038" s="200"/>
      <c r="L1038" s="481"/>
      <c r="N1038" s="482"/>
      <c r="O1038" s="481"/>
    </row>
    <row r="1039">
      <c r="A1039" s="474"/>
      <c r="B1039" s="200"/>
      <c r="C1039" s="200"/>
      <c r="F1039" s="200"/>
      <c r="G1039" s="200"/>
      <c r="L1039" s="481"/>
      <c r="N1039" s="482"/>
      <c r="O1039" s="481"/>
    </row>
    <row r="1040">
      <c r="A1040" s="474"/>
      <c r="B1040" s="200"/>
      <c r="C1040" s="200"/>
      <c r="F1040" s="200"/>
      <c r="G1040" s="200"/>
      <c r="L1040" s="481"/>
      <c r="N1040" s="482"/>
      <c r="O1040" s="481"/>
    </row>
    <row r="1041">
      <c r="A1041" s="474"/>
      <c r="B1041" s="200"/>
      <c r="C1041" s="200"/>
      <c r="F1041" s="200"/>
      <c r="G1041" s="200"/>
      <c r="L1041" s="481"/>
      <c r="N1041" s="482"/>
      <c r="O1041" s="481"/>
    </row>
    <row r="1042">
      <c r="A1042" s="474"/>
      <c r="B1042" s="200"/>
      <c r="C1042" s="200"/>
      <c r="F1042" s="200"/>
      <c r="G1042" s="200"/>
      <c r="L1042" s="481"/>
      <c r="N1042" s="482"/>
      <c r="O1042" s="481"/>
    </row>
    <row r="1043">
      <c r="A1043" s="474"/>
      <c r="B1043" s="200"/>
      <c r="C1043" s="200"/>
      <c r="F1043" s="200"/>
      <c r="G1043" s="200"/>
      <c r="L1043" s="481"/>
      <c r="N1043" s="482"/>
      <c r="O1043" s="481"/>
    </row>
    <row r="1044">
      <c r="A1044" s="474"/>
      <c r="B1044" s="200"/>
      <c r="C1044" s="200"/>
      <c r="F1044" s="200"/>
      <c r="G1044" s="200"/>
      <c r="L1044" s="481"/>
      <c r="N1044" s="482"/>
      <c r="O1044" s="481"/>
    </row>
    <row r="1045">
      <c r="A1045" s="474"/>
      <c r="B1045" s="200"/>
      <c r="C1045" s="200"/>
      <c r="F1045" s="200"/>
      <c r="G1045" s="200"/>
      <c r="L1045" s="481"/>
      <c r="N1045" s="482"/>
      <c r="O1045" s="481"/>
    </row>
    <row r="1046">
      <c r="A1046" s="474"/>
      <c r="B1046" s="200"/>
      <c r="C1046" s="200"/>
      <c r="F1046" s="200"/>
      <c r="G1046" s="200"/>
      <c r="L1046" s="481"/>
      <c r="N1046" s="482"/>
      <c r="O1046" s="481"/>
    </row>
    <row r="1047">
      <c r="A1047" s="474"/>
      <c r="B1047" s="200"/>
      <c r="C1047" s="200"/>
      <c r="F1047" s="200"/>
      <c r="G1047" s="200"/>
      <c r="L1047" s="481"/>
      <c r="N1047" s="482"/>
      <c r="O1047" s="481"/>
    </row>
    <row r="1048">
      <c r="A1048" s="474"/>
      <c r="B1048" s="200"/>
      <c r="C1048" s="200"/>
      <c r="F1048" s="200"/>
      <c r="G1048" s="200"/>
      <c r="L1048" s="481"/>
      <c r="N1048" s="482"/>
      <c r="O1048" s="481"/>
    </row>
    <row r="1049">
      <c r="A1049" s="474"/>
      <c r="B1049" s="200"/>
      <c r="C1049" s="200"/>
      <c r="F1049" s="200"/>
      <c r="G1049" s="200"/>
      <c r="L1049" s="481"/>
      <c r="N1049" s="482"/>
      <c r="O1049" s="481"/>
    </row>
    <row r="1050">
      <c r="A1050" s="474"/>
      <c r="B1050" s="200"/>
      <c r="C1050" s="200"/>
      <c r="F1050" s="200"/>
      <c r="G1050" s="200"/>
      <c r="L1050" s="481"/>
      <c r="N1050" s="482"/>
      <c r="O1050" s="481"/>
    </row>
    <row r="1051">
      <c r="A1051" s="474"/>
      <c r="B1051" s="200"/>
      <c r="C1051" s="200"/>
      <c r="F1051" s="200"/>
      <c r="G1051" s="200"/>
      <c r="L1051" s="481"/>
      <c r="N1051" s="482"/>
      <c r="O1051" s="481"/>
    </row>
    <row r="1052">
      <c r="A1052" s="474"/>
      <c r="B1052" s="200"/>
      <c r="C1052" s="200"/>
      <c r="F1052" s="200"/>
      <c r="G1052" s="200"/>
      <c r="L1052" s="481"/>
      <c r="N1052" s="482"/>
      <c r="O1052" s="481"/>
    </row>
    <row r="1053">
      <c r="A1053" s="474"/>
      <c r="B1053" s="200"/>
      <c r="C1053" s="200"/>
      <c r="F1053" s="200"/>
      <c r="G1053" s="200"/>
      <c r="L1053" s="481"/>
      <c r="N1053" s="482"/>
      <c r="O1053" s="481"/>
    </row>
    <row r="1054">
      <c r="A1054" s="474"/>
      <c r="B1054" s="200"/>
      <c r="C1054" s="200"/>
      <c r="F1054" s="200"/>
      <c r="G1054" s="200"/>
      <c r="L1054" s="481"/>
      <c r="N1054" s="482"/>
      <c r="O1054" s="481"/>
    </row>
    <row r="1055">
      <c r="A1055" s="474"/>
      <c r="B1055" s="200"/>
      <c r="C1055" s="200"/>
      <c r="F1055" s="200"/>
      <c r="G1055" s="200"/>
      <c r="L1055" s="481"/>
      <c r="N1055" s="482"/>
      <c r="O1055" s="481"/>
    </row>
    <row r="1056">
      <c r="A1056" s="474"/>
      <c r="B1056" s="200"/>
      <c r="C1056" s="200"/>
      <c r="F1056" s="200"/>
      <c r="G1056" s="200"/>
      <c r="L1056" s="481"/>
      <c r="N1056" s="482"/>
      <c r="O1056" s="481"/>
    </row>
    <row r="1057">
      <c r="A1057" s="474"/>
      <c r="B1057" s="200"/>
      <c r="C1057" s="200"/>
      <c r="F1057" s="200"/>
      <c r="G1057" s="200"/>
      <c r="L1057" s="481"/>
      <c r="N1057" s="482"/>
      <c r="O1057" s="481"/>
    </row>
    <row r="1058">
      <c r="A1058" s="474"/>
      <c r="B1058" s="200"/>
      <c r="C1058" s="200"/>
      <c r="F1058" s="200"/>
      <c r="G1058" s="200"/>
      <c r="L1058" s="481"/>
      <c r="N1058" s="482"/>
      <c r="O1058" s="481"/>
    </row>
    <row r="1059">
      <c r="A1059" s="474"/>
      <c r="B1059" s="200"/>
      <c r="C1059" s="200"/>
      <c r="F1059" s="200"/>
      <c r="G1059" s="200"/>
      <c r="L1059" s="481"/>
      <c r="N1059" s="482"/>
      <c r="O1059" s="481"/>
    </row>
    <row r="1060">
      <c r="A1060" s="474"/>
      <c r="B1060" s="200"/>
      <c r="C1060" s="200"/>
      <c r="F1060" s="200"/>
      <c r="G1060" s="200"/>
      <c r="L1060" s="481"/>
      <c r="N1060" s="482"/>
      <c r="O1060" s="481"/>
    </row>
    <row r="1061">
      <c r="A1061" s="474"/>
      <c r="B1061" s="200"/>
      <c r="C1061" s="200"/>
      <c r="F1061" s="200"/>
      <c r="G1061" s="200"/>
      <c r="L1061" s="481"/>
      <c r="N1061" s="482"/>
      <c r="O1061" s="481"/>
    </row>
    <row r="1062">
      <c r="A1062" s="474"/>
      <c r="B1062" s="200"/>
      <c r="C1062" s="200"/>
      <c r="F1062" s="200"/>
      <c r="G1062" s="200"/>
      <c r="L1062" s="481"/>
      <c r="N1062" s="482"/>
      <c r="O1062" s="481"/>
    </row>
    <row r="1063">
      <c r="A1063" s="474"/>
      <c r="B1063" s="200"/>
      <c r="C1063" s="200"/>
      <c r="F1063" s="200"/>
      <c r="G1063" s="200"/>
      <c r="L1063" s="481"/>
      <c r="N1063" s="482"/>
      <c r="O1063" s="481"/>
    </row>
    <row r="1064">
      <c r="A1064" s="474"/>
      <c r="B1064" s="200"/>
      <c r="C1064" s="200"/>
      <c r="F1064" s="200"/>
      <c r="G1064" s="200"/>
      <c r="L1064" s="481"/>
      <c r="N1064" s="482"/>
      <c r="O1064" s="481"/>
    </row>
    <row r="1065">
      <c r="A1065" s="474"/>
      <c r="B1065" s="200"/>
      <c r="C1065" s="200"/>
      <c r="F1065" s="200"/>
      <c r="G1065" s="200"/>
      <c r="L1065" s="481"/>
      <c r="N1065" s="482"/>
      <c r="O1065" s="481"/>
    </row>
    <row r="1066">
      <c r="A1066" s="474"/>
      <c r="B1066" s="200"/>
      <c r="C1066" s="200"/>
      <c r="F1066" s="200"/>
      <c r="G1066" s="200"/>
      <c r="L1066" s="481"/>
      <c r="N1066" s="482"/>
      <c r="O1066" s="481"/>
    </row>
    <row r="1067">
      <c r="A1067" s="474"/>
      <c r="B1067" s="200"/>
      <c r="C1067" s="200"/>
      <c r="F1067" s="200"/>
      <c r="G1067" s="200"/>
      <c r="L1067" s="481"/>
      <c r="N1067" s="482"/>
      <c r="O1067" s="481"/>
    </row>
    <row r="1068">
      <c r="A1068" s="474"/>
      <c r="B1068" s="200"/>
      <c r="C1068" s="200"/>
      <c r="F1068" s="200"/>
      <c r="G1068" s="200"/>
      <c r="L1068" s="481"/>
      <c r="N1068" s="482"/>
      <c r="O1068" s="481"/>
    </row>
    <row r="1069">
      <c r="A1069" s="474"/>
      <c r="B1069" s="200"/>
      <c r="C1069" s="200"/>
      <c r="F1069" s="200"/>
      <c r="G1069" s="200"/>
      <c r="L1069" s="481"/>
      <c r="N1069" s="482"/>
      <c r="O1069" s="481"/>
    </row>
    <row r="1070">
      <c r="A1070" s="474"/>
      <c r="B1070" s="200"/>
      <c r="C1070" s="200"/>
      <c r="F1070" s="200"/>
      <c r="G1070" s="200"/>
      <c r="L1070" s="481"/>
      <c r="N1070" s="482"/>
      <c r="O1070" s="481"/>
    </row>
    <row r="1071">
      <c r="A1071" s="474"/>
      <c r="B1071" s="200"/>
      <c r="C1071" s="200"/>
      <c r="F1071" s="200"/>
      <c r="G1071" s="200"/>
      <c r="L1071" s="481"/>
      <c r="N1071" s="482"/>
      <c r="O1071" s="481"/>
    </row>
    <row r="1072">
      <c r="A1072" s="474"/>
      <c r="B1072" s="200"/>
      <c r="C1072" s="200"/>
      <c r="F1072" s="200"/>
      <c r="G1072" s="200"/>
      <c r="L1072" s="481"/>
      <c r="N1072" s="482"/>
      <c r="O1072" s="481"/>
    </row>
    <row r="1073">
      <c r="A1073" s="474"/>
      <c r="B1073" s="200"/>
      <c r="C1073" s="200"/>
      <c r="F1073" s="200"/>
      <c r="G1073" s="200"/>
      <c r="L1073" s="481"/>
      <c r="N1073" s="482"/>
      <c r="O1073" s="481"/>
    </row>
    <row r="1074">
      <c r="A1074" s="474"/>
      <c r="B1074" s="200"/>
      <c r="C1074" s="200"/>
      <c r="F1074" s="200"/>
      <c r="G1074" s="200"/>
      <c r="L1074" s="481"/>
      <c r="N1074" s="482"/>
      <c r="O1074" s="481"/>
    </row>
    <row r="1075">
      <c r="A1075" s="474"/>
      <c r="B1075" s="200"/>
      <c r="C1075" s="200"/>
      <c r="F1075" s="200"/>
      <c r="G1075" s="200"/>
      <c r="L1075" s="481"/>
      <c r="N1075" s="482"/>
      <c r="O1075" s="481"/>
    </row>
    <row r="1076">
      <c r="A1076" s="474"/>
      <c r="B1076" s="200"/>
      <c r="C1076" s="200"/>
      <c r="F1076" s="200"/>
      <c r="G1076" s="200"/>
      <c r="L1076" s="481"/>
      <c r="N1076" s="482"/>
      <c r="O1076" s="481"/>
    </row>
    <row r="1077">
      <c r="A1077" s="474"/>
      <c r="B1077" s="200"/>
      <c r="C1077" s="200"/>
      <c r="F1077" s="200"/>
      <c r="G1077" s="200"/>
      <c r="L1077" s="481"/>
      <c r="N1077" s="482"/>
      <c r="O1077" s="481"/>
    </row>
    <row r="1078">
      <c r="A1078" s="474"/>
      <c r="B1078" s="200"/>
      <c r="C1078" s="200"/>
      <c r="F1078" s="200"/>
      <c r="G1078" s="200"/>
      <c r="L1078" s="481"/>
      <c r="N1078" s="482"/>
      <c r="O1078" s="481"/>
    </row>
    <row r="1079">
      <c r="A1079" s="474"/>
      <c r="B1079" s="200"/>
      <c r="C1079" s="200"/>
      <c r="F1079" s="200"/>
      <c r="G1079" s="200"/>
      <c r="L1079" s="481"/>
      <c r="N1079" s="482"/>
      <c r="O1079" s="481"/>
    </row>
    <row r="1080">
      <c r="A1080" s="474"/>
      <c r="B1080" s="200"/>
      <c r="C1080" s="200"/>
      <c r="F1080" s="200"/>
      <c r="G1080" s="200"/>
      <c r="L1080" s="481"/>
      <c r="N1080" s="482"/>
      <c r="O1080" s="481"/>
    </row>
    <row r="1081">
      <c r="A1081" s="474"/>
      <c r="B1081" s="200"/>
      <c r="C1081" s="200"/>
      <c r="F1081" s="200"/>
      <c r="G1081" s="200"/>
      <c r="L1081" s="481"/>
      <c r="N1081" s="482"/>
      <c r="O1081" s="481"/>
    </row>
    <row r="1082">
      <c r="A1082" s="474"/>
      <c r="B1082" s="200"/>
      <c r="C1082" s="200"/>
      <c r="F1082" s="200"/>
      <c r="G1082" s="200"/>
      <c r="L1082" s="481"/>
      <c r="N1082" s="482"/>
      <c r="O1082" s="481"/>
    </row>
    <row r="1083">
      <c r="A1083" s="474"/>
      <c r="B1083" s="200"/>
      <c r="C1083" s="200"/>
      <c r="F1083" s="200"/>
      <c r="G1083" s="200"/>
      <c r="L1083" s="481"/>
      <c r="N1083" s="482"/>
      <c r="O1083" s="481"/>
    </row>
    <row r="1084">
      <c r="A1084" s="474"/>
      <c r="B1084" s="200"/>
      <c r="C1084" s="200"/>
      <c r="F1084" s="200"/>
      <c r="G1084" s="200"/>
      <c r="L1084" s="481"/>
      <c r="N1084" s="482"/>
      <c r="O1084" s="481"/>
    </row>
    <row r="1085">
      <c r="A1085" s="474"/>
      <c r="B1085" s="200"/>
      <c r="C1085" s="200"/>
      <c r="F1085" s="200"/>
      <c r="G1085" s="200"/>
      <c r="L1085" s="481"/>
      <c r="N1085" s="482"/>
      <c r="O1085" s="481"/>
    </row>
    <row r="1086">
      <c r="A1086" s="474"/>
      <c r="B1086" s="200"/>
      <c r="C1086" s="200"/>
      <c r="F1086" s="200"/>
      <c r="G1086" s="200"/>
      <c r="L1086" s="481"/>
      <c r="N1086" s="482"/>
      <c r="O1086" s="481"/>
    </row>
    <row r="1087">
      <c r="A1087" s="474"/>
      <c r="B1087" s="200"/>
      <c r="C1087" s="200"/>
      <c r="F1087" s="200"/>
      <c r="G1087" s="200"/>
      <c r="L1087" s="481"/>
      <c r="N1087" s="482"/>
      <c r="O1087" s="481"/>
    </row>
    <row r="1088">
      <c r="A1088" s="474"/>
      <c r="B1088" s="200"/>
      <c r="C1088" s="200"/>
      <c r="F1088" s="200"/>
      <c r="G1088" s="200"/>
      <c r="L1088" s="481"/>
      <c r="N1088" s="482"/>
      <c r="O1088" s="481"/>
    </row>
    <row r="1089">
      <c r="A1089" s="474"/>
      <c r="B1089" s="200"/>
      <c r="C1089" s="200"/>
      <c r="F1089" s="200"/>
      <c r="G1089" s="200"/>
      <c r="L1089" s="481"/>
      <c r="N1089" s="482"/>
      <c r="O1089" s="481"/>
    </row>
    <row r="1090">
      <c r="A1090" s="474"/>
      <c r="B1090" s="200"/>
      <c r="C1090" s="200"/>
      <c r="F1090" s="200"/>
      <c r="G1090" s="200"/>
      <c r="L1090" s="481"/>
      <c r="N1090" s="482"/>
      <c r="O1090" s="481"/>
    </row>
    <row r="1091">
      <c r="A1091" s="474"/>
      <c r="B1091" s="200"/>
      <c r="C1091" s="200"/>
      <c r="F1091" s="200"/>
      <c r="G1091" s="200"/>
      <c r="L1091" s="481"/>
      <c r="N1091" s="482"/>
      <c r="O1091" s="481"/>
    </row>
    <row r="1092">
      <c r="A1092" s="474"/>
      <c r="B1092" s="200"/>
      <c r="C1092" s="200"/>
      <c r="F1092" s="200"/>
      <c r="G1092" s="200"/>
      <c r="L1092" s="481"/>
      <c r="N1092" s="482"/>
      <c r="O1092" s="481"/>
    </row>
    <row r="1093">
      <c r="A1093" s="474"/>
      <c r="B1093" s="200"/>
      <c r="C1093" s="200"/>
      <c r="F1093" s="200"/>
      <c r="G1093" s="200"/>
      <c r="L1093" s="481"/>
      <c r="N1093" s="482"/>
      <c r="O1093" s="481"/>
    </row>
    <row r="1094">
      <c r="A1094" s="474"/>
      <c r="B1094" s="200"/>
      <c r="C1094" s="200"/>
      <c r="F1094" s="200"/>
      <c r="G1094" s="200"/>
      <c r="L1094" s="481"/>
      <c r="N1094" s="482"/>
      <c r="O1094" s="481"/>
    </row>
    <row r="1095">
      <c r="A1095" s="474"/>
      <c r="B1095" s="200"/>
      <c r="C1095" s="200"/>
      <c r="F1095" s="200"/>
      <c r="G1095" s="200"/>
      <c r="L1095" s="481"/>
      <c r="N1095" s="482"/>
      <c r="O1095" s="481"/>
    </row>
    <row r="1096">
      <c r="A1096" s="474"/>
      <c r="B1096" s="200"/>
      <c r="C1096" s="200"/>
      <c r="F1096" s="200"/>
      <c r="G1096" s="200"/>
      <c r="L1096" s="481"/>
      <c r="N1096" s="482"/>
      <c r="O1096" s="481"/>
    </row>
    <row r="1097">
      <c r="A1097" s="474"/>
      <c r="B1097" s="200"/>
      <c r="C1097" s="200"/>
      <c r="F1097" s="200"/>
      <c r="G1097" s="200"/>
      <c r="L1097" s="481"/>
      <c r="N1097" s="482"/>
      <c r="O1097" s="481"/>
    </row>
    <row r="1098">
      <c r="A1098" s="474"/>
      <c r="B1098" s="200"/>
      <c r="C1098" s="200"/>
      <c r="F1098" s="200"/>
      <c r="G1098" s="200"/>
      <c r="L1098" s="481"/>
      <c r="N1098" s="482"/>
      <c r="O1098" s="481"/>
    </row>
    <row r="1099">
      <c r="A1099" s="474"/>
      <c r="B1099" s="200"/>
      <c r="C1099" s="200"/>
      <c r="F1099" s="200"/>
      <c r="G1099" s="200"/>
      <c r="L1099" s="481"/>
      <c r="N1099" s="482"/>
      <c r="O1099" s="481"/>
    </row>
    <row r="1100">
      <c r="A1100" s="474"/>
      <c r="B1100" s="200"/>
      <c r="C1100" s="200"/>
      <c r="F1100" s="200"/>
      <c r="G1100" s="200"/>
      <c r="L1100" s="481"/>
      <c r="N1100" s="482"/>
      <c r="O1100" s="481"/>
    </row>
    <row r="1101">
      <c r="A1101" s="474"/>
      <c r="B1101" s="200"/>
      <c r="C1101" s="200"/>
      <c r="F1101" s="200"/>
      <c r="G1101" s="200"/>
      <c r="L1101" s="481"/>
      <c r="N1101" s="482"/>
      <c r="O1101" s="481"/>
    </row>
    <row r="1102">
      <c r="A1102" s="474"/>
      <c r="B1102" s="200"/>
      <c r="C1102" s="200"/>
      <c r="F1102" s="200"/>
      <c r="G1102" s="200"/>
      <c r="L1102" s="481"/>
      <c r="N1102" s="482"/>
      <c r="O1102" s="481"/>
    </row>
    <row r="1103">
      <c r="A1103" s="474"/>
      <c r="B1103" s="200"/>
      <c r="C1103" s="200"/>
      <c r="F1103" s="200"/>
      <c r="G1103" s="200"/>
      <c r="L1103" s="481"/>
      <c r="N1103" s="482"/>
      <c r="O1103" s="481"/>
    </row>
    <row r="1104">
      <c r="A1104" s="474"/>
      <c r="B1104" s="200"/>
      <c r="C1104" s="200"/>
      <c r="F1104" s="200"/>
      <c r="G1104" s="200"/>
      <c r="L1104" s="481"/>
      <c r="N1104" s="482"/>
      <c r="O1104" s="481"/>
    </row>
    <row r="1105">
      <c r="A1105" s="474"/>
      <c r="B1105" s="200"/>
      <c r="C1105" s="200"/>
      <c r="F1105" s="200"/>
      <c r="G1105" s="200"/>
      <c r="L1105" s="481"/>
      <c r="N1105" s="482"/>
      <c r="O1105" s="481"/>
    </row>
    <row r="1106">
      <c r="A1106" s="474"/>
      <c r="B1106" s="200"/>
      <c r="C1106" s="200"/>
      <c r="F1106" s="200"/>
      <c r="G1106" s="200"/>
      <c r="L1106" s="481"/>
      <c r="N1106" s="482"/>
      <c r="O1106" s="481"/>
    </row>
    <row r="1107">
      <c r="A1107" s="474"/>
      <c r="B1107" s="200"/>
      <c r="C1107" s="200"/>
      <c r="F1107" s="200"/>
      <c r="G1107" s="200"/>
      <c r="L1107" s="481"/>
      <c r="N1107" s="482"/>
      <c r="O1107" s="481"/>
    </row>
    <row r="1108">
      <c r="A1108" s="474"/>
      <c r="B1108" s="200"/>
      <c r="C1108" s="200"/>
      <c r="F1108" s="200"/>
      <c r="G1108" s="200"/>
      <c r="L1108" s="481"/>
      <c r="N1108" s="482"/>
      <c r="O1108" s="481"/>
    </row>
    <row r="1109">
      <c r="A1109" s="474"/>
      <c r="B1109" s="200"/>
      <c r="C1109" s="200"/>
      <c r="F1109" s="200"/>
      <c r="G1109" s="200"/>
      <c r="L1109" s="481"/>
      <c r="N1109" s="482"/>
      <c r="O1109" s="481"/>
    </row>
    <row r="1110">
      <c r="A1110" s="474"/>
      <c r="B1110" s="200"/>
      <c r="C1110" s="200"/>
      <c r="F1110" s="200"/>
      <c r="G1110" s="200"/>
      <c r="L1110" s="481"/>
      <c r="N1110" s="482"/>
      <c r="O1110" s="481"/>
    </row>
    <row r="1111">
      <c r="A1111" s="474"/>
      <c r="B1111" s="200"/>
      <c r="C1111" s="200"/>
      <c r="F1111" s="200"/>
      <c r="G1111" s="200"/>
      <c r="L1111" s="481"/>
      <c r="N1111" s="482"/>
      <c r="O1111" s="481"/>
    </row>
    <row r="1112">
      <c r="A1112" s="474"/>
      <c r="B1112" s="200"/>
      <c r="C1112" s="200"/>
      <c r="F1112" s="200"/>
      <c r="G1112" s="200"/>
      <c r="L1112" s="481"/>
      <c r="N1112" s="482"/>
      <c r="O1112" s="481"/>
    </row>
    <row r="1113">
      <c r="A1113" s="474"/>
      <c r="B1113" s="200"/>
      <c r="C1113" s="200"/>
      <c r="F1113" s="200"/>
      <c r="G1113" s="200"/>
      <c r="L1113" s="481"/>
      <c r="N1113" s="482"/>
      <c r="O1113" s="481"/>
    </row>
    <row r="1114">
      <c r="A1114" s="474"/>
      <c r="B1114" s="200"/>
      <c r="C1114" s="200"/>
      <c r="F1114" s="200"/>
      <c r="G1114" s="200"/>
      <c r="L1114" s="481"/>
      <c r="N1114" s="482"/>
      <c r="O1114" s="481"/>
    </row>
    <row r="1115">
      <c r="A1115" s="474"/>
      <c r="B1115" s="200"/>
      <c r="C1115" s="200"/>
      <c r="F1115" s="200"/>
      <c r="G1115" s="200"/>
      <c r="L1115" s="481"/>
      <c r="N1115" s="482"/>
      <c r="O1115" s="481"/>
    </row>
    <row r="1116">
      <c r="A1116" s="474"/>
      <c r="B1116" s="200"/>
      <c r="C1116" s="200"/>
      <c r="F1116" s="200"/>
      <c r="G1116" s="200"/>
      <c r="L1116" s="481"/>
      <c r="N1116" s="482"/>
      <c r="O1116" s="481"/>
    </row>
    <row r="1117">
      <c r="A1117" s="474"/>
      <c r="B1117" s="200"/>
      <c r="C1117" s="200"/>
      <c r="F1117" s="200"/>
      <c r="G1117" s="200"/>
      <c r="L1117" s="481"/>
      <c r="N1117" s="482"/>
      <c r="O1117" s="481"/>
    </row>
    <row r="1118">
      <c r="A1118" s="474"/>
      <c r="B1118" s="200"/>
      <c r="C1118" s="200"/>
      <c r="F1118" s="200"/>
      <c r="G1118" s="200"/>
      <c r="L1118" s="481"/>
      <c r="N1118" s="482"/>
      <c r="O1118" s="481"/>
    </row>
    <row r="1119">
      <c r="A1119" s="474"/>
      <c r="B1119" s="200"/>
      <c r="C1119" s="200"/>
      <c r="F1119" s="200"/>
      <c r="G1119" s="200"/>
      <c r="L1119" s="481"/>
      <c r="N1119" s="482"/>
      <c r="O1119" s="481"/>
    </row>
    <row r="1120">
      <c r="A1120" s="474"/>
      <c r="B1120" s="200"/>
      <c r="C1120" s="200"/>
      <c r="F1120" s="200"/>
      <c r="G1120" s="200"/>
      <c r="L1120" s="481"/>
      <c r="N1120" s="482"/>
      <c r="O1120" s="481"/>
    </row>
    <row r="1121">
      <c r="A1121" s="474"/>
      <c r="B1121" s="200"/>
      <c r="C1121" s="200"/>
      <c r="F1121" s="200"/>
      <c r="G1121" s="200"/>
      <c r="L1121" s="481"/>
      <c r="N1121" s="482"/>
      <c r="O1121" s="481"/>
    </row>
    <row r="1122">
      <c r="A1122" s="474"/>
      <c r="B1122" s="200"/>
      <c r="C1122" s="200"/>
      <c r="F1122" s="200"/>
      <c r="G1122" s="200"/>
      <c r="L1122" s="481"/>
      <c r="N1122" s="482"/>
      <c r="O1122" s="481"/>
    </row>
    <row r="1123">
      <c r="A1123" s="474"/>
      <c r="B1123" s="200"/>
      <c r="C1123" s="200"/>
      <c r="F1123" s="200"/>
      <c r="G1123" s="200"/>
      <c r="L1123" s="481"/>
      <c r="N1123" s="482"/>
      <c r="O1123" s="481"/>
    </row>
    <row r="1124">
      <c r="A1124" s="474"/>
      <c r="B1124" s="200"/>
      <c r="C1124" s="200"/>
      <c r="F1124" s="200"/>
      <c r="G1124" s="200"/>
      <c r="L1124" s="481"/>
      <c r="N1124" s="482"/>
      <c r="O1124" s="481"/>
    </row>
    <row r="1125">
      <c r="A1125" s="474"/>
      <c r="B1125" s="200"/>
      <c r="C1125" s="200"/>
      <c r="F1125" s="200"/>
      <c r="G1125" s="200"/>
      <c r="L1125" s="481"/>
      <c r="N1125" s="482"/>
      <c r="O1125" s="481"/>
    </row>
    <row r="1126">
      <c r="A1126" s="474"/>
      <c r="B1126" s="200"/>
      <c r="C1126" s="200"/>
      <c r="F1126" s="200"/>
      <c r="G1126" s="200"/>
      <c r="L1126" s="481"/>
      <c r="N1126" s="482"/>
      <c r="O1126" s="481"/>
    </row>
    <row r="1127">
      <c r="A1127" s="474"/>
      <c r="B1127" s="200"/>
      <c r="C1127" s="200"/>
      <c r="F1127" s="200"/>
      <c r="G1127" s="200"/>
      <c r="L1127" s="481"/>
      <c r="N1127" s="482"/>
      <c r="O1127" s="481"/>
    </row>
    <row r="1128">
      <c r="A1128" s="474"/>
      <c r="B1128" s="200"/>
      <c r="C1128" s="200"/>
      <c r="F1128" s="200"/>
      <c r="G1128" s="200"/>
      <c r="L1128" s="481"/>
      <c r="N1128" s="482"/>
      <c r="O1128" s="481"/>
    </row>
    <row r="1129">
      <c r="A1129" s="474"/>
      <c r="B1129" s="200"/>
      <c r="C1129" s="200"/>
      <c r="F1129" s="200"/>
      <c r="G1129" s="200"/>
      <c r="L1129" s="481"/>
      <c r="N1129" s="482"/>
      <c r="O1129" s="481"/>
    </row>
    <row r="1130">
      <c r="A1130" s="474"/>
      <c r="B1130" s="200"/>
      <c r="C1130" s="200"/>
      <c r="F1130" s="200"/>
      <c r="G1130" s="200"/>
      <c r="L1130" s="481"/>
      <c r="N1130" s="482"/>
      <c r="O1130" s="481"/>
    </row>
    <row r="1131">
      <c r="A1131" s="474"/>
      <c r="B1131" s="200"/>
      <c r="C1131" s="200"/>
      <c r="F1131" s="200"/>
      <c r="G1131" s="200"/>
      <c r="L1131" s="481"/>
      <c r="N1131" s="482"/>
      <c r="O1131" s="481"/>
    </row>
    <row r="1132">
      <c r="A1132" s="474"/>
      <c r="B1132" s="200"/>
      <c r="C1132" s="200"/>
      <c r="F1132" s="200"/>
      <c r="G1132" s="200"/>
      <c r="L1132" s="481"/>
      <c r="N1132" s="482"/>
      <c r="O1132" s="481"/>
    </row>
    <row r="1133">
      <c r="A1133" s="474"/>
      <c r="B1133" s="200"/>
      <c r="C1133" s="200"/>
      <c r="F1133" s="200"/>
      <c r="G1133" s="200"/>
      <c r="L1133" s="481"/>
      <c r="N1133" s="482"/>
      <c r="O1133" s="481"/>
    </row>
    <row r="1134">
      <c r="A1134" s="474"/>
      <c r="B1134" s="200"/>
      <c r="C1134" s="200"/>
      <c r="F1134" s="200"/>
      <c r="G1134" s="200"/>
      <c r="L1134" s="481"/>
      <c r="N1134" s="482"/>
      <c r="O1134" s="481"/>
    </row>
    <row r="1135">
      <c r="A1135" s="474"/>
      <c r="B1135" s="200"/>
      <c r="C1135" s="200"/>
      <c r="F1135" s="200"/>
      <c r="G1135" s="200"/>
      <c r="L1135" s="481"/>
      <c r="N1135" s="482"/>
      <c r="O1135" s="481"/>
    </row>
    <row r="1136">
      <c r="A1136" s="474"/>
      <c r="B1136" s="200"/>
      <c r="C1136" s="200"/>
      <c r="F1136" s="200"/>
      <c r="G1136" s="200"/>
      <c r="L1136" s="481"/>
      <c r="N1136" s="482"/>
      <c r="O1136" s="481"/>
    </row>
    <row r="1137">
      <c r="A1137" s="474"/>
      <c r="B1137" s="200"/>
      <c r="C1137" s="200"/>
      <c r="F1137" s="200"/>
      <c r="G1137" s="200"/>
      <c r="L1137" s="481"/>
      <c r="N1137" s="482"/>
      <c r="O1137" s="481"/>
    </row>
    <row r="1138">
      <c r="A1138" s="474"/>
      <c r="B1138" s="200"/>
      <c r="C1138" s="200"/>
      <c r="F1138" s="200"/>
      <c r="G1138" s="200"/>
      <c r="L1138" s="481"/>
      <c r="N1138" s="482"/>
      <c r="O1138" s="481"/>
    </row>
    <row r="1139">
      <c r="A1139" s="474"/>
      <c r="B1139" s="200"/>
      <c r="C1139" s="200"/>
      <c r="F1139" s="200"/>
      <c r="G1139" s="200"/>
      <c r="L1139" s="481"/>
      <c r="N1139" s="482"/>
      <c r="O1139" s="481"/>
    </row>
    <row r="1140">
      <c r="A1140" s="474"/>
      <c r="B1140" s="200"/>
      <c r="C1140" s="200"/>
      <c r="F1140" s="200"/>
      <c r="G1140" s="200"/>
      <c r="L1140" s="481"/>
      <c r="N1140" s="482"/>
      <c r="O1140" s="481"/>
    </row>
    <row r="1141">
      <c r="A1141" s="474"/>
      <c r="B1141" s="200"/>
      <c r="C1141" s="200"/>
      <c r="F1141" s="200"/>
      <c r="G1141" s="200"/>
      <c r="L1141" s="481"/>
      <c r="N1141" s="482"/>
      <c r="O1141" s="481"/>
    </row>
    <row r="1142">
      <c r="A1142" s="474"/>
      <c r="B1142" s="200"/>
      <c r="C1142" s="200"/>
      <c r="F1142" s="200"/>
      <c r="G1142" s="200"/>
      <c r="L1142" s="481"/>
      <c r="N1142" s="482"/>
      <c r="O1142" s="481"/>
    </row>
    <row r="1143">
      <c r="A1143" s="474"/>
      <c r="B1143" s="200"/>
      <c r="C1143" s="200"/>
      <c r="F1143" s="200"/>
      <c r="G1143" s="200"/>
      <c r="L1143" s="481"/>
      <c r="N1143" s="482"/>
      <c r="O1143" s="481"/>
    </row>
    <row r="1144">
      <c r="A1144" s="474"/>
      <c r="B1144" s="200"/>
      <c r="C1144" s="200"/>
      <c r="F1144" s="200"/>
      <c r="G1144" s="200"/>
      <c r="L1144" s="481"/>
      <c r="N1144" s="482"/>
      <c r="O1144" s="481"/>
    </row>
    <row r="1145">
      <c r="A1145" s="474"/>
      <c r="B1145" s="200"/>
      <c r="C1145" s="200"/>
      <c r="F1145" s="200"/>
      <c r="G1145" s="200"/>
      <c r="L1145" s="481"/>
      <c r="N1145" s="482"/>
      <c r="O1145" s="481"/>
    </row>
    <row r="1146">
      <c r="A1146" s="474"/>
      <c r="B1146" s="200"/>
      <c r="C1146" s="200"/>
      <c r="F1146" s="200"/>
      <c r="G1146" s="200"/>
      <c r="L1146" s="481"/>
      <c r="N1146" s="482"/>
      <c r="O1146" s="481"/>
    </row>
    <row r="1147">
      <c r="A1147" s="474"/>
      <c r="B1147" s="200"/>
      <c r="C1147" s="200"/>
      <c r="F1147" s="200"/>
      <c r="G1147" s="200"/>
      <c r="L1147" s="481"/>
      <c r="N1147" s="482"/>
      <c r="O1147" s="481"/>
    </row>
    <row r="1148">
      <c r="A1148" s="474"/>
      <c r="B1148" s="200"/>
      <c r="C1148" s="200"/>
      <c r="F1148" s="200"/>
      <c r="G1148" s="200"/>
      <c r="L1148" s="481"/>
      <c r="N1148" s="482"/>
      <c r="O1148" s="481"/>
    </row>
    <row r="1149">
      <c r="A1149" s="474"/>
      <c r="B1149" s="200"/>
      <c r="C1149" s="200"/>
      <c r="F1149" s="200"/>
      <c r="G1149" s="200"/>
      <c r="L1149" s="481"/>
      <c r="N1149" s="482"/>
      <c r="O1149" s="481"/>
    </row>
    <row r="1150">
      <c r="A1150" s="474"/>
      <c r="B1150" s="200"/>
      <c r="C1150" s="200"/>
      <c r="F1150" s="200"/>
      <c r="G1150" s="200"/>
      <c r="L1150" s="481"/>
      <c r="N1150" s="482"/>
      <c r="O1150" s="481"/>
    </row>
    <row r="1151">
      <c r="A1151" s="474"/>
      <c r="B1151" s="200"/>
      <c r="C1151" s="200"/>
      <c r="F1151" s="200"/>
      <c r="G1151" s="200"/>
      <c r="L1151" s="481"/>
      <c r="N1151" s="482"/>
      <c r="O1151" s="481"/>
    </row>
    <row r="1152">
      <c r="A1152" s="474"/>
      <c r="B1152" s="200"/>
      <c r="C1152" s="200"/>
      <c r="F1152" s="200"/>
      <c r="G1152" s="200"/>
      <c r="L1152" s="481"/>
      <c r="N1152" s="482"/>
      <c r="O1152" s="481"/>
    </row>
    <row r="1153">
      <c r="A1153" s="474"/>
      <c r="B1153" s="200"/>
      <c r="C1153" s="200"/>
      <c r="F1153" s="200"/>
      <c r="G1153" s="200"/>
      <c r="L1153" s="481"/>
      <c r="N1153" s="482"/>
      <c r="O1153" s="481"/>
    </row>
    <row r="1154">
      <c r="A1154" s="474"/>
      <c r="B1154" s="200"/>
      <c r="C1154" s="200"/>
      <c r="F1154" s="200"/>
      <c r="G1154" s="200"/>
      <c r="L1154" s="481"/>
      <c r="N1154" s="482"/>
      <c r="O1154" s="481"/>
    </row>
    <row r="1155">
      <c r="A1155" s="474"/>
      <c r="B1155" s="200"/>
      <c r="C1155" s="200"/>
      <c r="F1155" s="200"/>
      <c r="G1155" s="200"/>
      <c r="L1155" s="481"/>
      <c r="N1155" s="482"/>
      <c r="O1155" s="481"/>
    </row>
    <row r="1156">
      <c r="A1156" s="474"/>
      <c r="B1156" s="200"/>
      <c r="C1156" s="200"/>
      <c r="F1156" s="200"/>
      <c r="G1156" s="200"/>
      <c r="L1156" s="481"/>
      <c r="N1156" s="482"/>
      <c r="O1156" s="481"/>
    </row>
    <row r="1157">
      <c r="A1157" s="474"/>
      <c r="B1157" s="200"/>
      <c r="C1157" s="200"/>
      <c r="F1157" s="200"/>
      <c r="G1157" s="200"/>
      <c r="L1157" s="481"/>
      <c r="N1157" s="482"/>
      <c r="O1157" s="481"/>
    </row>
    <row r="1158">
      <c r="A1158" s="474"/>
      <c r="B1158" s="200"/>
      <c r="C1158" s="200"/>
      <c r="F1158" s="200"/>
      <c r="G1158" s="200"/>
      <c r="L1158" s="481"/>
      <c r="N1158" s="482"/>
      <c r="O1158" s="481"/>
    </row>
    <row r="1159">
      <c r="A1159" s="474"/>
      <c r="B1159" s="200"/>
      <c r="C1159" s="200"/>
      <c r="F1159" s="200"/>
      <c r="G1159" s="200"/>
      <c r="L1159" s="481"/>
      <c r="N1159" s="482"/>
      <c r="O1159" s="481"/>
    </row>
    <row r="1160">
      <c r="A1160" s="474"/>
      <c r="B1160" s="200"/>
      <c r="C1160" s="200"/>
      <c r="F1160" s="200"/>
      <c r="G1160" s="200"/>
      <c r="L1160" s="481"/>
      <c r="N1160" s="482"/>
      <c r="O1160" s="481"/>
    </row>
    <row r="1161">
      <c r="A1161" s="474"/>
      <c r="B1161" s="200"/>
      <c r="C1161" s="200"/>
      <c r="F1161" s="200"/>
      <c r="G1161" s="200"/>
      <c r="L1161" s="481"/>
      <c r="N1161" s="482"/>
      <c r="O1161" s="481"/>
    </row>
    <row r="1162">
      <c r="A1162" s="474"/>
      <c r="B1162" s="200"/>
      <c r="C1162" s="200"/>
      <c r="F1162" s="200"/>
      <c r="G1162" s="200"/>
      <c r="L1162" s="481"/>
      <c r="N1162" s="482"/>
      <c r="O1162" s="481"/>
    </row>
    <row r="1163">
      <c r="A1163" s="474"/>
      <c r="B1163" s="200"/>
      <c r="C1163" s="200"/>
      <c r="F1163" s="200"/>
      <c r="G1163" s="200"/>
      <c r="L1163" s="481"/>
      <c r="N1163" s="482"/>
      <c r="O1163" s="481"/>
    </row>
    <row r="1164">
      <c r="A1164" s="474"/>
      <c r="B1164" s="200"/>
      <c r="C1164" s="200"/>
      <c r="F1164" s="200"/>
      <c r="G1164" s="200"/>
      <c r="L1164" s="481"/>
      <c r="N1164" s="482"/>
      <c r="O1164" s="481"/>
    </row>
    <row r="1165">
      <c r="A1165" s="474"/>
      <c r="B1165" s="200"/>
      <c r="C1165" s="200"/>
      <c r="F1165" s="200"/>
      <c r="G1165" s="200"/>
      <c r="L1165" s="481"/>
      <c r="N1165" s="482"/>
      <c r="O1165" s="481"/>
    </row>
    <row r="1166">
      <c r="A1166" s="474"/>
      <c r="B1166" s="200"/>
      <c r="C1166" s="200"/>
      <c r="F1166" s="200"/>
      <c r="G1166" s="200"/>
      <c r="L1166" s="481"/>
      <c r="N1166" s="482"/>
      <c r="O1166" s="481"/>
    </row>
    <row r="1167">
      <c r="A1167" s="474"/>
      <c r="B1167" s="200"/>
      <c r="C1167" s="200"/>
      <c r="F1167" s="200"/>
      <c r="G1167" s="200"/>
      <c r="L1167" s="481"/>
      <c r="N1167" s="482"/>
      <c r="O1167" s="481"/>
    </row>
    <row r="1168">
      <c r="A1168" s="474"/>
      <c r="B1168" s="200"/>
      <c r="C1168" s="200"/>
      <c r="F1168" s="200"/>
      <c r="G1168" s="200"/>
      <c r="L1168" s="481"/>
      <c r="N1168" s="482"/>
      <c r="O1168" s="481"/>
    </row>
    <row r="1169">
      <c r="A1169" s="474"/>
      <c r="B1169" s="200"/>
      <c r="C1169" s="200"/>
      <c r="F1169" s="200"/>
      <c r="G1169" s="200"/>
      <c r="L1169" s="481"/>
      <c r="N1169" s="482"/>
      <c r="O1169" s="481"/>
    </row>
    <row r="1170">
      <c r="A1170" s="474"/>
      <c r="B1170" s="200"/>
      <c r="C1170" s="200"/>
      <c r="F1170" s="200"/>
      <c r="G1170" s="200"/>
      <c r="L1170" s="481"/>
      <c r="N1170" s="482"/>
      <c r="O1170" s="481"/>
    </row>
    <row r="1171">
      <c r="A1171" s="474"/>
      <c r="B1171" s="200"/>
      <c r="C1171" s="200"/>
      <c r="F1171" s="200"/>
      <c r="G1171" s="200"/>
      <c r="L1171" s="481"/>
      <c r="N1171" s="482"/>
      <c r="O1171" s="481"/>
    </row>
    <row r="1172">
      <c r="A1172" s="474"/>
      <c r="B1172" s="200"/>
      <c r="C1172" s="200"/>
      <c r="F1172" s="200"/>
      <c r="G1172" s="200"/>
      <c r="L1172" s="481"/>
      <c r="N1172" s="482"/>
      <c r="O1172" s="481"/>
    </row>
    <row r="1173">
      <c r="A1173" s="474"/>
      <c r="B1173" s="200"/>
      <c r="C1173" s="200"/>
      <c r="F1173" s="200"/>
      <c r="G1173" s="200"/>
      <c r="L1173" s="481"/>
      <c r="N1173" s="482"/>
      <c r="O1173" s="481"/>
    </row>
    <row r="1174">
      <c r="A1174" s="474"/>
      <c r="B1174" s="200"/>
      <c r="C1174" s="200"/>
      <c r="F1174" s="200"/>
      <c r="G1174" s="200"/>
      <c r="L1174" s="481"/>
      <c r="N1174" s="482"/>
      <c r="O1174" s="481"/>
    </row>
    <row r="1175">
      <c r="A1175" s="474"/>
      <c r="B1175" s="200"/>
      <c r="C1175" s="200"/>
      <c r="F1175" s="200"/>
      <c r="G1175" s="200"/>
      <c r="L1175" s="481"/>
      <c r="N1175" s="482"/>
      <c r="O1175" s="481"/>
    </row>
    <row r="1176">
      <c r="A1176" s="474"/>
      <c r="B1176" s="200"/>
      <c r="C1176" s="200"/>
      <c r="F1176" s="200"/>
      <c r="G1176" s="200"/>
      <c r="L1176" s="481"/>
      <c r="N1176" s="482"/>
      <c r="O1176" s="481"/>
    </row>
    <row r="1177">
      <c r="A1177" s="474"/>
      <c r="B1177" s="200"/>
      <c r="C1177" s="200"/>
      <c r="F1177" s="200"/>
      <c r="G1177" s="200"/>
      <c r="L1177" s="481"/>
      <c r="N1177" s="482"/>
      <c r="O1177" s="481"/>
    </row>
    <row r="1178">
      <c r="A1178" s="474"/>
      <c r="B1178" s="200"/>
      <c r="C1178" s="200"/>
      <c r="F1178" s="200"/>
      <c r="G1178" s="200"/>
      <c r="L1178" s="481"/>
      <c r="N1178" s="482"/>
      <c r="O1178" s="481"/>
    </row>
    <row r="1179">
      <c r="A1179" s="474"/>
      <c r="B1179" s="200"/>
      <c r="C1179" s="200"/>
      <c r="F1179" s="200"/>
      <c r="G1179" s="200"/>
      <c r="L1179" s="481"/>
      <c r="N1179" s="482"/>
      <c r="O1179" s="481"/>
    </row>
    <row r="1180">
      <c r="A1180" s="474"/>
      <c r="B1180" s="200"/>
      <c r="C1180" s="200"/>
      <c r="F1180" s="200"/>
      <c r="G1180" s="200"/>
      <c r="L1180" s="481"/>
      <c r="N1180" s="482"/>
      <c r="O1180" s="481"/>
    </row>
    <row r="1181">
      <c r="A1181" s="474"/>
      <c r="B1181" s="200"/>
      <c r="C1181" s="200"/>
      <c r="F1181" s="200"/>
      <c r="G1181" s="200"/>
      <c r="L1181" s="481"/>
      <c r="N1181" s="482"/>
      <c r="O1181" s="481"/>
    </row>
    <row r="1182">
      <c r="A1182" s="474"/>
      <c r="B1182" s="200"/>
      <c r="C1182" s="200"/>
      <c r="F1182" s="200"/>
      <c r="G1182" s="200"/>
      <c r="L1182" s="481"/>
      <c r="N1182" s="482"/>
      <c r="O1182" s="481"/>
    </row>
    <row r="1183">
      <c r="A1183" s="474"/>
      <c r="B1183" s="200"/>
      <c r="C1183" s="200"/>
      <c r="F1183" s="200"/>
      <c r="G1183" s="200"/>
      <c r="L1183" s="481"/>
      <c r="N1183" s="482"/>
      <c r="O1183" s="481"/>
    </row>
    <row r="1184">
      <c r="A1184" s="474"/>
      <c r="B1184" s="200"/>
      <c r="C1184" s="200"/>
      <c r="F1184" s="200"/>
      <c r="G1184" s="200"/>
      <c r="L1184" s="481"/>
      <c r="N1184" s="482"/>
      <c r="O1184" s="481"/>
    </row>
    <row r="1185">
      <c r="A1185" s="474"/>
      <c r="B1185" s="200"/>
      <c r="C1185" s="200"/>
      <c r="F1185" s="200"/>
      <c r="G1185" s="200"/>
      <c r="L1185" s="481"/>
      <c r="N1185" s="482"/>
      <c r="O1185" s="481"/>
    </row>
    <row r="1186">
      <c r="A1186" s="474"/>
      <c r="B1186" s="200"/>
      <c r="C1186" s="200"/>
      <c r="F1186" s="200"/>
      <c r="G1186" s="200"/>
      <c r="L1186" s="481"/>
      <c r="N1186" s="482"/>
      <c r="O1186" s="481"/>
    </row>
  </sheetData>
  <mergeCells count="3">
    <mergeCell ref="A1:D1"/>
    <mergeCell ref="F1:G1"/>
    <mergeCell ref="J1:R1"/>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7" t="s">
        <v>1</v>
      </c>
      <c r="B1" s="483" t="s">
        <v>197</v>
      </c>
    </row>
    <row r="2">
      <c r="A2" s="484">
        <v>46170.0</v>
      </c>
      <c r="B2" s="485" t="str">
        <f>IF(SUMIF(GRAFICO!A:A,A2,GRAFICO!B:B)&gt;1,SUMIF(GRAFICO!A:A,A2,GRAFICO!B:B),"")</f>
        <v/>
      </c>
    </row>
    <row r="3">
      <c r="A3" s="484">
        <v>46169.0</v>
      </c>
      <c r="B3" s="485" t="str">
        <f>IF(SUMIF(GRAFICO!A:A,A3,GRAFICO!B:B)&gt;1,SUMIF(GRAFICO!A:A,A3,GRAFICO!B:B),"")</f>
        <v/>
      </c>
    </row>
    <row r="4">
      <c r="A4" s="484">
        <v>46168.0</v>
      </c>
      <c r="B4" s="485" t="str">
        <f>IF(SUMIF(GRAFICO!A:A,A4,GRAFICO!B:B)&gt;1,SUMIF(GRAFICO!A:A,A4,GRAFICO!B:B),"")</f>
        <v/>
      </c>
    </row>
    <row r="5">
      <c r="A5" s="484">
        <v>46167.0</v>
      </c>
      <c r="B5" s="485" t="str">
        <f>IF(SUMIF(GRAFICO!A:A,A5,GRAFICO!B:B)&gt;1,SUMIF(GRAFICO!A:A,A5,GRAFICO!B:B),"")</f>
        <v/>
      </c>
    </row>
    <row r="6">
      <c r="A6" s="484">
        <v>46166.0</v>
      </c>
      <c r="B6" s="485" t="str">
        <f>IF(SUMIF(GRAFICO!A:A,A6,GRAFICO!B:B)&gt;1,SUMIF(GRAFICO!A:A,A6,GRAFICO!B:B),"")</f>
        <v/>
      </c>
    </row>
    <row r="7">
      <c r="A7" s="484">
        <v>46165.0</v>
      </c>
      <c r="B7" s="485" t="str">
        <f>IF(SUMIF(GRAFICO!A:A,A7,GRAFICO!B:B)&gt;1,SUMIF(GRAFICO!A:A,A7,GRAFICO!B:B),"")</f>
        <v/>
      </c>
    </row>
    <row r="8">
      <c r="A8" s="484">
        <v>46164.0</v>
      </c>
      <c r="B8" s="485" t="str">
        <f>IF(SUMIF(GRAFICO!A:A,A8,GRAFICO!B:B)&gt;1,SUMIF(GRAFICO!A:A,A8,GRAFICO!B:B),"")</f>
        <v/>
      </c>
    </row>
    <row r="9">
      <c r="A9" s="484">
        <v>46163.0</v>
      </c>
      <c r="B9" s="485" t="str">
        <f>IF(SUMIF(GRAFICO!A:A,A9,GRAFICO!B:B)&gt;1,SUMIF(GRAFICO!A:A,A9,GRAFICO!B:B),"")</f>
        <v/>
      </c>
    </row>
    <row r="10">
      <c r="A10" s="484">
        <v>46162.0</v>
      </c>
      <c r="B10" s="485" t="str">
        <f>IF(SUMIF(GRAFICO!A:A,A10,GRAFICO!B:B)&gt;1,SUMIF(GRAFICO!A:A,A10,GRAFICO!B:B),"")</f>
        <v/>
      </c>
    </row>
    <row r="11">
      <c r="A11" s="484">
        <v>46161.0</v>
      </c>
      <c r="B11" s="485" t="str">
        <f>IF(SUMIF(GRAFICO!A:A,A11,GRAFICO!B:B)&gt;1,SUMIF(GRAFICO!A:A,A11,GRAFICO!B:B),"")</f>
        <v/>
      </c>
    </row>
    <row r="12">
      <c r="A12" s="484">
        <v>46160.0</v>
      </c>
      <c r="B12" s="485" t="str">
        <f>IF(SUMIF(GRAFICO!A:A,A12,GRAFICO!B:B)&gt;1,SUMIF(GRAFICO!A:A,A12,GRAFICO!B:B),"")</f>
        <v/>
      </c>
    </row>
    <row r="13">
      <c r="A13" s="484">
        <v>46159.0</v>
      </c>
      <c r="B13" s="485" t="str">
        <f>IF(SUMIF(GRAFICO!A:A,A13,GRAFICO!B:B)&gt;1,SUMIF(GRAFICO!A:A,A13,GRAFICO!B:B),"")</f>
        <v/>
      </c>
    </row>
    <row r="14">
      <c r="A14" s="484">
        <v>46158.0</v>
      </c>
      <c r="B14" s="485" t="str">
        <f>IF(SUMIF(GRAFICO!A:A,A14,GRAFICO!B:B)&gt;1,SUMIF(GRAFICO!A:A,A14,GRAFICO!B:B),"")</f>
        <v/>
      </c>
    </row>
    <row r="15">
      <c r="A15" s="484">
        <v>46157.0</v>
      </c>
      <c r="B15" s="485" t="str">
        <f>IF(SUMIF(GRAFICO!A:A,A15,GRAFICO!B:B)&gt;1,SUMIF(GRAFICO!A:A,A15,GRAFICO!B:B),"")</f>
        <v/>
      </c>
    </row>
    <row r="16">
      <c r="A16" s="484">
        <v>46156.0</v>
      </c>
      <c r="B16" s="485" t="str">
        <f>IF(SUMIF(GRAFICO!A:A,A16,GRAFICO!B:B)&gt;1,SUMIF(GRAFICO!A:A,A16,GRAFICO!B:B),"")</f>
        <v/>
      </c>
    </row>
    <row r="17">
      <c r="A17" s="484">
        <v>46155.0</v>
      </c>
      <c r="B17" s="485" t="str">
        <f>IF(SUMIF(GRAFICO!A:A,A17,GRAFICO!B:B)&gt;1,SUMIF(GRAFICO!A:A,A17,GRAFICO!B:B),"")</f>
        <v/>
      </c>
    </row>
    <row r="18">
      <c r="A18" s="484">
        <v>46154.0</v>
      </c>
      <c r="B18" s="485" t="str">
        <f>IF(SUMIF(GRAFICO!A:A,A18,GRAFICO!B:B)&gt;1,SUMIF(GRAFICO!A:A,A18,GRAFICO!B:B),"")</f>
        <v/>
      </c>
    </row>
    <row r="19">
      <c r="A19" s="484">
        <v>46153.0</v>
      </c>
      <c r="B19" s="485" t="str">
        <f>IF(SUMIF(GRAFICO!A:A,A19,GRAFICO!B:B)&gt;1,SUMIF(GRAFICO!A:A,A19,GRAFICO!B:B),"")</f>
        <v/>
      </c>
    </row>
    <row r="20">
      <c r="A20" s="484">
        <v>46152.0</v>
      </c>
      <c r="B20" s="485" t="str">
        <f>IF(SUMIF(GRAFICO!A:A,A20,GRAFICO!B:B)&gt;1,SUMIF(GRAFICO!A:A,A20,GRAFICO!B:B),"")</f>
        <v/>
      </c>
    </row>
    <row r="21">
      <c r="A21" s="484">
        <v>46151.0</v>
      </c>
      <c r="B21" s="485" t="str">
        <f>IF(SUMIF(GRAFICO!A:A,A21,GRAFICO!B:B)&gt;1,SUMIF(GRAFICO!A:A,A21,GRAFICO!B:B),"")</f>
        <v/>
      </c>
    </row>
    <row r="22">
      <c r="A22" s="484">
        <v>46150.0</v>
      </c>
      <c r="B22" s="485" t="str">
        <f>IF(SUMIF(GRAFICO!A:A,A22,GRAFICO!B:B)&gt;1,SUMIF(GRAFICO!A:A,A22,GRAFICO!B:B),"")</f>
        <v/>
      </c>
    </row>
    <row r="23">
      <c r="A23" s="484">
        <v>46149.0</v>
      </c>
      <c r="B23" s="485" t="str">
        <f>IF(SUMIF(GRAFICO!A:A,A23,GRAFICO!B:B)&gt;1,SUMIF(GRAFICO!A:A,A23,GRAFICO!B:B),"")</f>
        <v/>
      </c>
    </row>
    <row r="24">
      <c r="A24" s="484">
        <v>46148.0</v>
      </c>
      <c r="B24" s="485" t="str">
        <f>IF(SUMIF(GRAFICO!A:A,A24,GRAFICO!B:B)&gt;1,SUMIF(GRAFICO!A:A,A24,GRAFICO!B:B),"")</f>
        <v/>
      </c>
    </row>
    <row r="25">
      <c r="A25" s="484">
        <v>46147.0</v>
      </c>
      <c r="B25" s="485" t="str">
        <f>IF(SUMIF(GRAFICO!A:A,A25,GRAFICO!B:B)&gt;1,SUMIF(GRAFICO!A:A,A25,GRAFICO!B:B),"")</f>
        <v/>
      </c>
    </row>
    <row r="26">
      <c r="A26" s="484">
        <v>46146.0</v>
      </c>
      <c r="B26" s="485" t="str">
        <f>IF(SUMIF(GRAFICO!A:A,A26,GRAFICO!B:B)&gt;1,SUMIF(GRAFICO!A:A,A26,GRAFICO!B:B),"")</f>
        <v/>
      </c>
    </row>
    <row r="27">
      <c r="A27" s="484">
        <v>46145.0</v>
      </c>
      <c r="B27" s="485" t="str">
        <f>IF(SUMIF(GRAFICO!A:A,A27,GRAFICO!B:B)&gt;1,SUMIF(GRAFICO!A:A,A27,GRAFICO!B:B),"")</f>
        <v/>
      </c>
    </row>
    <row r="28">
      <c r="A28" s="484">
        <v>46144.0</v>
      </c>
      <c r="B28" s="485" t="str">
        <f>IF(SUMIF(GRAFICO!A:A,A28,GRAFICO!B:B)&gt;1,SUMIF(GRAFICO!A:A,A28,GRAFICO!B:B),"")</f>
        <v/>
      </c>
    </row>
    <row r="29">
      <c r="A29" s="484">
        <v>46143.0</v>
      </c>
      <c r="B29" s="485" t="str">
        <f>IF(SUMIF(GRAFICO!A:A,A29,GRAFICO!B:B)&gt;1,SUMIF(GRAFICO!A:A,A29,GRAFICO!B:B),"")</f>
        <v/>
      </c>
    </row>
    <row r="30">
      <c r="A30" s="484">
        <v>46142.0</v>
      </c>
      <c r="B30" s="485" t="str">
        <f>IF(SUMIF(GRAFICO!A:A,A30,GRAFICO!B:B)&gt;1,SUMIF(GRAFICO!A:A,A30,GRAFICO!B:B),"")</f>
        <v/>
      </c>
    </row>
    <row r="31">
      <c r="A31" s="484">
        <v>46141.0</v>
      </c>
      <c r="B31" s="485" t="str">
        <f>IF(SUMIF(GRAFICO!A:A,A31,GRAFICO!B:B)&gt;1,SUMIF(GRAFICO!A:A,A31,GRAFICO!B:B),"")</f>
        <v/>
      </c>
    </row>
    <row r="32">
      <c r="A32" s="484">
        <v>46140.0</v>
      </c>
      <c r="B32" s="485" t="str">
        <f>IF(SUMIF(GRAFICO!A:A,A32,GRAFICO!B:B)&gt;1,SUMIF(GRAFICO!A:A,A32,GRAFICO!B:B),"")</f>
        <v/>
      </c>
    </row>
    <row r="33">
      <c r="A33" s="484">
        <v>46139.0</v>
      </c>
      <c r="B33" s="485" t="str">
        <f>IF(SUMIF(GRAFICO!A:A,A33,GRAFICO!B:B)&gt;1,SUMIF(GRAFICO!A:A,A33,GRAFICO!B:B),"")</f>
        <v/>
      </c>
    </row>
    <row r="34">
      <c r="A34" s="484">
        <v>46138.0</v>
      </c>
      <c r="B34" s="485" t="str">
        <f>IF(SUMIF(GRAFICO!A:A,A34,GRAFICO!B:B)&gt;1,SUMIF(GRAFICO!A:A,A34,GRAFICO!B:B),"")</f>
        <v/>
      </c>
    </row>
    <row r="35">
      <c r="A35" s="484">
        <v>46137.0</v>
      </c>
      <c r="B35" s="485" t="str">
        <f>IF(SUMIF(GRAFICO!A:A,A35,GRAFICO!B:B)&gt;1,SUMIF(GRAFICO!A:A,A35,GRAFICO!B:B),"")</f>
        <v/>
      </c>
    </row>
    <row r="36">
      <c r="A36" s="484">
        <v>46136.0</v>
      </c>
      <c r="B36" s="485" t="str">
        <f>IF(SUMIF(GRAFICO!A:A,A36,GRAFICO!B:B)&gt;1,SUMIF(GRAFICO!A:A,A36,GRAFICO!B:B),"")</f>
        <v/>
      </c>
    </row>
    <row r="37">
      <c r="A37" s="484">
        <v>46135.0</v>
      </c>
      <c r="B37" s="485" t="str">
        <f>IF(SUMIF(GRAFICO!A:A,A37,GRAFICO!B:B)&gt;1,SUMIF(GRAFICO!A:A,A37,GRAFICO!B:B),"")</f>
        <v/>
      </c>
    </row>
    <row r="38">
      <c r="A38" s="484">
        <v>46134.0</v>
      </c>
      <c r="B38" s="485" t="str">
        <f>IF(SUMIF(GRAFICO!A:A,A38,GRAFICO!B:B)&gt;1,SUMIF(GRAFICO!A:A,A38,GRAFICO!B:B),"")</f>
        <v/>
      </c>
    </row>
    <row r="39">
      <c r="A39" s="484">
        <v>46133.0</v>
      </c>
      <c r="B39" s="485" t="str">
        <f>IF(SUMIF(GRAFICO!A:A,A39,GRAFICO!B:B)&gt;1,SUMIF(GRAFICO!A:A,A39,GRAFICO!B:B),"")</f>
        <v/>
      </c>
    </row>
    <row r="40">
      <c r="A40" s="484">
        <v>46132.0</v>
      </c>
      <c r="B40" s="485" t="str">
        <f>IF(SUMIF(GRAFICO!A:A,A40,GRAFICO!B:B)&gt;1,SUMIF(GRAFICO!A:A,A40,GRAFICO!B:B),"")</f>
        <v/>
      </c>
    </row>
    <row r="41">
      <c r="A41" s="484">
        <v>46131.0</v>
      </c>
      <c r="B41" s="485" t="str">
        <f>IF(SUMIF(GRAFICO!A:A,A41,GRAFICO!B:B)&gt;1,SUMIF(GRAFICO!A:A,A41,GRAFICO!B:B),"")</f>
        <v/>
      </c>
    </row>
    <row r="42">
      <c r="A42" s="484">
        <v>46130.0</v>
      </c>
      <c r="B42" s="485" t="str">
        <f>IF(SUMIF(GRAFICO!A:A,A42,GRAFICO!B:B)&gt;1,SUMIF(GRAFICO!A:A,A42,GRAFICO!B:B),"")</f>
        <v/>
      </c>
    </row>
    <row r="43">
      <c r="A43" s="484">
        <v>46129.0</v>
      </c>
      <c r="B43" s="485" t="str">
        <f>IF(SUMIF(GRAFICO!A:A,A43,GRAFICO!B:B)&gt;1,SUMIF(GRAFICO!A:A,A43,GRAFICO!B:B),"")</f>
        <v/>
      </c>
    </row>
    <row r="44">
      <c r="A44" s="484">
        <v>46128.0</v>
      </c>
      <c r="B44" s="485" t="str">
        <f>IF(SUMIF(GRAFICO!A:A,A44,GRAFICO!B:B)&gt;1,SUMIF(GRAFICO!A:A,A44,GRAFICO!B:B),"")</f>
        <v/>
      </c>
    </row>
    <row r="45">
      <c r="A45" s="484">
        <v>46127.0</v>
      </c>
      <c r="B45" s="485" t="str">
        <f>IF(SUMIF(GRAFICO!A:A,A45,GRAFICO!B:B)&gt;1,SUMIF(GRAFICO!A:A,A45,GRAFICO!B:B),"")</f>
        <v/>
      </c>
    </row>
    <row r="46">
      <c r="A46" s="484">
        <v>46126.0</v>
      </c>
      <c r="B46" s="485" t="str">
        <f>IF(SUMIF(GRAFICO!A:A,A46,GRAFICO!B:B)&gt;1,SUMIF(GRAFICO!A:A,A46,GRAFICO!B:B),"")</f>
        <v/>
      </c>
    </row>
    <row r="47">
      <c r="A47" s="484">
        <v>46125.0</v>
      </c>
      <c r="B47" s="485" t="str">
        <f>IF(SUMIF(GRAFICO!A:A,A47,GRAFICO!B:B)&gt;1,SUMIF(GRAFICO!A:A,A47,GRAFICO!B:B),"")</f>
        <v/>
      </c>
    </row>
    <row r="48">
      <c r="A48" s="484">
        <v>46124.0</v>
      </c>
      <c r="B48" s="485" t="str">
        <f>IF(SUMIF(GRAFICO!A:A,A48,GRAFICO!B:B)&gt;1,SUMIF(GRAFICO!A:A,A48,GRAFICO!B:B),"")</f>
        <v/>
      </c>
    </row>
    <row r="49">
      <c r="A49" s="484">
        <v>46123.0</v>
      </c>
      <c r="B49" s="485" t="str">
        <f>IF(SUMIF(GRAFICO!A:A,A49,GRAFICO!B:B)&gt;1,SUMIF(GRAFICO!A:A,A49,GRAFICO!B:B),"")</f>
        <v/>
      </c>
    </row>
    <row r="50">
      <c r="A50" s="484">
        <v>46122.0</v>
      </c>
      <c r="B50" s="485" t="str">
        <f>IF(SUMIF(GRAFICO!A:A,A50,GRAFICO!B:B)&gt;1,SUMIF(GRAFICO!A:A,A50,GRAFICO!B:B),"")</f>
        <v/>
      </c>
    </row>
    <row r="51">
      <c r="A51" s="484">
        <v>46121.0</v>
      </c>
      <c r="B51" s="485" t="str">
        <f>IF(SUMIF(GRAFICO!A:A,A51,GRAFICO!B:B)&gt;1,SUMIF(GRAFICO!A:A,A51,GRAFICO!B:B),"")</f>
        <v/>
      </c>
    </row>
    <row r="52">
      <c r="A52" s="484">
        <v>46120.0</v>
      </c>
      <c r="B52" s="485" t="str">
        <f>IF(SUMIF(GRAFICO!A:A,A52,GRAFICO!B:B)&gt;1,SUMIF(GRAFICO!A:A,A52,GRAFICO!B:B),"")</f>
        <v/>
      </c>
    </row>
    <row r="53">
      <c r="A53" s="484">
        <v>46119.0</v>
      </c>
      <c r="B53" s="485" t="str">
        <f>IF(SUMIF(GRAFICO!A:A,A53,GRAFICO!B:B)&gt;1,SUMIF(GRAFICO!A:A,A53,GRAFICO!B:B),"")</f>
        <v/>
      </c>
    </row>
    <row r="54">
      <c r="A54" s="484">
        <v>46118.0</v>
      </c>
      <c r="B54" s="485" t="str">
        <f>IF(SUMIF(GRAFICO!A:A,A54,GRAFICO!B:B)&gt;1,SUMIF(GRAFICO!A:A,A54,GRAFICO!B:B),"")</f>
        <v/>
      </c>
    </row>
    <row r="55">
      <c r="A55" s="484">
        <v>46117.0</v>
      </c>
      <c r="B55" s="485" t="str">
        <f>IF(SUMIF(GRAFICO!A:A,A55,GRAFICO!B:B)&gt;1,SUMIF(GRAFICO!A:A,A55,GRAFICO!B:B),"")</f>
        <v/>
      </c>
    </row>
    <row r="56">
      <c r="A56" s="484">
        <v>46116.0</v>
      </c>
      <c r="B56" s="485" t="str">
        <f>IF(SUMIF(GRAFICO!A:A,A56,GRAFICO!B:B)&gt;1,SUMIF(GRAFICO!A:A,A56,GRAFICO!B:B),"")</f>
        <v/>
      </c>
    </row>
    <row r="57">
      <c r="A57" s="484">
        <v>46115.0</v>
      </c>
      <c r="B57" s="485" t="str">
        <f>IF(SUMIF(GRAFICO!A:A,A57,GRAFICO!B:B)&gt;1,SUMIF(GRAFICO!A:A,A57,GRAFICO!B:B),"")</f>
        <v/>
      </c>
    </row>
    <row r="58">
      <c r="A58" s="484">
        <v>46114.0</v>
      </c>
      <c r="B58" s="485" t="str">
        <f>IF(SUMIF(GRAFICO!A:A,A58,GRAFICO!B:B)&gt;1,SUMIF(GRAFICO!A:A,A58,GRAFICO!B:B),"")</f>
        <v/>
      </c>
    </row>
    <row r="59">
      <c r="A59" s="484">
        <v>46113.0</v>
      </c>
      <c r="B59" s="485" t="str">
        <f>IF(SUMIF(GRAFICO!A:A,A59,GRAFICO!B:B)&gt;1,SUMIF(GRAFICO!A:A,A59,GRAFICO!B:B),"")</f>
        <v/>
      </c>
    </row>
    <row r="60">
      <c r="A60" s="484">
        <v>46112.0</v>
      </c>
      <c r="B60" s="485" t="str">
        <f>IF(SUMIF(GRAFICO!A:A,A60,GRAFICO!B:B)&gt;1,SUMIF(GRAFICO!A:A,A60,GRAFICO!B:B),"")</f>
        <v/>
      </c>
    </row>
    <row r="61">
      <c r="A61" s="484">
        <v>46111.0</v>
      </c>
      <c r="B61" s="485" t="str">
        <f>IF(SUMIF(GRAFICO!A:A,A61,GRAFICO!B:B)&gt;1,SUMIF(GRAFICO!A:A,A61,GRAFICO!B:B),"")</f>
        <v/>
      </c>
    </row>
    <row r="62">
      <c r="A62" s="484">
        <v>46110.0</v>
      </c>
      <c r="B62" s="485" t="str">
        <f>IF(SUMIF(GRAFICO!A:A,A62,GRAFICO!B:B)&gt;1,SUMIF(GRAFICO!A:A,A62,GRAFICO!B:B),"")</f>
        <v/>
      </c>
    </row>
    <row r="63">
      <c r="A63" s="484">
        <v>46109.0</v>
      </c>
      <c r="B63" s="485" t="str">
        <f>IF(SUMIF(GRAFICO!A:A,A63,GRAFICO!B:B)&gt;1,SUMIF(GRAFICO!A:A,A63,GRAFICO!B:B),"")</f>
        <v/>
      </c>
    </row>
    <row r="64">
      <c r="A64" s="484">
        <v>46108.0</v>
      </c>
      <c r="B64" s="485" t="str">
        <f>IF(SUMIF(GRAFICO!A:A,A64,GRAFICO!B:B)&gt;1,SUMIF(GRAFICO!A:A,A64,GRAFICO!B:B),"")</f>
        <v/>
      </c>
    </row>
    <row r="65">
      <c r="A65" s="484">
        <v>46107.0</v>
      </c>
      <c r="B65" s="485" t="str">
        <f>IF(SUMIF(GRAFICO!A:A,A65,GRAFICO!B:B)&gt;1,SUMIF(GRAFICO!A:A,A65,GRAFICO!B:B),"")</f>
        <v/>
      </c>
    </row>
    <row r="66">
      <c r="A66" s="484">
        <v>46106.0</v>
      </c>
      <c r="B66" s="485" t="str">
        <f>IF(SUMIF(GRAFICO!A:A,A66,GRAFICO!B:B)&gt;1,SUMIF(GRAFICO!A:A,A66,GRAFICO!B:B),"")</f>
        <v/>
      </c>
    </row>
    <row r="67">
      <c r="A67" s="484">
        <v>46105.0</v>
      </c>
      <c r="B67" s="485" t="str">
        <f>IF(SUMIF(GRAFICO!A:A,A67,GRAFICO!B:B)&gt;1,SUMIF(GRAFICO!A:A,A67,GRAFICO!B:B),"")</f>
        <v/>
      </c>
    </row>
    <row r="68">
      <c r="A68" s="484">
        <v>46104.0</v>
      </c>
      <c r="B68" s="485" t="str">
        <f>IF(SUMIF(GRAFICO!A:A,A68,GRAFICO!B:B)&gt;1,SUMIF(GRAFICO!A:A,A68,GRAFICO!B:B),"")</f>
        <v/>
      </c>
    </row>
    <row r="69">
      <c r="A69" s="484">
        <v>46103.0</v>
      </c>
      <c r="B69" s="485" t="str">
        <f>IF(SUMIF(GRAFICO!A:A,A69,GRAFICO!B:B)&gt;1,SUMIF(GRAFICO!A:A,A69,GRAFICO!B:B),"")</f>
        <v/>
      </c>
    </row>
    <row r="70">
      <c r="A70" s="484">
        <v>46102.0</v>
      </c>
      <c r="B70" s="485" t="str">
        <f>IF(SUMIF(GRAFICO!A:A,A70,GRAFICO!B:B)&gt;1,SUMIF(GRAFICO!A:A,A70,GRAFICO!B:B),"")</f>
        <v/>
      </c>
    </row>
    <row r="71">
      <c r="A71" s="484">
        <v>46101.0</v>
      </c>
      <c r="B71" s="485" t="str">
        <f>IF(SUMIF(GRAFICO!A:A,A71,GRAFICO!B:B)&gt;1,SUMIF(GRAFICO!A:A,A71,GRAFICO!B:B),"")</f>
        <v/>
      </c>
    </row>
    <row r="72">
      <c r="A72" s="484">
        <v>46100.0</v>
      </c>
      <c r="B72" s="485" t="str">
        <f>IF(SUMIF(GRAFICO!A:A,A72,GRAFICO!B:B)&gt;1,SUMIF(GRAFICO!A:A,A72,GRAFICO!B:B),"")</f>
        <v/>
      </c>
    </row>
    <row r="73">
      <c r="A73" s="484">
        <v>46099.0</v>
      </c>
      <c r="B73" s="485" t="str">
        <f>IF(SUMIF(GRAFICO!A:A,A73,GRAFICO!B:B)&gt;1,SUMIF(GRAFICO!A:A,A73,GRAFICO!B:B),"")</f>
        <v/>
      </c>
    </row>
    <row r="74">
      <c r="A74" s="484">
        <v>46098.0</v>
      </c>
      <c r="B74" s="485" t="str">
        <f>IF(SUMIF(GRAFICO!A:A,A74,GRAFICO!B:B)&gt;1,SUMIF(GRAFICO!A:A,A74,GRAFICO!B:B),"")</f>
        <v/>
      </c>
    </row>
    <row r="75">
      <c r="A75" s="484">
        <v>46097.0</v>
      </c>
      <c r="B75" s="485" t="str">
        <f>IF(SUMIF(GRAFICO!A:A,A75,GRAFICO!B:B)&gt;1,SUMIF(GRAFICO!A:A,A75,GRAFICO!B:B),"")</f>
        <v/>
      </c>
    </row>
    <row r="76">
      <c r="A76" s="484">
        <v>46096.0</v>
      </c>
      <c r="B76" s="485" t="str">
        <f>IF(SUMIF(GRAFICO!A:A,A76,GRAFICO!B:B)&gt;1,SUMIF(GRAFICO!A:A,A76,GRAFICO!B:B),"")</f>
        <v/>
      </c>
    </row>
    <row r="77">
      <c r="A77" s="484">
        <v>46095.0</v>
      </c>
      <c r="B77" s="485" t="str">
        <f>IF(SUMIF(GRAFICO!A:A,A77,GRAFICO!B:B)&gt;1,SUMIF(GRAFICO!A:A,A77,GRAFICO!B:B),"")</f>
        <v/>
      </c>
    </row>
    <row r="78">
      <c r="A78" s="484">
        <v>46094.0</v>
      </c>
      <c r="B78" s="485" t="str">
        <f>IF(SUMIF(GRAFICO!A:A,A78,GRAFICO!B:B)&gt;1,SUMIF(GRAFICO!A:A,A78,GRAFICO!B:B),"")</f>
        <v/>
      </c>
    </row>
    <row r="79">
      <c r="A79" s="484">
        <v>46093.0</v>
      </c>
      <c r="B79" s="485" t="str">
        <f>IF(SUMIF(GRAFICO!A:A,A79,GRAFICO!B:B)&gt;1,SUMIF(GRAFICO!A:A,A79,GRAFICO!B:B),"")</f>
        <v/>
      </c>
    </row>
    <row r="80">
      <c r="A80" s="484">
        <v>46092.0</v>
      </c>
      <c r="B80" s="485" t="str">
        <f>IF(SUMIF(GRAFICO!A:A,A80,GRAFICO!B:B)&gt;1,SUMIF(GRAFICO!A:A,A80,GRAFICO!B:B),"")</f>
        <v/>
      </c>
    </row>
    <row r="81">
      <c r="A81" s="484">
        <v>46091.0</v>
      </c>
      <c r="B81" s="485" t="str">
        <f>IF(SUMIF(GRAFICO!A:A,A81,GRAFICO!B:B)&gt;1,SUMIF(GRAFICO!A:A,A81,GRAFICO!B:B),"")</f>
        <v/>
      </c>
    </row>
    <row r="82">
      <c r="A82" s="484">
        <v>46090.0</v>
      </c>
      <c r="B82" s="485" t="str">
        <f>IF(SUMIF(GRAFICO!A:A,A82,GRAFICO!B:B)&gt;1,SUMIF(GRAFICO!A:A,A82,GRAFICO!B:B),"")</f>
        <v/>
      </c>
    </row>
    <row r="83">
      <c r="A83" s="484">
        <v>46089.0</v>
      </c>
      <c r="B83" s="485">
        <f>IF(SUMIF(GRAFICO!A:A,A83,GRAFICO!B:B)&gt;1,SUMIF(GRAFICO!A:A,A83,GRAFICO!B:B),"")</f>
        <v>20664.60449</v>
      </c>
    </row>
    <row r="84">
      <c r="A84" s="484">
        <v>46088.0</v>
      </c>
      <c r="B84" s="485">
        <f>IF(SUMIF(GRAFICO!A:A,A84,GRAFICO!B:B)&gt;1,SUMIF(GRAFICO!A:A,A84,GRAFICO!B:B),"")</f>
        <v>20661.72716</v>
      </c>
    </row>
    <row r="85">
      <c r="A85" s="484">
        <v>46087.0</v>
      </c>
      <c r="B85" s="485">
        <f>IF(SUMIF(GRAFICO!A:A,A85,GRAFICO!B:B)&gt;1,SUMIF(GRAFICO!A:A,A85,GRAFICO!B:B),"")</f>
        <v>20657.79907</v>
      </c>
    </row>
    <row r="86">
      <c r="A86" s="484">
        <v>46086.0</v>
      </c>
      <c r="B86" s="485">
        <f>IF(SUMIF(GRAFICO!A:A,A86,GRAFICO!B:B)&gt;1,SUMIF(GRAFICO!A:A,A86,GRAFICO!B:B),"")</f>
        <v>20706.1396</v>
      </c>
    </row>
    <row r="87">
      <c r="A87" s="484">
        <v>46085.0</v>
      </c>
      <c r="B87" s="485">
        <f>IF(SUMIF(GRAFICO!A:A,A87,GRAFICO!B:B)&gt;1,SUMIF(GRAFICO!A:A,A87,GRAFICO!B:B),"")</f>
        <v>20710.8656</v>
      </c>
    </row>
    <row r="88">
      <c r="A88" s="484">
        <v>46084.0</v>
      </c>
      <c r="B88" s="485">
        <f>IF(SUMIF(GRAFICO!A:A,A88,GRAFICO!B:B)&gt;1,SUMIF(GRAFICO!A:A,A88,GRAFICO!B:B),"")</f>
        <v>20713.91914</v>
      </c>
    </row>
    <row r="89">
      <c r="A89" s="484">
        <v>46083.0</v>
      </c>
      <c r="B89" s="485">
        <f>IF(SUMIF(GRAFICO!A:A,A89,GRAFICO!B:B)&gt;1,SUMIF(GRAFICO!A:A,A89,GRAFICO!B:B),"")</f>
        <v>20741.87141</v>
      </c>
    </row>
    <row r="90">
      <c r="A90" s="484">
        <v>46082.0</v>
      </c>
      <c r="B90" s="485">
        <f>IF(SUMIF(GRAFICO!A:A,A90,GRAFICO!B:B)&gt;1,SUMIF(GRAFICO!A:A,A90,GRAFICO!B:B),"")</f>
        <v>21184.2899</v>
      </c>
    </row>
    <row r="91">
      <c r="A91" s="484">
        <v>46081.0</v>
      </c>
      <c r="B91" s="485">
        <f>IF(SUMIF(GRAFICO!A:A,A91,GRAFICO!B:B)&gt;1,SUMIF(GRAFICO!A:A,A91,GRAFICO!B:B),"")</f>
        <v>21192.34968</v>
      </c>
    </row>
    <row r="92">
      <c r="A92" s="484">
        <v>46080.0</v>
      </c>
      <c r="B92" s="485">
        <f>IF(SUMIF(GRAFICO!A:A,A92,GRAFICO!B:B)&gt;1,SUMIF(GRAFICO!A:A,A92,GRAFICO!B:B),"")</f>
        <v>21200.40957</v>
      </c>
    </row>
    <row r="93">
      <c r="A93" s="484">
        <v>46079.0</v>
      </c>
      <c r="B93" s="485">
        <f>IF(SUMIF(GRAFICO!A:A,A93,GRAFICO!B:B)&gt;1,SUMIF(GRAFICO!A:A,A93,GRAFICO!B:B),"")</f>
        <v>21499.51508</v>
      </c>
    </row>
    <row r="94">
      <c r="A94" s="484">
        <v>46078.0</v>
      </c>
      <c r="B94" s="485">
        <f>IF(SUMIF(GRAFICO!A:A,A94,GRAFICO!B:B)&gt;1,SUMIF(GRAFICO!A:A,A94,GRAFICO!B:B),"")</f>
        <v>21861.22531</v>
      </c>
    </row>
    <row r="95">
      <c r="A95" s="484">
        <v>46077.0</v>
      </c>
      <c r="B95" s="485">
        <f>IF(SUMIF(GRAFICO!A:A,A95,GRAFICO!B:B)&gt;1,SUMIF(GRAFICO!A:A,A95,GRAFICO!B:B),"")</f>
        <v>21860.15944</v>
      </c>
    </row>
    <row r="96">
      <c r="A96" s="484">
        <v>46076.0</v>
      </c>
      <c r="B96" s="485">
        <f>IF(SUMIF(GRAFICO!A:A,A96,GRAFICO!B:B)&gt;1,SUMIF(GRAFICO!A:A,A96,GRAFICO!B:B),"")</f>
        <v>21816.21127</v>
      </c>
    </row>
    <row r="97">
      <c r="A97" s="484">
        <v>46075.0</v>
      </c>
      <c r="B97" s="485">
        <f>IF(SUMIF(GRAFICO!A:A,A97,GRAFICO!B:B)&gt;1,SUMIF(GRAFICO!A:A,A97,GRAFICO!B:B),"")</f>
        <v>21961.35911</v>
      </c>
    </row>
    <row r="98">
      <c r="A98" s="484">
        <v>46074.0</v>
      </c>
      <c r="B98" s="485">
        <f>IF(SUMIF(GRAFICO!A:A,A98,GRAFICO!B:B)&gt;1,SUMIF(GRAFICO!A:A,A98,GRAFICO!B:B),"")</f>
        <v>21965.20835</v>
      </c>
    </row>
    <row r="99">
      <c r="A99" s="484">
        <v>46073.0</v>
      </c>
      <c r="B99" s="485">
        <f>IF(SUMIF(GRAFICO!A:A,A99,GRAFICO!B:B)&gt;1,SUMIF(GRAFICO!A:A,A99,GRAFICO!B:B),"")</f>
        <v>21969.0577</v>
      </c>
    </row>
    <row r="100">
      <c r="A100" s="484">
        <v>46072.0</v>
      </c>
      <c r="B100" s="485">
        <f>IF(SUMIF(GRAFICO!A:A,A100,GRAFICO!B:B)&gt;1,SUMIF(GRAFICO!A:A,A100,GRAFICO!B:B),"")</f>
        <v>21828.60409</v>
      </c>
    </row>
    <row r="101">
      <c r="A101" s="484">
        <v>46071.0</v>
      </c>
      <c r="B101" s="485">
        <f>IF(SUMIF(GRAFICO!A:A,A101,GRAFICO!B:B)&gt;1,SUMIF(GRAFICO!A:A,A101,GRAFICO!B:B),"")</f>
        <v>21676.91248</v>
      </c>
    </row>
    <row r="102">
      <c r="A102" s="484">
        <v>46070.0</v>
      </c>
      <c r="B102" s="485">
        <f>IF(SUMIF(GRAFICO!A:A,A102,GRAFICO!B:B)&gt;1,SUMIF(GRAFICO!A:A,A102,GRAFICO!B:B),"")</f>
        <v>21611.52538</v>
      </c>
    </row>
    <row r="103">
      <c r="A103" s="484">
        <v>46069.0</v>
      </c>
      <c r="B103" s="485">
        <f>IF(SUMIF(GRAFICO!A:A,A103,GRAFICO!B:B)&gt;1,SUMIF(GRAFICO!A:A,A103,GRAFICO!B:B),"")</f>
        <v>21606.70888</v>
      </c>
    </row>
    <row r="104">
      <c r="A104" s="484">
        <v>46068.0</v>
      </c>
      <c r="B104" s="485">
        <f>IF(SUMIF(GRAFICO!A:A,A104,GRAFICO!B:B)&gt;1,SUMIF(GRAFICO!A:A,A104,GRAFICO!B:B),"")</f>
        <v>21679.26699</v>
      </c>
    </row>
    <row r="105">
      <c r="A105" s="484">
        <v>46067.0</v>
      </c>
      <c r="B105" s="485">
        <f>IF(SUMIF(GRAFICO!A:A,A105,GRAFICO!B:B)&gt;1,SUMIF(GRAFICO!A:A,A105,GRAFICO!B:B),"")</f>
        <v>21684.25339</v>
      </c>
    </row>
    <row r="106">
      <c r="A106" s="484">
        <v>46066.0</v>
      </c>
      <c r="B106" s="485">
        <f>IF(SUMIF(GRAFICO!A:A,A106,GRAFICO!B:B)&gt;1,SUMIF(GRAFICO!A:A,A106,GRAFICO!B:B),"")</f>
        <v>21400.27648</v>
      </c>
    </row>
    <row r="107">
      <c r="A107" s="484">
        <v>46065.0</v>
      </c>
      <c r="B107" s="485">
        <f>IF(SUMIF(GRAFICO!A:A,A107,GRAFICO!B:B)&gt;1,SUMIF(GRAFICO!A:A,A107,GRAFICO!B:B),"")</f>
        <v>21291.29595</v>
      </c>
    </row>
    <row r="108">
      <c r="A108" s="484">
        <v>46064.0</v>
      </c>
      <c r="B108" s="485">
        <f>IF(SUMIF(GRAFICO!A:A,A108,GRAFICO!B:B)&gt;1,SUMIF(GRAFICO!A:A,A108,GRAFICO!B:B),"")</f>
        <v>21440.48444</v>
      </c>
    </row>
    <row r="109">
      <c r="A109" s="484">
        <v>46063.0</v>
      </c>
      <c r="B109" s="485">
        <f>IF(SUMIF(GRAFICO!A:A,A109,GRAFICO!B:B)&gt;1,SUMIF(GRAFICO!A:A,A109,GRAFICO!B:B),"")</f>
        <v>21641.45783</v>
      </c>
    </row>
    <row r="110">
      <c r="A110" s="484">
        <v>46062.0</v>
      </c>
      <c r="B110" s="485">
        <f>IF(SUMIF(GRAFICO!A:A,A110,GRAFICO!B:B)&gt;1,SUMIF(GRAFICO!A:A,A110,GRAFICO!B:B),"")</f>
        <v>21633.1371</v>
      </c>
    </row>
    <row r="111">
      <c r="A111" s="484">
        <v>46061.0</v>
      </c>
      <c r="B111" s="485">
        <f>IF(SUMIF(GRAFICO!A:A,A111,GRAFICO!B:B)&gt;1,SUMIF(GRAFICO!A:A,A111,GRAFICO!B:B),"")</f>
        <v>21522.61545</v>
      </c>
    </row>
    <row r="112">
      <c r="A112" s="484">
        <v>46060.0</v>
      </c>
      <c r="B112" s="485">
        <f>IF(SUMIF(GRAFICO!A:A,A112,GRAFICO!B:B)&gt;1,SUMIF(GRAFICO!A:A,A112,GRAFICO!B:B),"")</f>
        <v>21527.60295</v>
      </c>
    </row>
    <row r="113">
      <c r="A113" s="484">
        <v>46059.0</v>
      </c>
      <c r="B113" s="485">
        <f>IF(SUMIF(GRAFICO!A:A,A113,GRAFICO!B:B)&gt;1,SUMIF(GRAFICO!A:A,A113,GRAFICO!B:B),"")</f>
        <v>21532.59057</v>
      </c>
    </row>
    <row r="114">
      <c r="A114" s="484">
        <v>46058.0</v>
      </c>
      <c r="B114" s="485">
        <f>IF(SUMIF(GRAFICO!A:A,A114,GRAFICO!B:B)&gt;1,SUMIF(GRAFICO!A:A,A114,GRAFICO!B:B),"")</f>
        <v>21376.18342</v>
      </c>
    </row>
    <row r="115">
      <c r="A115" s="484">
        <v>46057.0</v>
      </c>
      <c r="B115" s="485">
        <f>IF(SUMIF(GRAFICO!A:A,A115,GRAFICO!B:B)&gt;1,SUMIF(GRAFICO!A:A,A115,GRAFICO!B:B),"")</f>
        <v>21678.66641</v>
      </c>
    </row>
    <row r="116">
      <c r="A116" s="484">
        <v>46056.0</v>
      </c>
      <c r="B116" s="485">
        <f>IF(SUMIF(GRAFICO!A:A,A116,GRAFICO!B:B)&gt;1,SUMIF(GRAFICO!A:A,A116,GRAFICO!B:B),"")</f>
        <v>21735.20322</v>
      </c>
    </row>
    <row r="117">
      <c r="A117" s="484">
        <v>46055.0</v>
      </c>
      <c r="B117" s="485">
        <f>IF(SUMIF(GRAFICO!A:A,A117,GRAFICO!B:B)&gt;1,SUMIF(GRAFICO!A:A,A117,GRAFICO!B:B),"")</f>
        <v>21736.82499</v>
      </c>
    </row>
    <row r="118">
      <c r="A118" s="484">
        <v>46054.0</v>
      </c>
      <c r="B118" s="485">
        <f>IF(SUMIF(GRAFICO!A:A,A118,GRAFICO!B:B)&gt;1,SUMIF(GRAFICO!A:A,A118,GRAFICO!B:B),"")</f>
        <v>21907.7542</v>
      </c>
    </row>
    <row r="119">
      <c r="A119" s="484">
        <v>46053.0</v>
      </c>
      <c r="B119" s="485">
        <f>IF(SUMIF(GRAFICO!A:A,A119,GRAFICO!B:B)&gt;1,SUMIF(GRAFICO!A:A,A119,GRAFICO!B:B),"")</f>
        <v>21907.78742</v>
      </c>
    </row>
    <row r="120">
      <c r="A120" s="484">
        <v>46052.0</v>
      </c>
      <c r="B120" s="485">
        <f>IF(SUMIF(GRAFICO!A:A,A120,GRAFICO!B:B)&gt;1,SUMIF(GRAFICO!A:A,A120,GRAFICO!B:B),"")</f>
        <v>21928.82097</v>
      </c>
    </row>
    <row r="121">
      <c r="A121" s="484">
        <v>46051.0</v>
      </c>
      <c r="B121" s="485">
        <f>IF(SUMIF(GRAFICO!A:A,A121,GRAFICO!B:B)&gt;1,SUMIF(GRAFICO!A:A,A121,GRAFICO!B:B),"")</f>
        <v>21902.44292</v>
      </c>
    </row>
    <row r="122">
      <c r="A122" s="484">
        <v>46050.0</v>
      </c>
      <c r="B122" s="485">
        <f>IF(SUMIF(GRAFICO!A:A,A122,GRAFICO!B:B)&gt;1,SUMIF(GRAFICO!A:A,A122,GRAFICO!B:B),"")</f>
        <v>22081.30317</v>
      </c>
    </row>
    <row r="123">
      <c r="A123" s="484">
        <v>46049.0</v>
      </c>
      <c r="B123" s="485">
        <f>IF(SUMIF(GRAFICO!A:A,A123,GRAFICO!B:B)&gt;1,SUMIF(GRAFICO!A:A,A123,GRAFICO!B:B),"")</f>
        <v>21984.05887</v>
      </c>
    </row>
    <row r="124">
      <c r="A124" s="484">
        <v>46048.0</v>
      </c>
      <c r="B124" s="485">
        <f>IF(SUMIF(GRAFICO!A:A,A124,GRAFICO!B:B)&gt;1,SUMIF(GRAFICO!A:A,A124,GRAFICO!B:B),"")</f>
        <v>22001.446</v>
      </c>
    </row>
    <row r="125">
      <c r="A125" s="484">
        <v>46047.0</v>
      </c>
      <c r="B125" s="485">
        <f>IF(SUMIF(GRAFICO!A:A,A125,GRAFICO!B:B)&gt;1,SUMIF(GRAFICO!A:A,A125,GRAFICO!B:B),"")</f>
        <v>21884.06114</v>
      </c>
    </row>
    <row r="126">
      <c r="A126" s="484">
        <v>46046.0</v>
      </c>
      <c r="B126" s="485">
        <f>IF(SUMIF(GRAFICO!A:A,A126,GRAFICO!B:B)&gt;1,SUMIF(GRAFICO!A:A,A126,GRAFICO!B:B),"")</f>
        <v>21877.3488</v>
      </c>
    </row>
    <row r="127">
      <c r="A127" s="484">
        <v>46045.0</v>
      </c>
      <c r="B127" s="485">
        <f>IF(SUMIF(GRAFICO!A:A,A127,GRAFICO!B:B)&gt;1,SUMIF(GRAFICO!A:A,A127,GRAFICO!B:B),"")</f>
        <v>21873.27269</v>
      </c>
    </row>
    <row r="128">
      <c r="A128" s="484">
        <v>46044.0</v>
      </c>
      <c r="B128" s="485">
        <f>IF(SUMIF(GRAFICO!A:A,A128,GRAFICO!B:B)&gt;1,SUMIF(GRAFICO!A:A,A128,GRAFICO!B:B),"")</f>
        <v>21724.54247</v>
      </c>
    </row>
    <row r="129">
      <c r="A129" s="484">
        <v>46043.0</v>
      </c>
      <c r="B129" s="485">
        <f>IF(SUMIF(GRAFICO!A:A,A129,GRAFICO!B:B)&gt;1,SUMIF(GRAFICO!A:A,A129,GRAFICO!B:B),"")</f>
        <v>21761.68936</v>
      </c>
    </row>
    <row r="130">
      <c r="A130" s="484">
        <v>46042.0</v>
      </c>
      <c r="B130" s="485">
        <f>IF(SUMIF(GRAFICO!A:A,A130,GRAFICO!B:B)&gt;1,SUMIF(GRAFICO!A:A,A130,GRAFICO!B:B),"")</f>
        <v>21631.43549</v>
      </c>
    </row>
    <row r="131">
      <c r="A131" s="484">
        <v>46041.0</v>
      </c>
      <c r="B131" s="485">
        <f>IF(SUMIF(GRAFICO!A:A,A131,GRAFICO!B:B)&gt;1,SUMIF(GRAFICO!A:A,A131,GRAFICO!B:B),"")</f>
        <v>21502.45148</v>
      </c>
    </row>
    <row r="132">
      <c r="A132" s="484">
        <v>46040.0</v>
      </c>
      <c r="B132" s="485">
        <f>IF(SUMIF(GRAFICO!A:A,A132,GRAFICO!B:B)&gt;1,SUMIF(GRAFICO!A:A,A132,GRAFICO!B:B),"")</f>
        <v>21331.9052</v>
      </c>
    </row>
    <row r="133">
      <c r="A133" s="484">
        <v>46039.0</v>
      </c>
      <c r="B133" s="485">
        <f>IF(SUMIF(GRAFICO!A:A,A133,GRAFICO!B:B)&gt;1,SUMIF(GRAFICO!A:A,A133,GRAFICO!B:B),"")</f>
        <v>21324.89951</v>
      </c>
    </row>
    <row r="134">
      <c r="A134" s="484">
        <v>46038.0</v>
      </c>
      <c r="B134" s="485">
        <f>IF(SUMIF(GRAFICO!A:A,A134,GRAFICO!B:B)&gt;1,SUMIF(GRAFICO!A:A,A134,GRAFICO!B:B),"")</f>
        <v>21334.29025</v>
      </c>
    </row>
    <row r="135">
      <c r="A135" s="484">
        <v>46037.0</v>
      </c>
      <c r="B135" s="485">
        <f>IF(SUMIF(GRAFICO!A:A,A135,GRAFICO!B:B)&gt;1,SUMIF(GRAFICO!A:A,A135,GRAFICO!B:B),"")</f>
        <v>21096.05955</v>
      </c>
    </row>
    <row r="136">
      <c r="A136" s="484">
        <v>46036.0</v>
      </c>
      <c r="B136" s="485">
        <f>IF(SUMIF(GRAFICO!A:A,A136,GRAFICO!B:B)&gt;1,SUMIF(GRAFICO!A:A,A136,GRAFICO!B:B),"")</f>
        <v>21008.11902</v>
      </c>
    </row>
    <row r="137">
      <c r="A137" s="484">
        <v>46035.0</v>
      </c>
      <c r="B137" s="485">
        <f>IF(SUMIF(GRAFICO!A:A,A137,GRAFICO!B:B)&gt;1,SUMIF(GRAFICO!A:A,A137,GRAFICO!B:B),"")</f>
        <v>20997.50188</v>
      </c>
    </row>
    <row r="138">
      <c r="A138" s="484">
        <v>46034.0</v>
      </c>
      <c r="B138" s="485">
        <f>IF(SUMIF(GRAFICO!A:A,A138,GRAFICO!B:B)&gt;1,SUMIF(GRAFICO!A:A,A138,GRAFICO!B:B),"")</f>
        <v>21041.06096</v>
      </c>
    </row>
    <row r="139">
      <c r="A139" s="484">
        <v>46033.0</v>
      </c>
      <c r="B139" s="485">
        <f>IF(SUMIF(GRAFICO!A:A,A139,GRAFICO!B:B)&gt;1,SUMIF(GRAFICO!A:A,A139,GRAFICO!B:B),"")</f>
        <v>21036.97908</v>
      </c>
    </row>
    <row r="140">
      <c r="A140" s="484">
        <v>46032.0</v>
      </c>
      <c r="B140" s="485">
        <f>IF(SUMIF(GRAFICO!A:A,A140,GRAFICO!B:B)&gt;1,SUMIF(GRAFICO!A:A,A140,GRAFICO!B:B),"")</f>
        <v>21032.89732</v>
      </c>
    </row>
    <row r="141">
      <c r="A141" s="484">
        <v>46031.0</v>
      </c>
      <c r="B141" s="485">
        <f>IF(SUMIF(GRAFICO!A:A,A141,GRAFICO!B:B)&gt;1,SUMIF(GRAFICO!A:A,A141,GRAFICO!B:B),"")</f>
        <v>21028.81568</v>
      </c>
    </row>
    <row r="142">
      <c r="A142" s="484">
        <v>46030.0</v>
      </c>
      <c r="B142" s="485">
        <f>IF(SUMIF(GRAFICO!A:A,A142,GRAFICO!B:B)&gt;1,SUMIF(GRAFICO!A:A,A142,GRAFICO!B:B),"")</f>
        <v>20994.03926</v>
      </c>
    </row>
    <row r="143">
      <c r="A143" s="484">
        <v>46029.0</v>
      </c>
      <c r="B143" s="485">
        <f>IF(SUMIF(GRAFICO!A:A,A143,GRAFICO!B:B)&gt;1,SUMIF(GRAFICO!A:A,A143,GRAFICO!B:B),"")</f>
        <v>20969.02375</v>
      </c>
    </row>
    <row r="144">
      <c r="A144" s="484">
        <v>46028.0</v>
      </c>
      <c r="B144" s="485">
        <f>IF(SUMIF(GRAFICO!A:A,A144,GRAFICO!B:B)&gt;1,SUMIF(GRAFICO!A:A,A144,GRAFICO!B:B),"")</f>
        <v>20989.13018</v>
      </c>
    </row>
    <row r="145">
      <c r="A145" s="484">
        <v>46027.0</v>
      </c>
      <c r="B145" s="485">
        <f>IF(SUMIF(GRAFICO!A:A,A145,GRAFICO!B:B)&gt;1,SUMIF(GRAFICO!A:A,A145,GRAFICO!B:B),"")</f>
        <v>21131.51146</v>
      </c>
    </row>
    <row r="146">
      <c r="A146" s="484">
        <v>46026.0</v>
      </c>
      <c r="B146" s="485">
        <f>IF(SUMIF(GRAFICO!A:A,A146,GRAFICO!B:B)&gt;1,SUMIF(GRAFICO!A:A,A146,GRAFICO!B:B),"")</f>
        <v>20857.15978</v>
      </c>
    </row>
    <row r="147">
      <c r="A147" s="484">
        <v>46025.0</v>
      </c>
      <c r="B147" s="485">
        <f>IF(SUMIF(GRAFICO!A:A,A147,GRAFICO!B:B)&gt;1,SUMIF(GRAFICO!A:A,A147,GRAFICO!B:B),"")</f>
        <v>20855.1897</v>
      </c>
    </row>
    <row r="148">
      <c r="A148" s="484">
        <v>46024.0</v>
      </c>
      <c r="B148" s="485">
        <f>IF(SUMIF(GRAFICO!A:A,A148,GRAFICO!B:B)&gt;1,SUMIF(GRAFICO!A:A,A148,GRAFICO!B:B),"")</f>
        <v>20853.21973</v>
      </c>
    </row>
    <row r="149">
      <c r="A149" s="484">
        <v>46023.0</v>
      </c>
      <c r="B149" s="485">
        <f>IF(SUMIF(GRAFICO!A:A,A149,GRAFICO!B:B)&gt;1,SUMIF(GRAFICO!A:A,A149,GRAFICO!B:B),"")</f>
        <v>20747.83315</v>
      </c>
    </row>
    <row r="150">
      <c r="A150" s="484">
        <v>46022.0</v>
      </c>
      <c r="B150" s="485">
        <f>IF(SUMIF(GRAFICO!A:A,A150,GRAFICO!B:B)&gt;1,SUMIF(GRAFICO!A:A,A150,GRAFICO!B:B),"")</f>
        <v>20702.56961</v>
      </c>
    </row>
    <row r="151">
      <c r="A151" s="484">
        <v>46021.0</v>
      </c>
      <c r="B151" s="485">
        <f>IF(SUMIF(GRAFICO!A:A,A151,GRAFICO!B:B)&gt;1,SUMIF(GRAFICO!A:A,A151,GRAFICO!B:B),"")</f>
        <v>20700.15697</v>
      </c>
    </row>
    <row r="152">
      <c r="A152" s="484">
        <v>46020.0</v>
      </c>
      <c r="B152" s="485">
        <f>IF(SUMIF(GRAFICO!A:A,A152,GRAFICO!B:B)&gt;1,SUMIF(GRAFICO!A:A,A152,GRAFICO!B:B),"")</f>
        <v>21268.03664</v>
      </c>
    </row>
    <row r="153">
      <c r="A153" s="484">
        <v>46019.0</v>
      </c>
      <c r="B153" s="485">
        <f>IF(SUMIF(GRAFICO!A:A,A153,GRAFICO!B:B)&gt;1,SUMIF(GRAFICO!A:A,A153,GRAFICO!B:B),"")</f>
        <v>21172.53894</v>
      </c>
    </row>
    <row r="154">
      <c r="A154" s="484">
        <v>46018.0</v>
      </c>
      <c r="B154" s="485">
        <f>IF(SUMIF(GRAFICO!A:A,A154,GRAFICO!B:B)&gt;1,SUMIF(GRAFICO!A:A,A154,GRAFICO!B:B),"")</f>
        <v>21170.10571</v>
      </c>
    </row>
    <row r="155">
      <c r="A155" s="484">
        <v>46017.0</v>
      </c>
      <c r="B155" s="485">
        <f>IF(SUMIF(GRAFICO!A:A,A155,GRAFICO!B:B)&gt;1,SUMIF(GRAFICO!A:A,A155,GRAFICO!B:B),"")</f>
        <v>21167.6726</v>
      </c>
    </row>
    <row r="156">
      <c r="A156" s="484">
        <v>46016.0</v>
      </c>
      <c r="B156" s="485">
        <f>IF(SUMIF(GRAFICO!A:A,A156,GRAFICO!B:B)&gt;1,SUMIF(GRAFICO!A:A,A156,GRAFICO!B:B),"")</f>
        <v>21152.7518</v>
      </c>
    </row>
    <row r="157">
      <c r="A157" s="484">
        <v>46015.0</v>
      </c>
      <c r="B157" s="485">
        <f>IF(SUMIF(GRAFICO!A:A,A157,GRAFICO!B:B)&gt;1,SUMIF(GRAFICO!A:A,A157,GRAFICO!B:B),"")</f>
        <v>21145.50882</v>
      </c>
    </row>
    <row r="158">
      <c r="A158" s="484">
        <v>46014.0</v>
      </c>
      <c r="B158" s="485">
        <f>IF(SUMIF(GRAFICO!A:A,A158,GRAFICO!B:B)&gt;1,SUMIF(GRAFICO!A:A,A158,GRAFICO!B:B),"")</f>
        <v>21151.37991</v>
      </c>
    </row>
    <row r="159">
      <c r="A159" s="484">
        <v>46013.0</v>
      </c>
      <c r="B159" s="485">
        <f>IF(SUMIF(GRAFICO!A:A,A159,GRAFICO!B:B)&gt;1,SUMIF(GRAFICO!A:A,A159,GRAFICO!B:B),"")</f>
        <v>21049.89115</v>
      </c>
    </row>
    <row r="160">
      <c r="A160" s="484">
        <v>46012.0</v>
      </c>
      <c r="B160" s="485">
        <f>IF(SUMIF(GRAFICO!A:A,A160,GRAFICO!B:B)&gt;1,SUMIF(GRAFICO!A:A,A160,GRAFICO!B:B),"")</f>
        <v>20986.91018</v>
      </c>
    </row>
    <row r="161">
      <c r="A161" s="484">
        <v>46011.0</v>
      </c>
      <c r="B161" s="485">
        <f>IF(SUMIF(GRAFICO!A:A,A161,GRAFICO!B:B)&gt;1,SUMIF(GRAFICO!A:A,A161,GRAFICO!B:B),"")</f>
        <v>20973.87434</v>
      </c>
    </row>
    <row r="162">
      <c r="A162" s="484">
        <v>46010.0</v>
      </c>
      <c r="B162" s="485">
        <f>IF(SUMIF(GRAFICO!A:A,A162,GRAFICO!B:B)&gt;1,SUMIF(GRAFICO!A:A,A162,GRAFICO!B:B),"")</f>
        <v>20960.83862</v>
      </c>
    </row>
    <row r="163">
      <c r="A163" s="484">
        <v>46009.0</v>
      </c>
      <c r="B163" s="485">
        <f>IF(SUMIF(GRAFICO!A:A,A163,GRAFICO!B:B)&gt;1,SUMIF(GRAFICO!A:A,A163,GRAFICO!B:B),"")</f>
        <v>21074.81315</v>
      </c>
    </row>
    <row r="164">
      <c r="A164" s="484">
        <v>46008.0</v>
      </c>
      <c r="B164" s="485">
        <f>IF(SUMIF(GRAFICO!A:A,A164,GRAFICO!B:B)&gt;1,SUMIF(GRAFICO!A:A,A164,GRAFICO!B:B),"")</f>
        <v>21255.24973</v>
      </c>
    </row>
    <row r="165">
      <c r="A165" s="484">
        <v>46007.0</v>
      </c>
      <c r="B165" s="485">
        <f>IF(SUMIF(GRAFICO!A:A,A165,GRAFICO!B:B)&gt;1,SUMIF(GRAFICO!A:A,A165,GRAFICO!B:B),"")</f>
        <v>21171.16671</v>
      </c>
    </row>
    <row r="166">
      <c r="A166" s="484">
        <v>46006.0</v>
      </c>
      <c r="B166" s="485">
        <f>IF(SUMIF(GRAFICO!A:A,A166,GRAFICO!B:B)&gt;1,SUMIF(GRAFICO!A:A,A166,GRAFICO!B:B),"")</f>
        <v>21362.80848</v>
      </c>
    </row>
    <row r="167">
      <c r="A167" s="484">
        <v>46005.0</v>
      </c>
      <c r="B167" s="485">
        <f>SUMIF(GRAFICO!A:A,A167,GRAFICO!B:B)</f>
        <v>21430.78096</v>
      </c>
    </row>
    <row r="168">
      <c r="A168" s="484">
        <v>46004.0</v>
      </c>
      <c r="B168" s="485">
        <f>SUMIF(GRAFICO!A:A,A168,GRAFICO!B:B)</f>
        <v>21428.12091</v>
      </c>
    </row>
    <row r="169">
      <c r="A169" s="484">
        <v>46003.0</v>
      </c>
      <c r="B169" s="485">
        <f>SUMIF(GRAFICO!A:A,A169,GRAFICO!B:B)</f>
        <v>21425.46097</v>
      </c>
    </row>
    <row r="170">
      <c r="A170" s="484">
        <v>46002.0</v>
      </c>
      <c r="B170" s="485">
        <f>SUMIF(GRAFICO!A:A,A170,GRAFICO!B:B)</f>
        <v>21396.78078</v>
      </c>
    </row>
    <row r="171">
      <c r="A171" s="484">
        <v>46001.0</v>
      </c>
      <c r="B171" s="485">
        <f>SUMIF(GRAFICO!A:A,A171,GRAFICO!B:B)</f>
        <v>21306.03615</v>
      </c>
    </row>
    <row r="172">
      <c r="A172" s="484">
        <v>46000.0</v>
      </c>
      <c r="B172" s="485">
        <f>SUMIF(GRAFICO!A:A,A172,GRAFICO!B:B)</f>
        <v>21232.49991</v>
      </c>
    </row>
    <row r="173">
      <c r="A173" s="484">
        <v>45999.0</v>
      </c>
      <c r="B173" s="485">
        <f>SUMIF(GRAFICO!A:A,A173,GRAFICO!B:B)</f>
        <v>21092.80246</v>
      </c>
    </row>
    <row r="174">
      <c r="A174" s="484">
        <v>45998.0</v>
      </c>
      <c r="B174" s="485">
        <f>SUMIF(GRAFICO!A:A,A174,GRAFICO!B:B)</f>
        <v>21087.01191</v>
      </c>
    </row>
    <row r="175">
      <c r="A175" s="484">
        <v>45997.0</v>
      </c>
      <c r="B175" s="485">
        <f>SUMIF(GRAFICO!A:A,A175,GRAFICO!B:B)</f>
        <v>21081.2215</v>
      </c>
    </row>
    <row r="176">
      <c r="A176" s="484">
        <v>45996.0</v>
      </c>
      <c r="B176" s="485">
        <f>SUMIF(GRAFICO!A:A,A176,GRAFICO!B:B)</f>
        <v>21075.43121</v>
      </c>
    </row>
    <row r="177">
      <c r="A177" s="484">
        <v>45995.0</v>
      </c>
      <c r="B177" s="485">
        <f>SUMIF(GRAFICO!A:A,A177,GRAFICO!B:B)</f>
        <v>21209.05502</v>
      </c>
    </row>
    <row r="178">
      <c r="A178" s="484">
        <v>45994.0</v>
      </c>
      <c r="B178" s="485">
        <f>SUMIF(GRAFICO!A:A,A178,GRAFICO!B:B)</f>
        <v>21204.17183</v>
      </c>
    </row>
    <row r="179">
      <c r="A179" s="484">
        <v>45993.0</v>
      </c>
      <c r="B179" s="485">
        <f>SUMIF(GRAFICO!A:A,A179,GRAFICO!B:B)</f>
        <v>21280.65119</v>
      </c>
    </row>
    <row r="180">
      <c r="A180" s="484">
        <v>45992.0</v>
      </c>
      <c r="B180" s="485">
        <f>SUMIF(GRAFICO!A:A,A180,GRAFICO!B:B)</f>
        <v>21108.33631</v>
      </c>
    </row>
    <row r="181">
      <c r="A181" s="484">
        <v>45991.0</v>
      </c>
      <c r="B181" s="485">
        <f>SUMIF(GRAFICO!A:A,A181,GRAFICO!B:B)</f>
        <v>20979.43078</v>
      </c>
    </row>
    <row r="182">
      <c r="A182" s="484">
        <v>45990.0</v>
      </c>
      <c r="B182" s="485">
        <f>SUMIF(GRAFICO!A:A,A182,GRAFICO!B:B)</f>
        <v>20973.23716</v>
      </c>
    </row>
    <row r="183">
      <c r="A183" s="484">
        <v>45989.0</v>
      </c>
      <c r="B183" s="485">
        <f>SUMIF(GRAFICO!A:A,A183,GRAFICO!B:B)</f>
        <v>20967.04368</v>
      </c>
    </row>
    <row r="184">
      <c r="A184" s="484">
        <v>45988.0</v>
      </c>
      <c r="B184" s="485">
        <f>SUMIF(GRAFICO!A:A,A184,GRAFICO!B:B)</f>
        <v>20825.37681</v>
      </c>
    </row>
    <row r="185">
      <c r="A185" s="484">
        <v>45987.0</v>
      </c>
      <c r="B185" s="485">
        <f>SUMIF(GRAFICO!A:A,A185,GRAFICO!B:B)</f>
        <v>20824.77447</v>
      </c>
    </row>
    <row r="186">
      <c r="A186" s="484">
        <v>45986.0</v>
      </c>
      <c r="B186" s="485">
        <f>SUMIF(GRAFICO!A:A,A186,GRAFICO!B:B)</f>
        <v>20792.36833</v>
      </c>
    </row>
    <row r="187">
      <c r="A187" s="484">
        <v>45985.0</v>
      </c>
      <c r="B187" s="485">
        <f>SUMIF(GRAFICO!A:A,A187,GRAFICO!B:B)</f>
        <v>20540.13075</v>
      </c>
    </row>
    <row r="188">
      <c r="A188" s="484">
        <v>45984.0</v>
      </c>
      <c r="B188" s="485">
        <f>SUMIF(GRAFICO!A:A,A188,GRAFICO!B:B)</f>
        <v>20930.5426</v>
      </c>
    </row>
    <row r="189">
      <c r="A189" s="484">
        <v>45983.0</v>
      </c>
      <c r="B189" s="485">
        <f>SUMIF(GRAFICO!A:A,A189,GRAFICO!B:B)</f>
        <v>20938.06435</v>
      </c>
    </row>
    <row r="190">
      <c r="A190" s="484">
        <v>45982.0</v>
      </c>
      <c r="B190" s="485">
        <f>SUMIF(GRAFICO!A:A,A190,GRAFICO!B:B)</f>
        <v>20944.50681</v>
      </c>
    </row>
    <row r="191">
      <c r="A191" s="484">
        <v>45981.0</v>
      </c>
      <c r="B191" s="485">
        <f>SUMIF(GRAFICO!A:A,A191,GRAFICO!B:B)</f>
        <v>20965.85934</v>
      </c>
    </row>
    <row r="192">
      <c r="A192" s="484">
        <v>45980.0</v>
      </c>
      <c r="B192" s="485">
        <f>SUMIF(GRAFICO!A:A,A192,GRAFICO!B:B)</f>
        <v>21234.61442</v>
      </c>
    </row>
    <row r="193">
      <c r="A193" s="484">
        <v>45979.0</v>
      </c>
      <c r="B193" s="485">
        <f>SUMIF(GRAFICO!A:A,A193,GRAFICO!B:B)</f>
        <v>21363.75504</v>
      </c>
    </row>
    <row r="194">
      <c r="A194" s="484">
        <v>45978.0</v>
      </c>
      <c r="B194" s="485">
        <f>SUMIF(GRAFICO!A:A,A194,GRAFICO!B:B)</f>
        <v>21416.85871</v>
      </c>
    </row>
    <row r="195">
      <c r="A195" s="484">
        <v>45977.0</v>
      </c>
      <c r="B195" s="485">
        <f>SUMIF(GRAFICO!A:A,A195,GRAFICO!B:B)</f>
        <v>21437.05252</v>
      </c>
    </row>
    <row r="196">
      <c r="A196" s="484">
        <v>45976.0</v>
      </c>
      <c r="B196" s="485">
        <f>SUMIF(GRAFICO!A:A,A196,GRAFICO!B:B)</f>
        <v>21457.24071</v>
      </c>
    </row>
    <row r="197">
      <c r="A197" s="484">
        <v>45975.0</v>
      </c>
      <c r="B197" s="485">
        <f>SUMIF(GRAFICO!A:A,A197,GRAFICO!B:B)</f>
        <v>21477.42327</v>
      </c>
    </row>
    <row r="198">
      <c r="A198" s="484">
        <v>45974.0</v>
      </c>
      <c r="B198" s="485">
        <f>SUMIF(GRAFICO!A:A,A198,GRAFICO!B:B)</f>
        <v>21227.76819</v>
      </c>
    </row>
    <row r="199">
      <c r="A199" s="484">
        <v>45973.0</v>
      </c>
      <c r="B199" s="485">
        <f>SUMIF(GRAFICO!A:A,A199,GRAFICO!B:B)</f>
        <v>21285.44172</v>
      </c>
    </row>
    <row r="200">
      <c r="A200" s="484">
        <v>45972.0</v>
      </c>
      <c r="B200" s="485">
        <f>SUMIF(GRAFICO!A:A,A200,GRAFICO!B:B)</f>
        <v>21254.355</v>
      </c>
    </row>
    <row r="201">
      <c r="A201" s="484">
        <v>45971.0</v>
      </c>
      <c r="B201" s="485">
        <f>SUMIF(GRAFICO!A:A,A201,GRAFICO!B:B)</f>
        <v>21247.14424</v>
      </c>
    </row>
    <row r="202">
      <c r="A202" s="484">
        <v>45970.0</v>
      </c>
      <c r="B202" s="485">
        <f>SUMIF(GRAFICO!A:A,A202,GRAFICO!B:B)</f>
        <v>21198.97769</v>
      </c>
    </row>
    <row r="203">
      <c r="A203" s="484">
        <v>45969.0</v>
      </c>
      <c r="B203" s="485">
        <f>SUMIF(GRAFICO!A:A,A203,GRAFICO!B:B)</f>
        <v>21192.98411</v>
      </c>
    </row>
    <row r="204">
      <c r="A204" s="484">
        <v>45968.0</v>
      </c>
      <c r="B204" s="485">
        <f>SUMIF(GRAFICO!A:A,A204,GRAFICO!B:B)</f>
        <v>21186.99138</v>
      </c>
    </row>
    <row r="205">
      <c r="A205" s="484">
        <v>45967.0</v>
      </c>
      <c r="B205" s="485">
        <f>SUMIF(GRAFICO!A:A,A205,GRAFICO!B:B)</f>
        <v>21069.17723</v>
      </c>
    </row>
    <row r="206">
      <c r="A206" s="484">
        <v>45966.0</v>
      </c>
      <c r="B206" s="485">
        <f>SUMIF(GRAFICO!A:A,A206,GRAFICO!B:B)</f>
        <v>20971.48413</v>
      </c>
    </row>
    <row r="207">
      <c r="A207" s="484">
        <v>45965.0</v>
      </c>
      <c r="B207" s="485">
        <f>SUMIF(GRAFICO!A:A,A207,GRAFICO!B:B)</f>
        <v>20590.19913</v>
      </c>
    </row>
    <row r="208">
      <c r="A208" s="484">
        <v>45964.0</v>
      </c>
      <c r="B208" s="485">
        <f>SUMIF(GRAFICO!A:A,A208,GRAFICO!B:B)</f>
        <v>20519.9424</v>
      </c>
    </row>
    <row r="209">
      <c r="A209" s="484">
        <v>45963.0</v>
      </c>
      <c r="B209" s="485">
        <f>SUMIF(GRAFICO!A:A,A209,GRAFICO!B:B)</f>
        <v>20514.53625</v>
      </c>
    </row>
    <row r="210">
      <c r="A210" s="484">
        <v>45962.0</v>
      </c>
      <c r="B210" s="485">
        <f>SUMIF(GRAFICO!A:A,A210,GRAFICO!B:B)</f>
        <v>20508.54693</v>
      </c>
    </row>
    <row r="211">
      <c r="A211" s="484">
        <v>45961.0</v>
      </c>
      <c r="B211" s="485">
        <f>SUMIF(GRAFICO!A:A,A211,GRAFICO!B:B)</f>
        <v>20502.55837</v>
      </c>
    </row>
    <row r="212">
      <c r="A212" s="484">
        <v>45960.0</v>
      </c>
      <c r="B212" s="485">
        <f>SUMIF(GRAFICO!A:A,A212,GRAFICO!B:B)</f>
        <v>20452.12541</v>
      </c>
    </row>
    <row r="213">
      <c r="A213" s="484">
        <v>45959.0</v>
      </c>
      <c r="B213" s="485">
        <f>SUMIF(GRAFICO!A:A,A213,GRAFICO!B:B)</f>
        <v>20484.32602</v>
      </c>
    </row>
    <row r="214">
      <c r="A214" s="484">
        <v>45958.0</v>
      </c>
      <c r="B214" s="485">
        <f>SUMIF(GRAFICO!A:A,A214,GRAFICO!B:B)</f>
        <v>20372.46972</v>
      </c>
    </row>
    <row r="215">
      <c r="A215" s="484">
        <v>45957.0</v>
      </c>
      <c r="B215" s="485">
        <f>SUMIF(GRAFICO!A:A,A215,GRAFICO!B:B)</f>
        <v>20303.61746</v>
      </c>
    </row>
    <row r="216">
      <c r="A216" s="484">
        <v>45956.0</v>
      </c>
      <c r="B216" s="485">
        <f>SUMIF(GRAFICO!A:A,A216,GRAFICO!B:B)</f>
        <v>20113.79742</v>
      </c>
    </row>
    <row r="217">
      <c r="A217" s="484">
        <v>45955.0</v>
      </c>
      <c r="B217" s="485">
        <f>SUMIF(GRAFICO!A:A,A217,GRAFICO!B:B)</f>
        <v>20109.04567</v>
      </c>
    </row>
    <row r="218">
      <c r="A218" s="484">
        <v>45954.0</v>
      </c>
      <c r="B218" s="485">
        <f>SUMIF(GRAFICO!A:A,A218,GRAFICO!B:B)</f>
        <v>20104.29462</v>
      </c>
    </row>
    <row r="219">
      <c r="A219" s="484">
        <v>45953.0</v>
      </c>
      <c r="B219" s="485">
        <f>SUMIF(GRAFICO!A:A,A219,GRAFICO!B:B)</f>
        <v>19907.61877</v>
      </c>
    </row>
    <row r="220">
      <c r="A220" s="484">
        <v>45952.0</v>
      </c>
      <c r="B220" s="485">
        <f>SUMIF(GRAFICO!A:A,A220,GRAFICO!B:B)</f>
        <v>19790.61639</v>
      </c>
    </row>
    <row r="221">
      <c r="A221" s="484">
        <v>45951.0</v>
      </c>
      <c r="B221" s="485">
        <f>SUMIF(GRAFICO!A:A,A221,GRAFICO!B:B)</f>
        <v>19616.93538</v>
      </c>
    </row>
    <row r="222">
      <c r="A222" s="484">
        <v>45950.0</v>
      </c>
      <c r="B222" s="485">
        <f>SUMIF(GRAFICO!A:A,A222,GRAFICO!B:B)</f>
        <v>19615.76235</v>
      </c>
    </row>
    <row r="223">
      <c r="A223" s="484">
        <v>45949.0</v>
      </c>
      <c r="B223" s="485">
        <f>SUMIF(GRAFICO!A:A,A223,GRAFICO!B:B)</f>
        <v>19628.15496</v>
      </c>
    </row>
    <row r="224">
      <c r="A224" s="484">
        <v>45948.0</v>
      </c>
      <c r="B224" s="485">
        <f>SUMIF(GRAFICO!A:A,A224,GRAFICO!B:B)</f>
        <v>19623.15024</v>
      </c>
    </row>
    <row r="225">
      <c r="A225" s="484">
        <v>45947.0</v>
      </c>
      <c r="B225" s="485">
        <f>SUMIF(GRAFICO!A:A,A225,GRAFICO!B:B)</f>
        <v>19618.14627</v>
      </c>
    </row>
    <row r="226">
      <c r="A226" s="484">
        <v>45946.0</v>
      </c>
      <c r="B226" s="485">
        <f>SUMIF(GRAFICO!A:A,A226,GRAFICO!B:B)</f>
        <v>19474.1536</v>
      </c>
    </row>
    <row r="227">
      <c r="A227" s="484">
        <v>45945.0</v>
      </c>
      <c r="B227" s="485">
        <f>SUMIF(GRAFICO!A:A,A227,GRAFICO!B:B)</f>
        <v>19403.05277</v>
      </c>
    </row>
    <row r="228">
      <c r="A228" s="484">
        <v>45944.0</v>
      </c>
      <c r="B228" s="485">
        <f>SUMIF(GRAFICO!A:A,A228,GRAFICO!B:B)</f>
        <v>19354.80034</v>
      </c>
    </row>
    <row r="229">
      <c r="A229" s="484">
        <v>45943.0</v>
      </c>
      <c r="B229" s="485">
        <f>SUMIF(GRAFICO!A:A,A229,GRAFICO!B:B)</f>
        <v>19299.32433</v>
      </c>
    </row>
    <row r="230">
      <c r="A230" s="484">
        <v>45942.0</v>
      </c>
      <c r="B230" s="485">
        <f>SUMIF(GRAFICO!A:A,A230,GRAFICO!B:B)</f>
        <v>19294.54127</v>
      </c>
    </row>
    <row r="231">
      <c r="A231" s="484">
        <v>45941.0</v>
      </c>
      <c r="B231" s="485">
        <f>SUMIF(GRAFICO!A:A,A231,GRAFICO!B:B)</f>
        <v>19289.75884</v>
      </c>
    </row>
    <row r="232">
      <c r="A232" s="484">
        <v>45940.0</v>
      </c>
      <c r="B232" s="485">
        <f>SUMIF(GRAFICO!A:A,A232,GRAFICO!B:B)</f>
        <v>19284.97699</v>
      </c>
    </row>
    <row r="233">
      <c r="A233" s="484">
        <v>45939.0</v>
      </c>
      <c r="B233" s="485">
        <f>SUMIF(GRAFICO!A:A,A233,GRAFICO!B:B)</f>
        <v>19349.34625</v>
      </c>
    </row>
    <row r="234">
      <c r="A234" s="484">
        <v>45938.0</v>
      </c>
      <c r="B234" s="485">
        <f>SUMIF(GRAFICO!A:A,A234,GRAFICO!B:B)</f>
        <v>19266.29491</v>
      </c>
    </row>
    <row r="235">
      <c r="A235" s="484">
        <v>45937.0</v>
      </c>
      <c r="B235" s="485">
        <f>SUMIF(GRAFICO!A:A,A235,GRAFICO!B:B)</f>
        <v>19259.00785</v>
      </c>
    </row>
    <row r="236">
      <c r="A236" s="484">
        <v>45936.0</v>
      </c>
      <c r="B236" s="485">
        <f>SUMIF(GRAFICO!A:A,A236,GRAFICO!B:B)</f>
        <v>19206.29279</v>
      </c>
    </row>
    <row r="237">
      <c r="A237" s="484">
        <v>45935.0</v>
      </c>
      <c r="B237" s="485">
        <f>SUMIF(GRAFICO!A:A,A237,GRAFICO!B:B)</f>
        <v>19223.66284</v>
      </c>
    </row>
    <row r="238">
      <c r="A238" s="484">
        <v>45934.0</v>
      </c>
      <c r="B238" s="485">
        <f>SUMIF(GRAFICO!A:A,A238,GRAFICO!B:B)</f>
        <v>19215.75431</v>
      </c>
    </row>
    <row r="239">
      <c r="A239" s="484">
        <v>45933.0</v>
      </c>
      <c r="B239" s="485">
        <f>SUMIF(GRAFICO!A:A,A239,GRAFICO!B:B)</f>
        <v>19208.04355</v>
      </c>
    </row>
    <row r="240">
      <c r="A240" s="484">
        <v>45932.0</v>
      </c>
      <c r="B240" s="485">
        <f>SUMIF(GRAFICO!A:A,A240,GRAFICO!B:B)</f>
        <v>19150.62766</v>
      </c>
    </row>
    <row r="241">
      <c r="A241" s="484">
        <v>45931.0</v>
      </c>
      <c r="B241" s="485">
        <f>SUMIF(GRAFICO!A:A,A241,GRAFICO!B:B)</f>
        <v>19192.12466</v>
      </c>
    </row>
    <row r="242">
      <c r="A242" s="484">
        <v>45930.0</v>
      </c>
      <c r="B242" s="485">
        <f>SUMIF(GRAFICO!A:A,A242,GRAFICO!B:B)</f>
        <v>19239.94438</v>
      </c>
    </row>
    <row r="243">
      <c r="A243" s="484">
        <v>45929.0</v>
      </c>
      <c r="B243" s="485">
        <f>SUMIF(GRAFICO!A:A,A243,GRAFICO!B:B)</f>
        <v>19251.82769</v>
      </c>
    </row>
    <row r="244">
      <c r="A244" s="484">
        <v>45928.0</v>
      </c>
      <c r="B244" s="485">
        <f>SUMIF(GRAFICO!A:A,A244,GRAFICO!B:B)</f>
        <v>19236.27126</v>
      </c>
    </row>
    <row r="245">
      <c r="A245" s="484">
        <v>45927.0</v>
      </c>
      <c r="B245" s="485">
        <f>SUMIF(GRAFICO!A:A,A245,GRAFICO!B:B)</f>
        <v>19226.53443</v>
      </c>
    </row>
    <row r="246">
      <c r="A246" s="484">
        <v>45926.0</v>
      </c>
      <c r="B246" s="485">
        <f>SUMIF(GRAFICO!A:A,A246,GRAFICO!B:B)</f>
        <v>19216.79846</v>
      </c>
    </row>
    <row r="247">
      <c r="A247" s="484">
        <v>45925.0</v>
      </c>
      <c r="B247" s="485">
        <f>SUMIF(GRAFICO!A:A,A247,GRAFICO!B:B)</f>
        <v>19234.57009</v>
      </c>
    </row>
    <row r="248">
      <c r="A248" s="484">
        <v>45924.0</v>
      </c>
      <c r="B248" s="485">
        <f>SUMIF(GRAFICO!A:A,A248,GRAFICO!B:B)</f>
        <v>19256.5744</v>
      </c>
    </row>
    <row r="249">
      <c r="A249" s="484">
        <v>45923.0</v>
      </c>
      <c r="B249" s="485">
        <f>SUMIF(GRAFICO!A:A,A249,GRAFICO!B:B)</f>
        <v>19199.87789</v>
      </c>
    </row>
    <row r="250">
      <c r="A250" s="484">
        <v>45922.0</v>
      </c>
      <c r="B250" s="485">
        <f>SUMIF(GRAFICO!A:A,A250,GRAFICO!B:B)</f>
        <v>19199.02513</v>
      </c>
    </row>
    <row r="251">
      <c r="A251" s="484">
        <v>45921.0</v>
      </c>
      <c r="B251" s="485">
        <f>SUMIF(GRAFICO!A:A,A251,GRAFICO!B:B)</f>
        <v>19097.19005</v>
      </c>
    </row>
    <row r="252">
      <c r="A252" s="484">
        <v>45920.0</v>
      </c>
      <c r="B252" s="485">
        <f>SUMIF(GRAFICO!A:A,A252,GRAFICO!B:B)</f>
        <v>19089.3118</v>
      </c>
    </row>
    <row r="253">
      <c r="A253" s="484">
        <v>45919.0</v>
      </c>
      <c r="B253" s="485">
        <f>SUMIF(GRAFICO!A:A,A253,GRAFICO!B:B)</f>
        <v>19058.70442</v>
      </c>
    </row>
    <row r="254">
      <c r="A254" s="484">
        <v>45918.0</v>
      </c>
      <c r="B254" s="485">
        <f>SUMIF(GRAFICO!A:A,A254,GRAFICO!B:B)</f>
        <v>19022.91034</v>
      </c>
    </row>
    <row r="255">
      <c r="A255" s="484">
        <v>45917.0</v>
      </c>
      <c r="B255" s="485">
        <f>SUMIF(GRAFICO!A:A,A255,GRAFICO!B:B)</f>
        <v>19001.54366</v>
      </c>
    </row>
    <row r="256">
      <c r="A256" s="484">
        <v>45916.0</v>
      </c>
      <c r="B256" s="485">
        <f>SUMIF(GRAFICO!A:A,A256,GRAFICO!B:B)</f>
        <v>19044.50548</v>
      </c>
    </row>
    <row r="257">
      <c r="A257" s="484">
        <v>45915.0</v>
      </c>
      <c r="B257" s="485">
        <f>SUMIF(GRAFICO!A:A,A257,GRAFICO!B:B)</f>
        <v>19059.16481</v>
      </c>
    </row>
    <row r="258">
      <c r="A258" s="484">
        <v>45914.0</v>
      </c>
      <c r="B258" s="485">
        <f>SUMIF(GRAFICO!A:A,A258,GRAFICO!B:B)</f>
        <v>19009.81177</v>
      </c>
    </row>
    <row r="259">
      <c r="A259" s="484">
        <v>45913.0</v>
      </c>
      <c r="B259" s="485">
        <f>SUMIF(GRAFICO!A:A,A259,GRAFICO!B:B)</f>
        <v>18956.28773</v>
      </c>
    </row>
    <row r="260">
      <c r="A260" s="484">
        <v>45912.0</v>
      </c>
      <c r="B260" s="485">
        <f>SUMIF(GRAFICO!A:A,A260,GRAFICO!B:B)</f>
        <v>18918.93013</v>
      </c>
    </row>
    <row r="261">
      <c r="A261" s="484">
        <v>45911.0</v>
      </c>
      <c r="B261" s="485">
        <f>SUMIF(GRAFICO!A:A,A261,GRAFICO!B:B)</f>
        <v>18925.65988</v>
      </c>
    </row>
    <row r="262">
      <c r="A262" s="484">
        <v>45910.0</v>
      </c>
      <c r="B262" s="485">
        <f>SUMIF(GRAFICO!A:A,A262,GRAFICO!B:B)</f>
        <v>18993.65855</v>
      </c>
    </row>
    <row r="263">
      <c r="A263" s="484">
        <v>45909.0</v>
      </c>
      <c r="B263" s="485">
        <f>SUMIF(GRAFICO!A:A,A263,GRAFICO!B:B)</f>
        <v>18910.66844</v>
      </c>
    </row>
    <row r="264">
      <c r="A264" s="484">
        <v>45908.0</v>
      </c>
      <c r="B264" s="485">
        <f>SUMIF(GRAFICO!A:A,A264,GRAFICO!B:B)</f>
        <v>18783.34239</v>
      </c>
    </row>
    <row r="265">
      <c r="A265" s="484">
        <v>45907.0</v>
      </c>
      <c r="B265" s="485">
        <f>SUMIF(GRAFICO!A:A,A265,GRAFICO!B:B)</f>
        <v>18667.11655</v>
      </c>
    </row>
    <row r="266">
      <c r="A266" s="484">
        <v>45906.0</v>
      </c>
      <c r="B266" s="485">
        <f>SUMIF(GRAFICO!A:A,A266,GRAFICO!B:B)</f>
        <v>18592.95468</v>
      </c>
    </row>
    <row r="267">
      <c r="A267" s="484">
        <v>45905.0</v>
      </c>
      <c r="B267" s="485">
        <f>SUMIF(GRAFICO!A:A,A267,GRAFICO!B:B)</f>
        <v>18557.43745</v>
      </c>
    </row>
    <row r="268">
      <c r="A268" s="484">
        <v>45904.0</v>
      </c>
      <c r="B268" s="485">
        <f>SUMIF(GRAFICO!A:A,A268,GRAFICO!B:B)</f>
        <v>18441.65465</v>
      </c>
    </row>
    <row r="269">
      <c r="A269" s="484">
        <v>45903.0</v>
      </c>
      <c r="B269" s="485">
        <f>SUMIF(GRAFICO!A:A,A269,GRAFICO!B:B)</f>
        <v>18273.48663</v>
      </c>
    </row>
    <row r="270">
      <c r="A270" s="484">
        <v>45902.0</v>
      </c>
      <c r="B270" s="485">
        <f>SUMIF(GRAFICO!A:A,A270,GRAFICO!B:B)</f>
        <v>18345.40129</v>
      </c>
    </row>
    <row r="271">
      <c r="A271" s="484">
        <v>45901.0</v>
      </c>
      <c r="B271" s="485">
        <f>SUMIF(GRAFICO!A:A,A271,GRAFICO!B:B)</f>
        <v>18337.99161</v>
      </c>
    </row>
    <row r="272">
      <c r="A272" s="484">
        <v>45900.0</v>
      </c>
      <c r="B272" s="485">
        <f>SUMIF(GRAFICO!A:A,A272,GRAFICO!B:B)</f>
        <v>18437.00609</v>
      </c>
    </row>
    <row r="273">
      <c r="A273" s="484">
        <v>45899.0</v>
      </c>
      <c r="B273" s="485">
        <f>SUMIF(GRAFICO!A:A,A273,GRAFICO!B:B)</f>
        <v>18429.04971</v>
      </c>
    </row>
    <row r="274">
      <c r="A274" s="484">
        <v>45898.0</v>
      </c>
      <c r="B274" s="485">
        <f>SUMIF(GRAFICO!A:A,A274,GRAFICO!B:B)</f>
        <v>18421.09334</v>
      </c>
    </row>
    <row r="275">
      <c r="A275" s="484">
        <v>45897.0</v>
      </c>
      <c r="B275" s="485">
        <f>SUMIF(GRAFICO!A:A,A275,GRAFICO!B:B)</f>
        <v>18415.26265</v>
      </c>
    </row>
    <row r="276">
      <c r="A276" s="484">
        <v>45896.0</v>
      </c>
      <c r="B276" s="485">
        <f>SUMIF(GRAFICO!A:A,A276,GRAFICO!B:B)</f>
        <v>18318.38748</v>
      </c>
    </row>
    <row r="277">
      <c r="A277" s="484">
        <v>45895.0</v>
      </c>
      <c r="B277" s="485">
        <f>SUMIF(GRAFICO!A:A,A277,GRAFICO!B:B)</f>
        <v>18318.57409</v>
      </c>
    </row>
    <row r="278">
      <c r="A278" s="484">
        <v>45894.0</v>
      </c>
      <c r="B278" s="485">
        <f>SUMIF(GRAFICO!A:A,A278,GRAFICO!B:B)</f>
        <v>18268.20224</v>
      </c>
    </row>
    <row r="279">
      <c r="A279" s="484">
        <v>45893.0</v>
      </c>
      <c r="B279" s="485">
        <f>SUMIF(GRAFICO!A:A,A279,GRAFICO!B:B)</f>
        <v>18257.13911</v>
      </c>
    </row>
    <row r="280">
      <c r="A280" s="484">
        <v>45892.0</v>
      </c>
      <c r="B280" s="485">
        <f>SUMIF(GRAFICO!A:A,A280,GRAFICO!B:B)</f>
        <v>18256.41495</v>
      </c>
    </row>
    <row r="281">
      <c r="A281" s="484">
        <v>45891.0</v>
      </c>
      <c r="B281" s="485">
        <f>SUMIF(GRAFICO!A:A,A281,GRAFICO!B:B)</f>
        <v>18255.69079</v>
      </c>
    </row>
    <row r="282">
      <c r="A282" s="484">
        <v>45890.0</v>
      </c>
      <c r="B282" s="485">
        <f>SUMIF(GRAFICO!A:A,A282,GRAFICO!B:B)</f>
        <v>18180.22448</v>
      </c>
    </row>
    <row r="283">
      <c r="A283" s="484">
        <v>45889.0</v>
      </c>
      <c r="B283" s="485">
        <f>SUMIF(GRAFICO!A:A,A283,GRAFICO!B:B)</f>
        <v>18212.67727</v>
      </c>
    </row>
    <row r="284">
      <c r="A284" s="484">
        <v>45888.0</v>
      </c>
      <c r="B284" s="485">
        <f>SUMIF(GRAFICO!A:A,A284,GRAFICO!B:B)</f>
        <v>18262.49196</v>
      </c>
    </row>
    <row r="285">
      <c r="A285" s="484">
        <v>45887.0</v>
      </c>
      <c r="B285" s="485">
        <f>SUMIF(GRAFICO!A:A,A285,GRAFICO!B:B)</f>
        <v>18178.91536</v>
      </c>
    </row>
    <row r="286">
      <c r="A286" s="484">
        <v>45886.0</v>
      </c>
      <c r="B286" s="485">
        <f>SUMIF(GRAFICO!A:A,A286,GRAFICO!B:B)</f>
        <v>18139.91589</v>
      </c>
    </row>
    <row r="287">
      <c r="A287" s="484">
        <v>45885.0</v>
      </c>
      <c r="B287" s="485">
        <f>SUMIF(GRAFICO!A:A,A287,GRAFICO!B:B)</f>
        <v>18139.10998</v>
      </c>
    </row>
    <row r="288">
      <c r="A288" s="484">
        <v>45884.0</v>
      </c>
      <c r="B288" s="485">
        <f>SUMIF(GRAFICO!A:A,A288,GRAFICO!B:B)</f>
        <v>18138.30407</v>
      </c>
    </row>
    <row r="289">
      <c r="A289" s="484">
        <v>45883.0</v>
      </c>
      <c r="B289" s="485">
        <f>SUMIF(GRAFICO!A:A,A289,GRAFICO!B:B)</f>
        <v>17740.5161</v>
      </c>
    </row>
    <row r="290">
      <c r="A290" s="484">
        <v>45882.0</v>
      </c>
      <c r="B290" s="485">
        <f>SUMIF(GRAFICO!A:A,A290,GRAFICO!B:B)</f>
        <v>17740.16312</v>
      </c>
    </row>
    <row r="291">
      <c r="A291" s="484">
        <v>45881.0</v>
      </c>
      <c r="B291" s="485">
        <f>SUMIF(GRAFICO!A:A,A291,GRAFICO!B:B)</f>
        <v>17586.24289</v>
      </c>
    </row>
    <row r="292">
      <c r="A292" s="484">
        <v>45880.0</v>
      </c>
      <c r="B292" s="485">
        <f>SUMIF(GRAFICO!A:A,A292,GRAFICO!B:B)</f>
        <v>17556.00823</v>
      </c>
    </row>
    <row r="293">
      <c r="A293" s="484">
        <v>45879.0</v>
      </c>
      <c r="B293" s="485">
        <f>SUMIF(GRAFICO!A:A,A293,GRAFICO!B:B)</f>
        <v>17577.94539</v>
      </c>
    </row>
    <row r="294">
      <c r="A294" s="484">
        <v>45878.0</v>
      </c>
      <c r="B294" s="485">
        <f>SUMIF(GRAFICO!A:A,A294,GRAFICO!B:B)</f>
        <v>17577.73671</v>
      </c>
    </row>
    <row r="295">
      <c r="A295" s="484">
        <v>45877.0</v>
      </c>
      <c r="B295" s="485">
        <f>SUMIF(GRAFICO!A:A,A295,GRAFICO!B:B)</f>
        <v>17577.52804</v>
      </c>
    </row>
    <row r="296">
      <c r="A296" s="484">
        <v>45876.0</v>
      </c>
      <c r="B296" s="485">
        <f>SUMIF(GRAFICO!A:A,A296,GRAFICO!B:B)</f>
        <v>17458.33647</v>
      </c>
    </row>
    <row r="297">
      <c r="A297" s="484">
        <v>45875.0</v>
      </c>
      <c r="B297" s="485">
        <f>SUMIF(GRAFICO!A:A,A297,GRAFICO!B:B)</f>
        <v>17499.11964</v>
      </c>
    </row>
    <row r="298">
      <c r="A298" s="484">
        <v>45874.0</v>
      </c>
      <c r="B298" s="485">
        <f>SUMIF(GRAFICO!A:A,A298,GRAFICO!B:B)</f>
        <v>17408.55769</v>
      </c>
    </row>
    <row r="299">
      <c r="A299" s="484">
        <v>45873.0</v>
      </c>
      <c r="B299" s="485">
        <f>SUMIF(GRAFICO!A:A,A299,GRAFICO!B:B)</f>
        <v>17351.58811</v>
      </c>
    </row>
    <row r="300">
      <c r="A300" s="484">
        <v>45872.0</v>
      </c>
      <c r="B300" s="485">
        <f>SUMIF(GRAFICO!A:A,A300,GRAFICO!B:B)</f>
        <v>17348.67472</v>
      </c>
    </row>
    <row r="301">
      <c r="A301" s="484">
        <v>45871.0</v>
      </c>
      <c r="B301" s="485">
        <f>SUMIF(GRAFICO!A:A,A301,GRAFICO!B:B)</f>
        <v>17348.46489</v>
      </c>
    </row>
    <row r="302">
      <c r="A302" s="484">
        <v>45870.0</v>
      </c>
      <c r="B302" s="485">
        <f>SUMIF(GRAFICO!A:A,A302,GRAFICO!B:B)</f>
        <v>17348.25519</v>
      </c>
    </row>
    <row r="303">
      <c r="A303" s="484">
        <v>45869.0</v>
      </c>
      <c r="B303" s="485">
        <f>SUMIF(GRAFICO!A:A,A303,GRAFICO!B:B)</f>
        <v>17578.95567</v>
      </c>
    </row>
    <row r="304">
      <c r="A304" s="484">
        <v>45868.0</v>
      </c>
      <c r="B304" s="485">
        <f>SUMIF(GRAFICO!A:A,A304,GRAFICO!B:B)</f>
        <v>17546.31956</v>
      </c>
    </row>
    <row r="305">
      <c r="A305" s="484">
        <v>45867.0</v>
      </c>
      <c r="B305" s="485">
        <f>SUMIF(GRAFICO!A:A,A305,GRAFICO!B:B)</f>
        <v>17445.24665</v>
      </c>
    </row>
    <row r="306">
      <c r="A306" s="484">
        <v>45866.0</v>
      </c>
      <c r="B306" s="485">
        <f>SUMIF(GRAFICO!A:A,A306,GRAFICO!B:B)</f>
        <v>17385.19657</v>
      </c>
    </row>
    <row r="307">
      <c r="A307" s="484">
        <v>45865.0</v>
      </c>
      <c r="B307" s="485">
        <f>SUMIF(GRAFICO!A:A,A307,GRAFICO!B:B)</f>
        <v>17200.97551</v>
      </c>
    </row>
    <row r="308">
      <c r="A308" s="484">
        <v>45864.0</v>
      </c>
      <c r="B308" s="485">
        <f>SUMIF(GRAFICO!A:A,A308,GRAFICO!B:B)</f>
        <v>17205.77781</v>
      </c>
    </row>
    <row r="309">
      <c r="A309" s="484">
        <v>45863.0</v>
      </c>
      <c r="B309" s="485">
        <f>SUMIF(GRAFICO!A:A,A309,GRAFICO!B:B)</f>
        <v>17210.58013</v>
      </c>
    </row>
    <row r="310">
      <c r="A310" s="484">
        <v>45862.0</v>
      </c>
      <c r="B310" s="485">
        <f>SUMIF(GRAFICO!A:A,A310,GRAFICO!B:B)</f>
        <v>17316.00579</v>
      </c>
    </row>
    <row r="311">
      <c r="A311" s="484">
        <v>45861.0</v>
      </c>
      <c r="B311" s="485">
        <f>SUMIF(GRAFICO!A:A,A311,GRAFICO!B:B)</f>
        <v>17312.82842</v>
      </c>
    </row>
    <row r="312">
      <c r="A312" s="484">
        <v>45860.0</v>
      </c>
      <c r="B312" s="485">
        <f>SUMIF(GRAFICO!A:A,A312,GRAFICO!B:B)</f>
        <v>17307.55709</v>
      </c>
    </row>
    <row r="313">
      <c r="A313" s="484">
        <v>45859.0</v>
      </c>
      <c r="B313" s="485">
        <f>SUMIF(GRAFICO!A:A,A313,GRAFICO!B:B)</f>
        <v>17365.95351</v>
      </c>
    </row>
    <row r="314">
      <c r="A314" s="484">
        <v>45858.0</v>
      </c>
      <c r="B314" s="485">
        <f>SUMIF(GRAFICO!A:A,A314,GRAFICO!B:B)</f>
        <v>17383.60257</v>
      </c>
    </row>
    <row r="315">
      <c r="A315" s="484">
        <v>45857.0</v>
      </c>
      <c r="B315" s="485">
        <f>SUMIF(GRAFICO!A:A,A315,GRAFICO!B:B)</f>
        <v>17388.4049</v>
      </c>
    </row>
    <row r="316">
      <c r="A316" s="484">
        <v>45856.0</v>
      </c>
      <c r="B316" s="485">
        <f>SUMIF(GRAFICO!A:A,A316,GRAFICO!B:B)</f>
        <v>17378.4929</v>
      </c>
    </row>
    <row r="317">
      <c r="A317" s="484">
        <v>45855.0</v>
      </c>
      <c r="B317" s="485">
        <f>SUMIF(GRAFICO!A:A,A317,GRAFICO!B:B)</f>
        <v>17720.46523</v>
      </c>
    </row>
    <row r="318">
      <c r="A318" s="484">
        <v>45854.0</v>
      </c>
      <c r="B318" s="485">
        <f>SUMIF(GRAFICO!A:A,A318,GRAFICO!B:B)</f>
        <v>17584.79774</v>
      </c>
    </row>
    <row r="319">
      <c r="A319" s="484">
        <v>45853.0</v>
      </c>
      <c r="B319" s="485">
        <f>SUMIF(GRAFICO!A:A,A319,GRAFICO!B:B)</f>
        <v>17506.30358</v>
      </c>
    </row>
    <row r="320">
      <c r="A320" s="484">
        <v>45852.0</v>
      </c>
      <c r="B320" s="485">
        <f>SUMIF(GRAFICO!A:A,A320,GRAFICO!B:B)</f>
        <v>17243.2594</v>
      </c>
    </row>
    <row r="321">
      <c r="A321" s="484">
        <v>45851.0</v>
      </c>
      <c r="B321" s="485">
        <f>SUMIF(GRAFICO!A:A,A321,GRAFICO!B:B)</f>
        <v>17202.72001</v>
      </c>
    </row>
    <row r="322">
      <c r="A322" s="484">
        <v>45850.0</v>
      </c>
      <c r="B322" s="485">
        <f>SUMIF(GRAFICO!A:A,A322,GRAFICO!B:B)</f>
        <v>17188.59021</v>
      </c>
    </row>
    <row r="323">
      <c r="A323" s="484">
        <v>45849.0</v>
      </c>
      <c r="B323" s="485">
        <f>SUMIF(GRAFICO!A:A,A323,GRAFICO!B:B)</f>
        <v>17174.46042</v>
      </c>
    </row>
    <row r="324">
      <c r="A324" s="484">
        <v>45848.0</v>
      </c>
      <c r="B324" s="485">
        <f>SUMIF(GRAFICO!A:A,A324,GRAFICO!B:B)</f>
        <v>17151.08654</v>
      </c>
    </row>
    <row r="325">
      <c r="A325" s="484">
        <v>45847.0</v>
      </c>
      <c r="B325" s="485">
        <f>SUMIF(GRAFICO!A:A,A325,GRAFICO!B:B)</f>
        <v>17117.11796</v>
      </c>
    </row>
    <row r="326">
      <c r="A326" s="484">
        <v>45846.0</v>
      </c>
      <c r="B326" s="485">
        <f>SUMIF(GRAFICO!A:A,A326,GRAFICO!B:B)</f>
        <v>17405.15274</v>
      </c>
    </row>
    <row r="327">
      <c r="A327" s="484">
        <v>45845.0</v>
      </c>
      <c r="B327" s="485">
        <f>SUMIF(GRAFICO!A:A,A327,GRAFICO!B:B)</f>
        <v>17267.15123</v>
      </c>
    </row>
    <row r="328">
      <c r="A328" s="484">
        <v>45844.0</v>
      </c>
      <c r="B328" s="485">
        <f>SUMIF(GRAFICO!A:A,A328,GRAFICO!B:B)</f>
        <v>17241.75884</v>
      </c>
    </row>
    <row r="329">
      <c r="A329" s="484">
        <v>45843.0</v>
      </c>
      <c r="B329" s="485">
        <f>SUMIF(GRAFICO!A:A,A329,GRAFICO!B:B)</f>
        <v>17249.01657</v>
      </c>
    </row>
    <row r="330">
      <c r="A330" s="484">
        <v>45842.0</v>
      </c>
      <c r="B330" s="485">
        <f>SUMIF(GRAFICO!A:A,A330,GRAFICO!B:B)</f>
        <v>17256.2743</v>
      </c>
    </row>
    <row r="331">
      <c r="A331" s="484">
        <v>45841.0</v>
      </c>
      <c r="B331" s="485">
        <f>SUMIF(GRAFICO!A:A,A331,GRAFICO!B:B)</f>
        <v>17278.75011</v>
      </c>
    </row>
    <row r="332">
      <c r="A332" s="484">
        <v>45840.0</v>
      </c>
      <c r="B332" s="485">
        <f>SUMIF(GRAFICO!A:A,A332,GRAFICO!B:B)</f>
        <v>17382.74634</v>
      </c>
    </row>
    <row r="333">
      <c r="A333" s="484">
        <v>45839.0</v>
      </c>
      <c r="B333" s="485">
        <f>SUMIF(GRAFICO!A:A,A333,GRAFICO!B:B)</f>
        <v>17300.97948</v>
      </c>
    </row>
    <row r="334">
      <c r="A334" s="484">
        <v>45838.0</v>
      </c>
      <c r="B334" s="485">
        <f>SUMIF(GRAFICO!A:A,A334,GRAFICO!B:B)</f>
        <v>17355.44305</v>
      </c>
    </row>
    <row r="335">
      <c r="A335" s="484">
        <v>45837.0</v>
      </c>
      <c r="B335" s="485">
        <f>SUMIF(GRAFICO!A:A,A335,GRAFICO!B:B)</f>
        <v>17362.74141</v>
      </c>
    </row>
    <row r="336">
      <c r="A336" s="484">
        <v>45836.0</v>
      </c>
      <c r="B336" s="485">
        <f>SUMIF(GRAFICO!A:A,A336,GRAFICO!B:B)</f>
        <v>17363.89257</v>
      </c>
    </row>
    <row r="337">
      <c r="A337" s="484">
        <v>45835.0</v>
      </c>
      <c r="B337" s="485">
        <f>SUMIF(GRAFICO!A:A,A337,GRAFICO!B:B)</f>
        <v>17365.04372</v>
      </c>
    </row>
    <row r="338">
      <c r="A338" s="484">
        <v>45834.0</v>
      </c>
      <c r="B338" s="485">
        <f>SUMIF(GRAFICO!A:A,A338,GRAFICO!B:B)</f>
        <v>16908.55951</v>
      </c>
    </row>
    <row r="339">
      <c r="A339" s="484">
        <v>45833.0</v>
      </c>
      <c r="B339" s="485">
        <f>SUMIF(GRAFICO!A:A,A339,GRAFICO!B:B)</f>
        <v>16802.84852</v>
      </c>
    </row>
    <row r="340">
      <c r="A340" s="484">
        <v>45832.0</v>
      </c>
      <c r="B340" s="485">
        <f>SUMIF(GRAFICO!A:A,A340,GRAFICO!B:B)</f>
        <v>16866.28281</v>
      </c>
    </row>
    <row r="341">
      <c r="A341" s="484">
        <v>45831.0</v>
      </c>
      <c r="B341" s="485">
        <f>SUMIF(GRAFICO!A:A,A341,GRAFICO!B:B)</f>
        <v>16779.17026</v>
      </c>
    </row>
    <row r="342">
      <c r="A342" s="484">
        <v>45830.0</v>
      </c>
      <c r="B342" s="485">
        <f>SUMIF(GRAFICO!A:A,A342,GRAFICO!B:B)</f>
        <v>16779.93953</v>
      </c>
    </row>
    <row r="343">
      <c r="A343" s="484">
        <v>45829.0</v>
      </c>
      <c r="B343" s="485">
        <f>SUMIF(GRAFICO!A:A,A343,GRAFICO!B:B)</f>
        <v>16780.7088</v>
      </c>
    </row>
    <row r="344">
      <c r="A344" s="484">
        <v>45828.0</v>
      </c>
      <c r="B344" s="485">
        <f>SUMIF(GRAFICO!A:A,A344,GRAFICO!B:B)</f>
        <v>16712.44603</v>
      </c>
    </row>
    <row r="345">
      <c r="A345" s="484">
        <v>45827.0</v>
      </c>
      <c r="B345" s="485">
        <f>SUMIF(GRAFICO!A:A,A345,GRAFICO!B:B)</f>
        <v>16779.29421</v>
      </c>
    </row>
    <row r="346">
      <c r="A346" s="484">
        <v>45826.0</v>
      </c>
      <c r="B346" s="485">
        <f>SUMIF(GRAFICO!A:A,A346,GRAFICO!B:B)</f>
        <v>16632.26034</v>
      </c>
    </row>
    <row r="347">
      <c r="A347" s="484">
        <v>45825.0</v>
      </c>
      <c r="B347" s="485">
        <f>SUMIF(GRAFICO!A:A,A347,GRAFICO!B:B)</f>
        <v>16474.00039</v>
      </c>
    </row>
    <row r="348">
      <c r="A348" s="484">
        <v>45824.0</v>
      </c>
      <c r="B348" s="485">
        <f>SUMIF(GRAFICO!A:A,A348,GRAFICO!B:B)</f>
        <v>16686.47352</v>
      </c>
    </row>
    <row r="349">
      <c r="A349" s="484">
        <v>45823.0</v>
      </c>
      <c r="B349" s="485">
        <f>SUMIF(GRAFICO!A:A,A349,GRAFICO!B:B)</f>
        <v>16794.72836</v>
      </c>
    </row>
    <row r="350">
      <c r="A350" s="484">
        <v>45822.0</v>
      </c>
      <c r="B350" s="485">
        <f>SUMIF(GRAFICO!A:A,A350,GRAFICO!B:B)</f>
        <v>16795.49763</v>
      </c>
    </row>
    <row r="351">
      <c r="A351" s="484">
        <v>45821.0</v>
      </c>
      <c r="B351" s="485">
        <f>SUMIF(GRAFICO!A:A,A351,GRAFICO!B:B)</f>
        <v>16796.2669</v>
      </c>
    </row>
    <row r="352">
      <c r="A352" s="484">
        <v>45820.0</v>
      </c>
      <c r="B352" s="485">
        <f>SUMIF(GRAFICO!A:A,A352,GRAFICO!B:B)</f>
        <v>16774.41645</v>
      </c>
    </row>
    <row r="353">
      <c r="A353" s="484">
        <v>45819.0</v>
      </c>
      <c r="B353" s="485">
        <f>SUMIF(GRAFICO!A:A,A353,GRAFICO!B:B)</f>
        <v>17139.97064</v>
      </c>
    </row>
    <row r="354">
      <c r="A354" s="484">
        <v>45818.0</v>
      </c>
      <c r="B354" s="485">
        <f>SUMIF(GRAFICO!A:A,A354,GRAFICO!B:B)</f>
        <v>16863.29225</v>
      </c>
    </row>
    <row r="355">
      <c r="A355" s="484">
        <v>45817.0</v>
      </c>
      <c r="B355" s="485">
        <f>SUMIF(GRAFICO!A:A,A355,GRAFICO!B:B)</f>
        <v>16763.67603</v>
      </c>
    </row>
    <row r="356">
      <c r="A356" s="484">
        <v>45816.0</v>
      </c>
      <c r="B356" s="485">
        <f>SUMIF(GRAFICO!A:A,A356,GRAFICO!B:B)</f>
        <v>16815.36062</v>
      </c>
    </row>
    <row r="357">
      <c r="A357" s="484">
        <v>45815.0</v>
      </c>
      <c r="B357" s="485">
        <f>SUMIF(GRAFICO!A:A,A357,GRAFICO!B:B)</f>
        <v>16816.12989</v>
      </c>
    </row>
    <row r="358">
      <c r="A358" s="484">
        <v>45814.0</v>
      </c>
      <c r="B358" s="485">
        <f>SUMIF(GRAFICO!A:A,A358,GRAFICO!B:B)</f>
        <v>16793.2406</v>
      </c>
    </row>
    <row r="359">
      <c r="A359" s="484">
        <v>45813.0</v>
      </c>
      <c r="B359" s="485">
        <f>SUMIF(GRAFICO!A:A,A359,GRAFICO!B:B)</f>
        <v>16662.21647</v>
      </c>
    </row>
    <row r="360">
      <c r="A360" s="484">
        <v>45812.0</v>
      </c>
      <c r="B360" s="485">
        <f>SUMIF(GRAFICO!A:A,A360,GRAFICO!B:B)</f>
        <v>16631.1799</v>
      </c>
    </row>
    <row r="361">
      <c r="A361" s="484">
        <v>45811.0</v>
      </c>
      <c r="B361" s="485">
        <f>SUMIF(GRAFICO!A:A,A361,GRAFICO!B:B)</f>
        <v>16721.76623</v>
      </c>
    </row>
    <row r="362">
      <c r="A362" s="484">
        <v>45810.0</v>
      </c>
      <c r="B362" s="485">
        <f>SUMIF(GRAFICO!A:A,A362,GRAFICO!B:B)</f>
        <v>16555.0532</v>
      </c>
    </row>
    <row r="363">
      <c r="A363" s="484">
        <v>45809.0</v>
      </c>
      <c r="B363" s="485">
        <f>SUMIF(GRAFICO!A:A,A363,GRAFICO!B:B)</f>
        <v>16536.60107</v>
      </c>
    </row>
    <row r="364">
      <c r="A364" s="484">
        <v>45808.0</v>
      </c>
      <c r="B364" s="485">
        <f>SUMIF(GRAFICO!A:A,A364,GRAFICO!B:B)</f>
        <v>16538.80292</v>
      </c>
    </row>
    <row r="365">
      <c r="A365" s="484">
        <v>45807.0</v>
      </c>
      <c r="B365" s="485">
        <f>SUMIF(GRAFICO!A:A,A365,GRAFICO!B:B)</f>
        <v>16541.00477</v>
      </c>
    </row>
    <row r="366">
      <c r="A366" s="484">
        <v>45806.0</v>
      </c>
      <c r="B366" s="485">
        <f>SUMIF(GRAFICO!A:A,A366,GRAFICO!B:B)</f>
        <v>16566.07768</v>
      </c>
    </row>
    <row r="367">
      <c r="A367" s="484">
        <v>45805.0</v>
      </c>
      <c r="B367" s="485">
        <f>SUMIF(GRAFICO!A:A,A367,GRAFICO!B:B)</f>
        <v>16633.12274</v>
      </c>
    </row>
    <row r="368">
      <c r="A368" s="484">
        <v>45804.0</v>
      </c>
      <c r="B368" s="485">
        <f>SUMIF(GRAFICO!A:A,A368,GRAFICO!B:B)</f>
        <v>16459.22586</v>
      </c>
    </row>
    <row r="369">
      <c r="A369" s="484">
        <v>45803.0</v>
      </c>
      <c r="B369" s="485">
        <f>SUMIF(GRAFICO!A:A,A369,GRAFICO!B:B)</f>
        <v>16488.32005</v>
      </c>
    </row>
    <row r="370">
      <c r="A370" s="484">
        <v>45802.0</v>
      </c>
      <c r="B370" s="485">
        <f>SUMIF(GRAFICO!A:A,A370,GRAFICO!B:B)</f>
        <v>16601.44232</v>
      </c>
    </row>
    <row r="371">
      <c r="A371" s="484">
        <v>45801.0</v>
      </c>
      <c r="B371" s="485">
        <f>SUMIF(GRAFICO!A:A,A371,GRAFICO!B:B)</f>
        <v>16603.64417</v>
      </c>
    </row>
    <row r="372">
      <c r="A372" s="484">
        <v>45800.0</v>
      </c>
      <c r="B372" s="485">
        <f>SUMIF(GRAFICO!A:A,A372,GRAFICO!B:B)</f>
        <v>16605.84602</v>
      </c>
    </row>
    <row r="373">
      <c r="A373" s="484">
        <v>45799.0</v>
      </c>
      <c r="B373" s="485">
        <f>SUMIF(GRAFICO!A:A,A373,GRAFICO!B:B)</f>
        <v>16828.46451</v>
      </c>
    </row>
    <row r="374">
      <c r="A374" s="484">
        <v>45798.0</v>
      </c>
      <c r="B374" s="485">
        <f>SUMIF(GRAFICO!A:A,A374,GRAFICO!B:B)</f>
        <v>16671.05071</v>
      </c>
    </row>
    <row r="375">
      <c r="A375" s="484">
        <v>45797.0</v>
      </c>
      <c r="B375" s="485">
        <f>SUMIF(GRAFICO!A:A,A375,GRAFICO!B:B)</f>
        <v>16874.86131</v>
      </c>
    </row>
    <row r="376">
      <c r="A376" s="484">
        <v>45796.0</v>
      </c>
      <c r="B376" s="485">
        <f>SUMIF(GRAFICO!A:A,A376,GRAFICO!B:B)</f>
        <v>17020.15386</v>
      </c>
    </row>
    <row r="377">
      <c r="A377" s="484">
        <v>45795.0</v>
      </c>
      <c r="B377" s="485">
        <f>SUMIF(GRAFICO!A:A,A377,GRAFICO!B:B)</f>
        <v>17152.90084</v>
      </c>
    </row>
    <row r="378">
      <c r="A378" s="484">
        <v>45794.0</v>
      </c>
      <c r="B378" s="485">
        <f>SUMIF(GRAFICO!A:A,A378,GRAFICO!B:B)</f>
        <v>17155.10269</v>
      </c>
    </row>
    <row r="379">
      <c r="A379" s="484">
        <v>45793.0</v>
      </c>
      <c r="B379" s="485">
        <f>SUMIF(GRAFICO!A:A,A379,GRAFICO!B:B)</f>
        <v>17157.30454</v>
      </c>
    </row>
    <row r="380">
      <c r="A380" s="484">
        <v>45792.0</v>
      </c>
      <c r="B380" s="485">
        <f>SUMIF(GRAFICO!A:A,A380,GRAFICO!B:B)</f>
        <v>17120.67587</v>
      </c>
    </row>
    <row r="381">
      <c r="A381" s="484">
        <v>45791.0</v>
      </c>
      <c r="B381" s="485">
        <f>SUMIF(GRAFICO!A:A,A381,GRAFICO!B:B)</f>
        <v>17272.23385</v>
      </c>
    </row>
    <row r="382">
      <c r="A382" s="484">
        <v>45790.0</v>
      </c>
      <c r="B382" s="485">
        <f>SUMIF(GRAFICO!A:A,A382,GRAFICO!B:B)</f>
        <v>17109.46145</v>
      </c>
    </row>
    <row r="383">
      <c r="A383" s="484">
        <v>45789.0</v>
      </c>
      <c r="B383" s="485">
        <f>SUMIF(GRAFICO!A:A,A383,GRAFICO!B:B)</f>
        <v>16656.61204</v>
      </c>
    </row>
    <row r="384">
      <c r="A384" s="484">
        <v>45788.0</v>
      </c>
      <c r="B384" s="485">
        <f>SUMIF(GRAFICO!A:A,A384,GRAFICO!B:B)</f>
        <v>16365.7031</v>
      </c>
    </row>
    <row r="385">
      <c r="A385" s="484">
        <v>45787.0</v>
      </c>
      <c r="B385" s="485">
        <f>SUMIF(GRAFICO!A:A,A385,GRAFICO!B:B)</f>
        <v>16374.58927</v>
      </c>
    </row>
    <row r="386">
      <c r="A386" s="484">
        <v>45786.0</v>
      </c>
      <c r="B386" s="485">
        <f>SUMIF(GRAFICO!A:A,A386,GRAFICO!B:B)</f>
        <v>16383.47544</v>
      </c>
    </row>
    <row r="387">
      <c r="A387" s="484">
        <v>45785.0</v>
      </c>
      <c r="B387" s="485">
        <f>SUMIF(GRAFICO!A:A,A387,GRAFICO!B:B)</f>
        <v>16296.60478</v>
      </c>
    </row>
    <row r="388">
      <c r="A388" s="484">
        <v>45784.0</v>
      </c>
      <c r="B388" s="485">
        <f>SUMIF(GRAFICO!A:A,A388,GRAFICO!B:B)</f>
        <v>16039.40357</v>
      </c>
    </row>
    <row r="389">
      <c r="A389" s="484">
        <v>45783.0</v>
      </c>
      <c r="B389" s="485">
        <f>SUMIF(GRAFICO!A:A,A389,GRAFICO!B:B)</f>
        <v>15584.01785</v>
      </c>
    </row>
    <row r="390">
      <c r="A390" s="484">
        <v>45782.0</v>
      </c>
      <c r="B390" s="485">
        <f>SUMIF(GRAFICO!A:A,A390,GRAFICO!B:B)</f>
        <v>15456.06269</v>
      </c>
    </row>
    <row r="391">
      <c r="A391" s="484">
        <v>45781.0</v>
      </c>
      <c r="B391" s="485">
        <f>SUMIF(GRAFICO!A:A,A391,GRAFICO!B:B)</f>
        <v>15371.60361</v>
      </c>
    </row>
    <row r="392">
      <c r="A392" s="484">
        <v>45780.0</v>
      </c>
      <c r="B392" s="485">
        <f>SUMIF(GRAFICO!A:A,A392,GRAFICO!B:B)</f>
        <v>15377.69174</v>
      </c>
    </row>
    <row r="393">
      <c r="A393" s="484">
        <v>45779.0</v>
      </c>
      <c r="B393" s="485">
        <f>SUMIF(GRAFICO!A:A,A393,GRAFICO!B:B)</f>
        <v>15383.77987</v>
      </c>
    </row>
    <row r="394">
      <c r="A394" s="484">
        <v>45778.0</v>
      </c>
      <c r="B394" s="485">
        <f>SUMIF(GRAFICO!A:A,A394,GRAFICO!B:B)</f>
        <v>15285.14334</v>
      </c>
    </row>
    <row r="395">
      <c r="A395" s="484">
        <v>45777.0</v>
      </c>
      <c r="B395" s="485">
        <f>SUMIF(GRAFICO!A:A,A395,GRAFICO!B:B)</f>
        <v>15292.69426</v>
      </c>
    </row>
    <row r="396">
      <c r="A396" s="484">
        <v>45776.0</v>
      </c>
      <c r="B396" s="485">
        <f>SUMIF(GRAFICO!A:A,A396,GRAFICO!B:B)</f>
        <v>15525.40758</v>
      </c>
    </row>
    <row r="397">
      <c r="A397" s="484">
        <v>45775.0</v>
      </c>
      <c r="B397" s="485">
        <f>SUMIF(GRAFICO!A:A,A397,GRAFICO!B:B)</f>
        <v>15467.30896</v>
      </c>
    </row>
    <row r="398">
      <c r="A398" s="484">
        <v>45774.0</v>
      </c>
      <c r="B398" s="485">
        <f>SUMIF(GRAFICO!A:A,A398,GRAFICO!B:B)</f>
        <v>15426.79843</v>
      </c>
    </row>
    <row r="399">
      <c r="A399" s="484">
        <v>45773.0</v>
      </c>
      <c r="B399" s="485">
        <f>SUMIF(GRAFICO!A:A,A399,GRAFICO!B:B)</f>
        <v>15423.89456</v>
      </c>
    </row>
    <row r="400">
      <c r="A400" s="484">
        <v>45772.0</v>
      </c>
      <c r="B400" s="485">
        <f>SUMIF(GRAFICO!A:A,A400,GRAFICO!B:B)</f>
        <v>15420.99068</v>
      </c>
    </row>
    <row r="401">
      <c r="A401" s="484">
        <v>45771.0</v>
      </c>
      <c r="B401" s="485">
        <f>SUMIF(GRAFICO!A:A,A401,GRAFICO!B:B)</f>
        <v>15356.79397</v>
      </c>
    </row>
    <row r="402">
      <c r="A402" s="484">
        <v>45770.0</v>
      </c>
      <c r="B402" s="485">
        <f>SUMIF(GRAFICO!A:A,A402,GRAFICO!B:B)</f>
        <v>15181.55483</v>
      </c>
    </row>
    <row r="403">
      <c r="A403" s="484">
        <v>45769.0</v>
      </c>
      <c r="B403" s="485">
        <f>SUMIF(GRAFICO!A:A,A403,GRAFICO!B:B)</f>
        <v>14679.37772</v>
      </c>
    </row>
    <row r="404">
      <c r="A404" s="484">
        <v>45768.0</v>
      </c>
      <c r="B404" s="485">
        <f>SUMIF(GRAFICO!A:A,A404,GRAFICO!B:B)</f>
        <v>14231.70454</v>
      </c>
    </row>
    <row r="405">
      <c r="A405" s="484">
        <v>45767.0</v>
      </c>
      <c r="B405" s="485">
        <f>SUMIF(GRAFICO!A:A,A405,GRAFICO!B:B)</f>
        <v>14353.32821</v>
      </c>
    </row>
    <row r="406">
      <c r="A406" s="484">
        <v>45766.0</v>
      </c>
      <c r="B406" s="485">
        <f>SUMIF(GRAFICO!A:A,A406,GRAFICO!B:B)</f>
        <v>14350.67705</v>
      </c>
    </row>
    <row r="407">
      <c r="A407" s="484">
        <v>45765.0</v>
      </c>
      <c r="B407" s="485">
        <f>SUMIF(GRAFICO!A:A,A407,GRAFICO!B:B)</f>
        <v>14348.0259</v>
      </c>
    </row>
    <row r="408">
      <c r="A408" s="484">
        <v>45764.0</v>
      </c>
      <c r="B408" s="485">
        <f>SUMIF(GRAFICO!A:A,A408,GRAFICO!B:B)</f>
        <v>14345.37475</v>
      </c>
    </row>
    <row r="409">
      <c r="A409" s="484">
        <v>45763.0</v>
      </c>
      <c r="B409" s="485">
        <f>SUMIF(GRAFICO!A:A,A409,GRAFICO!B:B)</f>
        <v>14342.72359</v>
      </c>
    </row>
    <row r="410">
      <c r="A410" s="484">
        <v>45762.0</v>
      </c>
      <c r="B410" s="485">
        <f>SUMIF(GRAFICO!A:A,A410,GRAFICO!B:B)</f>
        <v>14449.95619</v>
      </c>
    </row>
    <row r="411">
      <c r="A411" s="484">
        <v>45761.0</v>
      </c>
      <c r="B411" s="485">
        <f>SUMIF(GRAFICO!A:A,A411,GRAFICO!B:B)</f>
        <v>14214.94587</v>
      </c>
    </row>
    <row r="412">
      <c r="A412" s="484">
        <v>45760.0</v>
      </c>
      <c r="B412" s="485">
        <f>SUMIF(GRAFICO!A:A,A412,GRAFICO!B:B)</f>
        <v>14060.86238</v>
      </c>
    </row>
    <row r="413">
      <c r="A413" s="484">
        <v>45759.0</v>
      </c>
      <c r="B413" s="485">
        <f>SUMIF(GRAFICO!A:A,A413,GRAFICO!B:B)</f>
        <v>14058.21123</v>
      </c>
    </row>
    <row r="414">
      <c r="A414" s="484">
        <v>45758.0</v>
      </c>
      <c r="B414" s="485">
        <f>SUMIF(GRAFICO!A:A,A414,GRAFICO!B:B)</f>
        <v>14055.56008</v>
      </c>
    </row>
    <row r="415">
      <c r="A415" s="484">
        <v>45757.0</v>
      </c>
      <c r="B415" s="485">
        <f>SUMIF(GRAFICO!A:A,A415,GRAFICO!B:B)</f>
        <v>14630.50251</v>
      </c>
    </row>
    <row r="416">
      <c r="A416" s="484">
        <v>45756.0</v>
      </c>
      <c r="B416" s="485">
        <f>SUMIF(GRAFICO!A:A,A416,GRAFICO!B:B)</f>
        <v>14192.12903</v>
      </c>
    </row>
    <row r="417">
      <c r="A417" s="484">
        <v>45755.0</v>
      </c>
      <c r="B417" s="485">
        <f>SUMIF(GRAFICO!A:A,A417,GRAFICO!B:B)</f>
        <v>14115.17925</v>
      </c>
    </row>
    <row r="418">
      <c r="A418" s="484">
        <v>45754.0</v>
      </c>
      <c r="B418" s="485">
        <f>SUMIF(GRAFICO!A:A,A418,GRAFICO!B:B)</f>
        <v>13991.57776</v>
      </c>
    </row>
    <row r="419">
      <c r="A419" s="484">
        <v>45753.0</v>
      </c>
      <c r="B419" s="485">
        <f>SUMIF(GRAFICO!A:A,A419,GRAFICO!B:B)</f>
        <v>13314.95988</v>
      </c>
    </row>
    <row r="420">
      <c r="A420" s="484">
        <v>45752.0</v>
      </c>
      <c r="B420" s="485">
        <f>SUMIF(GRAFICO!A:A,A420,GRAFICO!B:B)</f>
        <v>13312.30873</v>
      </c>
    </row>
    <row r="421">
      <c r="A421" s="484">
        <v>45751.0</v>
      </c>
      <c r="B421" s="485">
        <f>SUMIF(GRAFICO!A:A,A421,GRAFICO!B:B)</f>
        <v>13309.65757</v>
      </c>
    </row>
    <row r="422">
      <c r="A422" s="484">
        <v>45750.0</v>
      </c>
      <c r="B422" s="485">
        <f>SUMIF(GRAFICO!A:A,A422,GRAFICO!B:B)</f>
        <v>14176.73608</v>
      </c>
    </row>
    <row r="423">
      <c r="A423" s="484">
        <v>45749.0</v>
      </c>
      <c r="B423" s="485">
        <f>SUMIF(GRAFICO!A:A,A423,GRAFICO!B:B)</f>
        <v>14362.35999</v>
      </c>
    </row>
    <row r="424">
      <c r="A424" s="484">
        <v>45748.0</v>
      </c>
      <c r="B424" s="485">
        <f>SUMIF(GRAFICO!A:A,A424,GRAFICO!B:B)</f>
        <v>14326.57796</v>
      </c>
    </row>
    <row r="425">
      <c r="A425" s="484">
        <v>45747.0</v>
      </c>
      <c r="B425" s="485">
        <f>SUMIF(GRAFICO!A:A,A425,GRAFICO!B:B)</f>
        <v>14071.20796</v>
      </c>
    </row>
    <row r="426">
      <c r="A426" s="484">
        <v>45746.0</v>
      </c>
      <c r="B426" s="485">
        <f>SUMIF(GRAFICO!A:A,A426,GRAFICO!B:B)</f>
        <v>14145.59488</v>
      </c>
    </row>
    <row r="427">
      <c r="A427" s="484">
        <v>45745.0</v>
      </c>
      <c r="B427" s="485">
        <f>SUMIF(GRAFICO!A:A,A427,GRAFICO!B:B)</f>
        <v>14142.49379</v>
      </c>
    </row>
    <row r="428">
      <c r="A428" s="484">
        <v>45744.0</v>
      </c>
      <c r="B428" s="485">
        <f>SUMIF(GRAFICO!A:A,A428,GRAFICO!B:B)</f>
        <v>14139.39256</v>
      </c>
    </row>
    <row r="429">
      <c r="A429" s="484">
        <v>45743.0</v>
      </c>
      <c r="B429" s="485">
        <f>SUMIF(GRAFICO!A:A,A429,GRAFICO!B:B)</f>
        <v>14513.18008</v>
      </c>
    </row>
    <row r="430">
      <c r="A430" s="484">
        <v>45742.0</v>
      </c>
      <c r="B430" s="485">
        <f>SUMIF(GRAFICO!A:A,A430,GRAFICO!B:B)</f>
        <v>14440.75665</v>
      </c>
    </row>
    <row r="431">
      <c r="A431" s="484">
        <v>45741.0</v>
      </c>
      <c r="B431" s="485">
        <f>SUMIF(GRAFICO!A:A,A431,GRAFICO!B:B)</f>
        <v>14569.26133</v>
      </c>
    </row>
    <row r="432">
      <c r="A432" s="484">
        <v>45740.0</v>
      </c>
      <c r="B432" s="485">
        <f>SUMIF(GRAFICO!A:A,A432,GRAFICO!B:B)</f>
        <v>14664.88081</v>
      </c>
    </row>
    <row r="433">
      <c r="A433" s="484">
        <v>45739.0</v>
      </c>
      <c r="B433" s="485">
        <f>SUMIF(GRAFICO!A:A,A433,GRAFICO!B:B)</f>
        <v>14661.65432</v>
      </c>
    </row>
    <row r="434">
      <c r="A434" s="484">
        <v>45738.0</v>
      </c>
      <c r="B434" s="485">
        <f>SUMIF(GRAFICO!A:A,A434,GRAFICO!B:B)</f>
        <v>14658.42783</v>
      </c>
    </row>
    <row r="435">
      <c r="A435" s="484">
        <v>45737.0</v>
      </c>
      <c r="B435" s="485">
        <f>SUMIF(GRAFICO!A:A,A435,GRAFICO!B:B)</f>
        <v>14655.20134</v>
      </c>
    </row>
    <row r="436">
      <c r="A436" s="484">
        <v>45736.0</v>
      </c>
      <c r="B436" s="485">
        <f>SUMIF(GRAFICO!A:A,A436,GRAFICO!B:B)</f>
        <v>14654.06884</v>
      </c>
    </row>
    <row r="437">
      <c r="A437" s="484">
        <v>45735.0</v>
      </c>
      <c r="B437" s="485">
        <f>SUMIF(GRAFICO!A:A,A437,GRAFICO!B:B)</f>
        <v>14981.88354</v>
      </c>
    </row>
    <row r="438">
      <c r="A438" s="484">
        <v>45734.0</v>
      </c>
      <c r="B438" s="485">
        <f>SUMIF(GRAFICO!A:A,A438,GRAFICO!B:B)</f>
        <v>14745.17687</v>
      </c>
    </row>
    <row r="439">
      <c r="A439" s="484">
        <v>45733.0</v>
      </c>
      <c r="B439" s="485">
        <f>SUMIF(GRAFICO!A:A,A439,GRAFICO!B:B)</f>
        <v>14848.05394</v>
      </c>
    </row>
    <row r="440">
      <c r="A440" s="484">
        <v>45732.0</v>
      </c>
      <c r="B440" s="485">
        <f>SUMIF(GRAFICO!A:A,A440,GRAFICO!B:B)</f>
        <v>14314.1669</v>
      </c>
    </row>
    <row r="441">
      <c r="A441" s="484">
        <v>45731.0</v>
      </c>
      <c r="B441" s="485">
        <f>SUMIF(GRAFICO!A:A,A441,GRAFICO!B:B)</f>
        <v>14305.22952</v>
      </c>
    </row>
    <row r="442">
      <c r="A442" s="484">
        <v>45730.0</v>
      </c>
      <c r="B442" s="485">
        <f>SUMIF(GRAFICO!A:A,A442,GRAFICO!B:B)</f>
        <v>14292.86561</v>
      </c>
    </row>
    <row r="443">
      <c r="A443" s="484">
        <v>45729.0</v>
      </c>
      <c r="B443" s="485">
        <f>SUMIF(GRAFICO!A:A,A443,GRAFICO!B:B)</f>
        <v>14123.59503</v>
      </c>
    </row>
    <row r="444">
      <c r="A444" s="484">
        <v>45728.0</v>
      </c>
      <c r="B444" s="485">
        <f>SUMIF(GRAFICO!A:A,A444,GRAFICO!B:B)</f>
        <v>14161.43935</v>
      </c>
    </row>
    <row r="445">
      <c r="A445" s="484">
        <v>45727.0</v>
      </c>
      <c r="B445" s="485">
        <f>SUMIF(GRAFICO!A:A,A445,GRAFICO!B:B)</f>
        <v>13892.75171</v>
      </c>
    </row>
    <row r="446">
      <c r="A446" s="484">
        <v>45726.0</v>
      </c>
      <c r="B446" s="485">
        <f>SUMIF(GRAFICO!A:A,A446,GRAFICO!B:B)</f>
        <v>13967.52644</v>
      </c>
    </row>
    <row r="447">
      <c r="A447" s="484">
        <v>45725.0</v>
      </c>
      <c r="B447" s="485">
        <f>SUMIF(GRAFICO!A:A,A447,GRAFICO!B:B)</f>
        <v>13964.29995</v>
      </c>
    </row>
    <row r="448">
      <c r="A448" s="484">
        <v>45724.0</v>
      </c>
      <c r="B448" s="485">
        <f>SUMIF(GRAFICO!A:A,A448,GRAFICO!B:B)</f>
        <v>13961.07346</v>
      </c>
    </row>
    <row r="449">
      <c r="A449" s="484">
        <v>45723.0</v>
      </c>
      <c r="B449" s="485">
        <f>SUMIF(GRAFICO!A:A,A449,GRAFICO!B:B)</f>
        <v>13883.02977</v>
      </c>
    </row>
    <row r="450">
      <c r="A450" s="484">
        <v>45722.0</v>
      </c>
      <c r="B450" s="485">
        <f>SUMIF(GRAFICO!A:A,A450,GRAFICO!B:B)</f>
        <v>13898.83764</v>
      </c>
    </row>
    <row r="451">
      <c r="A451" s="484">
        <v>45721.0</v>
      </c>
      <c r="B451" s="485">
        <f>SUMIF(GRAFICO!A:A,A451,GRAFICO!B:B)</f>
        <v>13996.56083</v>
      </c>
    </row>
    <row r="452">
      <c r="A452" s="484">
        <v>45720.0</v>
      </c>
      <c r="B452" s="485">
        <f>SUMIF(GRAFICO!A:A,A452,GRAFICO!B:B)</f>
        <v>13873.12389</v>
      </c>
    </row>
    <row r="453">
      <c r="A453" s="484">
        <v>45719.0</v>
      </c>
      <c r="B453" s="485">
        <f>SUMIF(GRAFICO!A:A,A453,GRAFICO!B:B)</f>
        <v>13847.33553</v>
      </c>
    </row>
    <row r="454">
      <c r="A454" s="484">
        <v>45718.0</v>
      </c>
      <c r="B454" s="485">
        <f>SUMIF(GRAFICO!A:A,A454,GRAFICO!B:B)</f>
        <v>14012.13599</v>
      </c>
    </row>
    <row r="455">
      <c r="A455" s="484">
        <v>45717.0</v>
      </c>
      <c r="B455" s="485">
        <f>SUMIF(GRAFICO!A:A,A455,GRAFICO!B:B)</f>
        <v>14009.16661</v>
      </c>
    </row>
    <row r="456">
      <c r="A456" s="484">
        <v>45716.0</v>
      </c>
      <c r="B456" s="485">
        <f>SUMIF(GRAFICO!A:A,A456,GRAFICO!B:B)</f>
        <v>14006.19723</v>
      </c>
    </row>
    <row r="457">
      <c r="A457" s="484">
        <v>45715.0</v>
      </c>
      <c r="B457" s="485">
        <f>SUMIF(GRAFICO!A:A,A457,GRAFICO!B:B)</f>
        <v>14288.31176</v>
      </c>
    </row>
    <row r="458">
      <c r="A458" s="484">
        <v>45714.0</v>
      </c>
      <c r="B458" s="485">
        <f>SUMIF(GRAFICO!A:A,A458,GRAFICO!B:B)</f>
        <v>14299.51117</v>
      </c>
    </row>
    <row r="459">
      <c r="A459" s="484">
        <v>45713.0</v>
      </c>
      <c r="B459" s="485">
        <f>SUMIF(GRAFICO!A:A,A459,GRAFICO!B:B)</f>
        <v>14220.09164</v>
      </c>
    </row>
    <row r="460">
      <c r="A460" s="484">
        <v>45712.0</v>
      </c>
      <c r="B460" s="485">
        <f>SUMIF(GRAFICO!A:A,A460,GRAFICO!B:B)</f>
        <v>14133.53297</v>
      </c>
    </row>
    <row r="461">
      <c r="A461" s="484">
        <v>45711.0</v>
      </c>
      <c r="B461" s="485">
        <f>SUMIF(GRAFICO!A:A,A461,GRAFICO!B:B)</f>
        <v>13961.2478</v>
      </c>
    </row>
    <row r="462">
      <c r="A462" s="484">
        <v>45710.0</v>
      </c>
      <c r="B462" s="485">
        <f>SUMIF(GRAFICO!A:A,A462,GRAFICO!B:B)</f>
        <v>13961.2478</v>
      </c>
    </row>
    <row r="463">
      <c r="A463" s="484">
        <v>45709.0</v>
      </c>
      <c r="B463" s="485">
        <f>SUMIF(GRAFICO!A:A,A463,GRAFICO!B:B)</f>
        <v>14089.67368</v>
      </c>
    </row>
    <row r="464">
      <c r="A464" s="484">
        <v>45708.0</v>
      </c>
      <c r="B464" s="485">
        <f>SUMIF(GRAFICO!A:A,A464,GRAFICO!B:B)</f>
        <v>15239.45107</v>
      </c>
    </row>
    <row r="465">
      <c r="A465" s="484">
        <v>45707.0</v>
      </c>
      <c r="B465" s="485">
        <f>SUMIF(GRAFICO!A:A,A465,GRAFICO!B:B)</f>
        <v>15272.19203</v>
      </c>
    </row>
    <row r="466">
      <c r="A466" s="484">
        <v>45706.0</v>
      </c>
      <c r="B466" s="485">
        <f>SUMIF(GRAFICO!A:A,A466,GRAFICO!B:B)</f>
        <v>15310.24776</v>
      </c>
    </row>
    <row r="467">
      <c r="A467" s="484">
        <v>45705.0</v>
      </c>
      <c r="B467" s="485">
        <f>SUMIF(GRAFICO!A:A,A467,GRAFICO!B:B)</f>
        <v>15723.42965</v>
      </c>
    </row>
    <row r="468">
      <c r="A468" s="484">
        <v>45704.0</v>
      </c>
      <c r="B468" s="485">
        <f>SUMIF(GRAFICO!A:A,A468,GRAFICO!B:B)</f>
        <v>15703.39031</v>
      </c>
    </row>
    <row r="469">
      <c r="A469" s="484">
        <v>45703.0</v>
      </c>
      <c r="B469" s="485">
        <f>SUMIF(GRAFICO!A:A,A469,GRAFICO!B:B)</f>
        <v>15703.39031</v>
      </c>
    </row>
    <row r="470">
      <c r="A470" s="484">
        <v>45702.0</v>
      </c>
      <c r="B470" s="485">
        <f>SUMIF(GRAFICO!A:A,A470,GRAFICO!B:B)</f>
        <v>15703.39031</v>
      </c>
    </row>
    <row r="471">
      <c r="A471" s="484">
        <v>45701.0</v>
      </c>
      <c r="B471" s="485">
        <f>SUMIF(GRAFICO!A:A,A471,GRAFICO!B:B)</f>
        <v>15609.00982</v>
      </c>
    </row>
    <row r="472">
      <c r="A472" s="484">
        <v>45700.0</v>
      </c>
      <c r="B472" s="485">
        <f>SUMIF(GRAFICO!A:A,A472,GRAFICO!B:B)</f>
        <v>15660.29891</v>
      </c>
    </row>
    <row r="473">
      <c r="A473" s="484">
        <v>45699.0</v>
      </c>
      <c r="B473" s="485">
        <f>SUMIF(GRAFICO!A:A,A473,GRAFICO!B:B)</f>
        <v>15704.83193</v>
      </c>
    </row>
    <row r="474">
      <c r="A474" s="484">
        <v>45698.0</v>
      </c>
      <c r="B474" s="485">
        <f>SUMIF(GRAFICO!A:A,A474,GRAFICO!B:B)</f>
        <v>15735.04396</v>
      </c>
    </row>
    <row r="475">
      <c r="A475" s="484">
        <v>45697.0</v>
      </c>
      <c r="B475" s="485">
        <f>SUMIF(GRAFICO!A:A,A475,GRAFICO!B:B)</f>
        <v>15578.22685</v>
      </c>
    </row>
    <row r="476">
      <c r="A476" s="484">
        <v>45696.0</v>
      </c>
      <c r="B476" s="485">
        <f>SUMIF(GRAFICO!A:A,A476,GRAFICO!B:B)</f>
        <v>15578.22685</v>
      </c>
    </row>
    <row r="477">
      <c r="A477" s="484">
        <v>45695.0</v>
      </c>
      <c r="B477" s="485">
        <f>SUMIF(GRAFICO!A:A,A477,GRAFICO!B:B)</f>
        <v>15578.22685</v>
      </c>
    </row>
    <row r="478">
      <c r="A478" s="484">
        <v>45694.0</v>
      </c>
      <c r="B478" s="485">
        <f>SUMIF(GRAFICO!A:A,A478,GRAFICO!B:B)</f>
        <v>15606.39303</v>
      </c>
    </row>
    <row r="479">
      <c r="A479" s="484">
        <v>45693.0</v>
      </c>
      <c r="B479" s="485">
        <f>SUMIF(GRAFICO!A:A,A479,GRAFICO!B:B)</f>
        <v>15557.34011</v>
      </c>
    </row>
    <row r="480">
      <c r="A480" s="484">
        <v>45692.0</v>
      </c>
      <c r="B480" s="485">
        <f>SUMIF(GRAFICO!A:A,A480,GRAFICO!B:B)</f>
        <v>15383.84691</v>
      </c>
    </row>
    <row r="481">
      <c r="A481" s="484">
        <v>45691.0</v>
      </c>
      <c r="B481" s="485">
        <f>SUMIF(GRAFICO!A:A,A481,GRAFICO!B:B)</f>
        <v>15282.00619</v>
      </c>
    </row>
    <row r="482">
      <c r="A482" s="484">
        <v>45690.0</v>
      </c>
      <c r="B482" s="485">
        <f>SUMIF(GRAFICO!A:A,A482,GRAFICO!B:B)</f>
        <v>15357.94069</v>
      </c>
    </row>
    <row r="483">
      <c r="A483" s="484">
        <v>45689.0</v>
      </c>
      <c r="B483" s="485">
        <f>SUMIF(GRAFICO!A:A,A483,GRAFICO!B:B)</f>
        <v>15357.94069</v>
      </c>
    </row>
    <row r="484">
      <c r="A484" s="484">
        <v>45688.0</v>
      </c>
      <c r="B484" s="485">
        <f>SUMIF(GRAFICO!A:A,A484,GRAFICO!B:B)</f>
        <v>15357.94069</v>
      </c>
    </row>
    <row r="485">
      <c r="A485" s="484">
        <v>45687.0</v>
      </c>
      <c r="B485" s="485">
        <f>SUMIF(GRAFICO!A:A,A485,GRAFICO!B:B)</f>
        <v>15455.88001</v>
      </c>
    </row>
    <row r="486">
      <c r="A486" s="484">
        <v>45686.0</v>
      </c>
      <c r="B486" s="485">
        <f>SUMIF(GRAFICO!A:A,A486,GRAFICO!B:B)</f>
        <v>14888.95296</v>
      </c>
    </row>
    <row r="487">
      <c r="A487" s="484">
        <v>45685.0</v>
      </c>
      <c r="B487" s="485">
        <f>SUMIF(GRAFICO!A:A,A487,GRAFICO!B:B)</f>
        <v>14849.65423</v>
      </c>
    </row>
    <row r="488">
      <c r="A488" s="484">
        <v>45684.0</v>
      </c>
      <c r="B488" s="485">
        <f>SUMIF(GRAFICO!A:A,A488,GRAFICO!B:B)</f>
        <v>14740.56062</v>
      </c>
    </row>
    <row r="489">
      <c r="A489" s="484">
        <v>45683.0</v>
      </c>
      <c r="B489" s="485">
        <f>SUMIF(GRAFICO!A:A,A489,GRAFICO!B:B)</f>
        <v>14737.03541</v>
      </c>
    </row>
    <row r="490">
      <c r="A490" s="484">
        <v>45682.0</v>
      </c>
      <c r="B490" s="485">
        <f>SUMIF(GRAFICO!A:A,A490,GRAFICO!B:B)</f>
        <v>14737.03541</v>
      </c>
    </row>
    <row r="491">
      <c r="A491" s="484">
        <v>45681.0</v>
      </c>
      <c r="B491" s="485">
        <f>SUMIF(GRAFICO!A:A,A491,GRAFICO!B:B)</f>
        <v>14737.03541</v>
      </c>
    </row>
    <row r="492">
      <c r="A492" s="484">
        <v>45680.0</v>
      </c>
      <c r="B492" s="485">
        <f>SUMIF(GRAFICO!A:A,A492,GRAFICO!B:B)</f>
        <v>14551.22167</v>
      </c>
    </row>
    <row r="493">
      <c r="A493" s="484">
        <v>45679.0</v>
      </c>
      <c r="B493" s="485">
        <f>SUMIF(GRAFICO!A:A,A493,GRAFICO!B:B)</f>
        <v>14254.52043</v>
      </c>
    </row>
    <row r="494">
      <c r="A494" s="484">
        <v>45678.0</v>
      </c>
      <c r="B494" s="485">
        <f>SUMIF(GRAFICO!A:A,A494,GRAFICO!B:B)</f>
        <v>14254.52043</v>
      </c>
    </row>
    <row r="495">
      <c r="A495" s="484">
        <v>45677.0</v>
      </c>
      <c r="B495" s="485">
        <f>SUMIF(GRAFICO!A:A,A495,GRAFICO!B:B)</f>
        <v>14370.74788</v>
      </c>
    </row>
    <row r="496">
      <c r="A496" s="484">
        <v>45676.0</v>
      </c>
      <c r="B496" s="485">
        <f>SUMIF(GRAFICO!A:A,A496,GRAFICO!B:B)</f>
        <v>14293.57615</v>
      </c>
    </row>
    <row r="497">
      <c r="A497" s="484">
        <v>45675.0</v>
      </c>
      <c r="B497" s="485">
        <f>SUMIF(GRAFICO!A:A,A497,GRAFICO!B:B)</f>
        <v>14293.57615</v>
      </c>
    </row>
    <row r="498">
      <c r="A498" s="484">
        <v>45674.0</v>
      </c>
      <c r="B498" s="485">
        <f>SUMIF(GRAFICO!A:A,A498,GRAFICO!B:B)</f>
        <v>14293.57615</v>
      </c>
    </row>
    <row r="499">
      <c r="A499" s="484">
        <v>45673.0</v>
      </c>
      <c r="B499" s="485">
        <f>SUMIF(GRAFICO!A:A,A499,GRAFICO!B:B)</f>
        <v>14136.46256</v>
      </c>
    </row>
    <row r="500">
      <c r="A500" s="484">
        <v>45672.0</v>
      </c>
      <c r="B500" s="485">
        <f>SUMIF(GRAFICO!A:A,A500,GRAFICO!B:B)</f>
        <v>14164.37266</v>
      </c>
    </row>
    <row r="501">
      <c r="A501" s="484">
        <v>45671.0</v>
      </c>
      <c r="B501" s="485">
        <f>SUMIF(GRAFICO!A:A,A501,GRAFICO!B:B)</f>
        <v>13992.39154</v>
      </c>
    </row>
    <row r="502">
      <c r="A502" s="484">
        <v>45670.0</v>
      </c>
      <c r="B502" s="485">
        <f>SUMIF(GRAFICO!A:A,A502,GRAFICO!B:B)</f>
        <v>14072.48866</v>
      </c>
    </row>
    <row r="503">
      <c r="A503" s="484">
        <v>45669.0</v>
      </c>
      <c r="B503" s="485">
        <f>SUMIF(GRAFICO!A:A,A503,GRAFICO!B:B)</f>
        <v>14111.39872</v>
      </c>
    </row>
    <row r="504">
      <c r="A504" s="484">
        <v>45668.0</v>
      </c>
      <c r="B504" s="485">
        <f>SUMIF(GRAFICO!A:A,A504,GRAFICO!B:B)</f>
        <v>14111.39872</v>
      </c>
    </row>
    <row r="505">
      <c r="A505" s="484">
        <v>45667.0</v>
      </c>
      <c r="B505" s="485">
        <f>SUMIF(GRAFICO!A:A,A505,GRAFICO!B:B)</f>
        <v>14111.39872</v>
      </c>
    </row>
    <row r="506">
      <c r="A506" s="484">
        <v>45666.0</v>
      </c>
      <c r="B506" s="485">
        <f>SUMIF(GRAFICO!A:A,A506,GRAFICO!B:B)</f>
        <v>14206.69823</v>
      </c>
    </row>
    <row r="507">
      <c r="A507" s="484">
        <v>45665.0</v>
      </c>
      <c r="B507" s="485">
        <f>SUMIF(GRAFICO!A:A,A507,GRAFICO!B:B)</f>
        <v>14119.78347</v>
      </c>
    </row>
    <row r="508">
      <c r="A508" s="484">
        <v>45664.0</v>
      </c>
      <c r="B508" s="485">
        <f>SUMIF(GRAFICO!A:A,A508,GRAFICO!B:B)</f>
        <v>14075.93431</v>
      </c>
    </row>
    <row r="509">
      <c r="A509" s="484">
        <v>45663.0</v>
      </c>
      <c r="B509" s="485">
        <f>SUMIF(GRAFICO!A:A,A509,GRAFICO!B:B)</f>
        <v>13997.05941</v>
      </c>
    </row>
    <row r="510">
      <c r="A510" s="484">
        <v>45662.0</v>
      </c>
      <c r="B510" s="485">
        <f>SUMIF(GRAFICO!A:A,A510,GRAFICO!B:B)</f>
        <v>13963.57399</v>
      </c>
    </row>
    <row r="511">
      <c r="A511" s="484">
        <v>45661.0</v>
      </c>
      <c r="B511" s="485">
        <f>SUMIF(GRAFICO!A:A,A511,GRAFICO!B:B)</f>
        <v>13963.57399</v>
      </c>
    </row>
    <row r="512">
      <c r="A512" s="484">
        <v>45660.0</v>
      </c>
      <c r="B512" s="485">
        <f>SUMIF(GRAFICO!A:A,A512,GRAFICO!B:B)</f>
        <v>13963.57399</v>
      </c>
    </row>
    <row r="513">
      <c r="A513" s="484">
        <v>45659.0</v>
      </c>
      <c r="B513" s="485">
        <f>SUMIF(GRAFICO!A:A,A513,GRAFICO!B:B)</f>
        <v>13848.33392</v>
      </c>
    </row>
    <row r="514">
      <c r="A514" s="484">
        <v>45658.0</v>
      </c>
      <c r="B514" s="485">
        <f>SUMIF(GRAFICO!A:A,A514,GRAFICO!B:B)</f>
        <v>13916.4734</v>
      </c>
    </row>
    <row r="515">
      <c r="A515" s="484">
        <v>45657.0</v>
      </c>
      <c r="B515" s="485">
        <f>SUMIF(GRAFICO!A:A,A515,GRAFICO!B:B)</f>
        <v>13916.4734</v>
      </c>
    </row>
    <row r="516">
      <c r="A516" s="484">
        <v>45656.0</v>
      </c>
      <c r="B516" s="485">
        <f>SUMIF(GRAFICO!A:A,A516,GRAFICO!B:B)</f>
        <v>13916.4734</v>
      </c>
    </row>
    <row r="517">
      <c r="A517" s="484">
        <v>45655.0</v>
      </c>
      <c r="B517" s="485">
        <f>SUMIF(GRAFICO!A:A,A517,GRAFICO!B:B)</f>
        <v>13753.08129</v>
      </c>
    </row>
    <row r="518">
      <c r="A518" s="484">
        <v>45654.0</v>
      </c>
      <c r="B518" s="485">
        <f>SUMIF(GRAFICO!A:A,A518,GRAFICO!B:B)</f>
        <v>13753.08129</v>
      </c>
    </row>
    <row r="519">
      <c r="A519" s="484">
        <v>45653.0</v>
      </c>
      <c r="B519" s="485">
        <f>SUMIF(GRAFICO!A:A,A519,GRAFICO!B:B)</f>
        <v>13753.08129</v>
      </c>
    </row>
    <row r="520">
      <c r="A520" s="484">
        <v>45652.0</v>
      </c>
      <c r="B520" s="485">
        <f>SUMIF(GRAFICO!A:A,A520,GRAFICO!B:B)</f>
        <v>13788.64827</v>
      </c>
    </row>
    <row r="521">
      <c r="A521" s="484">
        <v>45651.0</v>
      </c>
      <c r="B521" s="485">
        <f>SUMIF(GRAFICO!A:A,A521,GRAFICO!B:B)</f>
        <v>13742.67642</v>
      </c>
    </row>
    <row r="522">
      <c r="A522" s="484">
        <v>45650.0</v>
      </c>
      <c r="B522" s="485">
        <f>SUMIF(GRAFICO!A:A,A522,GRAFICO!B:B)</f>
        <v>13742.67642</v>
      </c>
    </row>
    <row r="523">
      <c r="A523" s="484">
        <v>45649.0</v>
      </c>
      <c r="B523" s="485">
        <f>SUMIF(GRAFICO!A:A,A523,GRAFICO!B:B)</f>
        <v>13607.17507</v>
      </c>
    </row>
    <row r="524">
      <c r="A524" s="484">
        <v>45648.0</v>
      </c>
      <c r="B524" s="485">
        <f>SUMIF(GRAFICO!A:A,A524,GRAFICO!B:B)</f>
        <v>13847.29979</v>
      </c>
    </row>
    <row r="525">
      <c r="A525" s="484">
        <v>45647.0</v>
      </c>
      <c r="B525" s="485">
        <f>SUMIF(GRAFICO!A:A,A525,GRAFICO!B:B)</f>
        <v>13847.29979</v>
      </c>
    </row>
    <row r="526">
      <c r="A526" s="484">
        <v>45646.0</v>
      </c>
      <c r="B526" s="485">
        <f>SUMIF(GRAFICO!A:A,A526,GRAFICO!B:B)</f>
        <v>13847.29979</v>
      </c>
    </row>
    <row r="527">
      <c r="A527" s="484">
        <v>45645.0</v>
      </c>
      <c r="B527" s="485">
        <f>SUMIF(GRAFICO!A:A,A527,GRAFICO!B:B)</f>
        <v>13933.11143</v>
      </c>
    </row>
    <row r="528">
      <c r="A528" s="484">
        <v>45644.0</v>
      </c>
      <c r="B528" s="485">
        <f>SUMIF(GRAFICO!A:A,A528,GRAFICO!B:B)</f>
        <v>13993.42258</v>
      </c>
    </row>
    <row r="529">
      <c r="A529" s="484">
        <v>45643.0</v>
      </c>
      <c r="B529" s="485">
        <f>SUMIF(GRAFICO!A:A,A529,GRAFICO!B:B)</f>
        <v>14190.21875</v>
      </c>
    </row>
    <row r="530">
      <c r="A530" s="484">
        <v>45642.0</v>
      </c>
      <c r="B530" s="485">
        <f>SUMIF(GRAFICO!A:A,A530,GRAFICO!B:B)</f>
        <v>14278.80339</v>
      </c>
    </row>
    <row r="531">
      <c r="A531" s="484">
        <v>45641.0</v>
      </c>
      <c r="B531" s="485">
        <f>SUMIF(GRAFICO!A:A,A531,GRAFICO!B:B)</f>
        <v>14420.90261</v>
      </c>
    </row>
    <row r="532">
      <c r="A532" s="484">
        <v>45640.0</v>
      </c>
      <c r="B532" s="485">
        <f>SUMIF(GRAFICO!A:A,A532,GRAFICO!B:B)</f>
        <v>14418.27147</v>
      </c>
    </row>
    <row r="533">
      <c r="A533" s="484">
        <v>45639.0</v>
      </c>
      <c r="B533" s="485">
        <f>SUMIF(GRAFICO!A:A,A533,GRAFICO!B:B)</f>
        <v>14415.64032</v>
      </c>
    </row>
    <row r="534">
      <c r="A534" s="484">
        <v>45638.0</v>
      </c>
      <c r="B534" s="485">
        <f>SUMIF(GRAFICO!A:A,A534,GRAFICO!B:B)</f>
        <v>14520.63549</v>
      </c>
    </row>
    <row r="535">
      <c r="A535" s="484">
        <v>45637.0</v>
      </c>
      <c r="B535" s="485">
        <f>SUMIF(GRAFICO!A:A,A535,GRAFICO!B:B)</f>
        <v>14477.13255</v>
      </c>
    </row>
    <row r="536">
      <c r="A536" s="484">
        <v>45636.0</v>
      </c>
      <c r="B536" s="485">
        <f>SUMIF(GRAFICO!A:A,A536,GRAFICO!B:B)</f>
        <v>14416.70209</v>
      </c>
    </row>
    <row r="537">
      <c r="A537" s="484">
        <v>45635.0</v>
      </c>
      <c r="B537" s="485">
        <f>SUMIF(GRAFICO!A:A,A537,GRAFICO!B:B)</f>
        <v>14405.52527</v>
      </c>
    </row>
    <row r="538">
      <c r="A538" s="484">
        <v>45634.0</v>
      </c>
      <c r="B538" s="485">
        <f>SUMIF(GRAFICO!A:A,A538,GRAFICO!B:B)</f>
        <v>14535.33838</v>
      </c>
    </row>
    <row r="539">
      <c r="A539" s="484">
        <v>45633.0</v>
      </c>
      <c r="B539" s="485">
        <f>SUMIF(GRAFICO!A:A,A539,GRAFICO!B:B)</f>
        <v>14532.57759</v>
      </c>
    </row>
    <row r="540">
      <c r="A540" s="484">
        <v>45632.0</v>
      </c>
      <c r="B540" s="485">
        <f>SUMIF(GRAFICO!A:A,A540,GRAFICO!B:B)</f>
        <v>14529.8168</v>
      </c>
    </row>
    <row r="541">
      <c r="A541" s="484">
        <v>45631.0</v>
      </c>
      <c r="B541" s="485">
        <f>SUMIF(GRAFICO!A:A,A541,GRAFICO!B:B)</f>
        <v>14566.70447</v>
      </c>
    </row>
    <row r="542">
      <c r="A542" s="484">
        <v>45630.0</v>
      </c>
      <c r="B542" s="485">
        <f>SUMIF(GRAFICO!A:A,A542,GRAFICO!B:B)</f>
        <v>14561.86958</v>
      </c>
    </row>
    <row r="543">
      <c r="A543" s="484">
        <v>45629.0</v>
      </c>
      <c r="B543" s="485">
        <f>SUMIF(GRAFICO!A:A,A543,GRAFICO!B:B)</f>
        <v>14616.3756</v>
      </c>
    </row>
    <row r="544">
      <c r="A544" s="484">
        <v>45628.0</v>
      </c>
      <c r="B544" s="485">
        <f>SUMIF(GRAFICO!A:A,A544,GRAFICO!B:B)</f>
        <v>14648.91113</v>
      </c>
    </row>
    <row r="545">
      <c r="A545" s="484">
        <v>45627.0</v>
      </c>
      <c r="B545" s="485">
        <f>SUMIF(GRAFICO!A:A,A545,GRAFICO!B:B)</f>
        <v>14633.8782</v>
      </c>
    </row>
    <row r="546">
      <c r="A546" s="484">
        <v>45626.0</v>
      </c>
      <c r="B546" s="485">
        <f>SUMIF(GRAFICO!A:A,A546,GRAFICO!B:B)</f>
        <v>14624.72199</v>
      </c>
    </row>
    <row r="547">
      <c r="A547" s="484">
        <v>45625.0</v>
      </c>
      <c r="B547" s="485">
        <f>SUMIF(GRAFICO!A:A,A547,GRAFICO!B:B)</f>
        <v>14613.97795</v>
      </c>
    </row>
    <row r="548">
      <c r="A548" s="484">
        <v>45624.0</v>
      </c>
      <c r="B548" s="485">
        <f>SUMIF(GRAFICO!A:A,A548,GRAFICO!B:B)</f>
        <v>14692.42477</v>
      </c>
    </row>
    <row r="549">
      <c r="A549" s="484">
        <v>45623.0</v>
      </c>
      <c r="B549" s="485">
        <f>SUMIF(GRAFICO!A:A,A549,GRAFICO!B:B)</f>
        <v>14606.64715</v>
      </c>
    </row>
    <row r="550">
      <c r="A550" s="484">
        <v>45622.0</v>
      </c>
      <c r="B550" s="485">
        <f>SUMIF(GRAFICO!A:A,A550,GRAFICO!B:B)</f>
        <v>14568.65035</v>
      </c>
    </row>
    <row r="551">
      <c r="A551" s="484">
        <v>45621.0</v>
      </c>
      <c r="B551" s="485">
        <f>SUMIF(GRAFICO!A:A,A551,GRAFICO!B:B)</f>
        <v>14608.87252</v>
      </c>
    </row>
    <row r="552">
      <c r="A552" s="484">
        <v>45620.0</v>
      </c>
      <c r="B552" s="485">
        <f>SUMIF(GRAFICO!A:A,A552,GRAFICO!B:B)</f>
        <v>14623.61159</v>
      </c>
    </row>
    <row r="553">
      <c r="A553" s="484">
        <v>45619.0</v>
      </c>
      <c r="B553" s="485">
        <f>SUMIF(GRAFICO!A:A,A553,GRAFICO!B:B)</f>
        <v>14612.86755</v>
      </c>
    </row>
    <row r="554">
      <c r="A554" s="484">
        <v>45618.0</v>
      </c>
      <c r="B554" s="485">
        <f>SUMIF(GRAFICO!A:A,A554,GRAFICO!B:B)</f>
        <v>14602.12351</v>
      </c>
    </row>
    <row r="555">
      <c r="A555" s="484">
        <v>45617.0</v>
      </c>
      <c r="B555" s="485">
        <f>SUMIF(GRAFICO!A:A,A555,GRAFICO!B:B)</f>
        <v>14667.82879</v>
      </c>
    </row>
    <row r="556">
      <c r="A556" s="484">
        <v>45616.0</v>
      </c>
      <c r="B556" s="485">
        <f>SUMIF(GRAFICO!A:A,A556,GRAFICO!B:B)</f>
        <v>14682.56785</v>
      </c>
    </row>
    <row r="557">
      <c r="A557" s="484">
        <v>45615.0</v>
      </c>
      <c r="B557" s="485">
        <f>SUMIF(GRAFICO!A:A,A557,GRAFICO!B:B)</f>
        <v>14580.86329</v>
      </c>
    </row>
    <row r="558">
      <c r="A558" s="484">
        <v>45614.0</v>
      </c>
      <c r="B558" s="485">
        <f>SUMIF(GRAFICO!A:A,A558,GRAFICO!B:B)</f>
        <v>14501.31488</v>
      </c>
    </row>
    <row r="559">
      <c r="A559" s="484">
        <v>45613.0</v>
      </c>
      <c r="B559" s="485">
        <f>SUMIF(GRAFICO!A:A,A559,GRAFICO!B:B)</f>
        <v>14406.4766</v>
      </c>
    </row>
    <row r="560">
      <c r="A560" s="484">
        <v>45612.0</v>
      </c>
      <c r="B560" s="485">
        <f>SUMIF(GRAFICO!A:A,A560,GRAFICO!B:B)</f>
        <v>14395.73256</v>
      </c>
    </row>
    <row r="561">
      <c r="A561" s="484">
        <v>45611.0</v>
      </c>
      <c r="B561" s="485">
        <f>SUMIF(GRAFICO!A:A,A561,GRAFICO!B:B)</f>
        <v>14384.98853</v>
      </c>
    </row>
    <row r="562">
      <c r="A562" s="484">
        <v>45610.0</v>
      </c>
      <c r="B562" s="485">
        <f>SUMIF(GRAFICO!A:A,A562,GRAFICO!B:B)</f>
        <v>14355.84002</v>
      </c>
    </row>
    <row r="563">
      <c r="A563" s="484">
        <v>45609.0</v>
      </c>
      <c r="B563" s="485">
        <f>SUMIF(GRAFICO!A:A,A563,GRAFICO!B:B)</f>
        <v>14262.63072</v>
      </c>
    </row>
    <row r="564">
      <c r="A564" s="484">
        <v>45608.0</v>
      </c>
      <c r="B564" s="485">
        <f>SUMIF(GRAFICO!A:A,A564,GRAFICO!B:B)</f>
        <v>14253.57254</v>
      </c>
    </row>
    <row r="565">
      <c r="A565" s="484">
        <v>45607.0</v>
      </c>
      <c r="B565" s="485">
        <f>SUMIF(GRAFICO!A:A,A565,GRAFICO!B:B)</f>
        <v>14244.21597</v>
      </c>
    </row>
    <row r="566">
      <c r="A566" s="484">
        <v>45606.0</v>
      </c>
      <c r="B566" s="485">
        <f>SUMIF(GRAFICO!A:A,A566,GRAFICO!B:B)</f>
        <v>14235.1578</v>
      </c>
    </row>
    <row r="567">
      <c r="A567" s="484">
        <v>45605.0</v>
      </c>
      <c r="B567" s="485">
        <f>SUMIF(GRAFICO!A:A,A567,GRAFICO!B:B)</f>
        <v>14226.09962</v>
      </c>
    </row>
    <row r="568">
      <c r="A568" s="484">
        <v>45604.0</v>
      </c>
      <c r="B568" s="485">
        <f>SUMIF(GRAFICO!A:A,A568,GRAFICO!B:B)</f>
        <v>14217.04145</v>
      </c>
    </row>
    <row r="569">
      <c r="A569" s="484">
        <v>45603.0</v>
      </c>
      <c r="B569" s="485">
        <f>SUMIF(GRAFICO!A:A,A569,GRAFICO!B:B)</f>
        <v>14281.38869</v>
      </c>
    </row>
    <row r="570">
      <c r="A570" s="484">
        <v>45602.0</v>
      </c>
      <c r="B570" s="485">
        <f>SUMIF(GRAFICO!A:A,A570,GRAFICO!B:B)</f>
        <v>14311.42039</v>
      </c>
    </row>
    <row r="571">
      <c r="A571" s="484">
        <v>45601.0</v>
      </c>
      <c r="B571" s="485">
        <f>SUMIF(GRAFICO!A:A,A571,GRAFICO!B:B)</f>
        <v>14316.20779</v>
      </c>
    </row>
    <row r="572">
      <c r="A572" s="484">
        <v>45600.0</v>
      </c>
      <c r="B572" s="485">
        <f>SUMIF(GRAFICO!A:A,A572,GRAFICO!B:B)</f>
        <v>14222.70355</v>
      </c>
    </row>
    <row r="573">
      <c r="A573" s="484">
        <v>45599.0</v>
      </c>
      <c r="B573" s="485">
        <f>SUMIF(GRAFICO!A:A,A573,GRAFICO!B:B)</f>
        <v>14212.5838</v>
      </c>
    </row>
    <row r="574">
      <c r="A574" s="484">
        <v>45598.0</v>
      </c>
      <c r="B574" s="485">
        <f>SUMIF(GRAFICO!A:A,A574,GRAFICO!B:B)</f>
        <v>14202.46405</v>
      </c>
    </row>
    <row r="575">
      <c r="A575" s="484">
        <v>45597.0</v>
      </c>
      <c r="B575" s="485">
        <f>SUMIF(GRAFICO!A:A,A575,GRAFICO!B:B)</f>
        <v>14058.99683</v>
      </c>
    </row>
    <row r="576">
      <c r="A576" s="484">
        <v>45596.0</v>
      </c>
      <c r="B576" s="485">
        <f>SUMIF(GRAFICO!A:A,A576,GRAFICO!B:B)</f>
        <v>14157.85248</v>
      </c>
    </row>
    <row r="577">
      <c r="A577" s="484">
        <v>45595.0</v>
      </c>
      <c r="B577" s="485">
        <f>SUMIF(GRAFICO!A:A,A577,GRAFICO!B:B)</f>
        <v>14115.04161</v>
      </c>
    </row>
    <row r="578">
      <c r="A578" s="484">
        <v>45594.0</v>
      </c>
      <c r="B578" s="485">
        <f>SUMIF(GRAFICO!A:A,A578,GRAFICO!B:B)</f>
        <v>13901.28329</v>
      </c>
    </row>
    <row r="579">
      <c r="A579" s="484">
        <v>45593.0</v>
      </c>
      <c r="B579" s="485">
        <f>SUMIF(GRAFICO!A:A,A579,GRAFICO!B:B)</f>
        <v>13780.38999</v>
      </c>
    </row>
    <row r="580">
      <c r="A580" s="484">
        <v>45592.0</v>
      </c>
      <c r="B580" s="485">
        <f>SUMIF(GRAFICO!A:A,A580,GRAFICO!B:B)</f>
        <v>13845.22673</v>
      </c>
    </row>
    <row r="581">
      <c r="A581" s="484">
        <v>45591.0</v>
      </c>
      <c r="B581" s="485">
        <f>SUMIF(GRAFICO!A:A,A581,GRAFICO!B:B)</f>
        <v>13820.98885</v>
      </c>
    </row>
    <row r="582">
      <c r="A582" s="484">
        <v>45590.0</v>
      </c>
      <c r="B582" s="485">
        <f>SUMIF(GRAFICO!A:A,A582,GRAFICO!B:B)</f>
        <v>13806.60604</v>
      </c>
    </row>
    <row r="583">
      <c r="A583" s="484">
        <v>45589.0</v>
      </c>
      <c r="B583" s="485">
        <f>SUMIF(GRAFICO!A:A,A583,GRAFICO!B:B)</f>
        <v>13792.22323</v>
      </c>
    </row>
    <row r="584">
      <c r="A584" s="484">
        <v>45588.0</v>
      </c>
      <c r="B584" s="485">
        <f>SUMIF(GRAFICO!A:A,A584,GRAFICO!B:B)</f>
        <v>13777.84042</v>
      </c>
    </row>
    <row r="585">
      <c r="A585" s="484">
        <v>45587.0</v>
      </c>
      <c r="B585" s="485">
        <f>SUMIF(GRAFICO!A:A,A585,GRAFICO!B:B)</f>
        <v>13940.84875</v>
      </c>
    </row>
    <row r="586">
      <c r="A586" s="484">
        <v>45586.0</v>
      </c>
      <c r="B586" s="485">
        <f>SUMIF(GRAFICO!A:A,A586,GRAFICO!B:B)</f>
        <v>13926.46593</v>
      </c>
    </row>
    <row r="587">
      <c r="A587" s="484">
        <v>45585.0</v>
      </c>
      <c r="B587" s="485">
        <f>SUMIF(GRAFICO!A:A,A587,GRAFICO!B:B)</f>
        <v>13860.04146</v>
      </c>
    </row>
    <row r="588">
      <c r="A588" s="484">
        <v>45584.0</v>
      </c>
      <c r="B588" s="485">
        <f>SUMIF(GRAFICO!A:A,A588,GRAFICO!B:B)</f>
        <v>13845.27742</v>
      </c>
    </row>
    <row r="589">
      <c r="A589" s="484">
        <v>45583.0</v>
      </c>
      <c r="B589" s="485">
        <f>SUMIF(GRAFICO!A:A,A589,GRAFICO!B:B)</f>
        <v>13830.51338</v>
      </c>
    </row>
    <row r="590">
      <c r="A590" s="484">
        <v>45582.0</v>
      </c>
      <c r="B590" s="485">
        <f>SUMIF(GRAFICO!A:A,A590,GRAFICO!B:B)</f>
        <v>13761.66612</v>
      </c>
    </row>
    <row r="591">
      <c r="A591" s="484">
        <v>45581.0</v>
      </c>
      <c r="B591" s="485">
        <f>SUMIF(GRAFICO!A:A,A591,GRAFICO!B:B)</f>
        <v>13633.31926</v>
      </c>
    </row>
    <row r="592">
      <c r="A592" s="484">
        <v>45580.0</v>
      </c>
      <c r="B592" s="485">
        <f>SUMIF(GRAFICO!A:A,A592,GRAFICO!B:B)</f>
        <v>13592.34405</v>
      </c>
    </row>
    <row r="593">
      <c r="A593" s="484">
        <v>45579.0</v>
      </c>
      <c r="B593" s="485">
        <f>SUMIF(GRAFICO!A:A,A593,GRAFICO!B:B)</f>
        <v>13627.09869</v>
      </c>
    </row>
    <row r="594">
      <c r="A594" s="484">
        <v>45578.0</v>
      </c>
      <c r="B594" s="485">
        <f>SUMIF(GRAFICO!A:A,A594,GRAFICO!B:B)</f>
        <v>13614.57419</v>
      </c>
    </row>
    <row r="595">
      <c r="A595" s="484">
        <v>45577.0</v>
      </c>
      <c r="B595" s="485">
        <f>SUMIF(GRAFICO!A:A,A595,GRAFICO!B:B)</f>
        <v>13602.05356</v>
      </c>
    </row>
    <row r="596">
      <c r="A596" s="484">
        <v>45576.0</v>
      </c>
      <c r="B596" s="485">
        <f>SUMIF(GRAFICO!A:A,A596,GRAFICO!B:B)</f>
        <v>13589.53679</v>
      </c>
    </row>
    <row r="597">
      <c r="A597" s="484">
        <v>45575.0</v>
      </c>
      <c r="B597" s="485">
        <f>SUMIF(GRAFICO!A:A,A597,GRAFICO!B:B)</f>
        <v>13522.59009</v>
      </c>
    </row>
    <row r="598">
      <c r="A598" s="484">
        <v>45574.0</v>
      </c>
      <c r="B598" s="485">
        <f>SUMIF(GRAFICO!A:A,A598,GRAFICO!B:B)</f>
        <v>13491.86917</v>
      </c>
    </row>
    <row r="599">
      <c r="A599" s="484">
        <v>45573.0</v>
      </c>
      <c r="B599" s="485">
        <f>SUMIF(GRAFICO!A:A,A599,GRAFICO!B:B)</f>
        <v>13435.82638</v>
      </c>
    </row>
    <row r="600">
      <c r="A600" s="484">
        <v>45572.0</v>
      </c>
      <c r="B600" s="485">
        <f>SUMIF(GRAFICO!A:A,A600,GRAFICO!B:B)</f>
        <v>13452.69553</v>
      </c>
    </row>
    <row r="601">
      <c r="A601" s="484">
        <v>45571.0</v>
      </c>
      <c r="B601" s="485">
        <f>SUMIF(GRAFICO!A:A,A601,GRAFICO!B:B)</f>
        <v>13446.90767</v>
      </c>
    </row>
    <row r="602">
      <c r="A602" s="484">
        <v>45570.0</v>
      </c>
      <c r="B602" s="485">
        <f>SUMIF(GRAFICO!A:A,A602,GRAFICO!B:B)</f>
        <v>13434.3675</v>
      </c>
    </row>
    <row r="603">
      <c r="A603" s="484">
        <v>45569.0</v>
      </c>
      <c r="B603" s="485">
        <f>SUMIF(GRAFICO!A:A,A603,GRAFICO!B:B)</f>
        <v>13421.83098</v>
      </c>
    </row>
    <row r="604">
      <c r="A604" s="484">
        <v>45568.0</v>
      </c>
      <c r="B604" s="485">
        <f>SUMIF(GRAFICO!A:A,A604,GRAFICO!B:B)</f>
        <v>13386.49669</v>
      </c>
    </row>
    <row r="605">
      <c r="A605" s="484">
        <v>45567.0</v>
      </c>
      <c r="B605" s="485">
        <f>SUMIF(GRAFICO!A:A,A605,GRAFICO!B:B)</f>
        <v>13396.7689</v>
      </c>
    </row>
    <row r="606">
      <c r="A606" s="484">
        <v>45566.0</v>
      </c>
      <c r="B606" s="485">
        <f>SUMIF(GRAFICO!A:A,A606,GRAFICO!B:B)</f>
        <v>13400.14934</v>
      </c>
    </row>
    <row r="607">
      <c r="A607" s="484">
        <v>45565.0</v>
      </c>
      <c r="B607" s="485">
        <f>SUMIF(GRAFICO!A:A,A607,GRAFICO!B:B)</f>
        <v>13317.30105</v>
      </c>
    </row>
    <row r="608">
      <c r="A608" s="484">
        <v>45564.0</v>
      </c>
      <c r="B608" s="485">
        <f>SUMIF(GRAFICO!A:A,A608,GRAFICO!B:B)</f>
        <v>13416.68033</v>
      </c>
    </row>
    <row r="609">
      <c r="A609" s="484">
        <v>45563.0</v>
      </c>
      <c r="B609" s="485">
        <f>SUMIF(GRAFICO!A:A,A609,GRAFICO!B:B)</f>
        <v>13403.97988</v>
      </c>
    </row>
    <row r="610">
      <c r="A610" s="484">
        <v>45562.0</v>
      </c>
      <c r="B610" s="485">
        <f>SUMIF(GRAFICO!A:A,A610,GRAFICO!B:B)</f>
        <v>13391.28325</v>
      </c>
    </row>
    <row r="611">
      <c r="A611" s="484">
        <v>45561.0</v>
      </c>
      <c r="B611" s="485">
        <f>SUMIF(GRAFICO!A:A,A611,GRAFICO!B:B)</f>
        <v>13390.46031</v>
      </c>
    </row>
    <row r="612">
      <c r="A612" s="484">
        <v>45560.0</v>
      </c>
      <c r="B612" s="485">
        <f>SUMIF(GRAFICO!A:A,A612,GRAFICO!B:B)</f>
        <v>13310.53993</v>
      </c>
    </row>
    <row r="613">
      <c r="A613" s="484">
        <v>45559.0</v>
      </c>
      <c r="B613" s="485">
        <f>SUMIF(GRAFICO!A:A,A613,GRAFICO!B:B)</f>
        <v>13372.48866</v>
      </c>
    </row>
    <row r="614">
      <c r="A614" s="484">
        <v>45558.0</v>
      </c>
      <c r="B614" s="485">
        <f>SUMIF(GRAFICO!A:A,A614,GRAFICO!B:B)</f>
        <v>13311.96358</v>
      </c>
    </row>
    <row r="615">
      <c r="A615" s="484">
        <v>45557.0</v>
      </c>
      <c r="B615" s="485">
        <f>SUMIF(GRAFICO!A:A,A615,GRAFICO!B:B)</f>
        <v>13242.36375</v>
      </c>
    </row>
    <row r="616">
      <c r="A616" s="484">
        <v>45556.0</v>
      </c>
      <c r="B616" s="485">
        <f>SUMIF(GRAFICO!A:A,A616,GRAFICO!B:B)</f>
        <v>13229.51741</v>
      </c>
    </row>
    <row r="617">
      <c r="A617" s="484">
        <v>45555.0</v>
      </c>
      <c r="B617" s="485">
        <f>SUMIF(GRAFICO!A:A,A617,GRAFICO!B:B)</f>
        <v>13216.67433</v>
      </c>
    </row>
    <row r="618">
      <c r="A618" s="484">
        <v>45554.0</v>
      </c>
      <c r="B618" s="485">
        <f>SUMIF(GRAFICO!A:A,A618,GRAFICO!B:B)</f>
        <v>13159.20517</v>
      </c>
    </row>
    <row r="619">
      <c r="A619" s="484">
        <v>45553.0</v>
      </c>
      <c r="B619" s="485">
        <f>SUMIF(GRAFICO!A:A,A619,GRAFICO!B:B)</f>
        <v>13064.4129</v>
      </c>
    </row>
    <row r="620">
      <c r="A620" s="484">
        <v>45552.0</v>
      </c>
      <c r="B620" s="485">
        <f>SUMIF(GRAFICO!A:A,A620,GRAFICO!B:B)</f>
        <v>13059.50658</v>
      </c>
    </row>
    <row r="621">
      <c r="A621" s="484">
        <v>45551.0</v>
      </c>
      <c r="B621" s="485">
        <f>SUMIF(GRAFICO!A:A,A621,GRAFICO!B:B)</f>
        <v>13046.9725</v>
      </c>
    </row>
    <row r="622">
      <c r="A622" s="484">
        <v>45550.0</v>
      </c>
      <c r="B622" s="485">
        <f>SUMIF(GRAFICO!A:A,A622,GRAFICO!B:B)</f>
        <v>13014.67337</v>
      </c>
    </row>
    <row r="623">
      <c r="A623" s="484">
        <v>45549.0</v>
      </c>
      <c r="B623" s="485">
        <f>SUMIF(GRAFICO!A:A,A623,GRAFICO!B:B)</f>
        <v>13029.64502</v>
      </c>
    </row>
    <row r="624">
      <c r="A624" s="484">
        <v>45548.0</v>
      </c>
      <c r="B624" s="485">
        <f>SUMIF(GRAFICO!A:A,A624,GRAFICO!B:B)</f>
        <v>13018.90794</v>
      </c>
    </row>
    <row r="625">
      <c r="A625" s="484">
        <v>45547.0</v>
      </c>
      <c r="B625" s="485">
        <f>SUMIF(GRAFICO!A:A,A625,GRAFICO!B:B)</f>
        <v>13069.20373</v>
      </c>
    </row>
    <row r="626">
      <c r="A626" s="484">
        <v>45546.0</v>
      </c>
      <c r="B626" s="485">
        <f>SUMIF(GRAFICO!A:A,A626,GRAFICO!B:B)</f>
        <v>13013.21707</v>
      </c>
    </row>
    <row r="627">
      <c r="A627" s="484">
        <v>45545.0</v>
      </c>
      <c r="B627" s="485">
        <f>SUMIF(GRAFICO!A:A,A627,GRAFICO!B:B)</f>
        <v>13045.41647</v>
      </c>
    </row>
    <row r="628">
      <c r="A628" s="484">
        <v>45544.0</v>
      </c>
      <c r="B628" s="485">
        <f>SUMIF(GRAFICO!A:A,A628,GRAFICO!B:B)</f>
        <v>13079.89442</v>
      </c>
    </row>
    <row r="629">
      <c r="A629" s="484">
        <v>45543.0</v>
      </c>
      <c r="B629" s="485">
        <f>SUMIF(GRAFICO!A:A,A629,GRAFICO!B:B)</f>
        <v>13050.91436</v>
      </c>
    </row>
    <row r="630">
      <c r="A630" s="484">
        <v>45542.0</v>
      </c>
      <c r="B630" s="485">
        <f>SUMIF(GRAFICO!A:A,A630,GRAFICO!B:B)</f>
        <v>13040.19443</v>
      </c>
    </row>
    <row r="631">
      <c r="A631" s="484">
        <v>45541.0</v>
      </c>
      <c r="B631" s="485">
        <f>SUMIF(GRAFICO!A:A,A631,GRAFICO!B:B)</f>
        <v>13031.04625</v>
      </c>
    </row>
    <row r="632">
      <c r="A632" s="484">
        <v>45540.0</v>
      </c>
      <c r="B632" s="485">
        <f>SUMIF(GRAFICO!A:A,A632,GRAFICO!B:B)</f>
        <v>13161.38066</v>
      </c>
    </row>
    <row r="633">
      <c r="A633" s="484">
        <v>45539.0</v>
      </c>
      <c r="B633" s="485">
        <f>SUMIF(GRAFICO!A:A,A633,GRAFICO!B:B)</f>
        <v>13122.77387</v>
      </c>
    </row>
    <row r="634">
      <c r="A634" s="484">
        <v>45538.0</v>
      </c>
      <c r="B634" s="485">
        <f>SUMIF(GRAFICO!A:A,A634,GRAFICO!B:B)</f>
        <v>13128.70157</v>
      </c>
    </row>
    <row r="635">
      <c r="A635" s="484">
        <v>45537.0</v>
      </c>
      <c r="B635" s="485">
        <f>SUMIF(GRAFICO!A:A,A635,GRAFICO!B:B)</f>
        <v>13134.70157</v>
      </c>
    </row>
    <row r="636">
      <c r="A636" s="484">
        <v>45536.0</v>
      </c>
      <c r="B636" s="485">
        <f>SUMIF(GRAFICO!A:A,A636,GRAFICO!B:B)</f>
        <v>13146.16747</v>
      </c>
    </row>
    <row r="637">
      <c r="A637" s="484">
        <v>45535.0</v>
      </c>
      <c r="B637" s="485">
        <f>SUMIF(GRAFICO!A:A,A637,GRAFICO!B:B)</f>
        <v>13189.23317</v>
      </c>
    </row>
    <row r="638">
      <c r="A638" s="484">
        <v>45534.0</v>
      </c>
      <c r="B638" s="485">
        <f>SUMIF(GRAFICO!A:A,A638,GRAFICO!B:B)</f>
        <v>13178.52765</v>
      </c>
    </row>
    <row r="639">
      <c r="A639" s="484">
        <v>45533.0</v>
      </c>
      <c r="B639" s="485">
        <f>SUMIF(GRAFICO!A:A,A639,GRAFICO!B:B)</f>
        <v>13049.80068</v>
      </c>
    </row>
    <row r="640">
      <c r="A640" s="484">
        <v>45532.0</v>
      </c>
      <c r="B640" s="485">
        <f>SUMIF(GRAFICO!A:A,A640,GRAFICO!B:B)</f>
        <v>12991.0779</v>
      </c>
    </row>
    <row r="641">
      <c r="A641" s="484">
        <v>45531.0</v>
      </c>
      <c r="B641" s="485">
        <f>SUMIF(GRAFICO!A:A,A641,GRAFICO!B:B)</f>
        <v>13052.24963</v>
      </c>
    </row>
    <row r="642">
      <c r="A642" s="484">
        <v>45530.0</v>
      </c>
      <c r="B642" s="485">
        <f>SUMIF(GRAFICO!A:A,A642,GRAFICO!B:B)</f>
        <v>12984.88787</v>
      </c>
    </row>
    <row r="643">
      <c r="A643" s="484">
        <v>45529.0</v>
      </c>
      <c r="B643" s="485">
        <f>SUMIF(GRAFICO!A:A,A643,GRAFICO!B:B)</f>
        <v>12927.4888</v>
      </c>
    </row>
    <row r="644">
      <c r="A644" s="484">
        <v>45528.0</v>
      </c>
      <c r="B644" s="485">
        <f>SUMIF(GRAFICO!A:A,A644,GRAFICO!B:B)</f>
        <v>12920.03043</v>
      </c>
    </row>
    <row r="645">
      <c r="A645" s="484">
        <v>45527.0</v>
      </c>
      <c r="B645" s="485">
        <f>SUMIF(GRAFICO!A:A,A645,GRAFICO!B:B)</f>
        <v>12912.57651</v>
      </c>
    </row>
    <row r="646">
      <c r="A646" s="484">
        <v>45526.0</v>
      </c>
      <c r="B646" s="485">
        <f>SUMIF(GRAFICO!A:A,A646,GRAFICO!B:B)</f>
        <v>12922.5798</v>
      </c>
    </row>
    <row r="647">
      <c r="A647" s="484">
        <v>45525.0</v>
      </c>
      <c r="B647" s="485">
        <f>SUMIF(GRAFICO!A:A,A647,GRAFICO!B:B)</f>
        <v>12886.69319</v>
      </c>
    </row>
    <row r="648">
      <c r="A648" s="484">
        <v>45524.0</v>
      </c>
      <c r="B648" s="485">
        <f>SUMIF(GRAFICO!A:A,A648,GRAFICO!B:B)</f>
        <v>12894.76614</v>
      </c>
    </row>
    <row r="649">
      <c r="A649" s="484">
        <v>45523.0</v>
      </c>
      <c r="B649" s="485">
        <f>SUMIF(GRAFICO!A:A,A649,GRAFICO!B:B)</f>
        <v>12887.32995</v>
      </c>
    </row>
    <row r="650">
      <c r="A650" s="484">
        <v>45522.0</v>
      </c>
      <c r="B650" s="485">
        <f>SUMIF(GRAFICO!A:A,A650,GRAFICO!B:B)</f>
        <v>12879.89817</v>
      </c>
    </row>
    <row r="651">
      <c r="A651" s="484">
        <v>45521.0</v>
      </c>
      <c r="B651" s="485">
        <f>SUMIF(GRAFICO!A:A,A651,GRAFICO!B:B)</f>
        <v>12847.26124</v>
      </c>
    </row>
    <row r="652">
      <c r="A652" s="484">
        <v>45520.0</v>
      </c>
      <c r="B652" s="485">
        <f>SUMIF(GRAFICO!A:A,A652,GRAFICO!B:B)</f>
        <v>12838.11456</v>
      </c>
    </row>
    <row r="653">
      <c r="A653" s="484">
        <v>45519.0</v>
      </c>
      <c r="B653" s="485">
        <f>SUMIF(GRAFICO!A:A,A653,GRAFICO!B:B)</f>
        <v>12811.73498</v>
      </c>
    </row>
    <row r="654">
      <c r="A654" s="484">
        <v>45518.0</v>
      </c>
      <c r="B654" s="485">
        <f>SUMIF(GRAFICO!A:A,A654,GRAFICO!B:B)</f>
        <v>12845.04398</v>
      </c>
    </row>
    <row r="655">
      <c r="A655" s="484">
        <v>45517.0</v>
      </c>
      <c r="B655" s="485">
        <f>SUMIF(GRAFICO!A:A,A655,GRAFICO!B:B)</f>
        <v>12837.63424</v>
      </c>
    </row>
    <row r="656">
      <c r="A656" s="484">
        <v>45516.0</v>
      </c>
      <c r="B656" s="485">
        <f>SUMIF(GRAFICO!A:A,A656,GRAFICO!B:B)</f>
        <v>12757.67059</v>
      </c>
    </row>
    <row r="657">
      <c r="A657" s="484">
        <v>45515.0</v>
      </c>
      <c r="B657" s="485">
        <f>SUMIF(GRAFICO!A:A,A657,GRAFICO!B:B)</f>
        <v>12706.74542</v>
      </c>
    </row>
    <row r="658">
      <c r="A658" s="484">
        <v>45514.0</v>
      </c>
      <c r="B658" s="485">
        <f>SUMIF(GRAFICO!A:A,A658,GRAFICO!B:B)</f>
        <v>12699.34885</v>
      </c>
    </row>
    <row r="659">
      <c r="A659" s="484">
        <v>45513.0</v>
      </c>
      <c r="B659" s="485">
        <f>SUMIF(GRAFICO!A:A,A659,GRAFICO!B:B)</f>
        <v>12691.95666</v>
      </c>
    </row>
    <row r="660">
      <c r="A660" s="484">
        <v>45512.0</v>
      </c>
      <c r="B660" s="485">
        <f>SUMIF(GRAFICO!A:A,A660,GRAFICO!B:B)</f>
        <v>12637.72872</v>
      </c>
    </row>
    <row r="661">
      <c r="A661" s="484">
        <v>45511.0</v>
      </c>
      <c r="B661" s="485">
        <f>SUMIF(GRAFICO!A:A,A661,GRAFICO!B:B)</f>
        <v>12711.11699</v>
      </c>
    </row>
    <row r="662">
      <c r="A662" s="484">
        <v>45510.0</v>
      </c>
      <c r="B662" s="485">
        <f>SUMIF(GRAFICO!A:A,A662,GRAFICO!B:B)</f>
        <v>12704.8428</v>
      </c>
    </row>
    <row r="663">
      <c r="A663" s="484">
        <v>45509.0</v>
      </c>
      <c r="B663" s="485">
        <f>SUMIF(GRAFICO!A:A,A663,GRAFICO!B:B)</f>
        <v>12730.46387</v>
      </c>
    </row>
    <row r="664">
      <c r="A664" s="484">
        <v>45508.0</v>
      </c>
      <c r="B664" s="485">
        <f>SUMIF(GRAFICO!A:A,A664,GRAFICO!B:B)</f>
        <v>12783.23992</v>
      </c>
    </row>
    <row r="665">
      <c r="A665" s="484">
        <v>45507.0</v>
      </c>
      <c r="B665" s="485">
        <f>SUMIF(GRAFICO!A:A,A665,GRAFICO!B:B)</f>
        <v>12771.38228</v>
      </c>
    </row>
    <row r="666">
      <c r="A666" s="484">
        <v>45506.0</v>
      </c>
      <c r="B666" s="485">
        <f>SUMIF(GRAFICO!A:A,A666,GRAFICO!B:B)</f>
        <v>12764.27111</v>
      </c>
    </row>
    <row r="667">
      <c r="A667" s="484">
        <v>45505.0</v>
      </c>
      <c r="B667" s="485">
        <f>SUMIF(GRAFICO!A:A,A667,GRAFICO!B:B)</f>
        <v>12841.62897</v>
      </c>
    </row>
    <row r="668">
      <c r="A668" s="484">
        <v>45504.0</v>
      </c>
      <c r="B668" s="485">
        <f>SUMIF(GRAFICO!A:A,A668,GRAFICO!B:B)</f>
        <v>12819.60915</v>
      </c>
    </row>
    <row r="669">
      <c r="A669" s="484">
        <v>45503.0</v>
      </c>
      <c r="B669" s="485">
        <f>SUMIF(GRAFICO!A:A,A669,GRAFICO!B:B)</f>
        <v>12779.06543</v>
      </c>
    </row>
    <row r="670">
      <c r="A670" s="484">
        <v>45502.0</v>
      </c>
      <c r="B670" s="485">
        <f>SUMIF(GRAFICO!A:A,A670,GRAFICO!B:B)</f>
        <v>12757.5428</v>
      </c>
    </row>
    <row r="671">
      <c r="A671" s="484">
        <v>45501.0</v>
      </c>
      <c r="B671" s="485">
        <f>SUMIF(GRAFICO!A:A,A671,GRAFICO!B:B)</f>
        <v>12739.20447</v>
      </c>
    </row>
    <row r="672">
      <c r="A672" s="484">
        <v>45500.0</v>
      </c>
      <c r="B672" s="485">
        <f>SUMIF(GRAFICO!A:A,A672,GRAFICO!B:B)</f>
        <v>12732.13045</v>
      </c>
    </row>
    <row r="673">
      <c r="A673" s="484">
        <v>45499.0</v>
      </c>
      <c r="B673" s="485">
        <f>SUMIF(GRAFICO!A:A,A673,GRAFICO!B:B)</f>
        <v>12728.07912</v>
      </c>
    </row>
    <row r="674">
      <c r="A674" s="484">
        <v>45498.0</v>
      </c>
      <c r="B674" s="485">
        <f>SUMIF(GRAFICO!A:A,A674,GRAFICO!B:B)</f>
        <v>12722.25635</v>
      </c>
    </row>
    <row r="675">
      <c r="A675" s="484">
        <v>45497.0</v>
      </c>
      <c r="B675" s="485">
        <f>SUMIF(GRAFICO!A:A,A675,GRAFICO!B:B)</f>
        <v>12722.68827</v>
      </c>
    </row>
    <row r="676">
      <c r="A676" s="484">
        <v>45496.0</v>
      </c>
      <c r="B676" s="485">
        <f>SUMIF(GRAFICO!A:A,A676,GRAFICO!B:B)</f>
        <v>12717.84741</v>
      </c>
    </row>
    <row r="677">
      <c r="A677" s="484">
        <v>45495.0</v>
      </c>
      <c r="B677" s="485">
        <f>SUMIF(GRAFICO!A:A,A677,GRAFICO!B:B)</f>
        <v>12705.04044</v>
      </c>
    </row>
    <row r="678">
      <c r="A678" s="484">
        <v>45494.0</v>
      </c>
      <c r="B678" s="485">
        <f>SUMIF(GRAFICO!A:A,A678,GRAFICO!B:B)</f>
        <v>12677.48016</v>
      </c>
    </row>
    <row r="679">
      <c r="A679" s="484">
        <v>45493.0</v>
      </c>
      <c r="B679" s="485">
        <f>SUMIF(GRAFICO!A:A,A679,GRAFICO!B:B)</f>
        <v>12673.46572</v>
      </c>
    </row>
    <row r="680">
      <c r="A680" s="484">
        <v>45492.0</v>
      </c>
      <c r="B680" s="485">
        <f>SUMIF(GRAFICO!A:A,A680,GRAFICO!B:B)</f>
        <v>12666.00994</v>
      </c>
    </row>
    <row r="681">
      <c r="A681" s="484">
        <v>45491.0</v>
      </c>
      <c r="B681" s="485">
        <f>SUMIF(GRAFICO!A:A,A681,GRAFICO!B:B)</f>
        <v>12660.60721</v>
      </c>
    </row>
    <row r="682">
      <c r="A682" s="484">
        <v>45490.0</v>
      </c>
      <c r="B682" s="485">
        <f>SUMIF(GRAFICO!A:A,A682,GRAFICO!B:B)</f>
        <v>12657.14979</v>
      </c>
    </row>
    <row r="683">
      <c r="A683" s="484">
        <v>45489.0</v>
      </c>
      <c r="B683" s="485">
        <f>SUMIF(GRAFICO!A:A,A683,GRAFICO!B:B)</f>
        <v>12667.48833</v>
      </c>
    </row>
    <row r="684">
      <c r="A684" s="484">
        <v>45488.0</v>
      </c>
      <c r="B684" s="485">
        <f>SUMIF(GRAFICO!A:A,A684,GRAFICO!B:B)</f>
        <v>12644.11248</v>
      </c>
    </row>
    <row r="685">
      <c r="A685" s="484">
        <v>45487.0</v>
      </c>
      <c r="B685" s="485">
        <f>SUMIF(GRAFICO!A:A,A685,GRAFICO!B:B)</f>
        <v>12636.79498</v>
      </c>
    </row>
    <row r="686">
      <c r="A686" s="484">
        <v>45486.0</v>
      </c>
      <c r="B686" s="485">
        <f>SUMIF(GRAFICO!A:A,A686,GRAFICO!B:B)</f>
        <v>12630.66863</v>
      </c>
    </row>
    <row r="687">
      <c r="A687" s="484">
        <v>45485.0</v>
      </c>
      <c r="B687" s="485">
        <f>SUMIF(GRAFICO!A:A,A687,GRAFICO!B:B)</f>
        <v>12624.54836</v>
      </c>
    </row>
    <row r="688">
      <c r="A688" s="484">
        <v>45484.0</v>
      </c>
      <c r="B688" s="485">
        <f>SUMIF(GRAFICO!A:A,A688,GRAFICO!B:B)</f>
        <v>12560.04278</v>
      </c>
    </row>
    <row r="689">
      <c r="A689" s="484">
        <v>45483.0</v>
      </c>
      <c r="B689" s="485">
        <f>SUMIF(GRAFICO!A:A,A689,GRAFICO!B:B)</f>
        <v>12553.9766</v>
      </c>
    </row>
    <row r="690">
      <c r="A690" s="484">
        <v>45482.0</v>
      </c>
      <c r="B690" s="485">
        <f>SUMIF(GRAFICO!A:A,A690,GRAFICO!B:B)</f>
        <v>12588.91761</v>
      </c>
    </row>
    <row r="691">
      <c r="A691" s="484">
        <v>45481.0</v>
      </c>
      <c r="B691" s="485">
        <f>SUMIF(GRAFICO!A:A,A691,GRAFICO!B:B)</f>
        <v>12622.56822</v>
      </c>
    </row>
    <row r="692">
      <c r="A692" s="484">
        <v>45480.0</v>
      </c>
      <c r="B692" s="485">
        <f>SUMIF(GRAFICO!A:A,A692,GRAFICO!B:B)</f>
        <v>12487.288</v>
      </c>
    </row>
    <row r="693">
      <c r="A693" s="484">
        <v>45479.0</v>
      </c>
      <c r="B693" s="485">
        <f>SUMIF(GRAFICO!A:A,A693,GRAFICO!B:B)</f>
        <v>12481.4289</v>
      </c>
    </row>
    <row r="694">
      <c r="A694" s="484">
        <v>45478.0</v>
      </c>
      <c r="B694" s="485">
        <f>SUMIF(GRAFICO!A:A,A694,GRAFICO!B:B)</f>
        <v>12475.57563</v>
      </c>
    </row>
    <row r="695">
      <c r="A695" s="484">
        <v>45477.0</v>
      </c>
      <c r="B695" s="485">
        <f>SUMIF(GRAFICO!A:A,A695,GRAFICO!B:B)</f>
        <v>12469.72816</v>
      </c>
    </row>
    <row r="696">
      <c r="A696" s="484">
        <v>45476.0</v>
      </c>
      <c r="B696" s="485">
        <f>SUMIF(GRAFICO!A:A,A696,GRAFICO!B:B)</f>
        <v>12463.8865</v>
      </c>
    </row>
    <row r="697">
      <c r="A697" s="484">
        <v>45475.0</v>
      </c>
      <c r="B697" s="485">
        <f>SUMIF(GRAFICO!A:A,A697,GRAFICO!B:B)</f>
        <v>12458.05065</v>
      </c>
    </row>
    <row r="698">
      <c r="A698" s="484">
        <v>45474.0</v>
      </c>
      <c r="B698" s="485">
        <f>SUMIF(GRAFICO!A:A,A698,GRAFICO!B:B)</f>
        <v>12452.22059</v>
      </c>
    </row>
    <row r="699">
      <c r="A699" s="484">
        <v>45473.0</v>
      </c>
      <c r="B699" s="485">
        <f>SUMIF(GRAFICO!A:A,A699,GRAFICO!B:B)</f>
        <v>12446.39631</v>
      </c>
    </row>
    <row r="700">
      <c r="A700" s="484">
        <v>45472.0</v>
      </c>
      <c r="B700" s="485">
        <f>SUMIF(GRAFICO!A:A,A700,GRAFICO!B:B)</f>
        <v>12440.57783</v>
      </c>
    </row>
    <row r="701">
      <c r="A701" s="484">
        <v>45471.0</v>
      </c>
      <c r="B701" s="485">
        <f>SUMIF(GRAFICO!A:A,A701,GRAFICO!B:B)</f>
        <v>12434.76512</v>
      </c>
    </row>
    <row r="702">
      <c r="A702" s="484">
        <v>45470.0</v>
      </c>
      <c r="B702" s="485">
        <f>SUMIF(GRAFICO!A:A,A702,GRAFICO!B:B)</f>
        <v>12428.95818</v>
      </c>
    </row>
    <row r="703">
      <c r="A703" s="484">
        <v>45469.0</v>
      </c>
      <c r="B703" s="485">
        <f>SUMIF(GRAFICO!A:A,A703,GRAFICO!B:B)</f>
        <v>12423.15701</v>
      </c>
    </row>
    <row r="704">
      <c r="A704" s="484">
        <v>45468.0</v>
      </c>
      <c r="B704" s="485">
        <f>SUMIF(GRAFICO!A:A,A704,GRAFICO!B:B)</f>
        <v>12417.3616</v>
      </c>
    </row>
    <row r="705">
      <c r="A705" s="484">
        <v>45467.0</v>
      </c>
      <c r="B705" s="485">
        <f>SUMIF(GRAFICO!A:A,A705,GRAFICO!B:B)</f>
        <v>12411.57194</v>
      </c>
    </row>
    <row r="706">
      <c r="A706" s="484">
        <v>45466.0</v>
      </c>
      <c r="B706" s="485">
        <f>SUMIF(GRAFICO!A:A,A706,GRAFICO!B:B)</f>
        <v>12405.78804</v>
      </c>
    </row>
    <row r="707">
      <c r="A707" s="484">
        <v>45465.0</v>
      </c>
      <c r="B707" s="485">
        <f>SUMIF(GRAFICO!A:A,A707,GRAFICO!B:B)</f>
        <v>12400.00987</v>
      </c>
    </row>
    <row r="708">
      <c r="A708" s="484">
        <v>45464.0</v>
      </c>
      <c r="B708" s="485">
        <f>SUMIF(GRAFICO!A:A,A708,GRAFICO!B:B)</f>
        <v>12394.23745</v>
      </c>
    </row>
    <row r="709">
      <c r="A709" s="484">
        <v>45463.0</v>
      </c>
      <c r="B709" s="485">
        <f>SUMIF(GRAFICO!A:A,A709,GRAFICO!B:B)</f>
        <v>12388.47076</v>
      </c>
    </row>
    <row r="710">
      <c r="A710" s="484">
        <v>45462.0</v>
      </c>
      <c r="B710" s="485">
        <f>SUMIF(GRAFICO!A:A,A710,GRAFICO!B:B)</f>
        <v>12382.70979</v>
      </c>
    </row>
    <row r="711">
      <c r="A711" s="484">
        <v>45461.0</v>
      </c>
      <c r="B711" s="485">
        <f>SUMIF(GRAFICO!A:A,A711,GRAFICO!B:B)</f>
        <v>12376.95455</v>
      </c>
    </row>
    <row r="712">
      <c r="A712" s="484">
        <v>45460.0</v>
      </c>
      <c r="B712" s="485">
        <f>SUMIF(GRAFICO!A:A,A712,GRAFICO!B:B)</f>
        <v>11933.23905</v>
      </c>
    </row>
    <row r="713">
      <c r="A713" s="484">
        <v>45459.0</v>
      </c>
      <c r="B713" s="485">
        <f>SUMIF(GRAFICO!A:A,A713,GRAFICO!B:B)</f>
        <v>11940.51438</v>
      </c>
    </row>
    <row r="714">
      <c r="A714" s="484">
        <v>45458.0</v>
      </c>
      <c r="B714" s="485">
        <f>SUMIF(GRAFICO!A:A,A714,GRAFICO!B:B)</f>
        <v>11936.32709</v>
      </c>
    </row>
    <row r="715">
      <c r="A715" s="484">
        <v>45457.0</v>
      </c>
      <c r="B715" s="485">
        <f>SUMIF(GRAFICO!A:A,A715,GRAFICO!B:B)</f>
        <v>11932.14396</v>
      </c>
    </row>
    <row r="716">
      <c r="A716" s="484">
        <v>45456.0</v>
      </c>
      <c r="B716" s="485">
        <f>SUMIF(GRAFICO!A:A,A716,GRAFICO!B:B)</f>
        <v>11948.28235</v>
      </c>
    </row>
    <row r="717">
      <c r="A717" s="484">
        <v>45455.0</v>
      </c>
      <c r="B717" s="485">
        <f>SUMIF(GRAFICO!A:A,A717,GRAFICO!B:B)</f>
        <v>12032.05665</v>
      </c>
    </row>
    <row r="718">
      <c r="A718" s="484">
        <v>45454.0</v>
      </c>
      <c r="B718" s="485">
        <f>SUMIF(GRAFICO!A:A,A718,GRAFICO!B:B)</f>
        <v>11997.10377</v>
      </c>
    </row>
    <row r="719">
      <c r="A719" s="484">
        <v>45453.0</v>
      </c>
      <c r="B719" s="485">
        <f>SUMIF(GRAFICO!A:A,A719,GRAFICO!B:B)</f>
        <v>12128.53475</v>
      </c>
    </row>
    <row r="720">
      <c r="A720" s="484">
        <v>45452.0</v>
      </c>
      <c r="B720" s="485">
        <f>SUMIF(GRAFICO!A:A,A720,GRAFICO!B:B)</f>
        <v>12135.50515</v>
      </c>
    </row>
    <row r="721">
      <c r="A721" s="484">
        <v>45451.0</v>
      </c>
      <c r="B721" s="485">
        <f>SUMIF(GRAFICO!A:A,A721,GRAFICO!B:B)</f>
        <v>12136.91328</v>
      </c>
    </row>
    <row r="722">
      <c r="A722" s="484">
        <v>45450.0</v>
      </c>
      <c r="B722" s="485">
        <f>SUMIF(GRAFICO!A:A,A722,GRAFICO!B:B)</f>
        <v>12149.45835</v>
      </c>
    </row>
    <row r="723">
      <c r="A723" s="484">
        <v>45449.0</v>
      </c>
      <c r="B723" s="485">
        <f>SUMIF(GRAFICO!A:A,A723,GRAFICO!B:B)</f>
        <v>12136.90306</v>
      </c>
    </row>
    <row r="724">
      <c r="A724" s="484">
        <v>45448.0</v>
      </c>
      <c r="B724" s="485">
        <f>SUMIF(GRAFICO!A:A,A724,GRAFICO!B:B)</f>
        <v>12064.23478</v>
      </c>
    </row>
    <row r="725">
      <c r="A725" s="484">
        <v>45447.0</v>
      </c>
      <c r="B725" s="485">
        <f>SUMIF(GRAFICO!A:A,A725,GRAFICO!B:B)</f>
        <v>12050.07348</v>
      </c>
    </row>
    <row r="726">
      <c r="A726" s="484">
        <v>45446.0</v>
      </c>
      <c r="B726" s="485">
        <f>SUMIF(GRAFICO!A:A,A726,GRAFICO!B:B)</f>
        <v>12037.12851</v>
      </c>
    </row>
    <row r="727">
      <c r="A727" s="484">
        <v>45445.0</v>
      </c>
      <c r="B727" s="485">
        <f>SUMIF(GRAFICO!A:A,A727,GRAFICO!B:B)</f>
        <v>12023.62926</v>
      </c>
    </row>
    <row r="728">
      <c r="A728" s="484">
        <v>45444.0</v>
      </c>
      <c r="B728" s="485">
        <f>SUMIF(GRAFICO!A:A,A728,GRAFICO!B:B)</f>
        <v>12020.4636</v>
      </c>
    </row>
    <row r="729">
      <c r="A729" s="484">
        <v>45443.0</v>
      </c>
      <c r="B729" s="485">
        <f>SUMIF(GRAFICO!A:A,A729,GRAFICO!B:B)</f>
        <v>11888.07073</v>
      </c>
    </row>
    <row r="730">
      <c r="A730" s="484">
        <v>45442.0</v>
      </c>
      <c r="B730" s="485">
        <f>SUMIF(GRAFICO!A:A,A730,GRAFICO!B:B)</f>
        <v>11885.71132</v>
      </c>
    </row>
    <row r="731">
      <c r="A731" s="484">
        <v>45441.0</v>
      </c>
      <c r="B731" s="485">
        <f>SUMIF(GRAFICO!A:A,A731,GRAFICO!B:B)</f>
        <v>11883.35426</v>
      </c>
    </row>
    <row r="732">
      <c r="A732" s="484">
        <v>45440.0</v>
      </c>
      <c r="B732" s="485">
        <f>SUMIF(GRAFICO!A:A,A732,GRAFICO!B:B)</f>
        <v>11923.90199</v>
      </c>
    </row>
    <row r="733">
      <c r="A733" s="484">
        <v>45439.0</v>
      </c>
      <c r="B733" s="485">
        <f>SUMIF(GRAFICO!A:A,A733,GRAFICO!B:B)</f>
        <v>12043.02297</v>
      </c>
    </row>
    <row r="734">
      <c r="A734" s="484">
        <v>45438.0</v>
      </c>
      <c r="B734" s="485">
        <f>SUMIF(GRAFICO!A:A,A734,GRAFICO!B:B)</f>
        <v>12004.31319</v>
      </c>
    </row>
    <row r="735">
      <c r="A735" s="484">
        <v>45437.0</v>
      </c>
      <c r="B735" s="485">
        <f>SUMIF(GRAFICO!A:A,A735,GRAFICO!B:B)</f>
        <v>12002.18658</v>
      </c>
    </row>
    <row r="736">
      <c r="A736" s="484">
        <v>45436.0</v>
      </c>
      <c r="B736" s="485">
        <f>SUMIF(GRAFICO!A:A,A736,GRAFICO!B:B)</f>
        <v>12000.91313</v>
      </c>
    </row>
    <row r="737">
      <c r="A737" s="484">
        <v>45435.0</v>
      </c>
      <c r="B737" s="485">
        <f>SUMIF(GRAFICO!A:A,A737,GRAFICO!B:B)</f>
        <v>11998.43926</v>
      </c>
    </row>
    <row r="738">
      <c r="A738" s="484">
        <v>45434.0</v>
      </c>
      <c r="B738" s="485">
        <f>SUMIF(GRAFICO!A:A,A738,GRAFICO!B:B)</f>
        <v>11995.48418</v>
      </c>
    </row>
    <row r="739">
      <c r="A739" s="484">
        <v>45433.0</v>
      </c>
      <c r="B739" s="485">
        <f>SUMIF(GRAFICO!A:A,A739,GRAFICO!B:B)</f>
        <v>12185.33824</v>
      </c>
    </row>
    <row r="740">
      <c r="A740" s="484">
        <v>45432.0</v>
      </c>
      <c r="B740" s="485">
        <f>SUMIF(GRAFICO!A:A,A740,GRAFICO!B:B)</f>
        <v>12182.38902</v>
      </c>
    </row>
    <row r="741">
      <c r="A741" s="484">
        <v>45431.0</v>
      </c>
      <c r="B741" s="485">
        <f>SUMIF(GRAFICO!A:A,A741,GRAFICO!B:B)</f>
        <v>12064.31564</v>
      </c>
    </row>
    <row r="742">
      <c r="A742" s="484">
        <v>45430.0</v>
      </c>
      <c r="B742" s="485">
        <f>SUMIF(GRAFICO!A:A,A742,GRAFICO!B:B)</f>
        <v>12016.22512</v>
      </c>
    </row>
    <row r="743">
      <c r="A743" s="484">
        <v>45429.0</v>
      </c>
      <c r="B743" s="485">
        <f>SUMIF(GRAFICO!A:A,A743,GRAFICO!B:B)</f>
        <v>12012.59438</v>
      </c>
    </row>
    <row r="744">
      <c r="A744" s="484">
        <v>45428.0</v>
      </c>
      <c r="B744" s="485">
        <f>SUMIF(GRAFICO!A:A,A744,GRAFICO!B:B)</f>
        <v>11745.27812</v>
      </c>
    </row>
    <row r="745">
      <c r="A745" s="484">
        <v>45427.0</v>
      </c>
      <c r="B745" s="485">
        <f>SUMIF(GRAFICO!A:A,A745,GRAFICO!B:B)</f>
        <v>11563.78155</v>
      </c>
    </row>
    <row r="746">
      <c r="A746" s="484">
        <v>45426.0</v>
      </c>
      <c r="B746" s="485">
        <f>SUMIF(GRAFICO!A:A,A746,GRAFICO!B:B)</f>
        <v>11451.02778</v>
      </c>
    </row>
    <row r="747">
      <c r="A747" s="484">
        <v>45425.0</v>
      </c>
      <c r="B747" s="485">
        <f>SUMIF(GRAFICO!A:A,A747,GRAFICO!B:B)</f>
        <v>11446.54552</v>
      </c>
    </row>
    <row r="748">
      <c r="A748" s="484">
        <v>45424.0</v>
      </c>
      <c r="B748" s="485">
        <f>SUMIF(GRAFICO!A:A,A748,GRAFICO!B:B)</f>
        <v>11442.06771</v>
      </c>
    </row>
    <row r="749">
      <c r="A749" s="484">
        <v>45423.0</v>
      </c>
      <c r="B749" s="485">
        <f>SUMIF(GRAFICO!A:A,A749,GRAFICO!B:B)</f>
        <v>11437.59434</v>
      </c>
    </row>
    <row r="750">
      <c r="A750" s="484">
        <v>45422.0</v>
      </c>
      <c r="B750" s="485">
        <f>SUMIF(GRAFICO!A:A,A750,GRAFICO!B:B)</f>
        <v>11433.12542</v>
      </c>
    </row>
    <row r="751">
      <c r="A751" s="484">
        <v>45421.0</v>
      </c>
      <c r="B751" s="485">
        <f>SUMIF(GRAFICO!A:A,A751,GRAFICO!B:B)</f>
        <v>11372.02252</v>
      </c>
    </row>
    <row r="752">
      <c r="A752" s="484">
        <v>45420.0</v>
      </c>
      <c r="B752" s="485">
        <f>SUMIF(GRAFICO!A:A,A752,GRAFICO!B:B)</f>
        <v>11413.48155</v>
      </c>
    </row>
    <row r="753">
      <c r="A753" s="484">
        <v>45419.0</v>
      </c>
      <c r="B753" s="485">
        <f>SUMIF(GRAFICO!A:A,A753,GRAFICO!B:B)</f>
        <v>11380.11133</v>
      </c>
    </row>
    <row r="754">
      <c r="A754" s="484">
        <v>45418.0</v>
      </c>
      <c r="B754" s="485">
        <f>SUMIF(GRAFICO!A:A,A754,GRAFICO!B:B)</f>
        <v>11373.40929</v>
      </c>
    </row>
    <row r="755">
      <c r="A755" s="484">
        <v>45417.0</v>
      </c>
      <c r="B755" s="485">
        <f>SUMIF(GRAFICO!A:A,A755,GRAFICO!B:B)</f>
        <v>11427.15733</v>
      </c>
    </row>
    <row r="756">
      <c r="A756" s="484">
        <v>45416.0</v>
      </c>
      <c r="B756" s="485">
        <f>SUMIF(GRAFICO!A:A,A756,GRAFICO!B:B)</f>
        <v>11417.46894</v>
      </c>
    </row>
    <row r="757">
      <c r="A757" s="484">
        <v>45415.0</v>
      </c>
      <c r="B757" s="485">
        <f>SUMIF(GRAFICO!A:A,A757,GRAFICO!B:B)</f>
        <v>11351.34281</v>
      </c>
    </row>
    <row r="758">
      <c r="A758" s="484">
        <v>45414.0</v>
      </c>
      <c r="B758" s="485">
        <f>SUMIF(GRAFICO!A:A,A758,GRAFICO!B:B)</f>
        <v>11295.66238</v>
      </c>
    </row>
    <row r="759">
      <c r="A759" s="484">
        <v>45413.0</v>
      </c>
      <c r="B759" s="485">
        <f>SUMIF(GRAFICO!A:A,A759,GRAFICO!B:B)</f>
        <v>11192.19922</v>
      </c>
    </row>
    <row r="760">
      <c r="A760" s="484">
        <v>45412.0</v>
      </c>
      <c r="B760" s="485">
        <f>SUMIF(GRAFICO!A:A,A760,GRAFICO!B:B)</f>
        <v>11133.26803</v>
      </c>
    </row>
    <row r="761">
      <c r="A761" s="484">
        <v>45411.0</v>
      </c>
      <c r="B761" s="485">
        <f>SUMIF(GRAFICO!A:A,A761,GRAFICO!B:B)</f>
        <v>11167.05404</v>
      </c>
    </row>
    <row r="762">
      <c r="A762" s="484">
        <v>45410.0</v>
      </c>
      <c r="B762" s="485">
        <f>SUMIF(GRAFICO!A:A,A762,GRAFICO!B:B)</f>
        <v>11026.82236</v>
      </c>
    </row>
    <row r="763">
      <c r="A763" s="484">
        <v>45409.0</v>
      </c>
      <c r="B763" s="485">
        <f>SUMIF(GRAFICO!A:A,A763,GRAFICO!B:B)</f>
        <v>10996.42454</v>
      </c>
    </row>
    <row r="764">
      <c r="A764" s="484">
        <v>45408.0</v>
      </c>
      <c r="B764" s="485">
        <f>SUMIF(GRAFICO!A:A,A764,GRAFICO!B:B)</f>
        <v>10988.4596</v>
      </c>
    </row>
    <row r="765">
      <c r="A765" s="484">
        <v>45407.0</v>
      </c>
      <c r="B765" s="485">
        <f>SUMIF(GRAFICO!A:A,A765,GRAFICO!B:B)</f>
        <v>10926.2937</v>
      </c>
    </row>
    <row r="766">
      <c r="A766" s="484">
        <v>45406.0</v>
      </c>
      <c r="B766" s="485">
        <f>SUMIF(GRAFICO!A:A,A766,GRAFICO!B:B)</f>
        <v>10944.00747</v>
      </c>
    </row>
    <row r="767">
      <c r="A767" s="484">
        <v>45405.0</v>
      </c>
      <c r="B767" s="485">
        <f>SUMIF(GRAFICO!A:A,A767,GRAFICO!B:B)</f>
        <v>11138.59544</v>
      </c>
    </row>
    <row r="768">
      <c r="A768" s="484">
        <v>45404.0</v>
      </c>
      <c r="B768" s="485">
        <f>SUMIF(GRAFICO!A:A,A768,GRAFICO!B:B)</f>
        <v>11016.52672</v>
      </c>
    </row>
    <row r="769">
      <c r="A769" s="484">
        <v>45403.0</v>
      </c>
      <c r="B769" s="485">
        <f>SUMIF(GRAFICO!A:A,A769,GRAFICO!B:B)</f>
        <v>11008.57103</v>
      </c>
    </row>
    <row r="770">
      <c r="A770" s="484">
        <v>45402.0</v>
      </c>
      <c r="B770" s="485">
        <f>SUMIF(GRAFICO!A:A,A770,GRAFICO!B:B)</f>
        <v>11000.61719</v>
      </c>
    </row>
    <row r="771">
      <c r="A771" s="484">
        <v>45401.0</v>
      </c>
      <c r="B771" s="485">
        <f>SUMIF(GRAFICO!A:A,A771,GRAFICO!B:B)</f>
        <v>10992.66519</v>
      </c>
    </row>
    <row r="772">
      <c r="A772" s="484">
        <v>45400.0</v>
      </c>
      <c r="B772" s="485">
        <f>SUMIF(GRAFICO!A:A,A772,GRAFICO!B:B)</f>
        <v>11013.63405</v>
      </c>
    </row>
    <row r="773">
      <c r="A773" s="484">
        <v>45399.0</v>
      </c>
      <c r="B773" s="485">
        <f>SUMIF(GRAFICO!A:A,A773,GRAFICO!B:B)</f>
        <v>11079.85801</v>
      </c>
    </row>
    <row r="774">
      <c r="A774" s="484">
        <v>45398.0</v>
      </c>
      <c r="B774" s="485">
        <f>SUMIF(GRAFICO!A:A,A774,GRAFICO!B:B)</f>
        <v>11100.43932</v>
      </c>
    </row>
    <row r="775">
      <c r="A775" s="484">
        <v>45397.0</v>
      </c>
      <c r="B775" s="485">
        <f>SUMIF(GRAFICO!A:A,A775,GRAFICO!B:B)</f>
        <v>11095.34746</v>
      </c>
    </row>
    <row r="776">
      <c r="A776" s="484">
        <v>45396.0</v>
      </c>
      <c r="B776" s="485">
        <f>SUMIF(GRAFICO!A:A,A776,GRAFICO!B:B)</f>
        <v>10954.25437</v>
      </c>
    </row>
    <row r="777">
      <c r="A777" s="484">
        <v>45395.0</v>
      </c>
      <c r="B777" s="485">
        <f>SUMIF(GRAFICO!A:A,A777,GRAFICO!B:B)</f>
        <v>10938.15553</v>
      </c>
    </row>
    <row r="778">
      <c r="A778" s="484">
        <v>45394.0</v>
      </c>
      <c r="B778" s="485">
        <f>SUMIF(GRAFICO!A:A,A778,GRAFICO!B:B)</f>
        <v>11066.36653</v>
      </c>
    </row>
    <row r="779">
      <c r="A779" s="484">
        <v>45393.0</v>
      </c>
      <c r="B779" s="485">
        <f>SUMIF(GRAFICO!A:A,A779,GRAFICO!B:B)</f>
        <v>11171.51652</v>
      </c>
    </row>
    <row r="780">
      <c r="A780" s="484">
        <v>45392.0</v>
      </c>
      <c r="B780" s="485">
        <f>SUMIF(GRAFICO!A:A,A780,GRAFICO!B:B)</f>
        <v>11086.92908</v>
      </c>
    </row>
    <row r="781">
      <c r="A781" s="484">
        <v>45391.0</v>
      </c>
      <c r="B781" s="485">
        <f>SUMIF(GRAFICO!A:A,A781,GRAFICO!B:B)</f>
        <v>11127.6475</v>
      </c>
    </row>
    <row r="782">
      <c r="A782" s="484">
        <v>45390.0</v>
      </c>
      <c r="B782" s="485">
        <f>SUMIF(GRAFICO!A:A,A782,GRAFICO!B:B)</f>
        <v>11120.91394</v>
      </c>
    </row>
    <row r="783">
      <c r="A783" s="484">
        <v>45389.0</v>
      </c>
      <c r="B783" s="485">
        <f>SUMIF(GRAFICO!A:A,A783,GRAFICO!B:B)</f>
        <v>11096.71549</v>
      </c>
    </row>
    <row r="784">
      <c r="A784" s="484">
        <v>45388.0</v>
      </c>
      <c r="B784" s="485">
        <f>SUMIF(GRAFICO!A:A,A784,GRAFICO!B:B)</f>
        <v>11088.55705</v>
      </c>
    </row>
    <row r="785">
      <c r="A785" s="484">
        <v>45387.0</v>
      </c>
      <c r="B785" s="485">
        <f>SUMIF(GRAFICO!A:A,A785,GRAFICO!B:B)</f>
        <v>11079.59693</v>
      </c>
    </row>
    <row r="786">
      <c r="A786" s="484">
        <v>45386.0</v>
      </c>
      <c r="B786" s="485">
        <f>SUMIF(GRAFICO!A:A,A786,GRAFICO!B:B)</f>
        <v>11096.06847</v>
      </c>
    </row>
    <row r="787">
      <c r="A787" s="484">
        <v>45385.0</v>
      </c>
      <c r="B787" s="485">
        <f>SUMIF(GRAFICO!A:A,A787,GRAFICO!B:B)</f>
        <v>11031.4451</v>
      </c>
    </row>
    <row r="788">
      <c r="A788" s="484">
        <v>45384.0</v>
      </c>
      <c r="B788" s="485">
        <f>SUMIF(GRAFICO!A:A,A788,GRAFICO!B:B)</f>
        <v>10995.72823</v>
      </c>
    </row>
    <row r="789">
      <c r="A789" s="484">
        <v>45383.0</v>
      </c>
      <c r="B789" s="485">
        <f>SUMIF(GRAFICO!A:A,A789,GRAFICO!B:B)</f>
        <v>10948.45126</v>
      </c>
    </row>
    <row r="790">
      <c r="A790" s="484">
        <v>45382.0</v>
      </c>
      <c r="B790" s="485">
        <f>SUMIF(GRAFICO!A:A,A790,GRAFICO!B:B)</f>
        <v>10939.91597</v>
      </c>
    </row>
    <row r="791">
      <c r="A791" s="484">
        <v>45381.0</v>
      </c>
      <c r="B791" s="485">
        <f>SUMIF(GRAFICO!A:A,A791,GRAFICO!B:B)</f>
        <v>10916.4268</v>
      </c>
    </row>
    <row r="792">
      <c r="A792" s="484">
        <v>45380.0</v>
      </c>
      <c r="B792" s="485">
        <f>SUMIF(GRAFICO!A:A,A792,GRAFICO!B:B)</f>
        <v>10892.93762</v>
      </c>
    </row>
    <row r="793">
      <c r="A793" s="484">
        <v>45379.0</v>
      </c>
      <c r="B793" s="485">
        <f>SUMIF(GRAFICO!A:A,A793,GRAFICO!B:B)</f>
        <v>10869.44845</v>
      </c>
    </row>
    <row r="794">
      <c r="A794" s="484">
        <v>45378.0</v>
      </c>
      <c r="B794" s="485">
        <f>SUMIF(GRAFICO!A:A,A794,GRAFICO!B:B)</f>
        <v>10845.95927</v>
      </c>
    </row>
    <row r="795">
      <c r="A795" s="484">
        <v>45377.0</v>
      </c>
      <c r="B795" s="485">
        <f>SUMIF(GRAFICO!A:A,A795,GRAFICO!B:B)</f>
        <v>10822.47009</v>
      </c>
    </row>
    <row r="796">
      <c r="A796" s="484">
        <v>45376.0</v>
      </c>
      <c r="B796" s="485">
        <f>SUMIF(GRAFICO!A:A,A796,GRAFICO!B:B)</f>
        <v>10798.98092</v>
      </c>
    </row>
    <row r="797">
      <c r="A797" s="484">
        <v>45375.0</v>
      </c>
      <c r="B797" s="485">
        <f>SUMIF(GRAFICO!A:A,A797,GRAFICO!B:B)</f>
        <v>10744.7537</v>
      </c>
    </row>
    <row r="798">
      <c r="A798" s="484">
        <v>45374.0</v>
      </c>
      <c r="B798" s="485">
        <f>SUMIF(GRAFICO!A:A,A798,GRAFICO!B:B)</f>
        <v>10721.79536</v>
      </c>
    </row>
    <row r="799">
      <c r="A799" s="484">
        <v>45373.0</v>
      </c>
      <c r="B799" s="485">
        <f>SUMIF(GRAFICO!A:A,A799,GRAFICO!B:B)</f>
        <v>10679.66859</v>
      </c>
    </row>
    <row r="800">
      <c r="A800" s="484">
        <v>45372.0</v>
      </c>
      <c r="B800" s="485">
        <f>SUMIF(GRAFICO!A:A,A800,GRAFICO!B:B)</f>
        <v>10654.87879</v>
      </c>
    </row>
    <row r="801">
      <c r="A801" s="484">
        <v>45371.0</v>
      </c>
      <c r="B801" s="485">
        <f>SUMIF(GRAFICO!A:A,A801,GRAFICO!B:B)</f>
        <v>10634.10699</v>
      </c>
    </row>
    <row r="802">
      <c r="A802" s="484">
        <v>45370.0</v>
      </c>
      <c r="B802" s="485">
        <f>SUMIF(GRAFICO!A:A,A802,GRAFICO!B:B)</f>
        <v>10550.21</v>
      </c>
    </row>
    <row r="803">
      <c r="A803" s="484">
        <v>45369.0</v>
      </c>
      <c r="B803" s="485">
        <f>SUMIF(GRAFICO!A:A,A803,GRAFICO!B:B)</f>
        <v>10565.89564</v>
      </c>
    </row>
    <row r="804">
      <c r="A804" s="484">
        <v>45368.0</v>
      </c>
      <c r="B804" s="485">
        <f>SUMIF(GRAFICO!A:A,A804,GRAFICO!B:B)</f>
        <v>10519.97777</v>
      </c>
    </row>
    <row r="805">
      <c r="A805" s="484">
        <v>45367.0</v>
      </c>
      <c r="B805" s="485">
        <f>SUMIF(GRAFICO!A:A,A805,GRAFICO!B:B)</f>
        <v>10495.00779</v>
      </c>
    </row>
    <row r="806">
      <c r="A806" s="484">
        <v>45366.0</v>
      </c>
      <c r="B806" s="485">
        <f>SUMIF(GRAFICO!A:A,A806,GRAFICO!B:B)</f>
        <v>10669.36668</v>
      </c>
    </row>
    <row r="807">
      <c r="A807" s="484">
        <v>45365.0</v>
      </c>
      <c r="B807" s="485">
        <f>SUMIF(GRAFICO!A:A,A807,GRAFICO!B:B)</f>
        <v>10659.76412</v>
      </c>
    </row>
    <row r="808">
      <c r="A808" s="484">
        <v>45364.0</v>
      </c>
      <c r="B808" s="485">
        <f>SUMIF(GRAFICO!A:A,A808,GRAFICO!B:B)</f>
        <v>10656.56847</v>
      </c>
    </row>
    <row r="809">
      <c r="A809" s="484">
        <v>45363.0</v>
      </c>
      <c r="B809" s="485">
        <f>SUMIF(GRAFICO!A:A,A809,GRAFICO!B:B)</f>
        <v>10647.04431</v>
      </c>
    </row>
    <row r="810">
      <c r="A810" s="484">
        <v>45362.0</v>
      </c>
      <c r="B810" s="485">
        <f>SUMIF(GRAFICO!A:A,A810,GRAFICO!B:B)</f>
        <v>10649.77728</v>
      </c>
    </row>
    <row r="811">
      <c r="A811" s="484">
        <v>45361.0</v>
      </c>
      <c r="B811" s="485">
        <f>SUMIF(GRAFICO!A:A,A811,GRAFICO!B:B)</f>
        <v>10643.00819</v>
      </c>
    </row>
    <row r="812">
      <c r="A812" s="484">
        <v>45360.0</v>
      </c>
      <c r="B812" s="485">
        <f>SUMIF(GRAFICO!A:A,A812,GRAFICO!B:B)</f>
        <v>10635.60318</v>
      </c>
    </row>
    <row r="813">
      <c r="A813" s="484">
        <v>45359.0</v>
      </c>
      <c r="B813" s="485">
        <f>SUMIF(GRAFICO!A:A,A813,GRAFICO!B:B)</f>
        <v>10627.20594</v>
      </c>
    </row>
    <row r="814">
      <c r="A814" s="484">
        <v>45358.0</v>
      </c>
      <c r="B814" s="485">
        <f>SUMIF(GRAFICO!A:A,A814,GRAFICO!B:B)</f>
        <v>10628.23759</v>
      </c>
    </row>
    <row r="815">
      <c r="A815" s="484">
        <v>45357.0</v>
      </c>
      <c r="B815" s="485">
        <f>SUMIF(GRAFICO!A:A,A815,GRAFICO!B:B)</f>
        <v>10622.01268</v>
      </c>
    </row>
    <row r="816">
      <c r="A816" s="484">
        <v>45356.0</v>
      </c>
      <c r="B816" s="485">
        <f>SUMIF(GRAFICO!A:A,A816,GRAFICO!B:B)</f>
        <v>10608.83445</v>
      </c>
    </row>
    <row r="817">
      <c r="A817" s="484">
        <v>45355.0</v>
      </c>
      <c r="B817" s="485">
        <f>SUMIF(GRAFICO!A:A,A817,GRAFICO!B:B)</f>
        <v>10593.60586</v>
      </c>
    </row>
    <row r="818">
      <c r="A818" s="484">
        <v>45354.0</v>
      </c>
      <c r="B818" s="485">
        <f>SUMIF(GRAFICO!A:A,A818,GRAFICO!B:B)</f>
        <v>10585.15863</v>
      </c>
    </row>
    <row r="819">
      <c r="A819" s="484">
        <v>45353.0</v>
      </c>
      <c r="B819" s="485">
        <f>SUMIF(GRAFICO!A:A,A819,GRAFICO!B:B)</f>
        <v>10577.77925</v>
      </c>
    </row>
    <row r="820">
      <c r="A820" s="484">
        <v>45352.0</v>
      </c>
      <c r="B820" s="485">
        <f>SUMIF(GRAFICO!A:A,A820,GRAFICO!B:B)</f>
        <v>10570.99372</v>
      </c>
    </row>
    <row r="821">
      <c r="A821" s="484">
        <v>45351.0</v>
      </c>
      <c r="B821" s="485">
        <f>SUMIF(GRAFICO!A:A,A821,GRAFICO!B:B)</f>
        <v>10564.16209</v>
      </c>
    </row>
    <row r="822">
      <c r="A822" s="484">
        <v>45350.0</v>
      </c>
      <c r="B822" s="485">
        <f>SUMIF(GRAFICO!A:A,A822,GRAFICO!B:B)</f>
        <v>10571.63549</v>
      </c>
    </row>
    <row r="823">
      <c r="A823" s="486"/>
      <c r="B823" s="485"/>
    </row>
    <row r="824">
      <c r="A824" s="486"/>
      <c r="B824" s="485"/>
    </row>
    <row r="825">
      <c r="A825" s="486"/>
      <c r="B825" s="485"/>
    </row>
    <row r="826">
      <c r="A826" s="486"/>
      <c r="B826" s="485"/>
    </row>
    <row r="827">
      <c r="A827" s="486"/>
      <c r="B827" s="485"/>
    </row>
    <row r="828">
      <c r="A828" s="486"/>
      <c r="B828" s="485"/>
    </row>
    <row r="829">
      <c r="A829" s="486"/>
      <c r="B829" s="485"/>
    </row>
    <row r="830">
      <c r="A830" s="486"/>
      <c r="B830" s="485"/>
    </row>
    <row r="831">
      <c r="A831" s="486"/>
      <c r="B831" s="485"/>
    </row>
    <row r="832">
      <c r="A832" s="486"/>
      <c r="B832" s="485"/>
    </row>
    <row r="833">
      <c r="A833" s="486"/>
      <c r="B833" s="485"/>
    </row>
    <row r="834">
      <c r="A834" s="486"/>
      <c r="B834" s="485"/>
    </row>
    <row r="835">
      <c r="A835" s="486"/>
      <c r="B835" s="485"/>
    </row>
    <row r="836">
      <c r="A836" s="486"/>
      <c r="B836" s="485"/>
    </row>
    <row r="837">
      <c r="A837" s="486"/>
      <c r="B837" s="485"/>
    </row>
    <row r="838">
      <c r="A838" s="486"/>
      <c r="B838" s="485"/>
    </row>
    <row r="839">
      <c r="A839" s="486"/>
      <c r="B839" s="485"/>
    </row>
    <row r="840">
      <c r="A840" s="486"/>
      <c r="B840" s="485"/>
    </row>
    <row r="841">
      <c r="A841" s="486"/>
      <c r="B841" s="485"/>
    </row>
    <row r="842">
      <c r="A842" s="486"/>
      <c r="B842" s="485"/>
    </row>
    <row r="843">
      <c r="A843" s="486"/>
      <c r="B843" s="485"/>
    </row>
    <row r="844">
      <c r="A844" s="486"/>
      <c r="B844" s="485"/>
    </row>
    <row r="845">
      <c r="A845" s="486"/>
      <c r="B845" s="485"/>
    </row>
    <row r="846">
      <c r="A846" s="486"/>
      <c r="B846" s="485"/>
    </row>
    <row r="847">
      <c r="A847" s="486"/>
      <c r="B847" s="485"/>
    </row>
    <row r="848">
      <c r="A848" s="486"/>
      <c r="B848" s="485"/>
    </row>
    <row r="849">
      <c r="A849" s="486"/>
      <c r="B849" s="485"/>
    </row>
    <row r="850">
      <c r="A850" s="486"/>
      <c r="B850" s="485"/>
    </row>
    <row r="851">
      <c r="A851" s="486"/>
      <c r="B851" s="485"/>
    </row>
    <row r="852">
      <c r="A852" s="486"/>
      <c r="B852" s="485"/>
    </row>
    <row r="853">
      <c r="A853" s="486"/>
      <c r="B853" s="485"/>
    </row>
    <row r="854">
      <c r="A854" s="486"/>
      <c r="B854" s="485"/>
    </row>
    <row r="855">
      <c r="A855" s="486"/>
      <c r="B855" s="485"/>
    </row>
    <row r="856">
      <c r="A856" s="486"/>
      <c r="B856" s="485"/>
    </row>
    <row r="857">
      <c r="A857" s="486"/>
      <c r="B857" s="485"/>
    </row>
    <row r="858">
      <c r="A858" s="486"/>
      <c r="B858" s="485"/>
    </row>
    <row r="859">
      <c r="A859" s="486"/>
      <c r="B859" s="485"/>
    </row>
    <row r="860">
      <c r="A860" s="486"/>
      <c r="B860" s="485"/>
    </row>
    <row r="861">
      <c r="A861" s="486"/>
      <c r="B861" s="485"/>
    </row>
    <row r="862">
      <c r="A862" s="486"/>
      <c r="B862" s="485"/>
    </row>
    <row r="863">
      <c r="A863" s="486"/>
      <c r="B863" s="485"/>
    </row>
    <row r="864">
      <c r="A864" s="486"/>
      <c r="B864" s="485"/>
    </row>
    <row r="865">
      <c r="A865" s="486"/>
      <c r="B865" s="485"/>
    </row>
    <row r="866">
      <c r="A866" s="486"/>
      <c r="B866" s="485"/>
    </row>
    <row r="867">
      <c r="A867" s="486"/>
      <c r="B867" s="485"/>
    </row>
    <row r="868">
      <c r="A868" s="486"/>
      <c r="B868" s="485"/>
    </row>
    <row r="869">
      <c r="A869" s="486"/>
      <c r="B869" s="485"/>
    </row>
    <row r="870">
      <c r="A870" s="486"/>
      <c r="B870" s="485"/>
    </row>
    <row r="871">
      <c r="A871" s="486"/>
      <c r="B871" s="485"/>
    </row>
    <row r="872">
      <c r="A872" s="486"/>
      <c r="B872" s="485"/>
    </row>
    <row r="873">
      <c r="A873" s="486"/>
      <c r="B873" s="485"/>
    </row>
    <row r="874">
      <c r="A874" s="486"/>
      <c r="B874" s="485"/>
    </row>
    <row r="875">
      <c r="A875" s="486"/>
      <c r="B875" s="485"/>
    </row>
    <row r="876">
      <c r="A876" s="486"/>
      <c r="B876" s="485"/>
    </row>
    <row r="877">
      <c r="A877" s="486"/>
      <c r="B877" s="485"/>
    </row>
    <row r="878">
      <c r="A878" s="486"/>
      <c r="B878" s="485"/>
    </row>
    <row r="879">
      <c r="A879" s="486"/>
      <c r="B879" s="485"/>
    </row>
    <row r="880">
      <c r="A880" s="486"/>
      <c r="B880" s="485"/>
    </row>
    <row r="881">
      <c r="A881" s="486"/>
      <c r="B881" s="485"/>
    </row>
    <row r="882">
      <c r="A882" s="486"/>
      <c r="B882" s="485"/>
    </row>
    <row r="883">
      <c r="A883" s="486"/>
      <c r="B883" s="485"/>
    </row>
    <row r="884">
      <c r="A884" s="486"/>
      <c r="B884" s="485"/>
    </row>
    <row r="885">
      <c r="A885" s="486"/>
      <c r="B885" s="485"/>
    </row>
    <row r="886">
      <c r="A886" s="486"/>
      <c r="B886" s="485"/>
    </row>
    <row r="887">
      <c r="A887" s="486"/>
      <c r="B887" s="485"/>
    </row>
    <row r="888">
      <c r="A888" s="486"/>
      <c r="B888" s="485"/>
    </row>
    <row r="889">
      <c r="A889" s="486"/>
      <c r="B889" s="485"/>
    </row>
    <row r="890">
      <c r="A890" s="486"/>
      <c r="B890" s="485"/>
    </row>
    <row r="891">
      <c r="A891" s="486"/>
      <c r="B891" s="485"/>
    </row>
    <row r="892">
      <c r="A892" s="486"/>
      <c r="B892" s="485"/>
    </row>
    <row r="893">
      <c r="A893" s="486"/>
      <c r="B893" s="485"/>
    </row>
    <row r="894">
      <c r="A894" s="486"/>
      <c r="B894" s="485"/>
    </row>
    <row r="895">
      <c r="A895" s="486"/>
      <c r="B895" s="485"/>
    </row>
    <row r="896">
      <c r="A896" s="486"/>
      <c r="B896" s="485"/>
    </row>
    <row r="897">
      <c r="A897" s="486"/>
      <c r="B897" s="485"/>
    </row>
    <row r="898">
      <c r="A898" s="486"/>
      <c r="B898" s="485"/>
    </row>
    <row r="899">
      <c r="A899" s="486"/>
      <c r="B899" s="485"/>
    </row>
    <row r="900">
      <c r="A900" s="486"/>
      <c r="B900" s="485"/>
    </row>
    <row r="901">
      <c r="A901" s="486"/>
      <c r="B901" s="485"/>
    </row>
    <row r="902">
      <c r="A902" s="486"/>
      <c r="B902" s="485"/>
    </row>
    <row r="903">
      <c r="A903" s="486"/>
      <c r="B903" s="485"/>
    </row>
    <row r="904">
      <c r="A904" s="486"/>
      <c r="B904" s="485"/>
    </row>
    <row r="905">
      <c r="A905" s="486"/>
      <c r="B905" s="485"/>
    </row>
    <row r="906">
      <c r="A906" s="486"/>
      <c r="B906" s="485"/>
    </row>
    <row r="907">
      <c r="A907" s="486"/>
      <c r="B907" s="485"/>
    </row>
    <row r="908">
      <c r="A908" s="486"/>
      <c r="B908" s="485"/>
    </row>
    <row r="909">
      <c r="A909" s="486"/>
      <c r="B909" s="485"/>
    </row>
    <row r="910">
      <c r="A910" s="486"/>
      <c r="B910" s="485"/>
    </row>
    <row r="911">
      <c r="A911" s="486"/>
      <c r="B911" s="485"/>
    </row>
    <row r="912">
      <c r="A912" s="486"/>
      <c r="B912" s="485"/>
    </row>
    <row r="913">
      <c r="A913" s="486"/>
      <c r="B913" s="485"/>
    </row>
    <row r="914">
      <c r="A914" s="486"/>
      <c r="B914" s="485"/>
    </row>
    <row r="915">
      <c r="A915" s="486"/>
      <c r="B915" s="485"/>
    </row>
    <row r="916">
      <c r="A916" s="486"/>
      <c r="B916" s="485"/>
    </row>
    <row r="917">
      <c r="A917" s="486"/>
      <c r="B917" s="485"/>
    </row>
    <row r="918">
      <c r="A918" s="486"/>
      <c r="B918" s="485"/>
    </row>
    <row r="919">
      <c r="A919" s="486"/>
      <c r="B919" s="485"/>
    </row>
    <row r="920">
      <c r="A920" s="486"/>
      <c r="B920" s="485"/>
    </row>
    <row r="921">
      <c r="A921" s="486"/>
      <c r="B921" s="485"/>
    </row>
    <row r="922">
      <c r="A922" s="486"/>
      <c r="B922" s="485"/>
    </row>
    <row r="923">
      <c r="A923" s="486"/>
      <c r="B923" s="485"/>
    </row>
    <row r="924">
      <c r="A924" s="486"/>
      <c r="B924" s="485"/>
    </row>
    <row r="925">
      <c r="A925" s="486"/>
      <c r="B925" s="485"/>
    </row>
    <row r="926">
      <c r="A926" s="486"/>
      <c r="B926" s="485"/>
    </row>
    <row r="927">
      <c r="A927" s="486"/>
      <c r="B927" s="485"/>
    </row>
    <row r="928">
      <c r="A928" s="486"/>
      <c r="B928" s="485"/>
    </row>
    <row r="929">
      <c r="A929" s="486"/>
      <c r="B929" s="485"/>
    </row>
    <row r="930">
      <c r="A930" s="486"/>
      <c r="B930" s="485"/>
    </row>
    <row r="931">
      <c r="A931" s="486"/>
      <c r="B931" s="485"/>
    </row>
    <row r="932">
      <c r="A932" s="486"/>
      <c r="B932" s="485"/>
    </row>
    <row r="933">
      <c r="A933" s="486"/>
      <c r="B933" s="485"/>
    </row>
    <row r="934">
      <c r="A934" s="486"/>
      <c r="B934" s="485"/>
    </row>
    <row r="935">
      <c r="A935" s="486"/>
      <c r="B935" s="485"/>
    </row>
    <row r="936">
      <c r="A936" s="486"/>
      <c r="B936" s="485"/>
    </row>
    <row r="937">
      <c r="A937" s="486"/>
      <c r="B937" s="485"/>
    </row>
    <row r="938">
      <c r="A938" s="486"/>
      <c r="B938" s="485"/>
    </row>
    <row r="939">
      <c r="A939" s="486"/>
      <c r="B939" s="485"/>
    </row>
    <row r="940">
      <c r="A940" s="486"/>
      <c r="B940" s="485"/>
    </row>
    <row r="941">
      <c r="A941" s="486"/>
      <c r="B941" s="485"/>
    </row>
    <row r="942">
      <c r="A942" s="486"/>
      <c r="B942" s="485"/>
    </row>
    <row r="943">
      <c r="A943" s="486"/>
      <c r="B943" s="485"/>
    </row>
    <row r="944">
      <c r="A944" s="486"/>
      <c r="B944" s="485"/>
    </row>
    <row r="945">
      <c r="A945" s="486"/>
      <c r="B945" s="485"/>
    </row>
    <row r="946">
      <c r="A946" s="486"/>
      <c r="B946" s="485"/>
    </row>
    <row r="947">
      <c r="A947" s="486"/>
      <c r="B947" s="485"/>
    </row>
    <row r="948">
      <c r="A948" s="486"/>
      <c r="B948" s="485"/>
    </row>
    <row r="949">
      <c r="A949" s="486"/>
      <c r="B949" s="485"/>
    </row>
    <row r="950">
      <c r="A950" s="486"/>
      <c r="B950" s="485"/>
    </row>
    <row r="951">
      <c r="A951" s="486"/>
      <c r="B951" s="485"/>
    </row>
    <row r="952">
      <c r="A952" s="486"/>
      <c r="B952" s="485"/>
    </row>
    <row r="953">
      <c r="A953" s="486"/>
      <c r="B953" s="485"/>
    </row>
    <row r="954">
      <c r="A954" s="486"/>
      <c r="B954" s="485"/>
    </row>
    <row r="955">
      <c r="A955" s="486"/>
      <c r="B955" s="485"/>
    </row>
    <row r="956">
      <c r="A956" s="486"/>
      <c r="B956" s="485"/>
    </row>
    <row r="957">
      <c r="A957" s="486"/>
      <c r="B957" s="485"/>
    </row>
    <row r="958">
      <c r="A958" s="486"/>
      <c r="B958" s="485"/>
    </row>
    <row r="959">
      <c r="A959" s="486"/>
      <c r="B959" s="485"/>
    </row>
    <row r="960">
      <c r="A960" s="486"/>
      <c r="B960" s="485"/>
    </row>
    <row r="961">
      <c r="A961" s="486"/>
      <c r="B961" s="485"/>
    </row>
    <row r="962">
      <c r="A962" s="486"/>
      <c r="B962" s="485"/>
    </row>
    <row r="963">
      <c r="A963" s="486"/>
      <c r="B963" s="485"/>
    </row>
    <row r="964">
      <c r="A964" s="486"/>
      <c r="B964" s="485"/>
    </row>
    <row r="965">
      <c r="A965" s="486"/>
      <c r="B965" s="485"/>
    </row>
    <row r="966">
      <c r="A966" s="486"/>
      <c r="B966" s="485"/>
    </row>
    <row r="967">
      <c r="A967" s="486"/>
      <c r="B967" s="485"/>
    </row>
    <row r="968">
      <c r="A968" s="486"/>
      <c r="B968" s="485"/>
    </row>
    <row r="969">
      <c r="A969" s="486"/>
      <c r="B969" s="485"/>
    </row>
    <row r="970">
      <c r="A970" s="486"/>
      <c r="B970" s="485"/>
    </row>
    <row r="971">
      <c r="A971" s="486"/>
      <c r="B971" s="485"/>
    </row>
    <row r="972">
      <c r="A972" s="486"/>
      <c r="B972" s="485"/>
    </row>
    <row r="973">
      <c r="A973" s="486"/>
      <c r="B973" s="485"/>
    </row>
    <row r="974">
      <c r="A974" s="486"/>
      <c r="B974" s="485"/>
    </row>
    <row r="975">
      <c r="A975" s="486"/>
      <c r="B975" s="485"/>
    </row>
    <row r="976">
      <c r="A976" s="486"/>
      <c r="B976" s="485"/>
    </row>
    <row r="977">
      <c r="A977" s="486"/>
      <c r="B977" s="485"/>
    </row>
    <row r="978">
      <c r="A978" s="486"/>
      <c r="B978" s="485"/>
    </row>
    <row r="979">
      <c r="A979" s="486"/>
      <c r="B979" s="485"/>
    </row>
    <row r="980">
      <c r="A980" s="486"/>
      <c r="B980" s="485"/>
    </row>
    <row r="981">
      <c r="A981" s="486"/>
      <c r="B981" s="485"/>
    </row>
    <row r="982">
      <c r="A982" s="486"/>
      <c r="B982" s="485"/>
    </row>
    <row r="983">
      <c r="A983" s="486"/>
      <c r="B983" s="485"/>
    </row>
    <row r="984">
      <c r="A984" s="486"/>
      <c r="B984" s="485"/>
    </row>
    <row r="985">
      <c r="A985" s="486"/>
      <c r="B985" s="485"/>
    </row>
    <row r="986">
      <c r="A986" s="486"/>
      <c r="B986" s="485"/>
    </row>
    <row r="987">
      <c r="A987" s="486"/>
      <c r="B987" s="485"/>
    </row>
    <row r="988">
      <c r="A988" s="486"/>
      <c r="B988" s="485"/>
    </row>
    <row r="989">
      <c r="A989" s="486"/>
      <c r="B989" s="485"/>
    </row>
    <row r="990">
      <c r="A990" s="486"/>
      <c r="B990" s="485"/>
    </row>
    <row r="991">
      <c r="A991" s="486"/>
      <c r="B991" s="485"/>
    </row>
    <row r="992">
      <c r="A992" s="486"/>
      <c r="B992" s="485"/>
    </row>
    <row r="993">
      <c r="A993" s="486"/>
      <c r="B993" s="485"/>
    </row>
    <row r="994">
      <c r="A994" s="486"/>
      <c r="B994" s="485"/>
    </row>
    <row r="995">
      <c r="A995" s="486"/>
      <c r="B995" s="485"/>
    </row>
    <row r="996">
      <c r="A996" s="486"/>
      <c r="B996" s="485"/>
    </row>
    <row r="997">
      <c r="A997" s="486"/>
      <c r="B997" s="485"/>
    </row>
    <row r="998">
      <c r="A998" s="486"/>
      <c r="B998" s="485"/>
    </row>
    <row r="999">
      <c r="A999" s="486"/>
      <c r="B999" s="485"/>
    </row>
    <row r="1000">
      <c r="A1000" s="486"/>
      <c r="B1000" s="485"/>
    </row>
    <row r="1001">
      <c r="A1001" s="486"/>
      <c r="B1001" s="485"/>
    </row>
    <row r="1002">
      <c r="A1002" s="486"/>
      <c r="B1002" s="485"/>
    </row>
    <row r="1003">
      <c r="A1003" s="486"/>
      <c r="B1003" s="485"/>
    </row>
    <row r="1004">
      <c r="A1004" s="486"/>
      <c r="B1004" s="485"/>
    </row>
    <row r="1005">
      <c r="A1005" s="486"/>
      <c r="B1005" s="485"/>
    </row>
    <row r="1006">
      <c r="A1006" s="486"/>
      <c r="B1006" s="485"/>
    </row>
    <row r="1007">
      <c r="A1007" s="486"/>
      <c r="B1007" s="485"/>
    </row>
    <row r="1008">
      <c r="A1008" s="486"/>
      <c r="B1008" s="485"/>
    </row>
    <row r="1009">
      <c r="A1009" s="486"/>
      <c r="B1009" s="485"/>
    </row>
    <row r="1010">
      <c r="A1010" s="486"/>
      <c r="B1010" s="485"/>
    </row>
    <row r="1011">
      <c r="A1011" s="486"/>
      <c r="B1011" s="485"/>
    </row>
    <row r="1012">
      <c r="A1012" s="486"/>
      <c r="B1012" s="485"/>
    </row>
    <row r="1013">
      <c r="A1013" s="486"/>
      <c r="B1013" s="485"/>
    </row>
    <row r="1014">
      <c r="A1014" s="486"/>
      <c r="B1014" s="485"/>
    </row>
    <row r="1015">
      <c r="A1015" s="486"/>
      <c r="B1015" s="485"/>
    </row>
    <row r="1016">
      <c r="A1016" s="486"/>
      <c r="B1016" s="485"/>
    </row>
    <row r="1017">
      <c r="A1017" s="486"/>
      <c r="B1017" s="485"/>
    </row>
    <row r="1018">
      <c r="A1018" s="486"/>
      <c r="B1018" s="485"/>
    </row>
    <row r="1019">
      <c r="A1019" s="486"/>
      <c r="B1019" s="485"/>
    </row>
    <row r="1020">
      <c r="A1020" s="486"/>
      <c r="B1020" s="485"/>
    </row>
    <row r="1021">
      <c r="A1021" s="486"/>
      <c r="B1021" s="485"/>
    </row>
    <row r="1022">
      <c r="A1022" s="486"/>
      <c r="B1022" s="485"/>
    </row>
    <row r="1023">
      <c r="A1023" s="486"/>
      <c r="B1023" s="485"/>
    </row>
    <row r="1024">
      <c r="A1024" s="486"/>
      <c r="B1024" s="485"/>
    </row>
    <row r="1025">
      <c r="A1025" s="486"/>
      <c r="B1025" s="485"/>
    </row>
    <row r="1026">
      <c r="A1026" s="486"/>
      <c r="B1026" s="485"/>
    </row>
    <row r="1027">
      <c r="A1027" s="486"/>
      <c r="B1027" s="485"/>
    </row>
    <row r="1028">
      <c r="A1028" s="486"/>
      <c r="B1028" s="485"/>
    </row>
    <row r="1029">
      <c r="A1029" s="486"/>
      <c r="B1029" s="485"/>
    </row>
    <row r="1030">
      <c r="A1030" s="486"/>
      <c r="B1030" s="485"/>
    </row>
    <row r="1031">
      <c r="A1031" s="486"/>
      <c r="B1031" s="485"/>
    </row>
    <row r="1032">
      <c r="A1032" s="486"/>
      <c r="B1032" s="485"/>
    </row>
    <row r="1033">
      <c r="A1033" s="486"/>
      <c r="B1033" s="485"/>
    </row>
    <row r="1034">
      <c r="A1034" s="486"/>
      <c r="B1034" s="485"/>
    </row>
    <row r="1035">
      <c r="A1035" s="486"/>
      <c r="B1035" s="485"/>
    </row>
    <row r="1036">
      <c r="A1036" s="486"/>
      <c r="B1036" s="485"/>
    </row>
    <row r="1037">
      <c r="A1037" s="486"/>
      <c r="B1037" s="485"/>
    </row>
    <row r="1038">
      <c r="A1038" s="486"/>
      <c r="B1038" s="485"/>
    </row>
    <row r="1039">
      <c r="A1039" s="486"/>
      <c r="B1039" s="485"/>
    </row>
    <row r="1040">
      <c r="A1040" s="486"/>
      <c r="B1040" s="485"/>
    </row>
    <row r="1041">
      <c r="A1041" s="486"/>
      <c r="B1041" s="485"/>
    </row>
    <row r="1042">
      <c r="A1042" s="486"/>
      <c r="B1042" s="485"/>
    </row>
    <row r="1043">
      <c r="A1043" s="486"/>
      <c r="B1043" s="485"/>
    </row>
    <row r="1044">
      <c r="A1044" s="486"/>
      <c r="B1044" s="485"/>
    </row>
    <row r="1045">
      <c r="A1045" s="486"/>
      <c r="B1045" s="485"/>
    </row>
    <row r="1046">
      <c r="A1046" s="486"/>
      <c r="B1046" s="485"/>
    </row>
    <row r="1047">
      <c r="A1047" s="486"/>
      <c r="B1047" s="485"/>
    </row>
    <row r="1048">
      <c r="A1048" s="486"/>
      <c r="B1048" s="485"/>
    </row>
    <row r="1049">
      <c r="A1049" s="486"/>
      <c r="B1049" s="485"/>
    </row>
    <row r="1050">
      <c r="A1050" s="486"/>
      <c r="B1050" s="485"/>
    </row>
    <row r="1051">
      <c r="A1051" s="486"/>
      <c r="B1051" s="485"/>
    </row>
    <row r="1052">
      <c r="A1052" s="486"/>
      <c r="B1052" s="485"/>
    </row>
    <row r="1053">
      <c r="A1053" s="486"/>
      <c r="B1053" s="485"/>
    </row>
    <row r="1054">
      <c r="A1054" s="486"/>
      <c r="B1054" s="485"/>
    </row>
    <row r="1055">
      <c r="A1055" s="486"/>
      <c r="B1055" s="485"/>
    </row>
    <row r="1056">
      <c r="A1056" s="486"/>
      <c r="B1056" s="485"/>
    </row>
    <row r="1057">
      <c r="A1057" s="486"/>
      <c r="B1057" s="485"/>
    </row>
    <row r="1058">
      <c r="A1058" s="486"/>
      <c r="B1058" s="485"/>
    </row>
    <row r="1059">
      <c r="A1059" s="486"/>
      <c r="B1059" s="485"/>
    </row>
    <row r="1060">
      <c r="A1060" s="486"/>
      <c r="B1060" s="485"/>
    </row>
    <row r="1061">
      <c r="A1061" s="486"/>
      <c r="B1061" s="485"/>
    </row>
    <row r="1062">
      <c r="A1062" s="486"/>
      <c r="B1062" s="485"/>
    </row>
    <row r="1063">
      <c r="A1063" s="486"/>
      <c r="B1063" s="485"/>
    </row>
    <row r="1064">
      <c r="A1064" s="486"/>
      <c r="B1064" s="485"/>
    </row>
    <row r="1065">
      <c r="A1065" s="486"/>
      <c r="B1065" s="485"/>
    </row>
    <row r="1066">
      <c r="A1066" s="486"/>
      <c r="B1066" s="485"/>
    </row>
    <row r="1067">
      <c r="A1067" s="486"/>
      <c r="B1067" s="485"/>
    </row>
    <row r="1068">
      <c r="A1068" s="486"/>
      <c r="B1068" s="485"/>
    </row>
    <row r="1069">
      <c r="A1069" s="486"/>
      <c r="B1069" s="485"/>
    </row>
    <row r="1070">
      <c r="A1070" s="486"/>
      <c r="B1070" s="485"/>
    </row>
    <row r="1071">
      <c r="A1071" s="486"/>
      <c r="B1071" s="485"/>
    </row>
    <row r="1072">
      <c r="A1072" s="486"/>
      <c r="B1072" s="485"/>
    </row>
    <row r="1073">
      <c r="A1073" s="486"/>
      <c r="B1073" s="485"/>
    </row>
    <row r="1074">
      <c r="A1074" s="486"/>
      <c r="B1074" s="485"/>
    </row>
    <row r="1075">
      <c r="A1075" s="486"/>
      <c r="B1075" s="485"/>
    </row>
    <row r="1076">
      <c r="A1076" s="486"/>
      <c r="B1076" s="485"/>
    </row>
    <row r="1077">
      <c r="A1077" s="486"/>
      <c r="B1077" s="485"/>
    </row>
    <row r="1078">
      <c r="A1078" s="486"/>
      <c r="B1078" s="485"/>
    </row>
    <row r="1079">
      <c r="A1079" s="486"/>
      <c r="B1079" s="485"/>
    </row>
    <row r="1080">
      <c r="A1080" s="486"/>
      <c r="B1080" s="485"/>
    </row>
    <row r="1081">
      <c r="A1081" s="486"/>
      <c r="B1081" s="485"/>
    </row>
    <row r="1082">
      <c r="A1082" s="486"/>
      <c r="B1082" s="485"/>
    </row>
    <row r="1083">
      <c r="A1083" s="486"/>
      <c r="B1083" s="485"/>
    </row>
    <row r="1084">
      <c r="A1084" s="486"/>
      <c r="B1084" s="485"/>
    </row>
    <row r="1085">
      <c r="A1085" s="486"/>
      <c r="B1085" s="485"/>
    </row>
    <row r="1086">
      <c r="A1086" s="486"/>
      <c r="B1086" s="485"/>
    </row>
    <row r="1087">
      <c r="A1087" s="486"/>
      <c r="B1087" s="485"/>
    </row>
    <row r="1088">
      <c r="A1088" s="486"/>
      <c r="B1088" s="485"/>
    </row>
    <row r="1089">
      <c r="A1089" s="486"/>
      <c r="B1089" s="485"/>
    </row>
    <row r="1090">
      <c r="A1090" s="486"/>
      <c r="B1090" s="485"/>
    </row>
    <row r="1091">
      <c r="A1091" s="486"/>
      <c r="B1091" s="485"/>
    </row>
    <row r="1092">
      <c r="A1092" s="486"/>
      <c r="B1092" s="485"/>
    </row>
    <row r="1093">
      <c r="A1093" s="486"/>
      <c r="B1093" s="485"/>
    </row>
    <row r="1094">
      <c r="A1094" s="486"/>
      <c r="B1094" s="485"/>
    </row>
    <row r="1095">
      <c r="A1095" s="486"/>
      <c r="B1095" s="485"/>
    </row>
    <row r="1096">
      <c r="A1096" s="486"/>
      <c r="B1096" s="485"/>
    </row>
    <row r="1097">
      <c r="A1097" s="486"/>
      <c r="B1097" s="485"/>
    </row>
    <row r="1098">
      <c r="A1098" s="486"/>
      <c r="B1098" s="485"/>
    </row>
    <row r="1099">
      <c r="A1099" s="486"/>
      <c r="B1099" s="485"/>
    </row>
    <row r="1100">
      <c r="A1100" s="486"/>
      <c r="B1100" s="485"/>
    </row>
    <row r="1101">
      <c r="A1101" s="486"/>
      <c r="B1101" s="485"/>
    </row>
    <row r="1102">
      <c r="A1102" s="486"/>
      <c r="B1102" s="485"/>
    </row>
    <row r="1103">
      <c r="A1103" s="486"/>
      <c r="B1103" s="485"/>
    </row>
    <row r="1104">
      <c r="A1104" s="486"/>
      <c r="B1104" s="485"/>
    </row>
    <row r="1105">
      <c r="A1105" s="486"/>
      <c r="B1105" s="485"/>
    </row>
    <row r="1106">
      <c r="A1106" s="486"/>
      <c r="B1106" s="485"/>
    </row>
    <row r="1107">
      <c r="A1107" s="486"/>
      <c r="B1107" s="485"/>
    </row>
    <row r="1108">
      <c r="A1108" s="486"/>
      <c r="B1108" s="485"/>
    </row>
    <row r="1109">
      <c r="A1109" s="486"/>
      <c r="B1109" s="485"/>
    </row>
    <row r="1110">
      <c r="A1110" s="486"/>
      <c r="B1110" s="485"/>
    </row>
    <row r="1111">
      <c r="A1111" s="486"/>
      <c r="B1111" s="485"/>
    </row>
    <row r="1112">
      <c r="A1112" s="486"/>
      <c r="B1112" s="485"/>
    </row>
    <row r="1113">
      <c r="A1113" s="486"/>
      <c r="B1113" s="485"/>
    </row>
    <row r="1114">
      <c r="A1114" s="486"/>
      <c r="B1114" s="485"/>
    </row>
    <row r="1115">
      <c r="A1115" s="486"/>
      <c r="B1115" s="485"/>
    </row>
    <row r="1116">
      <c r="A1116" s="486"/>
      <c r="B1116" s="485"/>
    </row>
    <row r="1117">
      <c r="A1117" s="486"/>
      <c r="B1117" s="485"/>
    </row>
    <row r="1118">
      <c r="A1118" s="486"/>
      <c r="B1118" s="485"/>
    </row>
    <row r="1119">
      <c r="A1119" s="486"/>
      <c r="B1119" s="485"/>
    </row>
    <row r="1120">
      <c r="A1120" s="486"/>
      <c r="B1120" s="485"/>
    </row>
    <row r="1121">
      <c r="A1121" s="486"/>
      <c r="B1121" s="485"/>
    </row>
    <row r="1122">
      <c r="A1122" s="486"/>
      <c r="B1122" s="485"/>
    </row>
    <row r="1123">
      <c r="A1123" s="486"/>
      <c r="B1123" s="485"/>
    </row>
    <row r="1124">
      <c r="A1124" s="486"/>
      <c r="B1124" s="485"/>
    </row>
    <row r="1125">
      <c r="A1125" s="486"/>
      <c r="B1125" s="485"/>
    </row>
    <row r="1126">
      <c r="A1126" s="486"/>
      <c r="B1126" s="485"/>
    </row>
    <row r="1127">
      <c r="A1127" s="486"/>
      <c r="B1127" s="485"/>
    </row>
    <row r="1128">
      <c r="A1128" s="486"/>
      <c r="B1128" s="485"/>
    </row>
    <row r="1129">
      <c r="A1129" s="486"/>
      <c r="B1129" s="485"/>
    </row>
    <row r="1130">
      <c r="A1130" s="486"/>
      <c r="B1130" s="485"/>
    </row>
    <row r="1131">
      <c r="A1131" s="486"/>
      <c r="B1131" s="485"/>
    </row>
    <row r="1132">
      <c r="A1132" s="486"/>
      <c r="B1132" s="485"/>
    </row>
    <row r="1133">
      <c r="A1133" s="486"/>
      <c r="B1133" s="485"/>
    </row>
    <row r="1134">
      <c r="A1134" s="486"/>
      <c r="B1134" s="485"/>
    </row>
    <row r="1135">
      <c r="A1135" s="486"/>
      <c r="B1135" s="485"/>
    </row>
    <row r="1136">
      <c r="A1136" s="486"/>
      <c r="B1136" s="485"/>
    </row>
    <row r="1137">
      <c r="A1137" s="486"/>
      <c r="B1137" s="485"/>
    </row>
    <row r="1138">
      <c r="A1138" s="486"/>
      <c r="B1138" s="485"/>
    </row>
    <row r="1139">
      <c r="A1139" s="486"/>
      <c r="B1139" s="485"/>
    </row>
    <row r="1140">
      <c r="A1140" s="486"/>
      <c r="B1140" s="485"/>
    </row>
    <row r="1141">
      <c r="A1141" s="486"/>
      <c r="B1141" s="485"/>
    </row>
    <row r="1142">
      <c r="A1142" s="486"/>
      <c r="B1142" s="485"/>
    </row>
    <row r="1143">
      <c r="A1143" s="486"/>
      <c r="B1143" s="485"/>
    </row>
    <row r="1144">
      <c r="A1144" s="486"/>
      <c r="B1144" s="485"/>
    </row>
    <row r="1145">
      <c r="A1145" s="486"/>
      <c r="B1145" s="485"/>
    </row>
    <row r="1146">
      <c r="A1146" s="486"/>
      <c r="B1146" s="485"/>
    </row>
    <row r="1147">
      <c r="A1147" s="486"/>
      <c r="B1147" s="485"/>
    </row>
    <row r="1148">
      <c r="A1148" s="486"/>
      <c r="B1148" s="485"/>
    </row>
    <row r="1149">
      <c r="A1149" s="486"/>
      <c r="B1149" s="485"/>
    </row>
    <row r="1150">
      <c r="A1150" s="486"/>
      <c r="B1150" s="485"/>
    </row>
    <row r="1151">
      <c r="A1151" s="486"/>
      <c r="B1151" s="485"/>
    </row>
    <row r="1152">
      <c r="A1152" s="486"/>
      <c r="B1152" s="485"/>
    </row>
    <row r="1153">
      <c r="A1153" s="486"/>
      <c r="B1153" s="485"/>
    </row>
    <row r="1154">
      <c r="A1154" s="486"/>
      <c r="B1154" s="485"/>
    </row>
    <row r="1155">
      <c r="A1155" s="486"/>
      <c r="B1155" s="485"/>
    </row>
    <row r="1156">
      <c r="A1156" s="486"/>
      <c r="B1156" s="485"/>
    </row>
    <row r="1157">
      <c r="A1157" s="486"/>
      <c r="B1157" s="485"/>
    </row>
    <row r="1158">
      <c r="A1158" s="486"/>
      <c r="B1158" s="485"/>
    </row>
    <row r="1159">
      <c r="A1159" s="486"/>
      <c r="B1159" s="485"/>
    </row>
    <row r="1160">
      <c r="A1160" s="486"/>
      <c r="B1160" s="485"/>
    </row>
    <row r="1161">
      <c r="A1161" s="486"/>
      <c r="B1161" s="485"/>
    </row>
    <row r="1162">
      <c r="A1162" s="486"/>
      <c r="B1162" s="485"/>
    </row>
    <row r="1163">
      <c r="A1163" s="486"/>
      <c r="B1163" s="485"/>
    </row>
    <row r="1164">
      <c r="A1164" s="486"/>
      <c r="B1164" s="485"/>
    </row>
    <row r="1165">
      <c r="A1165" s="486"/>
      <c r="B1165" s="485"/>
    </row>
    <row r="1166">
      <c r="A1166" s="486"/>
      <c r="B1166" s="485"/>
    </row>
    <row r="1167">
      <c r="A1167" s="486"/>
      <c r="B1167" s="485"/>
    </row>
    <row r="1168">
      <c r="A1168" s="486"/>
      <c r="B1168" s="485"/>
    </row>
    <row r="1169">
      <c r="A1169" s="486"/>
      <c r="B1169" s="485"/>
    </row>
  </sheetData>
  <drawing r:id="rId1"/>
</worksheet>
</file>